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2.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drawings/drawing5.xml" ContentType="application/vnd.openxmlformats-officedocument.drawing+xml"/>
  <Override PartName="/xl/slicers/slicer5.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drawings/drawing10.xml" ContentType="application/vnd.openxmlformats-officedocument.drawing+xml"/>
  <Override PartName="/xl/slicers/slicer7.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1.xml" ContentType="application/vnd.openxmlformats-officedocument.drawing+xml"/>
  <Override PartName="/xl/slicers/slicer8.xml" ContentType="application/vnd.ms-excel.slicer+xml"/>
  <Override PartName="/xl/drawings/drawing12.xml" ContentType="application/vnd.openxmlformats-officedocument.drawing+xml"/>
  <Override PartName="/xl/slicers/slicer9.xml" ContentType="application/vnd.ms-excel.slicer+xml"/>
  <Override PartName="/xl/drawings/drawing13.xml" ContentType="application/vnd.openxmlformats-officedocument.drawing+xml"/>
  <Override PartName="/xl/slicers/slicer10.xml" ContentType="application/vnd.ms-excel.slicer+xml"/>
  <Override PartName="/xl/pivotTables/pivotTable11.xml" ContentType="application/vnd.openxmlformats-officedocument.spreadsheetml.pivotTable+xml"/>
  <Override PartName="/xl/drawings/drawing14.xml" ContentType="application/vnd.openxmlformats-officedocument.drawing+xml"/>
  <Override PartName="/xl/slicers/slicer11.xml" ContentType="application/vnd.ms-excel.slicer+xml"/>
  <Override PartName="/xl/drawings/drawing15.xml" ContentType="application/vnd.openxmlformats-officedocument.drawing+xml"/>
  <Override PartName="/xl/slicers/slicer12.xml" ContentType="application/vnd.ms-excel.slicer+xml"/>
  <Override PartName="/xl/pivotTables/pivotTable12.xml" ContentType="application/vnd.openxmlformats-officedocument.spreadsheetml.pivotTable+xml"/>
  <Override PartName="/xl/drawings/drawing16.xml" ContentType="application/vnd.openxmlformats-officedocument.drawing+xml"/>
  <Override PartName="/xl/slicers/slicer13.xml" ContentType="application/vnd.ms-excel.slicer+xml"/>
  <Override PartName="/xl/drawings/drawing17.xml" ContentType="application/vnd.openxmlformats-officedocument.drawing+xml"/>
  <Override PartName="/xl/slicers/slicer14.xml" ContentType="application/vnd.ms-excel.slicer+xml"/>
  <Override PartName="/xl/pivotTables/pivotTable13.xml" ContentType="application/vnd.openxmlformats-officedocument.spreadsheetml.pivotTable+xml"/>
  <Override PartName="/xl/drawings/drawing18.xml" ContentType="application/vnd.openxmlformats-officedocument.drawing+xml"/>
  <Override PartName="/xl/slicers/slicer15.xml" ContentType="application/vnd.ms-excel.slicer+xml"/>
  <Override PartName="/xl/drawings/drawing19.xml" ContentType="application/vnd.openxmlformats-officedocument.drawing+xml"/>
  <Override PartName="/xl/slicers/slicer16.xml" ContentType="application/vnd.ms-excel.slicer+xml"/>
  <Override PartName="/xl/pivotTables/pivotTable14.xml" ContentType="application/vnd.openxmlformats-officedocument.spreadsheetml.pivotTable+xml"/>
  <Override PartName="/xl/drawings/drawing20.xml" ContentType="application/vnd.openxmlformats-officedocument.drawing+xml"/>
  <Override PartName="/xl/slicers/slicer17.xml" ContentType="application/vnd.ms-excel.slicer+xml"/>
  <Override PartName="/xl/drawings/drawing21.xml" ContentType="application/vnd.openxmlformats-officedocument.drawing+xml"/>
  <Override PartName="/xl/slicers/slicer18.xml" ContentType="application/vnd.ms-excel.slicer+xml"/>
  <Override PartName="/xl/pivotTables/pivotTable15.xml" ContentType="application/vnd.openxmlformats-officedocument.spreadsheetml.pivotTable+xml"/>
  <Override PartName="/xl/drawings/drawing22.xml" ContentType="application/vnd.openxmlformats-officedocument.drawing+xml"/>
  <Override PartName="/xl/slicers/slicer19.xml" ContentType="application/vnd.ms-excel.slicer+xml"/>
  <Override PartName="/xl/drawings/drawing23.xml" ContentType="application/vnd.openxmlformats-officedocument.drawing+xml"/>
  <Override PartName="/xl/slicers/slicer20.xml" ContentType="application/vnd.ms-excel.slicer+xml"/>
  <Override PartName="/xl/pivotTables/pivotTable16.xml" ContentType="application/vnd.openxmlformats-officedocument.spreadsheetml.pivotTable+xml"/>
  <Override PartName="/xl/drawings/drawing24.xml" ContentType="application/vnd.openxmlformats-officedocument.drawing+xml"/>
  <Override PartName="/xl/slicers/slicer21.xml" ContentType="application/vnd.ms-excel.slicer+xml"/>
  <Override PartName="/xl/drawings/drawing25.xml" ContentType="application/vnd.openxmlformats-officedocument.drawing+xml"/>
  <Override PartName="/xl/slicers/slicer22.xml" ContentType="application/vnd.ms-excel.slicer+xml"/>
  <Override PartName="/xl/pivotTables/pivotTable17.xml" ContentType="application/vnd.openxmlformats-officedocument.spreadsheetml.pivotTable+xml"/>
  <Override PartName="/xl/drawings/drawing26.xml" ContentType="application/vnd.openxmlformats-officedocument.drawing+xml"/>
  <Override PartName="/xl/slicers/slicer23.xml" ContentType="application/vnd.ms-excel.slicer+xml"/>
  <Override PartName="/xl/drawings/drawing27.xml" ContentType="application/vnd.openxmlformats-officedocument.drawing+xml"/>
  <Override PartName="/xl/slicers/slicer24.xml" ContentType="application/vnd.ms-excel.slicer+xml"/>
  <Override PartName="/xl/pivotTables/pivotTable18.xml" ContentType="application/vnd.openxmlformats-officedocument.spreadsheetml.pivotTable+xml"/>
  <Override PartName="/xl/drawings/drawing28.xml" ContentType="application/vnd.openxmlformats-officedocument.drawing+xml"/>
  <Override PartName="/xl/slicers/slicer25.xml" ContentType="application/vnd.ms-excel.slicer+xml"/>
  <Override PartName="/xl/pivotTables/pivotTable19.xml" ContentType="application/vnd.openxmlformats-officedocument.spreadsheetml.pivotTable+xml"/>
  <Override PartName="/xl/drawings/drawing29.xml" ContentType="application/vnd.openxmlformats-officedocument.drawing+xml"/>
  <Override PartName="/xl/slicers/slicer26.xml" ContentType="application/vnd.ms-excel.slicer+xml"/>
  <Override PartName="/xl/drawings/drawing30.xml" ContentType="application/vnd.openxmlformats-officedocument.drawing+xml"/>
  <Override PartName="/xl/slicers/slicer27.xml" ContentType="application/vnd.ms-excel.slicer+xml"/>
  <Override PartName="/xl/pivotTables/pivotTable20.xml" ContentType="application/vnd.openxmlformats-officedocument.spreadsheetml.pivotTable+xml"/>
  <Override PartName="/xl/drawings/drawing31.xml" ContentType="application/vnd.openxmlformats-officedocument.drawing+xml"/>
  <Override PartName="/xl/slicers/slicer28.xml" ContentType="application/vnd.ms-excel.slicer+xml"/>
  <Override PartName="/xl/drawings/drawing32.xml" ContentType="application/vnd.openxmlformats-officedocument.drawing+xml"/>
  <Override PartName="/xl/slicers/slicer29.xml" ContentType="application/vnd.ms-excel.slicer+xml"/>
  <Override PartName="/xl/pivotTables/pivotTable21.xml" ContentType="application/vnd.openxmlformats-officedocument.spreadsheetml.pivotTable+xml"/>
  <Override PartName="/xl/drawings/drawing33.xml" ContentType="application/vnd.openxmlformats-officedocument.drawing+xml"/>
  <Override PartName="/xl/slicers/slicer30.xml" ContentType="application/vnd.ms-excel.slicer+xml"/>
  <Override PartName="/xl/drawings/drawing34.xml" ContentType="application/vnd.openxmlformats-officedocument.drawing+xml"/>
  <Override PartName="/xl/slicers/slicer31.xml" ContentType="application/vnd.ms-excel.slicer+xml"/>
  <Override PartName="/xl/pivotTables/pivotTable22.xml" ContentType="application/vnd.openxmlformats-officedocument.spreadsheetml.pivotTable+xml"/>
  <Override PartName="/xl/drawings/drawing35.xml" ContentType="application/vnd.openxmlformats-officedocument.drawing+xml"/>
  <Override PartName="/xl/slicers/slicer32.xml" ContentType="application/vnd.ms-excel.slicer+xml"/>
  <Override PartName="/xl/drawings/drawing36.xml" ContentType="application/vnd.openxmlformats-officedocument.drawing+xml"/>
  <Override PartName="/xl/slicers/slicer33.xml" ContentType="application/vnd.ms-excel.slicer+xml"/>
  <Override PartName="/xl/pivotTables/pivotTable23.xml" ContentType="application/vnd.openxmlformats-officedocument.spreadsheetml.pivotTable+xml"/>
  <Override PartName="/xl/drawings/drawing37.xml" ContentType="application/vnd.openxmlformats-officedocument.drawing+xml"/>
  <Override PartName="/xl/slicers/slicer34.xml" ContentType="application/vnd.ms-excel.slicer+xml"/>
  <Override PartName="/xl/pivotTables/pivotTable24.xml" ContentType="application/vnd.openxmlformats-officedocument.spreadsheetml.pivotTable+xml"/>
  <Override PartName="/xl/drawings/drawing38.xml" ContentType="application/vnd.openxmlformats-officedocument.drawing+xml"/>
  <Override PartName="/xl/slicers/slicer35.xml" ContentType="application/vnd.ms-excel.slicer+xml"/>
  <Override PartName="/xl/drawings/drawing39.xml" ContentType="application/vnd.openxmlformats-officedocument.drawing+xml"/>
  <Override PartName="/xl/slicers/slicer36.xml" ContentType="application/vnd.ms-excel.slicer+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40.xml" ContentType="application/vnd.openxmlformats-officedocument.drawing+xml"/>
  <Override PartName="/xl/slicers/slicer37.xml" ContentType="application/vnd.ms-excel.slicer+xml"/>
  <Override PartName="/xl/drawings/drawing41.xml" ContentType="application/vnd.openxmlformats-officedocument.drawing+xml"/>
  <Override PartName="/xl/slicers/slicer38.xml" ContentType="application/vnd.ms-excel.slicer+xml"/>
  <Override PartName="/xl/pivotTables/pivotTable27.xml" ContentType="application/vnd.openxmlformats-officedocument.spreadsheetml.pivotTable+xml"/>
  <Override PartName="/xl/drawings/drawing42.xml" ContentType="application/vnd.openxmlformats-officedocument.drawing+xml"/>
  <Override PartName="/xl/slicers/slicer39.xml" ContentType="application/vnd.ms-excel.slicer+xml"/>
  <Override PartName="/xl/drawings/drawing43.xml" ContentType="application/vnd.openxmlformats-officedocument.drawing+xml"/>
  <Override PartName="/xl/slicers/slicer40.xml" ContentType="application/vnd.ms-excel.slicer+xml"/>
  <Override PartName="/xl/pivotTables/pivotTable28.xml" ContentType="application/vnd.openxmlformats-officedocument.spreadsheetml.pivotTable+xml"/>
  <Override PartName="/xl/drawings/drawing44.xml" ContentType="application/vnd.openxmlformats-officedocument.drawing+xml"/>
  <Override PartName="/xl/slicers/slicer41.xml" ContentType="application/vnd.ms-excel.slicer+xml"/>
  <Override PartName="/xl/drawings/drawing45.xml" ContentType="application/vnd.openxmlformats-officedocument.drawing+xml"/>
  <Override PartName="/xl/slicers/slicer42.xml" ContentType="application/vnd.ms-excel.slicer+xml"/>
  <Override PartName="/xl/pivotTables/pivotTable29.xml" ContentType="application/vnd.openxmlformats-officedocument.spreadsheetml.pivotTable+xml"/>
  <Override PartName="/xl/drawings/drawing46.xml" ContentType="application/vnd.openxmlformats-officedocument.drawing+xml"/>
  <Override PartName="/xl/slicers/slicer43.xml" ContentType="application/vnd.ms-excel.slicer+xml"/>
  <Override PartName="/xl/drawings/drawing47.xml" ContentType="application/vnd.openxmlformats-officedocument.drawing+xml"/>
  <Override PartName="/xl/slicers/slicer44.xml" ContentType="application/vnd.ms-excel.slicer+xml"/>
  <Override PartName="/xl/pivotTables/pivotTable30.xml" ContentType="application/vnd.openxmlformats-officedocument.spreadsheetml.pivotTable+xml"/>
  <Override PartName="/xl/drawings/drawing48.xml" ContentType="application/vnd.openxmlformats-officedocument.drawing+xml"/>
  <Override PartName="/xl/slicers/slicer45.xml" ContentType="application/vnd.ms-excel.slicer+xml"/>
  <Override PartName="/xl/drawings/drawing49.xml" ContentType="application/vnd.openxmlformats-officedocument.drawing+xml"/>
  <Override PartName="/xl/slicers/slicer46.xml" ContentType="application/vnd.ms-excel.slicer+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50.xml" ContentType="application/vnd.openxmlformats-officedocument.drawing+xml"/>
  <Override PartName="/xl/slicers/slicer47.xml" ContentType="application/vnd.ms-excel.slicer+xml"/>
  <Override PartName="/xl/drawings/drawing51.xml" ContentType="application/vnd.openxmlformats-officedocument.drawing+xml"/>
  <Override PartName="/xl/slicers/slicer48.xml" ContentType="application/vnd.ms-excel.slicer+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52.xml" ContentType="application/vnd.openxmlformats-officedocument.drawing+xml"/>
  <Override PartName="/xl/slicers/slicer49.xml" ContentType="application/vnd.ms-excel.slicer+xml"/>
  <Override PartName="/xl/drawings/drawing53.xml" ContentType="application/vnd.openxmlformats-officedocument.drawing+xml"/>
  <Override PartName="/xl/slicers/slicer50.xml" ContentType="application/vnd.ms-excel.slicer+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drawings/drawing62.xml" ContentType="application/vnd.openxmlformats-officedocument.drawing+xml"/>
  <Override PartName="/xl/slicers/slicer51.xml" ContentType="application/vnd.ms-excel.slicer+xml"/>
  <Override PartName="/xl/drawings/drawing63.xml" ContentType="application/vnd.openxmlformats-officedocument.drawing+xml"/>
  <Override PartName="/xl/slicers/slicer52.xml" ContentType="application/vnd.ms-excel.slicer+xml"/>
  <Override PartName="/xl/drawings/drawing64.xml" ContentType="application/vnd.openxmlformats-officedocument.drawing+xml"/>
  <Override PartName="/xl/slicers/slicer53.xml" ContentType="application/vnd.ms-excel.slicer+xml"/>
  <Override PartName="/xl/drawings/drawing65.xml" ContentType="application/vnd.openxmlformats-officedocument.drawing+xml"/>
  <Override PartName="/xl/slicers/slicer54.xml" ContentType="application/vnd.ms-excel.slicer+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79.xml" ContentType="application/vnd.openxmlformats-officedocument.drawing+xml"/>
  <Override PartName="/xl/slicers/slicer55.xml" ContentType="application/vnd.ms-excel.slicer+xml"/>
  <Override PartName="/xl/pivotTables/pivotTable62.xml" ContentType="application/vnd.openxmlformats-officedocument.spreadsheetml.pivotTable+xml"/>
  <Override PartName="/xl/drawings/drawing80.xml" ContentType="application/vnd.openxmlformats-officedocument.drawing+xml"/>
  <Override PartName="/xl/slicers/slicer56.xml" ContentType="application/vnd.ms-excel.slicer+xml"/>
  <Override PartName="/xl/pivotTables/pivotTable63.xml" ContentType="application/vnd.openxmlformats-officedocument.spreadsheetml.pivotTable+xml"/>
  <Override PartName="/xl/drawings/drawing81.xml" ContentType="application/vnd.openxmlformats-officedocument.drawing+xml"/>
  <Override PartName="/xl/slicers/slicer57.xml" ContentType="application/vnd.ms-excel.slicer+xml"/>
  <Override PartName="/xl/pivotTables/pivotTable64.xml" ContentType="application/vnd.openxmlformats-officedocument.spreadsheetml.pivotTable+xml"/>
  <Override PartName="/xl/drawings/drawing82.xml" ContentType="application/vnd.openxmlformats-officedocument.drawing+xml"/>
  <Override PartName="/xl/slicers/slicer58.xml" ContentType="application/vnd.ms-excel.slicer+xml"/>
  <Override PartName="/xl/pivotTables/pivotTable65.xml" ContentType="application/vnd.openxmlformats-officedocument.spreadsheetml.pivotTable+xml"/>
  <Override PartName="/xl/drawings/drawing83.xml" ContentType="application/vnd.openxmlformats-officedocument.drawing+xml"/>
  <Override PartName="/xl/slicers/slicer59.xml" ContentType="application/vnd.ms-excel.slicer+xml"/>
  <Override PartName="/xl/drawings/drawing84.xml" ContentType="application/vnd.openxmlformats-officedocument.drawing+xml"/>
  <Override PartName="/xl/slicers/slicer60.xml" ContentType="application/vnd.ms-excel.slicer+xml"/>
  <Override PartName="/xl/pivotTables/pivotTable66.xml" ContentType="application/vnd.openxmlformats-officedocument.spreadsheetml.pivotTable+xml"/>
  <Override PartName="/xl/pivotTables/pivotTable67.xml" ContentType="application/vnd.openxmlformats-officedocument.spreadsheetml.pivotTable+xml"/>
  <Override PartName="/xl/drawings/drawing85.xml" ContentType="application/vnd.openxmlformats-officedocument.drawing+xml"/>
  <Override PartName="/xl/slicers/slicer61.xml" ContentType="application/vnd.ms-excel.slicer+xml"/>
  <Override PartName="/xl/drawings/drawing86.xml" ContentType="application/vnd.openxmlformats-officedocument.drawing+xml"/>
  <Override PartName="/xl/slicers/slicer62.xml" ContentType="application/vnd.ms-excel.slicer+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71.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queryTables/queryTable1.xml" ContentType="application/vnd.openxmlformats-officedocument.spreadsheetml.queryTable+xml"/>
  <Override PartName="/xl/tables/table74.xml" ContentType="application/vnd.openxmlformats-officedocument.spreadsheetml.table+xml"/>
  <Override PartName="/xl/tables/table55.xml" ContentType="application/vnd.openxmlformats-officedocument.spreadsheetml.table+xml"/>
  <Override PartName="/xl/tables/table75.xml" ContentType="application/vnd.openxmlformats-officedocument.spreadsheetml.table+xml"/>
  <Override PartName="/xl/tables/table56.xml" ContentType="application/vnd.openxmlformats-officedocument.spreadsheetml.table+xml"/>
  <Override PartName="/xl/tables/table45.xml" ContentType="application/vnd.openxmlformats-officedocument.spreadsheetml.table+xml"/>
  <Override PartName="/xl/tables/table76.xml" ContentType="application/vnd.openxmlformats-officedocument.spreadsheetml.table+xml"/>
  <Override PartName="/xl/tables/table57.xml" ContentType="application/vnd.openxmlformats-officedocument.spreadsheetml.table+xml"/>
  <Override PartName="/xl/tables/table46.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43.xml" ContentType="application/vnd.openxmlformats-officedocument.spreadsheetml.table+xml"/>
  <Override PartName="/xl/tables/table6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44.xml" ContentType="application/vnd.openxmlformats-officedocument.spreadsheetml.table+xml"/>
  <Override PartName="/xl/tables/table47.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mc:AlternateContent xmlns:mc="http://schemas.openxmlformats.org/markup-compatibility/2006">
    <mc:Choice Requires="x15">
      <x15ac:absPath xmlns:x15ac="http://schemas.microsoft.com/office/spreadsheetml/2010/11/ac" url="C:\Local_Documents\Final 2024-25\"/>
    </mc:Choice>
  </mc:AlternateContent>
  <xr:revisionPtr revIDLastSave="0" documentId="13_ncr:1_{2FC3A4CD-D05B-4B54-BCC5-405ADD2BF615}" xr6:coauthVersionLast="47" xr6:coauthVersionMax="47" xr10:uidLastSave="{00000000-0000-0000-0000-000000000000}"/>
  <workbookProtection workbookAlgorithmName="SHA-512" workbookHashValue="2Ou4Dg/+Abn112A0t6FlAm1ePcDunu3zL9+9uYFJ5B1w6vhpXwNLPbn3pxSwVGC9AsMyF6ROBFZC53r0HCImgA==" workbookSaltValue="J0HDPLEauIECwvQEMfzRJQ==" workbookSpinCount="100000" lockStructure="1"/>
  <bookViews>
    <workbookView xWindow="-19320" yWindow="-3525" windowWidth="19440" windowHeight="14880" tabRatio="908" xr2:uid="{00000000-000D-0000-FFFF-FFFF00000000}"/>
  </bookViews>
  <sheets>
    <sheet name="Information" sheetId="4" r:id="rId1"/>
    <sheet name="Table of Contents" sheetId="99" r:id="rId2"/>
    <sheet name="Structure" sheetId="38" r:id="rId3"/>
    <sheet name="Crewing Model" sheetId="100" r:id="rId4"/>
    <sheet name="Crewing Model - Area" sheetId="23" r:id="rId5"/>
    <sheet name="CrewingModelAreaPivot" sheetId="223" state="hidden" r:id="rId6"/>
    <sheet name="CrewingModelAreaData" sheetId="221" state="hidden" r:id="rId7"/>
    <sheet name="Primary Crewing" sheetId="22" r:id="rId8"/>
    <sheet name="PrimaryCrewingAreaPivot" sheetId="226" state="hidden" r:id="rId9"/>
    <sheet name="PrimaryCrewingAreaData" sheetId="224" state="hidden" r:id="rId10"/>
    <sheet name="Primary Crewing - Area" sheetId="101" r:id="rId11"/>
    <sheet name="Crewing Level" sheetId="124" r:id="rId12"/>
    <sheet name="CapabilitiesData" sheetId="230" state="hidden" r:id="rId13"/>
    <sheet name="CapabilitiesPivot" sheetId="231" state="hidden" r:id="rId14"/>
    <sheet name="Capabilities" sheetId="114" r:id="rId15"/>
    <sheet name="Chart - Station Type" sheetId="92" r:id="rId16"/>
    <sheet name="Chart - Area" sheetId="103" r:id="rId17"/>
    <sheet name="Chart - Map" sheetId="104" r:id="rId18"/>
    <sheet name="VehiclesPivot" sheetId="236" state="hidden" r:id="rId19"/>
    <sheet name="VehiclesData" sheetId="213" state="hidden" r:id="rId20"/>
    <sheet name="Vehicles" sheetId="24" r:id="rId21"/>
    <sheet name="AppliancesLAPivot" sheetId="215" state="hidden" r:id="rId22"/>
    <sheet name="AppliancesLAData" sheetId="214" state="hidden" r:id="rId23"/>
    <sheet name="Appliances LA" sheetId="25" r:id="rId24"/>
    <sheet name="StaffingPivot" sheetId="238" state="hidden" r:id="rId25"/>
    <sheet name="StaffingData" sheetId="237" state="hidden" r:id="rId26"/>
    <sheet name="Staffing" sheetId="2" r:id="rId27"/>
    <sheet name="DutySystemPivot" sheetId="240" state="hidden" r:id="rId28"/>
    <sheet name="DutySystemData" sheetId="239" state="hidden" r:id="rId29"/>
    <sheet name="DutySystem" sheetId="115" r:id="rId30"/>
    <sheet name="dutysystemlapivot" sheetId="174" state="hidden" r:id="rId31"/>
    <sheet name="dutysystemladata" sheetId="173" state="hidden" r:id="rId32"/>
    <sheet name="DutySytem LA" sheetId="125" r:id="rId33"/>
    <sheet name="Department" sheetId="229" r:id="rId34"/>
    <sheet name="geographicpivot" sheetId="179" state="hidden" r:id="rId35"/>
    <sheet name="geographicdata" sheetId="178" state="hidden" r:id="rId36"/>
    <sheet name="Geographic Structure" sheetId="3" r:id="rId37"/>
    <sheet name="smallareapivot" sheetId="181" state="hidden" r:id="rId38"/>
    <sheet name="smallareadata" sheetId="180" state="hidden" r:id="rId39"/>
    <sheet name="Staff - Small Area" sheetId="7" r:id="rId40"/>
    <sheet name="roledata" sheetId="182" state="hidden" r:id="rId41"/>
    <sheet name="rolepivot" sheetId="183" state="hidden" r:id="rId42"/>
    <sheet name="Role" sheetId="94" r:id="rId43"/>
    <sheet name="roledutysystempivot" sheetId="185" state="hidden" r:id="rId44"/>
    <sheet name="roledutysystemdata" sheetId="184" state="hidden" r:id="rId45"/>
    <sheet name="Role DutySystem" sheetId="126" r:id="rId46"/>
    <sheet name="roleareapivot" sheetId="187" state="hidden" r:id="rId47"/>
    <sheet name="roleareadata" sheetId="186" state="hidden" r:id="rId48"/>
    <sheet name="Role - Area" sheetId="93" r:id="rId49"/>
    <sheet name="wtroleareapivot" sheetId="189" state="hidden" r:id="rId50"/>
    <sheet name="wtroleareadata" sheetId="188" state="hidden" r:id="rId51"/>
    <sheet name="WT Role - Area" sheetId="8" r:id="rId52"/>
    <sheet name="rdsroleareapivot" sheetId="192" state="hidden" r:id="rId53"/>
    <sheet name="rdsroleareadata" sheetId="191" state="hidden" r:id="rId54"/>
    <sheet name="RDS Role - Area" sheetId="9" r:id="rId55"/>
    <sheet name="csroledatapivot" sheetId="195" state="hidden" r:id="rId56"/>
    <sheet name="csroleareadata" sheetId="194" state="hidden" r:id="rId57"/>
    <sheet name="CSRoleAreaSupportPivot" sheetId="217" state="hidden" r:id="rId58"/>
    <sheet name="CSRoleAreaSupportData" sheetId="216" state="hidden" r:id="rId59"/>
    <sheet name="C&amp;S Role - Area" sheetId="10" r:id="rId60"/>
    <sheet name="volroleareapivot" sheetId="197" state="hidden" r:id="rId61"/>
    <sheet name="volroleareadata" sheetId="196" state="hidden" r:id="rId62"/>
    <sheet name="Vol Role - Area" sheetId="11" r:id="rId63"/>
    <sheet name="WTFTERoleAreaPivot" sheetId="199" state="hidden" r:id="rId64"/>
    <sheet name="WTFTERoleAreaData" sheetId="198" state="hidden" r:id="rId65"/>
    <sheet name="WT FTE Role - Area" sheetId="12" r:id="rId66"/>
    <sheet name="RDSFTERoleAreaPivot" sheetId="201" state="hidden" r:id="rId67"/>
    <sheet name="RDSFTERoleAreaData" sheetId="200" state="hidden" r:id="rId68"/>
    <sheet name="RDS FTE Role - Area" sheetId="13" r:id="rId69"/>
    <sheet name="CSFTERoleAreaControlPivot" sheetId="203" state="hidden" r:id="rId70"/>
    <sheet name="CSFTERoleAreaControlData" sheetId="202" state="hidden" r:id="rId71"/>
    <sheet name="CSFTERoleAreaSupportPivot" sheetId="205" state="hidden" r:id="rId72"/>
    <sheet name="CSFTERoleAreaSupportData" sheetId="204" state="hidden" r:id="rId73"/>
    <sheet name="C&amp;S FTE Role - Area" sheetId="14" r:id="rId74"/>
    <sheet name="SexTimeseriesPivot" sheetId="243" state="hidden" r:id="rId75"/>
    <sheet name="SexTimeseriesData" sheetId="242" state="hidden" r:id="rId76"/>
    <sheet name="Sex Timeseries" sheetId="15" r:id="rId77"/>
    <sheet name="SexPivot" sheetId="207" state="hidden" r:id="rId78"/>
    <sheet name="SexData" sheetId="206" state="hidden" r:id="rId79"/>
    <sheet name="Sex" sheetId="17" r:id="rId80"/>
    <sheet name="sexandrolepivot" sheetId="164" state="hidden" r:id="rId81"/>
    <sheet name="sexandroledata" sheetId="162" state="hidden" r:id="rId82"/>
    <sheet name="Sex and Role" sheetId="16" r:id="rId83"/>
    <sheet name="FTESexRolePivot" sheetId="209" state="hidden" r:id="rId84"/>
    <sheet name="FTESexRoleData" sheetId="208" state="hidden" r:id="rId85"/>
    <sheet name="FTE Sex and Role" sheetId="18" r:id="rId86"/>
    <sheet name="agepivot" sheetId="168" state="hidden" r:id="rId87"/>
    <sheet name="agedata" sheetId="167" state="hidden" r:id="rId88"/>
    <sheet name="Age" sheetId="19" r:id="rId89"/>
    <sheet name="servicepivot" sheetId="170" state="hidden" r:id="rId90"/>
    <sheet name="servicedata" sheetId="169" state="hidden" r:id="rId91"/>
    <sheet name="Service Length" sheetId="40" r:id="rId92"/>
    <sheet name="EthnicityData" sheetId="211" state="hidden" r:id="rId93"/>
    <sheet name="EthnicityPivot" sheetId="212" state="hidden" r:id="rId94"/>
    <sheet name="Ethnicity" sheetId="20" r:id="rId95"/>
    <sheet name="DisabilityPivot" sheetId="245" state="hidden" r:id="rId96"/>
    <sheet name="DisabilityData" sheetId="244" state="hidden" r:id="rId97"/>
    <sheet name="Disability" sheetId="21" r:id="rId98"/>
    <sheet name="leaversdata" sheetId="234" state="hidden" r:id="rId99"/>
    <sheet name="leaverspivot" sheetId="172" state="hidden" r:id="rId100"/>
    <sheet name="Leavers" sheetId="96" r:id="rId101"/>
    <sheet name="EntrantsPivot" sheetId="228" state="hidden" r:id="rId102"/>
    <sheet name="Entrants_Data" sheetId="227" state="hidden" r:id="rId103"/>
    <sheet name="Entrants - Demographics" sheetId="76" r:id="rId104"/>
    <sheet name="Chart Headcount" sheetId="43" r:id="rId105"/>
    <sheet name="Chart FTE" sheetId="98" r:id="rId106"/>
    <sheet name="Chart Sex" sheetId="44" r:id="rId107"/>
    <sheet name="Chart Age" sheetId="45" r:id="rId108"/>
    <sheet name="Chart Service Length" sheetId="123" r:id="rId109"/>
    <sheet name="AttacksPivot" sheetId="247" state="hidden" r:id="rId110"/>
    <sheet name="AttacksData" sheetId="246" state="hidden" r:id="rId111"/>
    <sheet name="Attacks" sheetId="26" r:id="rId112"/>
    <sheet name="AttacksAreaPivot" sheetId="249" state="hidden" r:id="rId113"/>
    <sheet name="AttacksAreaData" sheetId="248" state="hidden" r:id="rId114"/>
    <sheet name="Attacks - Area" sheetId="27" r:id="rId115"/>
    <sheet name="Chart - Attacks" sheetId="48" r:id="rId116"/>
    <sheet name="Chart - Injuries" sheetId="58" r:id="rId117"/>
    <sheet name="Chart - AttacksMap" sheetId="122" r:id="rId118"/>
    <sheet name="HFSVPivot" sheetId="253" state="hidden" r:id="rId119"/>
    <sheet name="HFSVData" sheetId="252" state="hidden" r:id="rId120"/>
    <sheet name="ReferenceHouseholds" sheetId="254" state="hidden" r:id="rId121"/>
    <sheet name="HFSVs" sheetId="28" r:id="rId122"/>
    <sheet name="DistinctPropertiesPivot" sheetId="272" state="hidden" r:id="rId123"/>
    <sheet name="DistinctPropertiesData" sheetId="271" state="hidden" r:id="rId124"/>
    <sheet name="Distinct Properties" sheetId="105" r:id="rId125"/>
    <sheet name="DistinctPropertPopPivot" sheetId="274" state="hidden" r:id="rId126"/>
    <sheet name="DistinctPropertPopData" sheetId="273" state="hidden" r:id="rId127"/>
    <sheet name="Distinct Propert. Popul." sheetId="106" r:id="rId128"/>
    <sheet name="ResidentsPivot" sheetId="258" state="hidden" r:id="rId129"/>
    <sheet name="ResidentsData" sheetId="257" state="hidden" r:id="rId130"/>
    <sheet name="ResidentsPercentPivot" sheetId="260" state="hidden" r:id="rId131"/>
    <sheet name="ResidentsPercentData" sheetId="259" state="hidden" r:id="rId132"/>
    <sheet name="Residents" sheetId="81" r:id="rId133"/>
    <sheet name="TenurePivot" sheetId="256" state="hidden" r:id="rId134"/>
    <sheet name="TenureData" sheetId="255" state="hidden" r:id="rId135"/>
    <sheet name="Tenure" sheetId="120" r:id="rId136"/>
    <sheet name="SIMDVisitsPivot" sheetId="262" state="hidden" r:id="rId137"/>
    <sheet name="SIMDVisitsData" sheetId="261" state="hidden" r:id="rId138"/>
    <sheet name="SIMD-Visits" sheetId="82" r:id="rId139"/>
    <sheet name="SIMDAlarmsPivot" sheetId="264" state="hidden" r:id="rId140"/>
    <sheet name="SIMDAlarmsData" sheetId="263" state="hidden" r:id="rId141"/>
    <sheet name="SIMD-Alarms" sheetId="137" r:id="rId142"/>
    <sheet name="SIMD%AlarmPivot" sheetId="270" state="hidden" r:id="rId143"/>
    <sheet name="SIMD%AlarmData" sheetId="269" state="hidden" r:id="rId144"/>
    <sheet name="SIMD-%Alarm" sheetId="138" r:id="rId145"/>
    <sheet name="RuralityPivot" sheetId="266" state="hidden" r:id="rId146"/>
    <sheet name="RuralityData" sheetId="265" state="hidden" r:id="rId147"/>
    <sheet name="Rurality" sheetId="107" r:id="rId148"/>
    <sheet name="HFSVLAPivot" sheetId="150" state="hidden" r:id="rId149"/>
    <sheet name="HFSVLAData" sheetId="148" state="hidden" r:id="rId150"/>
    <sheet name="HFSVs LA" sheetId="30" r:id="rId151"/>
    <sheet name="Outcome LA" sheetId="31" r:id="rId152"/>
    <sheet name="Rate LA" sheetId="32" r:id="rId153"/>
    <sheet name="Chart HFSVs" sheetId="50" r:id="rId154"/>
    <sheet name="Chart Alarms" sheetId="109" r:id="rId155"/>
    <sheet name="Chart Residents" sheetId="110" r:id="rId156"/>
    <sheet name="Chart SIMD" sheetId="116" r:id="rId157"/>
    <sheet name="Chart SIMD Alarms" sheetId="140" r:id="rId158"/>
    <sheet name="Chart SIMD AlarmRate" sheetId="141" r:id="rId159"/>
    <sheet name="Chart SIMD OwnerOcc" sheetId="142" r:id="rId160"/>
    <sheet name="Chart SIMD OwnerYears" sheetId="143" r:id="rId161"/>
    <sheet name="Chart Rurality" sheetId="111" r:id="rId162"/>
    <sheet name="Chart LA" sheetId="112" r:id="rId163"/>
    <sheet name="Chart Map" sheetId="144" r:id="rId164"/>
    <sheet name="Chart Alarms Map" sheetId="145" r:id="rId165"/>
    <sheet name="Chart %Install" sheetId="146" r:id="rId166"/>
    <sheet name="Workflows" sheetId="33" r:id="rId167"/>
    <sheet name="WorkflowsPivot" sheetId="241" state="hidden" r:id="rId168"/>
    <sheet name="WorkflowsData" sheetId="235" state="hidden" r:id="rId169"/>
    <sheet name="AuditsPivot" sheetId="276" state="hidden" r:id="rId170"/>
    <sheet name="AuditsData" sheetId="275" state="hidden" r:id="rId171"/>
    <sheet name="Audits" sheetId="113" r:id="rId172"/>
    <sheet name="Audits LA" sheetId="34" r:id="rId173"/>
    <sheet name="auditlapivot" sheetId="154" state="hidden" r:id="rId174"/>
    <sheet name="auditladata" sheetId="153" state="hidden" r:id="rId175"/>
    <sheet name="auditsoutcomepremisespivot" sheetId="159" state="hidden" r:id="rId176"/>
    <sheet name="auditsoutcomepremises" sheetId="158" state="hidden" r:id="rId177"/>
    <sheet name="AuditsOutcomeData" sheetId="277" state="hidden" r:id="rId178"/>
    <sheet name="AuditsOutcomePivot" sheetId="278" state="hidden" r:id="rId179"/>
    <sheet name="Audits Outcome" sheetId="35" r:id="rId180"/>
    <sheet name="auditsoutcomeLApivot" sheetId="157" state="hidden" r:id="rId181"/>
    <sheet name="auditsoutcomeLA" sheetId="156" state="hidden" r:id="rId182"/>
    <sheet name="Audits Outcome LA" sheetId="36" r:id="rId183"/>
    <sheet name="NoticesPivot" sheetId="268" state="hidden" r:id="rId184"/>
    <sheet name="NoticesData" sheetId="267" state="hidden" r:id="rId185"/>
    <sheet name="Notices" sheetId="42" r:id="rId186"/>
    <sheet name="riskpivot" sheetId="161" state="hidden" r:id="rId187"/>
    <sheet name="riskdata" sheetId="160" state="hidden" r:id="rId188"/>
    <sheet name="Risk" sheetId="89" r:id="rId189"/>
    <sheet name="Chart Workflows" sheetId="54" r:id="rId190"/>
    <sheet name="Chart Audits" sheetId="55" r:id="rId191"/>
    <sheet name="Chart Audit Share" sheetId="134" r:id="rId192"/>
  </sheets>
  <definedNames>
    <definedName name="_xlnm._FilterDatabase" localSheetId="9" hidden="1">PrimaryCrewingAreaData!$A$1:$F$289</definedName>
    <definedName name="aa" localSheetId="156">#REF!</definedName>
    <definedName name="aa">#REF!</definedName>
    <definedName name="AllStaffExcVol">#REF!</definedName>
    <definedName name="AllStaffTotal">#REF!</definedName>
    <definedName name="AllStationRankings">#REF!</definedName>
    <definedName name="AllStations">#REF!</definedName>
    <definedName name="AuditRankings">#REF!</definedName>
    <definedName name="AuditRates">#REF!</definedName>
    <definedName name="ControlHeadcount">#REF!</definedName>
    <definedName name="d" localSheetId="156">#REF!</definedName>
    <definedName name="d">#REF!</definedName>
    <definedName name="ExternalData_1" localSheetId="87" hidden="1">agedata!$A$1:$H$146</definedName>
    <definedName name="ExternalData_1" localSheetId="22" hidden="1">AppliancesLAData!$A$1:$J$225</definedName>
    <definedName name="ExternalData_1" localSheetId="113" hidden="1">AttacksAreaData!$A$1:$K$30</definedName>
    <definedName name="ExternalData_1" localSheetId="110" hidden="1">AttacksData!$A$1:$F$10</definedName>
    <definedName name="ExternalData_1" localSheetId="174" hidden="1">auditladata!$A$1:$R$354</definedName>
    <definedName name="ExternalData_1" localSheetId="170" hidden="1">AuditsData!$A$1:$S$16</definedName>
    <definedName name="ExternalData_1" localSheetId="177" hidden="1">AuditsOutcomeData!$B$4:$J$20</definedName>
    <definedName name="ExternalData_1" localSheetId="181" hidden="1">auditsoutcomeLA!$A$1:$K$353</definedName>
    <definedName name="ExternalData_1" localSheetId="176" hidden="1">auditsoutcomepremises!$B$4:$L$169</definedName>
    <definedName name="ExternalData_1" localSheetId="70" hidden="1">CSFTERoleAreaControlData!$A$1:$K$13</definedName>
    <definedName name="ExternalData_1" localSheetId="72" hidden="1">CSFTERoleAreaSupportData!$A$1:$L$13</definedName>
    <definedName name="ExternalData_1" localSheetId="56" hidden="1">csroleareadata!$A$1:$I$13</definedName>
    <definedName name="ExternalData_1" localSheetId="58" hidden="1">CSRoleAreaSupportData!$A$1:$L$49</definedName>
    <definedName name="ExternalData_1" localSheetId="96" hidden="1">DisabilityData!$A$1:$I$15</definedName>
    <definedName name="ExternalData_1" localSheetId="123" hidden="1">DistinctPropertiesData!$A$1:$L$24</definedName>
    <definedName name="ExternalData_1" localSheetId="126" hidden="1">DistinctPropertPopData!$B$4:$E$16</definedName>
    <definedName name="ExternalData_1" localSheetId="28" hidden="1">DutySystemData!$A$1:$E$8</definedName>
    <definedName name="ExternalData_1" localSheetId="31" hidden="1">dutysystemladata!$A$1:$H$363</definedName>
    <definedName name="ExternalData_1" localSheetId="102" hidden="1">Entrants_Data!#REF!</definedName>
    <definedName name="ExternalData_1" localSheetId="92" hidden="1">EthnicityData!$A$1:$E$116</definedName>
    <definedName name="ExternalData_1" localSheetId="84" hidden="1">FTESexRoleData!$A$1:$F$282</definedName>
    <definedName name="ExternalData_1" localSheetId="35" hidden="1">geographicdata!$A$1:$H$49</definedName>
    <definedName name="ExternalData_1" localSheetId="119" hidden="1">HFSVData!$A$1:$G$16</definedName>
    <definedName name="ExternalData_1" localSheetId="149" hidden="1">HFSVLAData!$A$1:$O$385</definedName>
    <definedName name="ExternalData_1" localSheetId="98" hidden="1">leaversdata!$A$1:$I$57</definedName>
    <definedName name="ExternalData_1" localSheetId="184" hidden="1">NoticesData!$B$4:$E$15</definedName>
    <definedName name="ExternalData_1" localSheetId="67" hidden="1">RDSFTERoleAreaData!$A$1:$H$374</definedName>
    <definedName name="ExternalData_1" localSheetId="53" hidden="1">rdsroleareadata!$A$1:$G$366</definedName>
    <definedName name="ExternalData_1" localSheetId="120" hidden="1">ReferenceHouseholds!$A$1:$C$26</definedName>
    <definedName name="ExternalData_1" localSheetId="129" hidden="1">ResidentsData!$A$1:$I$13</definedName>
    <definedName name="ExternalData_1" localSheetId="131" hidden="1">ResidentsPercentData!$A$1:$H$13</definedName>
    <definedName name="ExternalData_1" localSheetId="187" hidden="1">riskdata!$B$4:$K$169</definedName>
    <definedName name="ExternalData_1" localSheetId="47" hidden="1">roleareadata!$A$1:$J$49</definedName>
    <definedName name="ExternalData_1" localSheetId="40" hidden="1">roledata!$A$1:$J$63</definedName>
    <definedName name="ExternalData_1" localSheetId="44" hidden="1">roledutysystemdata!$A$1:$I$29</definedName>
    <definedName name="ExternalData_1" localSheetId="146" hidden="1">RuralityData!$A$2:$H$14</definedName>
    <definedName name="ExternalData_1" localSheetId="90" hidden="1">servicedata!$A$1:$G$73</definedName>
    <definedName name="ExternalData_1" localSheetId="81" hidden="1">sexandroledata!$A$1:$F$318</definedName>
    <definedName name="ExternalData_1" localSheetId="78" hidden="1">SexData!$A$1:$E$68</definedName>
    <definedName name="ExternalData_1" localSheetId="75" hidden="1">SexTimeseriesData!$A$1:$M$16</definedName>
    <definedName name="ExternalData_1" localSheetId="140" hidden="1">SIMDAlarmsData!$A$1:$G$12</definedName>
    <definedName name="ExternalData_1" localSheetId="137" hidden="1">SIMDVisitsData!$A$1:$H$12</definedName>
    <definedName name="ExternalData_1" localSheetId="38" hidden="1">smallareadata!$A$1:$K$631</definedName>
    <definedName name="ExternalData_1" localSheetId="25" hidden="1">StaffingData!$A$1:$G$16</definedName>
    <definedName name="ExternalData_1" localSheetId="134" hidden="1">TenureData!$A$1:$K$7</definedName>
    <definedName name="ExternalData_1" localSheetId="19" hidden="1">VehiclesData!#REF!</definedName>
    <definedName name="ExternalData_1" localSheetId="61" hidden="1">volroleareadata!$A$1:$H$182</definedName>
    <definedName name="ExternalData_1" localSheetId="168" hidden="1">WorkflowsData!$A$3:$E$14</definedName>
    <definedName name="ExternalData_1" localSheetId="64" hidden="1">WTFTERoleAreaData!$A$1:$L$614</definedName>
    <definedName name="ExternalData_1" localSheetId="50" hidden="1">wtroleareadata!$A$1:$K$612</definedName>
    <definedName name="ExternalData_10" localSheetId="102" hidden="1">Entrants_Data!$J$24:$Q$99</definedName>
    <definedName name="ExternalData_2" localSheetId="110" hidden="1">AttacksData!$A$14:$F$23</definedName>
    <definedName name="ExternalData_2" localSheetId="12" hidden="1">CapabilitiesData!$I$6:$K$25</definedName>
    <definedName name="ExternalData_2" localSheetId="96" hidden="1">DisabilityData!$A$26:$I$37</definedName>
    <definedName name="ExternalData_2" localSheetId="126" hidden="1">DistinctPropertPopData!#REF!</definedName>
    <definedName name="ExternalData_2" localSheetId="102" hidden="1">Entrants_Data!#REF!</definedName>
    <definedName name="ExternalData_2" localSheetId="146" hidden="1">RuralityData!$A$24:$H$36</definedName>
    <definedName name="ExternalData_2" localSheetId="76" hidden="1">'Sex Timeseries'!#REF!</definedName>
    <definedName name="ExternalData_2" localSheetId="140" hidden="1">SIMDAlarmsData!$A$20:$G$31</definedName>
    <definedName name="ExternalData_2" localSheetId="137" hidden="1">SIMDVisitsData!$A$20:$G$31</definedName>
    <definedName name="ExternalData_2" localSheetId="25" hidden="1">StaffingData!$A$25:$F$39</definedName>
    <definedName name="ExternalData_2" localSheetId="19" hidden="1">VehiclesData!$A$1:$N$14</definedName>
    <definedName name="ExternalData_2" localSheetId="168" hidden="1">WorkflowsData!$J$3:$K$9</definedName>
    <definedName name="ExternalData_3" localSheetId="110" hidden="1">AttacksData!$A$28:$F$37</definedName>
    <definedName name="ExternalData_3" localSheetId="12" hidden="1">CapabilitiesData!$A$1:$D$132</definedName>
    <definedName name="ExternalData_4" localSheetId="110" hidden="1">AttacksData!$A$42:$F$51</definedName>
    <definedName name="ExternalData_5" localSheetId="110" hidden="1">AttacksData!#REF!</definedName>
    <definedName name="ExternalData_5" localSheetId="33" hidden="1">Department!#REF!</definedName>
    <definedName name="ExternalData_6" localSheetId="110" hidden="1">AttacksData!#REF!</definedName>
    <definedName name="ExternalData_7" localSheetId="110" hidden="1">AttacksData!#REF!</definedName>
    <definedName name="ExternalData_7" localSheetId="102" hidden="1">Entrants_Data!$A$1:$G$19</definedName>
    <definedName name="ExternalData_8" localSheetId="110" hidden="1">AttacksData!#REF!</definedName>
    <definedName name="ExternalData_8" localSheetId="102" hidden="1">Entrants_Data!$J$1:$Q$15</definedName>
    <definedName name="ExternalData_9" localSheetId="102" hidden="1">Entrants_Data!$A$25:$G$43</definedName>
    <definedName name="FiscalYr">#REF!</definedName>
    <definedName name="HFSV">#REF!</definedName>
    <definedName name="HFSVAbsRankings">#REF!</definedName>
    <definedName name="PremisesRankings">#REF!</definedName>
    <definedName name="PremisesRates">#REF!</definedName>
    <definedName name="_xlnm.Print_Area" localSheetId="36">'Geographic Structure'!$A$3:$K$26</definedName>
    <definedName name="_xlnm.Print_Area" localSheetId="0">Information!$A$1:$L$31</definedName>
    <definedName name="_xlnm.Print_Area" localSheetId="152">'Rate LA'!$B$10:$G$48</definedName>
    <definedName name="_xlnm.Print_Area" localSheetId="26">Staffing!$A$2:$K$73</definedName>
    <definedName name="RDSHeadcount">#REF!</definedName>
    <definedName name="RDSStationRankings">#REF!</definedName>
    <definedName name="RDSStations">#REF!</definedName>
    <definedName name="s_srs_v01_pds_RAP_HFSV_Outcome" localSheetId="121" hidden="1">HFSVs!$A$9:$G$24</definedName>
    <definedName name="s_srs_v01_pds_RAP_HFSV_Tenure_Outcome" localSheetId="135" hidden="1">Tenure!#REF!</definedName>
    <definedName name="s_srs_v01_pds_RAP_SIMD_Alarms_OccupiedDwellings" localSheetId="138" hidden="1">'SIMD-Visits'!#REF!</definedName>
    <definedName name="Slicer_FinYear4">#N/A</definedName>
    <definedName name="Slicer_FinYear41">#N/A</definedName>
    <definedName name="Slicer_FiscalYr">#N/A</definedName>
    <definedName name="Slicer_FiscalYr1">#N/A</definedName>
    <definedName name="Slicer_FisYr1">#N/A</definedName>
    <definedName name="Slicer_FisYr11">#N/A</definedName>
    <definedName name="Slicer_FisYr12">#N/A</definedName>
    <definedName name="Slicer_FisYr19">#N/A</definedName>
    <definedName name="Slicer_FisYr2">#N/A</definedName>
    <definedName name="Slicer_FisYr24">#N/A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4">#N/A</definedName>
    <definedName name="Slicer_Year25">#N/A</definedName>
    <definedName name="Slicer_Year26">#N/A</definedName>
    <definedName name="Slicer_Year27">#N/A</definedName>
    <definedName name="Slicer_Year28">#N/A</definedName>
    <definedName name="Slicer_Year29">#N/A</definedName>
    <definedName name="Slicer_Year3">#N/A</definedName>
    <definedName name="Slicer_Year30">#N/A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StructureData">#REF!</definedName>
    <definedName name="SupportHeadcount">#REF!</definedName>
    <definedName name="VolStationRankings">#REF!</definedName>
    <definedName name="VolStations">#REF!</definedName>
    <definedName name="VolunteerHeadcount">#REF!</definedName>
    <definedName name="WTOperational">#REF!</definedName>
    <definedName name="WTStationRankings">#REF!</definedName>
    <definedName name="WTStations">#REF!</definedName>
    <definedName name="x" localSheetId="156">#REF!</definedName>
    <definedName name="x">#REF!</definedName>
    <definedName name="z" localSheetId="156">#REF!</definedName>
    <definedName name="z">#REF!</definedName>
  </definedNames>
  <calcPr calcId="191028"/>
  <pivotCaches>
    <pivotCache cacheId="0" r:id="rId193"/>
    <pivotCache cacheId="1" r:id="rId194"/>
    <pivotCache cacheId="2" r:id="rId195"/>
    <pivotCache cacheId="3" r:id="rId196"/>
    <pivotCache cacheId="4" r:id="rId197"/>
    <pivotCache cacheId="5" r:id="rId198"/>
    <pivotCache cacheId="6" r:id="rId199"/>
    <pivotCache cacheId="7" r:id="rId200"/>
    <pivotCache cacheId="8" r:id="rId201"/>
    <pivotCache cacheId="9" r:id="rId202"/>
    <pivotCache cacheId="10" r:id="rId203"/>
    <pivotCache cacheId="11" r:id="rId204"/>
    <pivotCache cacheId="12" r:id="rId205"/>
    <pivotCache cacheId="13" r:id="rId206"/>
    <pivotCache cacheId="14" r:id="rId207"/>
    <pivotCache cacheId="15" r:id="rId208"/>
    <pivotCache cacheId="16" r:id="rId209"/>
    <pivotCache cacheId="17" r:id="rId210"/>
    <pivotCache cacheId="18" r:id="rId211"/>
    <pivotCache cacheId="19" r:id="rId212"/>
    <pivotCache cacheId="20" r:id="rId213"/>
    <pivotCache cacheId="21" r:id="rId214"/>
    <pivotCache cacheId="22" r:id="rId215"/>
    <pivotCache cacheId="23" r:id="rId216"/>
    <pivotCache cacheId="24" r:id="rId217"/>
    <pivotCache cacheId="25" r:id="rId218"/>
    <pivotCache cacheId="26" r:id="rId219"/>
    <pivotCache cacheId="27" r:id="rId220"/>
    <pivotCache cacheId="28" r:id="rId221"/>
    <pivotCache cacheId="29" r:id="rId222"/>
    <pivotCache cacheId="30" r:id="rId223"/>
    <pivotCache cacheId="31" r:id="rId224"/>
    <pivotCache cacheId="32" r:id="rId225"/>
    <pivotCache cacheId="33" r:id="rId226"/>
    <pivotCache cacheId="34" r:id="rId227"/>
    <pivotCache cacheId="35" r:id="rId228"/>
    <pivotCache cacheId="36" r:id="rId229"/>
    <pivotCache cacheId="37" r:id="rId230"/>
    <pivotCache cacheId="38" r:id="rId231"/>
    <pivotCache cacheId="39" r:id="rId232"/>
    <pivotCache cacheId="40" r:id="rId233"/>
    <pivotCache cacheId="41" r:id="rId234"/>
    <pivotCache cacheId="42" r:id="rId235"/>
    <pivotCache cacheId="43" r:id="rId236"/>
    <pivotCache cacheId="44" r:id="rId237"/>
    <pivotCache cacheId="45" r:id="rId238"/>
    <pivotCache cacheId="46" r:id="rId239"/>
    <pivotCache cacheId="47" r:id="rId240"/>
    <pivotCache cacheId="48" r:id="rId241"/>
    <pivotCache cacheId="49" r:id="rId242"/>
    <pivotCache cacheId="50" r:id="rId243"/>
    <pivotCache cacheId="51" r:id="rId244"/>
    <pivotCache cacheId="52" r:id="rId245"/>
    <pivotCache cacheId="53" r:id="rId246"/>
    <pivotCache cacheId="54" r:id="rId247"/>
    <pivotCache cacheId="55" r:id="rId248"/>
    <pivotCache cacheId="56" r:id="rId249"/>
    <pivotCache cacheId="57" r:id="rId250"/>
    <pivotCache cacheId="58" r:id="rId251"/>
    <pivotCache cacheId="59" r:id="rId252"/>
    <pivotCache cacheId="60" r:id="rId253"/>
    <pivotCache cacheId="61" r:id="rId254"/>
    <pivotCache cacheId="62" r:id="rId255"/>
    <pivotCache cacheId="63" r:id="rId256"/>
    <pivotCache cacheId="64" r:id="rId257"/>
    <pivotCache cacheId="65" r:id="rId258"/>
    <pivotCache cacheId="66" r:id="rId259"/>
  </pivotCaches>
  <extLst>
    <ext xmlns:x14="http://schemas.microsoft.com/office/spreadsheetml/2009/9/main" uri="{BBE1A952-AA13-448e-AADC-164F8A28A991}">
      <x14:slicerCaches>
        <x14:slicerCache r:id="rId260"/>
        <x14:slicerCache r:id="rId261"/>
        <x14:slicerCache r:id="rId262"/>
        <x14:slicerCache r:id="rId263"/>
        <x14:slicerCache r:id="rId264"/>
        <x14:slicerCache r:id="rId265"/>
        <x14:slicerCache r:id="rId266"/>
        <x14:slicerCache r:id="rId267"/>
        <x14:slicerCache r:id="rId268"/>
        <x14:slicerCache r:id="rId269"/>
        <x14:slicerCache r:id="rId270"/>
        <x14:slicerCache r:id="rId271"/>
        <x14:slicerCache r:id="rId272"/>
        <x14:slicerCache r:id="rId273"/>
        <x14:slicerCache r:id="rId274"/>
        <x14:slicerCache r:id="rId275"/>
        <x14:slicerCache r:id="rId276"/>
        <x14:slicerCache r:id="rId277"/>
        <x14:slicerCache r:id="rId278"/>
        <x14:slicerCache r:id="rId279"/>
        <x14:slicerCache r:id="rId280"/>
        <x14:slicerCache r:id="rId281"/>
        <x14:slicerCache r:id="rId282"/>
        <x14:slicerCache r:id="rId283"/>
        <x14:slicerCache r:id="rId284"/>
        <x14:slicerCache r:id="rId285"/>
        <x14:slicerCache r:id="rId286"/>
        <x14:slicerCache r:id="rId287"/>
        <x14:slicerCache r:id="rId288"/>
        <x14:slicerCache r:id="rId289"/>
        <x14:slicerCache r:id="rId290"/>
        <x14:slicerCache r:id="rId291"/>
        <x14:slicerCache r:id="rId29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93"/>
        <x14:slicerCache r:id="rId294"/>
        <x14:slicerCache r:id="rId29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1" i="7" l="1"/>
  <c r="B9" i="30"/>
  <c r="A47" i="12"/>
  <c r="A60" i="12"/>
  <c r="A48" i="12"/>
  <c r="B61" i="12"/>
  <c r="B60" i="12"/>
  <c r="B48" i="12"/>
  <c r="B47" i="12"/>
  <c r="B21" i="138"/>
  <c r="C21" i="138"/>
  <c r="D21" i="138"/>
  <c r="E21" i="138"/>
  <c r="F21" i="138"/>
  <c r="I61" i="12"/>
  <c r="H61" i="12"/>
  <c r="G61" i="12"/>
  <c r="F61" i="12"/>
  <c r="E61" i="12"/>
  <c r="D61" i="12"/>
  <c r="C61" i="12"/>
  <c r="I48" i="12"/>
  <c r="H48" i="12"/>
  <c r="G48" i="12"/>
  <c r="F48" i="12"/>
  <c r="E48" i="12"/>
  <c r="D48" i="12"/>
  <c r="C48" i="12"/>
  <c r="C47" i="15"/>
  <c r="D47" i="15"/>
  <c r="E47" i="15"/>
  <c r="F47" i="15"/>
  <c r="G47" i="15"/>
  <c r="H47" i="15"/>
  <c r="I47" i="15"/>
  <c r="J47" i="15"/>
  <c r="K47" i="15"/>
  <c r="L47" i="15"/>
  <c r="M47" i="15"/>
  <c r="N47" i="15"/>
  <c r="O47" i="15"/>
  <c r="P47" i="15"/>
  <c r="Q47" i="15"/>
  <c r="B47" i="15"/>
  <c r="C46" i="15"/>
  <c r="D46" i="15"/>
  <c r="E46" i="15"/>
  <c r="F46" i="15"/>
  <c r="G46" i="15"/>
  <c r="H46" i="15"/>
  <c r="I46" i="15"/>
  <c r="J46" i="15"/>
  <c r="K46" i="15"/>
  <c r="L46" i="15"/>
  <c r="M46" i="15"/>
  <c r="N46" i="15"/>
  <c r="O46" i="15"/>
  <c r="P46" i="15"/>
  <c r="Q46" i="15"/>
  <c r="B46" i="15"/>
  <c r="A45" i="15"/>
  <c r="C43" i="15"/>
  <c r="D43" i="15"/>
  <c r="E43" i="15"/>
  <c r="F43" i="15"/>
  <c r="G43" i="15"/>
  <c r="H43" i="15"/>
  <c r="I43" i="15"/>
  <c r="J43" i="15"/>
  <c r="K43" i="15"/>
  <c r="L43" i="15"/>
  <c r="M43" i="15"/>
  <c r="N43" i="15"/>
  <c r="O43" i="15"/>
  <c r="P43" i="15"/>
  <c r="Q43" i="15"/>
  <c r="B43" i="15"/>
  <c r="C42" i="15"/>
  <c r="D42" i="15"/>
  <c r="E42" i="15"/>
  <c r="F42" i="15"/>
  <c r="G42" i="15"/>
  <c r="H42" i="15"/>
  <c r="I42" i="15"/>
  <c r="J42" i="15"/>
  <c r="K42" i="15"/>
  <c r="L42" i="15"/>
  <c r="M42" i="15"/>
  <c r="N42" i="15"/>
  <c r="O42" i="15"/>
  <c r="P42" i="15"/>
  <c r="Q42" i="15"/>
  <c r="B42" i="15"/>
  <c r="A41" i="15"/>
  <c r="A40" i="15"/>
  <c r="B40" i="15"/>
  <c r="C40" i="15"/>
  <c r="D40" i="15"/>
  <c r="E40" i="15"/>
  <c r="F40" i="15"/>
  <c r="G40" i="15"/>
  <c r="H40" i="15"/>
  <c r="I40" i="15"/>
  <c r="J40" i="15"/>
  <c r="K40" i="15"/>
  <c r="L40" i="15"/>
  <c r="M40" i="15"/>
  <c r="N40" i="15"/>
  <c r="O40" i="15"/>
  <c r="P40" i="15"/>
  <c r="Q40" i="15"/>
  <c r="F18" i="124"/>
  <c r="A41" i="22"/>
  <c r="B41" i="22"/>
  <c r="C41" i="22"/>
  <c r="D41" i="22"/>
  <c r="E41" i="22"/>
  <c r="F41" i="22"/>
  <c r="M26" i="113"/>
  <c r="A62" i="2"/>
  <c r="A58" i="2"/>
  <c r="A25" i="2"/>
  <c r="C16" i="115"/>
  <c r="E16" i="115"/>
  <c r="D16" i="115"/>
  <c r="B16" i="115"/>
  <c r="C23" i="2"/>
  <c r="D23" i="2"/>
  <c r="B23" i="2"/>
  <c r="E23" i="2"/>
  <c r="F23" i="2"/>
  <c r="G23" i="2"/>
  <c r="B11" i="42"/>
  <c r="D13" i="42"/>
  <c r="C16" i="42"/>
  <c r="B19" i="42"/>
  <c r="C11" i="42"/>
  <c r="B14" i="42"/>
  <c r="D16" i="42"/>
  <c r="D20" i="42"/>
  <c r="D15" i="42"/>
  <c r="D11" i="42"/>
  <c r="C14" i="42"/>
  <c r="B17" i="42"/>
  <c r="D19" i="42"/>
  <c r="D14" i="42"/>
  <c r="C17" i="42"/>
  <c r="B20" i="42"/>
  <c r="C15" i="42"/>
  <c r="B18" i="42"/>
  <c r="B13" i="42"/>
  <c r="B12" i="42"/>
  <c r="C12" i="42"/>
  <c r="B15" i="42"/>
  <c r="D17" i="42"/>
  <c r="C20" i="42"/>
  <c r="D12" i="42"/>
  <c r="C18" i="42"/>
  <c r="C13" i="42"/>
  <c r="B16" i="42"/>
  <c r="D18" i="42"/>
  <c r="C19" i="42"/>
  <c r="D10" i="42"/>
  <c r="C10" i="42"/>
  <c r="B10" i="42"/>
  <c r="H43" i="35"/>
  <c r="H45" i="35"/>
  <c r="H47" i="35"/>
  <c r="H49" i="35"/>
  <c r="H51" i="35"/>
  <c r="H53" i="35"/>
  <c r="H55" i="35"/>
  <c r="K46" i="35"/>
  <c r="I43" i="35"/>
  <c r="I45" i="35"/>
  <c r="I47" i="35"/>
  <c r="I49" i="35"/>
  <c r="I51" i="35"/>
  <c r="I53" i="35"/>
  <c r="I55" i="35"/>
  <c r="K54" i="35"/>
  <c r="J43" i="35"/>
  <c r="J45" i="35"/>
  <c r="J47" i="35"/>
  <c r="J49" i="35"/>
  <c r="J51" i="35"/>
  <c r="J53" i="35"/>
  <c r="J55" i="35"/>
  <c r="K48" i="35"/>
  <c r="K43" i="35"/>
  <c r="K45" i="35"/>
  <c r="K47" i="35"/>
  <c r="K49" i="35"/>
  <c r="K51" i="35"/>
  <c r="K53" i="35"/>
  <c r="K55" i="35"/>
  <c r="K44" i="35"/>
  <c r="H44" i="35"/>
  <c r="H46" i="35"/>
  <c r="H48" i="35"/>
  <c r="H50" i="35"/>
  <c r="H52" i="35"/>
  <c r="H54" i="35"/>
  <c r="H56" i="35"/>
  <c r="K56" i="35"/>
  <c r="I44" i="35"/>
  <c r="I46" i="35"/>
  <c r="I48" i="35"/>
  <c r="I50" i="35"/>
  <c r="I52" i="35"/>
  <c r="I54" i="35"/>
  <c r="I56" i="35"/>
  <c r="K52" i="35"/>
  <c r="J44" i="35"/>
  <c r="J46" i="35"/>
  <c r="J48" i="35"/>
  <c r="J50" i="35"/>
  <c r="J52" i="35"/>
  <c r="J54" i="35"/>
  <c r="J56" i="35"/>
  <c r="K50" i="35"/>
  <c r="C43" i="35"/>
  <c r="C45" i="35"/>
  <c r="C47" i="35"/>
  <c r="C49" i="35"/>
  <c r="C51" i="35"/>
  <c r="C53" i="35"/>
  <c r="C55" i="35"/>
  <c r="B48" i="35"/>
  <c r="B52" i="35"/>
  <c r="D48" i="35"/>
  <c r="D56" i="35"/>
  <c r="B55" i="35"/>
  <c r="D43" i="35"/>
  <c r="D45" i="35"/>
  <c r="D47" i="35"/>
  <c r="D49" i="35"/>
  <c r="D51" i="35"/>
  <c r="D53" i="35"/>
  <c r="D55" i="35"/>
  <c r="B46" i="35"/>
  <c r="B50" i="35"/>
  <c r="B56" i="35"/>
  <c r="D50" i="35"/>
  <c r="B51" i="35"/>
  <c r="E43" i="35"/>
  <c r="E45" i="35"/>
  <c r="E47" i="35"/>
  <c r="E49" i="35"/>
  <c r="E51" i="35"/>
  <c r="E53" i="35"/>
  <c r="E55" i="35"/>
  <c r="B44" i="35"/>
  <c r="B54" i="35"/>
  <c r="D54" i="35"/>
  <c r="B53" i="35"/>
  <c r="C44" i="35"/>
  <c r="C46" i="35"/>
  <c r="C48" i="35"/>
  <c r="C50" i="35"/>
  <c r="C52" i="35"/>
  <c r="C54" i="35"/>
  <c r="C56" i="35"/>
  <c r="D44" i="35"/>
  <c r="D46" i="35"/>
  <c r="D52" i="35"/>
  <c r="B49" i="35"/>
  <c r="E44" i="35"/>
  <c r="E46" i="35"/>
  <c r="E48" i="35"/>
  <c r="E50" i="35"/>
  <c r="E52" i="35"/>
  <c r="E54" i="35"/>
  <c r="E56" i="35"/>
  <c r="B43" i="35"/>
  <c r="B45" i="35"/>
  <c r="B47" i="35"/>
  <c r="K42" i="35"/>
  <c r="J42" i="35"/>
  <c r="I42" i="35"/>
  <c r="H42" i="35"/>
  <c r="E42" i="35"/>
  <c r="D42" i="35"/>
  <c r="C42" i="35"/>
  <c r="B42" i="35"/>
  <c r="B37" i="82"/>
  <c r="D38" i="82"/>
  <c r="F39" i="82"/>
  <c r="B41" i="82"/>
  <c r="D42" i="82"/>
  <c r="F43" i="82"/>
  <c r="B45" i="82"/>
  <c r="D46" i="82"/>
  <c r="B42" i="82"/>
  <c r="C37" i="82"/>
  <c r="E38" i="82"/>
  <c r="G39" i="82"/>
  <c r="C41" i="82"/>
  <c r="E42" i="82"/>
  <c r="G43" i="82"/>
  <c r="C45" i="82"/>
  <c r="E46" i="82"/>
  <c r="F44" i="82"/>
  <c r="D37" i="82"/>
  <c r="F38" i="82"/>
  <c r="B40" i="82"/>
  <c r="D41" i="82"/>
  <c r="F42" i="82"/>
  <c r="B44" i="82"/>
  <c r="D45" i="82"/>
  <c r="F46" i="82"/>
  <c r="D43" i="82"/>
  <c r="E37" i="82"/>
  <c r="G38" i="82"/>
  <c r="C40" i="82"/>
  <c r="E41" i="82"/>
  <c r="G42" i="82"/>
  <c r="C44" i="82"/>
  <c r="E45" i="82"/>
  <c r="G46" i="82"/>
  <c r="F40" i="82"/>
  <c r="F37" i="82"/>
  <c r="B39" i="82"/>
  <c r="D40" i="82"/>
  <c r="F41" i="82"/>
  <c r="B43" i="82"/>
  <c r="D44" i="82"/>
  <c r="F45" i="82"/>
  <c r="D39" i="82"/>
  <c r="G37" i="82"/>
  <c r="C39" i="82"/>
  <c r="E40" i="82"/>
  <c r="G41" i="82"/>
  <c r="C43" i="82"/>
  <c r="E44" i="82"/>
  <c r="G45" i="82"/>
  <c r="B38" i="82"/>
  <c r="C38" i="82"/>
  <c r="E39" i="82"/>
  <c r="G40" i="82"/>
  <c r="C42" i="82"/>
  <c r="E43" i="82"/>
  <c r="G44" i="82"/>
  <c r="C46" i="82"/>
  <c r="B46" i="82"/>
  <c r="B36" i="82"/>
  <c r="C36" i="82"/>
  <c r="D36" i="82"/>
  <c r="E36" i="82"/>
  <c r="F36" i="82"/>
  <c r="G36" i="82"/>
  <c r="B12" i="82"/>
  <c r="D13" i="82"/>
  <c r="F14" i="82"/>
  <c r="B16" i="82"/>
  <c r="D17" i="82"/>
  <c r="F18" i="82"/>
  <c r="B20" i="82"/>
  <c r="D21" i="82"/>
  <c r="D18" i="82"/>
  <c r="C12" i="82"/>
  <c r="E13" i="82"/>
  <c r="G14" i="82"/>
  <c r="C16" i="82"/>
  <c r="E17" i="82"/>
  <c r="G18" i="82"/>
  <c r="C20" i="82"/>
  <c r="E21" i="82"/>
  <c r="B17" i="82"/>
  <c r="D12" i="82"/>
  <c r="F13" i="82"/>
  <c r="B15" i="82"/>
  <c r="D16" i="82"/>
  <c r="F17" i="82"/>
  <c r="B19" i="82"/>
  <c r="D20" i="82"/>
  <c r="F21" i="82"/>
  <c r="F19" i="82"/>
  <c r="E12" i="82"/>
  <c r="G13" i="82"/>
  <c r="C15" i="82"/>
  <c r="E16" i="82"/>
  <c r="G17" i="82"/>
  <c r="C19" i="82"/>
  <c r="E20" i="82"/>
  <c r="G21" i="82"/>
  <c r="F15" i="82"/>
  <c r="F12" i="82"/>
  <c r="B14" i="82"/>
  <c r="D15" i="82"/>
  <c r="F16" i="82"/>
  <c r="B18" i="82"/>
  <c r="D19" i="82"/>
  <c r="F20" i="82"/>
  <c r="D14" i="82"/>
  <c r="G12" i="82"/>
  <c r="C14" i="82"/>
  <c r="E15" i="82"/>
  <c r="G16" i="82"/>
  <c r="C18" i="82"/>
  <c r="E19" i="82"/>
  <c r="G20" i="82"/>
  <c r="B13" i="82"/>
  <c r="C13" i="82"/>
  <c r="E14" i="82"/>
  <c r="G15" i="82"/>
  <c r="C17" i="82"/>
  <c r="E18" i="82"/>
  <c r="G19" i="82"/>
  <c r="C21" i="82"/>
  <c r="B21" i="82"/>
  <c r="G11" i="82"/>
  <c r="F11" i="82"/>
  <c r="E11" i="82"/>
  <c r="D11" i="82"/>
  <c r="C11" i="82"/>
  <c r="B11" i="82"/>
  <c r="B56" i="2"/>
  <c r="E56" i="2"/>
  <c r="C56" i="2"/>
  <c r="F56" i="2"/>
  <c r="D56" i="2"/>
  <c r="D11" i="89"/>
  <c r="D23" i="89"/>
  <c r="B14" i="89"/>
  <c r="E17" i="89"/>
  <c r="E21" i="89"/>
  <c r="G11" i="89"/>
  <c r="G12" i="89"/>
  <c r="C22" i="89"/>
  <c r="G14" i="89"/>
  <c r="B23" i="89"/>
  <c r="E12" i="89"/>
  <c r="C19" i="89"/>
  <c r="E14" i="89"/>
  <c r="B22" i="89"/>
  <c r="C24" i="89"/>
  <c r="C18" i="89"/>
  <c r="E19" i="89"/>
  <c r="G20" i="89"/>
  <c r="E22" i="89"/>
  <c r="E23" i="89"/>
  <c r="B11" i="89"/>
  <c r="D21" i="89"/>
  <c r="C11" i="89"/>
  <c r="C23" i="89"/>
  <c r="E15" i="89"/>
  <c r="D13" i="89"/>
  <c r="C12" i="89"/>
  <c r="B13" i="89"/>
  <c r="D14" i="89"/>
  <c r="E10" i="89"/>
  <c r="B17" i="89"/>
  <c r="C15" i="89"/>
  <c r="C10" i="89"/>
  <c r="D10" i="89"/>
  <c r="D15" i="89"/>
  <c r="E13" i="89"/>
  <c r="D22" i="89"/>
  <c r="E11" i="89"/>
  <c r="G19" i="89"/>
  <c r="C16" i="89"/>
  <c r="B19" i="89"/>
  <c r="C13" i="89"/>
  <c r="C20" i="89"/>
  <c r="G17" i="89"/>
  <c r="G16" i="89"/>
  <c r="G18" i="89"/>
  <c r="B24" i="89"/>
  <c r="E16" i="89"/>
  <c r="D19" i="89"/>
  <c r="G15" i="89"/>
  <c r="B18" i="89"/>
  <c r="D16" i="89"/>
  <c r="B16" i="89"/>
  <c r="C21" i="89"/>
  <c r="D20" i="89"/>
  <c r="G23" i="89"/>
  <c r="C14" i="89"/>
  <c r="B10" i="89"/>
  <c r="E24" i="89"/>
  <c r="G21" i="89"/>
  <c r="E18" i="89"/>
  <c r="D12" i="89"/>
  <c r="B12" i="89"/>
  <c r="B15" i="89"/>
  <c r="G22" i="89"/>
  <c r="G10" i="89"/>
  <c r="D17" i="89"/>
  <c r="G13" i="89"/>
  <c r="B20" i="89"/>
  <c r="G24" i="89"/>
  <c r="C17" i="89"/>
  <c r="E20" i="89"/>
  <c r="D18" i="89"/>
  <c r="D24" i="89"/>
  <c r="B21" i="89"/>
  <c r="F24" i="89"/>
  <c r="F23" i="89"/>
  <c r="F22" i="89"/>
  <c r="F21" i="89"/>
  <c r="F20" i="89"/>
  <c r="F18" i="89"/>
  <c r="F17" i="89"/>
  <c r="F16" i="89"/>
  <c r="F15" i="89"/>
  <c r="F14" i="89"/>
  <c r="F13" i="89"/>
  <c r="F12" i="89"/>
  <c r="F11" i="89"/>
  <c r="F10" i="89"/>
  <c r="F19" i="89"/>
  <c r="F69" i="76"/>
  <c r="E69" i="76"/>
  <c r="C69" i="76"/>
  <c r="B69" i="76"/>
  <c r="F53" i="76"/>
  <c r="E53" i="76"/>
  <c r="D53" i="76"/>
  <c r="C53" i="76"/>
  <c r="B53" i="76"/>
  <c r="B24" i="15"/>
  <c r="J24" i="15"/>
  <c r="C24" i="15"/>
  <c r="K24" i="15"/>
  <c r="D24" i="15"/>
  <c r="L24" i="15"/>
  <c r="E24" i="15"/>
  <c r="M24" i="15"/>
  <c r="F24" i="15"/>
  <c r="G24" i="15"/>
  <c r="H24" i="15"/>
  <c r="I24" i="15"/>
  <c r="I60" i="12"/>
  <c r="G60" i="12"/>
  <c r="F60" i="12"/>
  <c r="E60" i="12"/>
  <c r="D60" i="12"/>
  <c r="C60" i="12"/>
  <c r="H47" i="12"/>
  <c r="G47" i="12"/>
  <c r="F47" i="12"/>
  <c r="E47" i="12"/>
  <c r="D47" i="12"/>
  <c r="C47" i="12"/>
  <c r="F88" i="28"/>
  <c r="I24" i="20"/>
  <c r="J24" i="20"/>
  <c r="X24" i="20"/>
  <c r="B24" i="20"/>
  <c r="K24" i="20"/>
  <c r="M24" i="20"/>
  <c r="F24" i="20"/>
  <c r="C24" i="20"/>
  <c r="O24" i="20"/>
  <c r="E24" i="20"/>
  <c r="G24" i="20"/>
  <c r="D24" i="20"/>
  <c r="L24" i="20"/>
  <c r="S24" i="20"/>
  <c r="N24" i="20"/>
  <c r="U24" i="20"/>
  <c r="P24" i="20"/>
  <c r="W24" i="20"/>
  <c r="T24" i="20"/>
  <c r="Y24" i="20"/>
  <c r="V24" i="20"/>
  <c r="Q24" i="20"/>
  <c r="H24" i="20"/>
  <c r="R24" i="20"/>
  <c r="B44" i="107"/>
  <c r="C44" i="107"/>
  <c r="D44" i="107"/>
  <c r="E44" i="107"/>
  <c r="F44" i="107"/>
  <c r="G44" i="107"/>
  <c r="H44" i="107"/>
  <c r="B20" i="107"/>
  <c r="C20" i="107"/>
  <c r="H20" i="107"/>
  <c r="D20" i="107"/>
  <c r="E20" i="107"/>
  <c r="G20" i="107"/>
  <c r="F20" i="107"/>
  <c r="B46" i="138"/>
  <c r="C46" i="138"/>
  <c r="D46" i="138"/>
  <c r="E46" i="138"/>
  <c r="F46" i="138"/>
  <c r="B47" i="137"/>
  <c r="C47" i="137"/>
  <c r="D47" i="137"/>
  <c r="E47" i="137"/>
  <c r="F47" i="137"/>
  <c r="G47" i="137"/>
  <c r="B21" i="137"/>
  <c r="C21" i="137"/>
  <c r="D21" i="137"/>
  <c r="E21" i="137"/>
  <c r="F21" i="137"/>
  <c r="G21" i="137"/>
  <c r="C39" i="105"/>
  <c r="B38" i="105"/>
  <c r="E17" i="105"/>
  <c r="D17" i="105"/>
  <c r="C22" i="105"/>
  <c r="C13" i="105"/>
  <c r="B17" i="105"/>
  <c r="B41" i="105"/>
  <c r="C40" i="105"/>
  <c r="B39" i="105"/>
  <c r="E18" i="105"/>
  <c r="D18" i="105"/>
  <c r="C15" i="105"/>
  <c r="B13" i="105"/>
  <c r="B19" i="105"/>
  <c r="E20" i="105"/>
  <c r="B18" i="105"/>
  <c r="B20" i="105"/>
  <c r="D40" i="105"/>
  <c r="C41" i="105"/>
  <c r="B40" i="105"/>
  <c r="E19" i="105"/>
  <c r="D19" i="105"/>
  <c r="C16" i="105"/>
  <c r="B21" i="105"/>
  <c r="B12" i="105"/>
  <c r="C42" i="105"/>
  <c r="C17" i="105"/>
  <c r="D41" i="105"/>
  <c r="D42" i="105"/>
  <c r="C37" i="105"/>
  <c r="B42" i="105"/>
  <c r="E21" i="105"/>
  <c r="D21" i="105"/>
  <c r="C18" i="105"/>
  <c r="B14" i="105"/>
  <c r="B11" i="105"/>
  <c r="B46" i="105"/>
  <c r="E15" i="105"/>
  <c r="E14" i="105"/>
  <c r="C20" i="105"/>
  <c r="D39" i="105"/>
  <c r="B45" i="105"/>
  <c r="B35" i="105"/>
  <c r="E22" i="105"/>
  <c r="D22" i="105"/>
  <c r="C19" i="105"/>
  <c r="B22" i="105"/>
  <c r="B36" i="105"/>
  <c r="D15" i="105"/>
  <c r="B15" i="105"/>
  <c r="C38" i="105"/>
  <c r="B37" i="105"/>
  <c r="E16" i="105"/>
  <c r="D16" i="105"/>
  <c r="C14" i="105"/>
  <c r="C21" i="105"/>
  <c r="B16" i="105"/>
  <c r="D20" i="105"/>
  <c r="G45" i="21"/>
  <c r="E45" i="21"/>
  <c r="D44" i="21"/>
  <c r="B45" i="21"/>
  <c r="C45" i="21"/>
  <c r="D45" i="21"/>
  <c r="H45" i="21"/>
  <c r="F45" i="21"/>
  <c r="I45" i="21"/>
  <c r="C23" i="21"/>
  <c r="I23" i="21"/>
  <c r="B23" i="21"/>
  <c r="D23" i="21"/>
  <c r="E23" i="21"/>
  <c r="F23" i="21"/>
  <c r="H23" i="21"/>
  <c r="G23" i="21"/>
  <c r="B44" i="81"/>
  <c r="H44" i="81"/>
  <c r="C44" i="81"/>
  <c r="D44" i="81"/>
  <c r="E44" i="81"/>
  <c r="F44" i="81"/>
  <c r="G44" i="81"/>
  <c r="B46" i="106"/>
  <c r="D16" i="106"/>
  <c r="C14" i="106"/>
  <c r="C21" i="106"/>
  <c r="B15" i="106"/>
  <c r="C22" i="106"/>
  <c r="C13" i="106"/>
  <c r="B16" i="106"/>
  <c r="D17" i="106"/>
  <c r="D18" i="106"/>
  <c r="C15" i="106"/>
  <c r="B12" i="106"/>
  <c r="B17" i="106"/>
  <c r="C18" i="106"/>
  <c r="B22" i="106"/>
  <c r="D19" i="106"/>
  <c r="C16" i="106"/>
  <c r="B20" i="106"/>
  <c r="B18" i="106"/>
  <c r="C19" i="106"/>
  <c r="D20" i="106"/>
  <c r="C20" i="106"/>
  <c r="B13" i="106"/>
  <c r="B19" i="106"/>
  <c r="B14" i="106"/>
  <c r="D15" i="106"/>
  <c r="D21" i="106"/>
  <c r="C17" i="106"/>
  <c r="B21" i="106"/>
  <c r="B11" i="106"/>
  <c r="D22" i="106"/>
  <c r="B36" i="106"/>
  <c r="B37" i="106"/>
  <c r="B45" i="106"/>
  <c r="B38" i="106"/>
  <c r="B39" i="106"/>
  <c r="B40" i="106"/>
  <c r="B41" i="106"/>
  <c r="B42" i="106"/>
  <c r="B35" i="106"/>
  <c r="F18" i="114"/>
  <c r="B38" i="114"/>
  <c r="F28" i="114"/>
  <c r="C26" i="114"/>
  <c r="B23" i="114"/>
  <c r="C38" i="114"/>
  <c r="G28" i="114"/>
  <c r="C27" i="114"/>
  <c r="D38" i="114"/>
  <c r="H28" i="114"/>
  <c r="C23" i="114"/>
  <c r="B18" i="114"/>
  <c r="C24" i="114"/>
  <c r="B17" i="114"/>
  <c r="C25" i="114"/>
  <c r="F17" i="114"/>
  <c r="D18" i="114"/>
  <c r="D17" i="114"/>
  <c r="E38" i="114"/>
  <c r="I28" i="114"/>
  <c r="B24" i="114"/>
  <c r="C18" i="114"/>
  <c r="F38" i="114"/>
  <c r="J28" i="114"/>
  <c r="B25" i="114"/>
  <c r="C17" i="114"/>
  <c r="D28" i="114"/>
  <c r="B26" i="114"/>
  <c r="C28" i="114"/>
  <c r="B27" i="114"/>
  <c r="E28" i="114"/>
  <c r="B28" i="114"/>
  <c r="H18" i="114"/>
  <c r="H17" i="114"/>
  <c r="G18" i="114"/>
  <c r="G17" i="114"/>
  <c r="I47" i="12"/>
  <c r="H60" i="12"/>
  <c r="J17" i="114"/>
  <c r="H38" i="114"/>
  <c r="L28" i="114"/>
  <c r="J18" i="114"/>
  <c r="E18" i="114" l="1"/>
  <c r="K18" i="114"/>
  <c r="K17" i="114"/>
  <c r="E17" i="114"/>
  <c r="I38" i="114"/>
  <c r="M28" i="114"/>
  <c r="O24" i="15"/>
  <c r="N24" i="15"/>
  <c r="Q24" i="15"/>
  <c r="P24" i="15"/>
  <c r="H10" i="89"/>
  <c r="H11" i="89"/>
  <c r="H19" i="89"/>
  <c r="G56" i="2"/>
  <c r="F16" i="115"/>
  <c r="H23" i="2"/>
  <c r="M12" i="35"/>
  <c r="N12" i="35"/>
  <c r="O12" i="35"/>
  <c r="P12" i="35"/>
  <c r="M13" i="35"/>
  <c r="N13" i="35"/>
  <c r="O13" i="35"/>
  <c r="P13" i="35"/>
  <c r="M14" i="35"/>
  <c r="N14" i="35"/>
  <c r="O14" i="35"/>
  <c r="P14" i="35"/>
  <c r="M16" i="35"/>
  <c r="N16" i="35"/>
  <c r="O16" i="35"/>
  <c r="P16" i="35"/>
  <c r="M17" i="35"/>
  <c r="N17" i="35"/>
  <c r="O17" i="35"/>
  <c r="P17" i="35"/>
  <c r="M18" i="35"/>
  <c r="N18" i="35"/>
  <c r="O18" i="35"/>
  <c r="P18" i="35"/>
  <c r="M19" i="35"/>
  <c r="N19" i="35"/>
  <c r="O19" i="35"/>
  <c r="P19" i="35"/>
  <c r="M20" i="35"/>
  <c r="N20" i="35"/>
  <c r="O20" i="35"/>
  <c r="P20" i="35"/>
  <c r="M21" i="35"/>
  <c r="N21" i="35"/>
  <c r="O21" i="35"/>
  <c r="P21" i="35"/>
  <c r="M22" i="35"/>
  <c r="N22" i="35"/>
  <c r="O22" i="35"/>
  <c r="P22" i="35"/>
  <c r="M23" i="35"/>
  <c r="N23" i="35"/>
  <c r="O23" i="35"/>
  <c r="P23" i="35"/>
  <c r="M24" i="35"/>
  <c r="N24" i="35"/>
  <c r="O24" i="35"/>
  <c r="P24" i="35"/>
  <c r="M25" i="35"/>
  <c r="N25" i="35"/>
  <c r="O25" i="35"/>
  <c r="P25" i="35"/>
  <c r="M26" i="35"/>
  <c r="N26" i="35"/>
  <c r="O26" i="35"/>
  <c r="P26" i="35"/>
  <c r="P11" i="35"/>
  <c r="O11" i="35"/>
  <c r="N11" i="35"/>
  <c r="M11" i="35"/>
  <c r="L12" i="35"/>
  <c r="L13" i="35"/>
  <c r="L14" i="35"/>
  <c r="L16" i="35"/>
  <c r="L17" i="35"/>
  <c r="L18" i="35"/>
  <c r="L19" i="35"/>
  <c r="L20" i="35"/>
  <c r="L21" i="35"/>
  <c r="L22" i="35"/>
  <c r="L23" i="35"/>
  <c r="L24" i="35"/>
  <c r="L25" i="35"/>
  <c r="L26" i="35"/>
  <c r="L11" i="35"/>
  <c r="G11" i="35"/>
  <c r="F11" i="35"/>
  <c r="H26" i="113"/>
  <c r="I26" i="113"/>
  <c r="J26" i="113"/>
  <c r="K26" i="113"/>
  <c r="L26" i="113"/>
  <c r="N26" i="113"/>
  <c r="O26" i="113"/>
  <c r="P26" i="113"/>
  <c r="Q26" i="113"/>
  <c r="G26" i="113"/>
  <c r="H28" i="113"/>
  <c r="I28" i="113"/>
  <c r="J28" i="113"/>
  <c r="K28" i="113"/>
  <c r="L28" i="113"/>
  <c r="M28" i="113"/>
  <c r="N28" i="113"/>
  <c r="O28" i="113"/>
  <c r="P28" i="113"/>
  <c r="Q28" i="113"/>
  <c r="G28" i="113"/>
  <c r="G20" i="33"/>
  <c r="B9" i="31"/>
  <c r="A30" i="28"/>
  <c r="A26" i="28"/>
  <c r="G24" i="24"/>
  <c r="M24" i="24"/>
  <c r="F24" i="24"/>
  <c r="B24" i="24"/>
  <c r="J24" i="24"/>
  <c r="C24" i="24"/>
  <c r="K24" i="24"/>
  <c r="N24" i="24"/>
  <c r="I24" i="24"/>
  <c r="D24" i="24"/>
  <c r="L24" i="24"/>
  <c r="E24" i="24"/>
  <c r="H24" i="24"/>
  <c r="K14" i="120"/>
  <c r="K15" i="120"/>
  <c r="K11" i="120"/>
  <c r="K13" i="120"/>
  <c r="K12" i="120"/>
  <c r="K10" i="120"/>
  <c r="B12" i="35"/>
  <c r="J12" i="35"/>
  <c r="H13" i="35"/>
  <c r="D15" i="35"/>
  <c r="B16" i="35"/>
  <c r="J16" i="35"/>
  <c r="H17" i="35"/>
  <c r="D19" i="35"/>
  <c r="B20" i="35"/>
  <c r="J20" i="35"/>
  <c r="H21" i="35"/>
  <c r="D23" i="35"/>
  <c r="B24" i="35"/>
  <c r="J24" i="35"/>
  <c r="H25" i="35"/>
  <c r="I14" i="35"/>
  <c r="E16" i="35"/>
  <c r="K17" i="35"/>
  <c r="E20" i="35"/>
  <c r="K21" i="35"/>
  <c r="C25" i="35"/>
  <c r="C12" i="35"/>
  <c r="K12" i="35"/>
  <c r="I13" i="35"/>
  <c r="E15" i="35"/>
  <c r="C16" i="35"/>
  <c r="K16" i="35"/>
  <c r="I17" i="35"/>
  <c r="E19" i="35"/>
  <c r="C20" i="35"/>
  <c r="K20" i="35"/>
  <c r="I21" i="35"/>
  <c r="E23" i="35"/>
  <c r="C24" i="35"/>
  <c r="K24" i="35"/>
  <c r="I25" i="35"/>
  <c r="K13" i="35"/>
  <c r="I22" i="35"/>
  <c r="K25" i="35"/>
  <c r="I26" i="35"/>
  <c r="D12" i="35"/>
  <c r="B13" i="35"/>
  <c r="J13" i="35"/>
  <c r="H14" i="35"/>
  <c r="D16" i="35"/>
  <c r="B17" i="35"/>
  <c r="J17" i="35"/>
  <c r="H18" i="35"/>
  <c r="D20" i="35"/>
  <c r="B21" i="35"/>
  <c r="J21" i="35"/>
  <c r="H22" i="35"/>
  <c r="D24" i="35"/>
  <c r="B25" i="35"/>
  <c r="J25" i="35"/>
  <c r="H26" i="35"/>
  <c r="C13" i="35"/>
  <c r="C17" i="35"/>
  <c r="I18" i="35"/>
  <c r="C21" i="35"/>
  <c r="E24" i="35"/>
  <c r="E12" i="35"/>
  <c r="D13" i="35"/>
  <c r="B14" i="35"/>
  <c r="J14" i="35"/>
  <c r="H15" i="35"/>
  <c r="D17" i="35"/>
  <c r="B18" i="35"/>
  <c r="J18" i="35"/>
  <c r="H19" i="35"/>
  <c r="D21" i="35"/>
  <c r="B22" i="35"/>
  <c r="J22" i="35"/>
  <c r="H23" i="35"/>
  <c r="D25" i="35"/>
  <c r="B26" i="35"/>
  <c r="J26" i="35"/>
  <c r="E14" i="35"/>
  <c r="K15" i="35"/>
  <c r="C19" i="35"/>
  <c r="K19" i="35"/>
  <c r="E22" i="35"/>
  <c r="E13" i="35"/>
  <c r="C14" i="35"/>
  <c r="K14" i="35"/>
  <c r="I15" i="35"/>
  <c r="E17" i="35"/>
  <c r="C18" i="35"/>
  <c r="K18" i="35"/>
  <c r="I19" i="35"/>
  <c r="E21" i="35"/>
  <c r="C22" i="35"/>
  <c r="K22" i="35"/>
  <c r="I23" i="35"/>
  <c r="E25" i="35"/>
  <c r="C26" i="35"/>
  <c r="K26" i="35"/>
  <c r="C15" i="35"/>
  <c r="E18" i="35"/>
  <c r="I20" i="35"/>
  <c r="K23" i="35"/>
  <c r="E26" i="35"/>
  <c r="H12" i="35"/>
  <c r="D14" i="35"/>
  <c r="B15" i="35"/>
  <c r="J15" i="35"/>
  <c r="H16" i="35"/>
  <c r="D18" i="35"/>
  <c r="B19" i="35"/>
  <c r="J19" i="35"/>
  <c r="H20" i="35"/>
  <c r="D22" i="35"/>
  <c r="B23" i="35"/>
  <c r="J23" i="35"/>
  <c r="H24" i="35"/>
  <c r="D26" i="35"/>
  <c r="I12" i="35"/>
  <c r="I16" i="35"/>
  <c r="C23" i="35"/>
  <c r="I24" i="35"/>
  <c r="K11" i="35"/>
  <c r="J11" i="35"/>
  <c r="I11" i="35"/>
  <c r="H11" i="35"/>
  <c r="E11" i="35"/>
  <c r="D11" i="35"/>
  <c r="C11" i="35"/>
  <c r="B11" i="35"/>
  <c r="B11" i="113"/>
  <c r="J11" i="113"/>
  <c r="B12" i="113"/>
  <c r="J12" i="113"/>
  <c r="B13" i="113"/>
  <c r="J13" i="113"/>
  <c r="B14" i="113"/>
  <c r="J14" i="113"/>
  <c r="B15" i="113"/>
  <c r="J15" i="113"/>
  <c r="B16" i="113"/>
  <c r="J16" i="113"/>
  <c r="B17" i="113"/>
  <c r="J17" i="113"/>
  <c r="B18" i="113"/>
  <c r="J18" i="113"/>
  <c r="B19" i="113"/>
  <c r="J19" i="113"/>
  <c r="B20" i="113"/>
  <c r="J20" i="113"/>
  <c r="B21" i="113"/>
  <c r="J21" i="113"/>
  <c r="B22" i="113"/>
  <c r="J22" i="113"/>
  <c r="B23" i="113"/>
  <c r="J23" i="113"/>
  <c r="B24" i="113"/>
  <c r="J24" i="113"/>
  <c r="E12" i="113"/>
  <c r="M12" i="113"/>
  <c r="E13" i="113"/>
  <c r="E14" i="113"/>
  <c r="M15" i="113"/>
  <c r="M17" i="113"/>
  <c r="M19" i="113"/>
  <c r="E22" i="113"/>
  <c r="M23" i="113"/>
  <c r="F11" i="113"/>
  <c r="N12" i="113"/>
  <c r="F14" i="113"/>
  <c r="N16" i="113"/>
  <c r="N19" i="113"/>
  <c r="N21" i="113"/>
  <c r="N22" i="113"/>
  <c r="F24" i="113"/>
  <c r="Q12" i="113"/>
  <c r="I16" i="113"/>
  <c r="I18" i="113"/>
  <c r="Q19" i="113"/>
  <c r="Q21" i="113"/>
  <c r="Q23" i="113"/>
  <c r="C11" i="113"/>
  <c r="K11" i="113"/>
  <c r="C12" i="113"/>
  <c r="K12" i="113"/>
  <c r="C13" i="113"/>
  <c r="K13" i="113"/>
  <c r="C14" i="113"/>
  <c r="K14" i="113"/>
  <c r="C15" i="113"/>
  <c r="K15" i="113"/>
  <c r="C16" i="113"/>
  <c r="K16" i="113"/>
  <c r="C17" i="113"/>
  <c r="K17" i="113"/>
  <c r="C18" i="113"/>
  <c r="K18" i="113"/>
  <c r="C19" i="113"/>
  <c r="K19" i="113"/>
  <c r="C20" i="113"/>
  <c r="K20" i="113"/>
  <c r="C21" i="113"/>
  <c r="K21" i="113"/>
  <c r="C22" i="113"/>
  <c r="K22" i="113"/>
  <c r="C23" i="113"/>
  <c r="K23" i="113"/>
  <c r="C24" i="113"/>
  <c r="K24" i="113"/>
  <c r="M11" i="113"/>
  <c r="M13" i="113"/>
  <c r="E15" i="113"/>
  <c r="M16" i="113"/>
  <c r="M18" i="113"/>
  <c r="E20" i="113"/>
  <c r="E21" i="113"/>
  <c r="M22" i="113"/>
  <c r="M24" i="113"/>
  <c r="F12" i="113"/>
  <c r="F13" i="113"/>
  <c r="N14" i="113"/>
  <c r="N15" i="113"/>
  <c r="N17" i="113"/>
  <c r="N18" i="113"/>
  <c r="F21" i="113"/>
  <c r="F23" i="113"/>
  <c r="N24" i="113"/>
  <c r="I12" i="113"/>
  <c r="Q17" i="113"/>
  <c r="I20" i="113"/>
  <c r="I22" i="113"/>
  <c r="Q24" i="113"/>
  <c r="D11" i="113"/>
  <c r="L11" i="113"/>
  <c r="D12" i="113"/>
  <c r="L12" i="113"/>
  <c r="D13" i="113"/>
  <c r="L13" i="113"/>
  <c r="D14" i="113"/>
  <c r="L14" i="113"/>
  <c r="D15" i="113"/>
  <c r="L15" i="113"/>
  <c r="D16" i="113"/>
  <c r="L16" i="113"/>
  <c r="D17" i="113"/>
  <c r="L17" i="113"/>
  <c r="D18" i="113"/>
  <c r="L18" i="113"/>
  <c r="D19" i="113"/>
  <c r="L19" i="113"/>
  <c r="D20" i="113"/>
  <c r="L20" i="113"/>
  <c r="D21" i="113"/>
  <c r="L21" i="113"/>
  <c r="D22" i="113"/>
  <c r="L22" i="113"/>
  <c r="D23" i="113"/>
  <c r="L23" i="113"/>
  <c r="D24" i="113"/>
  <c r="L24" i="113"/>
  <c r="E11" i="113"/>
  <c r="M14" i="113"/>
  <c r="E16" i="113"/>
  <c r="E17" i="113"/>
  <c r="E18" i="113"/>
  <c r="E19" i="113"/>
  <c r="M20" i="113"/>
  <c r="M21" i="113"/>
  <c r="E23" i="113"/>
  <c r="E24" i="113"/>
  <c r="N11" i="113"/>
  <c r="N13" i="113"/>
  <c r="F15" i="113"/>
  <c r="F16" i="113"/>
  <c r="F17" i="113"/>
  <c r="F18" i="113"/>
  <c r="F19" i="113"/>
  <c r="F20" i="113"/>
  <c r="N20" i="113"/>
  <c r="F22" i="113"/>
  <c r="N23" i="113"/>
  <c r="Q13" i="113"/>
  <c r="Q16" i="113"/>
  <c r="I19" i="113"/>
  <c r="I21" i="113"/>
  <c r="I23" i="113"/>
  <c r="G11" i="113"/>
  <c r="O11" i="113"/>
  <c r="G12" i="113"/>
  <c r="O12" i="113"/>
  <c r="G13" i="113"/>
  <c r="O13" i="113"/>
  <c r="G14" i="113"/>
  <c r="O14" i="113"/>
  <c r="G15" i="113"/>
  <c r="O15" i="113"/>
  <c r="G16" i="113"/>
  <c r="O16" i="113"/>
  <c r="G17" i="113"/>
  <c r="O17" i="113"/>
  <c r="G18" i="113"/>
  <c r="O18" i="113"/>
  <c r="G19" i="113"/>
  <c r="O19" i="113"/>
  <c r="G20" i="113"/>
  <c r="O20" i="113"/>
  <c r="G21" i="113"/>
  <c r="O21" i="113"/>
  <c r="G22" i="113"/>
  <c r="O22" i="113"/>
  <c r="G23" i="113"/>
  <c r="O23" i="113"/>
  <c r="G24" i="113"/>
  <c r="O24" i="113"/>
  <c r="H11" i="113"/>
  <c r="P11" i="113"/>
  <c r="H12" i="113"/>
  <c r="P12" i="113"/>
  <c r="H13" i="113"/>
  <c r="P13" i="113"/>
  <c r="H14" i="113"/>
  <c r="P14" i="113"/>
  <c r="H15" i="113"/>
  <c r="P15" i="113"/>
  <c r="H16" i="113"/>
  <c r="P16" i="113"/>
  <c r="H17" i="113"/>
  <c r="P17" i="113"/>
  <c r="H18" i="113"/>
  <c r="P18" i="113"/>
  <c r="H19" i="113"/>
  <c r="P19" i="113"/>
  <c r="H20" i="113"/>
  <c r="P20" i="113"/>
  <c r="H21" i="113"/>
  <c r="P21" i="113"/>
  <c r="H22" i="113"/>
  <c r="P22" i="113"/>
  <c r="H23" i="113"/>
  <c r="P23" i="113"/>
  <c r="H24" i="113"/>
  <c r="P24" i="113"/>
  <c r="I11" i="113"/>
  <c r="Q11" i="113"/>
  <c r="I13" i="113"/>
  <c r="I14" i="113"/>
  <c r="Q14" i="113"/>
  <c r="I15" i="113"/>
  <c r="Q15" i="113"/>
  <c r="I17" i="113"/>
  <c r="Q18" i="113"/>
  <c r="Q20" i="113"/>
  <c r="Q22" i="113"/>
  <c r="I24" i="113"/>
  <c r="Q10" i="113"/>
  <c r="P10" i="113"/>
  <c r="O10" i="113"/>
  <c r="N10" i="113"/>
  <c r="M10" i="113"/>
  <c r="L10" i="113"/>
  <c r="K10" i="113"/>
  <c r="J10" i="113"/>
  <c r="I10" i="113"/>
  <c r="H10" i="113"/>
  <c r="G10" i="113"/>
  <c r="F10" i="113"/>
  <c r="E10" i="113"/>
  <c r="D10" i="113"/>
  <c r="C10" i="113"/>
  <c r="B10" i="113"/>
  <c r="F16" i="33"/>
  <c r="F17" i="33"/>
  <c r="F18" i="33"/>
  <c r="F19" i="33"/>
  <c r="F20" i="33"/>
  <c r="F15" i="33"/>
  <c r="E13" i="33"/>
  <c r="E14" i="33"/>
  <c r="E19" i="33"/>
  <c r="E20" i="33"/>
  <c r="E15" i="33"/>
  <c r="E16" i="33"/>
  <c r="E17" i="33"/>
  <c r="E18" i="33"/>
  <c r="E11" i="33"/>
  <c r="E12" i="33"/>
  <c r="E10" i="33"/>
  <c r="D11" i="33"/>
  <c r="D19" i="33"/>
  <c r="D12" i="33"/>
  <c r="D20" i="33"/>
  <c r="D13" i="33"/>
  <c r="D14" i="33"/>
  <c r="D15" i="33"/>
  <c r="D16" i="33"/>
  <c r="D18" i="33"/>
  <c r="D17" i="33"/>
  <c r="D10" i="33"/>
  <c r="C16" i="33"/>
  <c r="C17" i="33"/>
  <c r="C18" i="33"/>
  <c r="C19" i="33"/>
  <c r="C20" i="33"/>
  <c r="C15" i="33"/>
  <c r="B20" i="33"/>
  <c r="B11" i="33"/>
  <c r="B19" i="33"/>
  <c r="B12" i="33"/>
  <c r="B13" i="33"/>
  <c r="B14" i="33"/>
  <c r="B15" i="33"/>
  <c r="B16" i="33"/>
  <c r="B17" i="33"/>
  <c r="B18" i="33"/>
  <c r="B10" i="33"/>
  <c r="K36" i="27"/>
  <c r="J36" i="27"/>
  <c r="I36" i="27"/>
  <c r="H36" i="27"/>
  <c r="G36" i="27"/>
  <c r="F36" i="27"/>
  <c r="E36" i="27"/>
  <c r="D36" i="27"/>
  <c r="C36" i="27"/>
  <c r="K32" i="27"/>
  <c r="J32" i="27"/>
  <c r="I32" i="27"/>
  <c r="H32" i="27"/>
  <c r="G32" i="27"/>
  <c r="F32" i="27"/>
  <c r="E32" i="27"/>
  <c r="D32" i="27"/>
  <c r="C32" i="27"/>
  <c r="K29" i="27"/>
  <c r="J29" i="27"/>
  <c r="I29" i="27"/>
  <c r="H29" i="27"/>
  <c r="G29" i="27"/>
  <c r="F29" i="27"/>
  <c r="E29" i="27"/>
  <c r="D29" i="27"/>
  <c r="C30" i="27"/>
  <c r="C29" i="27"/>
  <c r="K12" i="27"/>
  <c r="J12" i="27"/>
  <c r="I12" i="27"/>
  <c r="H12" i="27"/>
  <c r="G12" i="27"/>
  <c r="F12" i="27"/>
  <c r="E12" i="27"/>
  <c r="D12" i="27"/>
  <c r="C12" i="27"/>
  <c r="C35" i="27"/>
  <c r="K35" i="27"/>
  <c r="I37" i="27"/>
  <c r="H38" i="27"/>
  <c r="G39" i="27"/>
  <c r="F40" i="27"/>
  <c r="E41" i="27"/>
  <c r="C41" i="27"/>
  <c r="D35" i="27"/>
  <c r="J37" i="27"/>
  <c r="I38" i="27"/>
  <c r="H39" i="27"/>
  <c r="G40" i="27"/>
  <c r="F41" i="27"/>
  <c r="E39" i="27"/>
  <c r="E35" i="27"/>
  <c r="C37" i="27"/>
  <c r="K37" i="27"/>
  <c r="J38" i="27"/>
  <c r="I39" i="27"/>
  <c r="H40" i="27"/>
  <c r="G41" i="27"/>
  <c r="D40" i="27"/>
  <c r="F35" i="27"/>
  <c r="D37" i="27"/>
  <c r="C38" i="27"/>
  <c r="K38" i="27"/>
  <c r="J39" i="27"/>
  <c r="I40" i="27"/>
  <c r="H41" i="27"/>
  <c r="K41" i="27"/>
  <c r="G35" i="27"/>
  <c r="E37" i="27"/>
  <c r="D38" i="27"/>
  <c r="C39" i="27"/>
  <c r="K39" i="27"/>
  <c r="J40" i="27"/>
  <c r="I41" i="27"/>
  <c r="G37" i="27"/>
  <c r="H35" i="27"/>
  <c r="F37" i="27"/>
  <c r="E38" i="27"/>
  <c r="D39" i="27"/>
  <c r="C40" i="27"/>
  <c r="K40" i="27"/>
  <c r="J41" i="27"/>
  <c r="I35" i="27"/>
  <c r="J35" i="27"/>
  <c r="H37" i="27"/>
  <c r="G38" i="27"/>
  <c r="F39" i="27"/>
  <c r="E40" i="27"/>
  <c r="D41" i="27"/>
  <c r="F38" i="27"/>
  <c r="C11" i="27"/>
  <c r="K11" i="27"/>
  <c r="I13" i="27"/>
  <c r="H14" i="27"/>
  <c r="G15" i="27"/>
  <c r="F16" i="27"/>
  <c r="E17" i="27"/>
  <c r="D18" i="27"/>
  <c r="C19" i="27"/>
  <c r="K19" i="27"/>
  <c r="J20" i="27"/>
  <c r="I21" i="27"/>
  <c r="H22" i="27"/>
  <c r="G23" i="27"/>
  <c r="F24" i="27"/>
  <c r="E25" i="27"/>
  <c r="D26" i="27"/>
  <c r="C27" i="27"/>
  <c r="K27" i="27"/>
  <c r="J28" i="27"/>
  <c r="H30" i="27"/>
  <c r="G31" i="27"/>
  <c r="E33" i="27"/>
  <c r="D34" i="27"/>
  <c r="D16" i="27"/>
  <c r="K17" i="27"/>
  <c r="E23" i="27"/>
  <c r="C33" i="27"/>
  <c r="D11" i="27"/>
  <c r="J13" i="27"/>
  <c r="I14" i="27"/>
  <c r="H15" i="27"/>
  <c r="G16" i="27"/>
  <c r="F17" i="27"/>
  <c r="E18" i="27"/>
  <c r="D19" i="27"/>
  <c r="C20" i="27"/>
  <c r="K20" i="27"/>
  <c r="J21" i="27"/>
  <c r="I22" i="27"/>
  <c r="H23" i="27"/>
  <c r="G24" i="27"/>
  <c r="F25" i="27"/>
  <c r="E26" i="27"/>
  <c r="D27" i="27"/>
  <c r="C28" i="27"/>
  <c r="K28" i="27"/>
  <c r="I30" i="27"/>
  <c r="H31" i="27"/>
  <c r="F33" i="27"/>
  <c r="E34" i="27"/>
  <c r="E15" i="27"/>
  <c r="H20" i="27"/>
  <c r="I27" i="27"/>
  <c r="K33" i="27"/>
  <c r="E11" i="27"/>
  <c r="C13" i="27"/>
  <c r="K13" i="27"/>
  <c r="J14" i="27"/>
  <c r="I15" i="27"/>
  <c r="H16" i="27"/>
  <c r="G17" i="27"/>
  <c r="F18" i="27"/>
  <c r="E19" i="27"/>
  <c r="D20" i="27"/>
  <c r="C21" i="27"/>
  <c r="K21" i="27"/>
  <c r="J22" i="27"/>
  <c r="I23" i="27"/>
  <c r="H24" i="27"/>
  <c r="G25" i="27"/>
  <c r="F26" i="27"/>
  <c r="E27" i="27"/>
  <c r="D28" i="27"/>
  <c r="J30" i="27"/>
  <c r="I31" i="27"/>
  <c r="G33" i="27"/>
  <c r="F34" i="27"/>
  <c r="F14" i="27"/>
  <c r="F22" i="27"/>
  <c r="K25" i="27"/>
  <c r="E31" i="27"/>
  <c r="F11" i="27"/>
  <c r="D13" i="27"/>
  <c r="C14" i="27"/>
  <c r="K14" i="27"/>
  <c r="J15" i="27"/>
  <c r="I16" i="27"/>
  <c r="H17" i="27"/>
  <c r="G18" i="27"/>
  <c r="F19" i="27"/>
  <c r="E20" i="27"/>
  <c r="D21" i="27"/>
  <c r="C22" i="27"/>
  <c r="K22" i="27"/>
  <c r="J23" i="27"/>
  <c r="I24" i="27"/>
  <c r="H25" i="27"/>
  <c r="G26" i="27"/>
  <c r="F27" i="27"/>
  <c r="E28" i="27"/>
  <c r="K30" i="27"/>
  <c r="J31" i="27"/>
  <c r="H33" i="27"/>
  <c r="G34" i="27"/>
  <c r="G13" i="27"/>
  <c r="J18" i="27"/>
  <c r="D24" i="27"/>
  <c r="F30" i="27"/>
  <c r="G11" i="27"/>
  <c r="E13" i="27"/>
  <c r="D14" i="27"/>
  <c r="C15" i="27"/>
  <c r="K15" i="27"/>
  <c r="J16" i="27"/>
  <c r="I17" i="27"/>
  <c r="H18" i="27"/>
  <c r="G19" i="27"/>
  <c r="F20" i="27"/>
  <c r="E21" i="27"/>
  <c r="D22" i="27"/>
  <c r="C23" i="27"/>
  <c r="K23" i="27"/>
  <c r="J24" i="27"/>
  <c r="I25" i="27"/>
  <c r="H26" i="27"/>
  <c r="G27" i="27"/>
  <c r="F28" i="27"/>
  <c r="D30" i="27"/>
  <c r="C31" i="27"/>
  <c r="K31" i="27"/>
  <c r="I33" i="27"/>
  <c r="H34" i="27"/>
  <c r="I19" i="27"/>
  <c r="H28" i="27"/>
  <c r="H11" i="27"/>
  <c r="F13" i="27"/>
  <c r="E14" i="27"/>
  <c r="D15" i="27"/>
  <c r="C16" i="27"/>
  <c r="K16" i="27"/>
  <c r="J17" i="27"/>
  <c r="I18" i="27"/>
  <c r="H19" i="27"/>
  <c r="G20" i="27"/>
  <c r="F21" i="27"/>
  <c r="E22" i="27"/>
  <c r="D23" i="27"/>
  <c r="C24" i="27"/>
  <c r="K24" i="27"/>
  <c r="J25" i="27"/>
  <c r="I26" i="27"/>
  <c r="H27" i="27"/>
  <c r="G28" i="27"/>
  <c r="E30" i="27"/>
  <c r="D31" i="27"/>
  <c r="J33" i="27"/>
  <c r="I34" i="27"/>
  <c r="I11" i="27"/>
  <c r="C25" i="27"/>
  <c r="J34" i="27"/>
  <c r="J11" i="27"/>
  <c r="H13" i="27"/>
  <c r="G14" i="27"/>
  <c r="F15" i="27"/>
  <c r="E16" i="27"/>
  <c r="D17" i="27"/>
  <c r="C18" i="27"/>
  <c r="K18" i="27"/>
  <c r="J19" i="27"/>
  <c r="I20" i="27"/>
  <c r="H21" i="27"/>
  <c r="G22" i="27"/>
  <c r="F23" i="27"/>
  <c r="E24" i="27"/>
  <c r="D25" i="27"/>
  <c r="C26" i="27"/>
  <c r="K26" i="27"/>
  <c r="J27" i="27"/>
  <c r="I28" i="27"/>
  <c r="G30" i="27"/>
  <c r="F31" i="27"/>
  <c r="D33" i="27"/>
  <c r="C34" i="27"/>
  <c r="K34" i="27"/>
  <c r="C17" i="27"/>
  <c r="G21" i="27"/>
  <c r="J26" i="27"/>
  <c r="K10" i="27"/>
  <c r="J10" i="27"/>
  <c r="I10" i="27"/>
  <c r="H10" i="27"/>
  <c r="G10" i="27"/>
  <c r="F10" i="27"/>
  <c r="E10" i="27"/>
  <c r="D10" i="27"/>
  <c r="C10" i="27"/>
  <c r="H33" i="26"/>
  <c r="H35" i="26"/>
  <c r="H37" i="26"/>
  <c r="H39" i="26"/>
  <c r="I33" i="26"/>
  <c r="I35" i="26"/>
  <c r="I37" i="26"/>
  <c r="I39" i="26"/>
  <c r="J33" i="26"/>
  <c r="J35" i="26"/>
  <c r="J37" i="26"/>
  <c r="J39" i="26"/>
  <c r="J40" i="26"/>
  <c r="K33" i="26"/>
  <c r="K35" i="26"/>
  <c r="K37" i="26"/>
  <c r="K39" i="26"/>
  <c r="J36" i="26"/>
  <c r="H34" i="26"/>
  <c r="H36" i="26"/>
  <c r="H38" i="26"/>
  <c r="H40" i="26"/>
  <c r="J38" i="26"/>
  <c r="I34" i="26"/>
  <c r="I36" i="26"/>
  <c r="I38" i="26"/>
  <c r="I40" i="26"/>
  <c r="J34" i="26"/>
  <c r="K34" i="26"/>
  <c r="K36" i="26"/>
  <c r="K38" i="26"/>
  <c r="K40" i="26"/>
  <c r="K32" i="26"/>
  <c r="J32" i="26"/>
  <c r="I32" i="26"/>
  <c r="H32" i="26"/>
  <c r="H12" i="26"/>
  <c r="H14" i="26"/>
  <c r="H16" i="26"/>
  <c r="H18" i="26"/>
  <c r="I12" i="26"/>
  <c r="I14" i="26"/>
  <c r="I16" i="26"/>
  <c r="I18" i="26"/>
  <c r="J12" i="26"/>
  <c r="J14" i="26"/>
  <c r="J16" i="26"/>
  <c r="J18" i="26"/>
  <c r="K12" i="26"/>
  <c r="K14" i="26"/>
  <c r="K16" i="26"/>
  <c r="K18" i="26"/>
  <c r="H13" i="26"/>
  <c r="H15" i="26"/>
  <c r="H17" i="26"/>
  <c r="H19" i="26"/>
  <c r="K15" i="26"/>
  <c r="K19" i="26"/>
  <c r="I13" i="26"/>
  <c r="I15" i="26"/>
  <c r="I17" i="26"/>
  <c r="I19" i="26"/>
  <c r="K17" i="26"/>
  <c r="J13" i="26"/>
  <c r="J15" i="26"/>
  <c r="J17" i="26"/>
  <c r="J19" i="26"/>
  <c r="K13" i="26"/>
  <c r="K11" i="26"/>
  <c r="J11" i="26"/>
  <c r="I11" i="26"/>
  <c r="H11" i="26"/>
  <c r="B33" i="26"/>
  <c r="B35" i="26"/>
  <c r="B37" i="26"/>
  <c r="B39" i="26"/>
  <c r="C33" i="26"/>
  <c r="C35" i="26"/>
  <c r="C37" i="26"/>
  <c r="C39" i="26"/>
  <c r="D33" i="26"/>
  <c r="D35" i="26"/>
  <c r="D37" i="26"/>
  <c r="D39" i="26"/>
  <c r="D40" i="26"/>
  <c r="E33" i="26"/>
  <c r="E35" i="26"/>
  <c r="E37" i="26"/>
  <c r="E39" i="26"/>
  <c r="D38" i="26"/>
  <c r="B34" i="26"/>
  <c r="B36" i="26"/>
  <c r="B38" i="26"/>
  <c r="B40" i="26"/>
  <c r="D36" i="26"/>
  <c r="C34" i="26"/>
  <c r="C36" i="26"/>
  <c r="C38" i="26"/>
  <c r="C40" i="26"/>
  <c r="D34" i="26"/>
  <c r="E34" i="26"/>
  <c r="E36" i="26"/>
  <c r="E38" i="26"/>
  <c r="E40" i="26"/>
  <c r="E32" i="26"/>
  <c r="D32" i="26"/>
  <c r="C32" i="26"/>
  <c r="B32" i="26"/>
  <c r="B12" i="26"/>
  <c r="B14" i="26"/>
  <c r="B16" i="26"/>
  <c r="B18" i="26"/>
  <c r="C14" i="26"/>
  <c r="D16" i="26"/>
  <c r="D18" i="26"/>
  <c r="E16" i="26"/>
  <c r="B17" i="26"/>
  <c r="C17" i="26"/>
  <c r="D13" i="26"/>
  <c r="D19" i="26"/>
  <c r="C12" i="26"/>
  <c r="D12" i="26"/>
  <c r="E12" i="26"/>
  <c r="B13" i="26"/>
  <c r="C13" i="26"/>
  <c r="E13" i="26"/>
  <c r="E15" i="26"/>
  <c r="E17" i="26"/>
  <c r="E19" i="26"/>
  <c r="C16" i="26"/>
  <c r="C18" i="26"/>
  <c r="D14" i="26"/>
  <c r="E14" i="26"/>
  <c r="E18" i="26"/>
  <c r="B15" i="26"/>
  <c r="B19" i="26"/>
  <c r="C15" i="26"/>
  <c r="C19" i="26"/>
  <c r="D15" i="26"/>
  <c r="D17" i="26"/>
  <c r="E11" i="26"/>
  <c r="D11" i="26"/>
  <c r="C11" i="26"/>
  <c r="B11" i="26"/>
  <c r="H18" i="107"/>
  <c r="G22" i="81"/>
  <c r="E22" i="81"/>
  <c r="H22" i="81"/>
  <c r="F22" i="81"/>
  <c r="D22" i="81"/>
  <c r="B22" i="81"/>
  <c r="C22" i="81"/>
  <c r="Q41" i="34"/>
  <c r="G15" i="34"/>
  <c r="N25" i="34"/>
  <c r="K26" i="34"/>
  <c r="O36" i="34"/>
  <c r="I18" i="34"/>
  <c r="H20" i="34"/>
  <c r="M21" i="34"/>
  <c r="D27" i="34"/>
  <c r="J11" i="34"/>
  <c r="F33" i="34"/>
  <c r="Q15" i="34"/>
  <c r="P39" i="34"/>
  <c r="E36" i="34"/>
  <c r="P22" i="34"/>
  <c r="Q36" i="34"/>
  <c r="Q32" i="34"/>
  <c r="F35" i="34"/>
  <c r="O16" i="34"/>
  <c r="E38" i="34"/>
  <c r="J41" i="34"/>
  <c r="M12" i="34"/>
  <c r="M28" i="34"/>
  <c r="J31" i="34"/>
  <c r="G34" i="34"/>
  <c r="K19" i="34"/>
  <c r="J16" i="34"/>
  <c r="J14" i="34"/>
  <c r="D13" i="34"/>
  <c r="M17" i="34"/>
  <c r="M30" i="34"/>
  <c r="O40" i="34"/>
  <c r="K30" i="34"/>
  <c r="O15" i="34"/>
  <c r="N12" i="34"/>
  <c r="D22" i="34"/>
  <c r="G26" i="34"/>
  <c r="N29" i="34"/>
  <c r="H39" i="34"/>
  <c r="D41" i="34"/>
  <c r="H41" i="34"/>
  <c r="L22" i="34"/>
  <c r="D24" i="34"/>
  <c r="L41" i="34"/>
  <c r="G25" i="34"/>
  <c r="L26" i="34"/>
  <c r="L24" i="34"/>
  <c r="F23" i="34"/>
  <c r="Q25" i="34"/>
  <c r="I32" i="34"/>
  <c r="E17" i="34"/>
  <c r="N22" i="34"/>
  <c r="E16" i="34"/>
  <c r="K29" i="34"/>
  <c r="D30" i="34"/>
  <c r="H25" i="34"/>
  <c r="C34" i="34"/>
  <c r="N35" i="34"/>
  <c r="K38" i="34"/>
  <c r="O23" i="34"/>
  <c r="N20" i="34"/>
  <c r="N18" i="34"/>
  <c r="H17" i="34"/>
  <c r="M24" i="34"/>
  <c r="G30" i="34"/>
  <c r="C32" i="34"/>
  <c r="O34" i="34"/>
  <c r="D20" i="34"/>
  <c r="C17" i="34"/>
  <c r="C15" i="34"/>
  <c r="L13" i="34"/>
  <c r="F29" i="34"/>
  <c r="J35" i="34"/>
  <c r="J30" i="34"/>
  <c r="F32" i="34"/>
  <c r="G14" i="34"/>
  <c r="G12" i="34"/>
  <c r="J20" i="34"/>
  <c r="Q26" i="34"/>
  <c r="E29" i="34"/>
  <c r="M38" i="34"/>
  <c r="C31" i="34"/>
  <c r="N32" i="34"/>
  <c r="O14" i="34"/>
  <c r="O12" i="34"/>
  <c r="E23" i="34"/>
  <c r="D14" i="34"/>
  <c r="L29" i="34"/>
  <c r="I40" i="34"/>
  <c r="I34" i="34"/>
  <c r="Q27" i="34"/>
  <c r="D11" i="34"/>
  <c r="C13" i="34"/>
  <c r="E25" i="34"/>
  <c r="N23" i="34"/>
  <c r="Q10" i="34"/>
  <c r="M36" i="34"/>
  <c r="I38" i="34"/>
  <c r="F41" i="34"/>
  <c r="J26" i="34"/>
  <c r="I23" i="34"/>
  <c r="I21" i="34"/>
  <c r="C20" i="34"/>
  <c r="K20" i="34"/>
  <c r="F37" i="34"/>
  <c r="Q38" i="34"/>
  <c r="N41" i="34"/>
  <c r="Q29" i="34"/>
  <c r="N37" i="34"/>
  <c r="J39" i="34"/>
  <c r="C28" i="34"/>
  <c r="E15" i="34"/>
  <c r="J24" i="34"/>
  <c r="J22" i="34"/>
  <c r="D21" i="34"/>
  <c r="O24" i="34"/>
  <c r="G38" i="34"/>
  <c r="C40" i="34"/>
  <c r="P33" i="34"/>
  <c r="G17" i="34"/>
  <c r="C25" i="34"/>
  <c r="C23" i="34"/>
  <c r="L21" i="34"/>
  <c r="I10" i="34"/>
  <c r="K34" i="34"/>
  <c r="G36" i="34"/>
  <c r="D39" i="34"/>
  <c r="H24" i="34"/>
  <c r="G21" i="34"/>
  <c r="G19" i="34"/>
  <c r="P17" i="34"/>
  <c r="F30" i="34"/>
  <c r="P30" i="34"/>
  <c r="N34" i="34"/>
  <c r="J36" i="34"/>
  <c r="K18" i="34"/>
  <c r="K16" i="34"/>
  <c r="C14" i="34"/>
  <c r="E10" i="34"/>
  <c r="N30" i="34"/>
  <c r="I31" i="34"/>
  <c r="G35" i="34"/>
  <c r="C37" i="34"/>
  <c r="D19" i="34"/>
  <c r="D17" i="34"/>
  <c r="K14" i="34"/>
  <c r="F10" i="34"/>
  <c r="D29" i="34"/>
  <c r="P41" i="34"/>
  <c r="K31" i="34"/>
  <c r="G33" i="34"/>
  <c r="N24" i="34"/>
  <c r="J28" i="34"/>
  <c r="L11" i="34"/>
  <c r="M25" i="34"/>
  <c r="E30" i="34"/>
  <c r="N26" i="34"/>
  <c r="P29" i="34"/>
  <c r="H29" i="34"/>
  <c r="F31" i="34"/>
  <c r="H28" i="34"/>
  <c r="E31" i="34"/>
  <c r="F13" i="34"/>
  <c r="F11" i="34"/>
  <c r="Q11" i="34"/>
  <c r="P25" i="34"/>
  <c r="O29" i="34"/>
  <c r="O38" i="34"/>
  <c r="K40" i="34"/>
  <c r="L37" i="34"/>
  <c r="Q19" i="34"/>
  <c r="K25" i="34"/>
  <c r="K23" i="34"/>
  <c r="E22" i="34"/>
  <c r="J34" i="34"/>
  <c r="E35" i="34"/>
  <c r="C39" i="34"/>
  <c r="N40" i="34"/>
  <c r="O22" i="34"/>
  <c r="O20" i="34"/>
  <c r="G18" i="34"/>
  <c r="M10" i="34"/>
  <c r="C35" i="34"/>
  <c r="M35" i="34"/>
  <c r="K39" i="34"/>
  <c r="G41" i="34"/>
  <c r="H23" i="34"/>
  <c r="H21" i="34"/>
  <c r="O18" i="34"/>
  <c r="N10" i="34"/>
  <c r="G31" i="34"/>
  <c r="Q31" i="34"/>
  <c r="O35" i="34"/>
  <c r="K37" i="34"/>
  <c r="L19" i="34"/>
  <c r="L17" i="34"/>
  <c r="D15" i="34"/>
  <c r="G10" i="34"/>
  <c r="C29" i="34"/>
  <c r="E27" i="34"/>
  <c r="D32" i="34"/>
  <c r="O33" i="34"/>
  <c r="P15" i="34"/>
  <c r="P13" i="34"/>
  <c r="H11" i="34"/>
  <c r="I19" i="34"/>
  <c r="C27" i="34"/>
  <c r="M27" i="34"/>
  <c r="L32" i="34"/>
  <c r="H34" i="34"/>
  <c r="K27" i="34"/>
  <c r="F28" i="34"/>
  <c r="E33" i="34"/>
  <c r="P34" i="34"/>
  <c r="Q16" i="34"/>
  <c r="Q14" i="34"/>
  <c r="I12" i="34"/>
  <c r="P26" i="34"/>
  <c r="K33" i="34"/>
  <c r="F21" i="34"/>
  <c r="M16" i="34"/>
  <c r="F12" i="34"/>
  <c r="K11" i="34"/>
  <c r="I16" i="34"/>
  <c r="L39" i="34"/>
  <c r="O19" i="34"/>
  <c r="E40" i="34"/>
  <c r="Q18" i="34"/>
  <c r="L33" i="34"/>
  <c r="F26" i="34"/>
  <c r="M32" i="34"/>
  <c r="C21" i="34"/>
  <c r="J18" i="34"/>
  <c r="C19" i="34"/>
  <c r="D26" i="34"/>
  <c r="M40" i="34"/>
  <c r="P20" i="34"/>
  <c r="F22" i="34"/>
  <c r="M34" i="34"/>
  <c r="C38" i="34"/>
  <c r="H15" i="34"/>
  <c r="G24" i="34"/>
  <c r="O27" i="34"/>
  <c r="D28" i="34"/>
  <c r="N28" i="34"/>
  <c r="M33" i="34"/>
  <c r="I35" i="34"/>
  <c r="J17" i="34"/>
  <c r="J15" i="34"/>
  <c r="Q12" i="34"/>
  <c r="C10" i="34"/>
  <c r="G29" i="34"/>
  <c r="N31" i="34"/>
  <c r="P28" i="34"/>
  <c r="M31" i="34"/>
  <c r="N13" i="34"/>
  <c r="N11" i="34"/>
  <c r="F16" i="34"/>
  <c r="I26" i="34"/>
  <c r="N38" i="34"/>
  <c r="I39" i="34"/>
  <c r="K36" i="34"/>
  <c r="D12" i="34"/>
  <c r="J12" i="34"/>
  <c r="D25" i="34"/>
  <c r="K22" i="34"/>
  <c r="E12" i="34"/>
  <c r="G39" i="34"/>
  <c r="Q39" i="34"/>
  <c r="F39" i="34"/>
  <c r="L12" i="34"/>
  <c r="H18" i="34"/>
  <c r="L25" i="34"/>
  <c r="D23" i="34"/>
  <c r="Q24" i="34"/>
  <c r="K35" i="34"/>
  <c r="F36" i="34"/>
  <c r="D40" i="34"/>
  <c r="O41" i="34"/>
  <c r="P23" i="34"/>
  <c r="P21" i="34"/>
  <c r="H19" i="34"/>
  <c r="O10" i="34"/>
  <c r="O31" i="34"/>
  <c r="J32" i="34"/>
  <c r="H36" i="34"/>
  <c r="D38" i="34"/>
  <c r="E20" i="34"/>
  <c r="E18" i="34"/>
  <c r="L15" i="34"/>
  <c r="H10" i="34"/>
  <c r="H32" i="34"/>
  <c r="C33" i="34"/>
  <c r="P36" i="34"/>
  <c r="L38" i="34"/>
  <c r="P32" i="34"/>
  <c r="I37" i="34"/>
  <c r="E39" i="34"/>
  <c r="F19" i="34"/>
  <c r="J10" i="34"/>
  <c r="P18" i="34"/>
  <c r="H37" i="34"/>
  <c r="L18" i="34"/>
  <c r="P14" i="34"/>
  <c r="E28" i="34"/>
  <c r="K13" i="34"/>
  <c r="I27" i="34"/>
  <c r="G16" i="34"/>
  <c r="P11" i="34"/>
  <c r="J33" i="34"/>
  <c r="F18" i="34"/>
  <c r="Q40" i="34"/>
  <c r="I29" i="34"/>
  <c r="I33" i="34"/>
  <c r="D34" i="34"/>
  <c r="Q37" i="34"/>
  <c r="M39" i="34"/>
  <c r="N21" i="34"/>
  <c r="N19" i="34"/>
  <c r="F17" i="34"/>
  <c r="K10" i="34"/>
  <c r="L28" i="34"/>
  <c r="H30" i="34"/>
  <c r="F34" i="34"/>
  <c r="Q35" i="34"/>
  <c r="C18" i="34"/>
  <c r="C16" i="34"/>
  <c r="J13" i="34"/>
  <c r="D10" i="34"/>
  <c r="H33" i="34"/>
  <c r="F27" i="34"/>
  <c r="D31" i="34"/>
  <c r="H16" i="34"/>
  <c r="G13" i="34"/>
  <c r="G11" i="34"/>
  <c r="O26" i="34"/>
  <c r="I14" i="34"/>
  <c r="D37" i="34"/>
  <c r="N27" i="34"/>
  <c r="L31" i="34"/>
  <c r="P16" i="34"/>
  <c r="O13" i="34"/>
  <c r="O11" i="34"/>
  <c r="I11" i="34"/>
  <c r="Q23" i="34"/>
  <c r="O39" i="34"/>
  <c r="J40" i="34"/>
  <c r="H27" i="34"/>
  <c r="E13" i="34"/>
  <c r="M23" i="34"/>
  <c r="E26" i="34"/>
  <c r="L23" i="34"/>
  <c r="M20" i="34"/>
  <c r="D36" i="34"/>
  <c r="N36" i="34"/>
  <c r="L40" i="34"/>
  <c r="J27" i="34"/>
  <c r="I24" i="34"/>
  <c r="I22" i="34"/>
  <c r="P19" i="34"/>
  <c r="P10" i="34"/>
  <c r="L36" i="34"/>
  <c r="G37" i="34"/>
  <c r="E41" i="34"/>
  <c r="Q34" i="34"/>
  <c r="E37" i="34"/>
  <c r="O37" i="34"/>
  <c r="M41" i="34"/>
  <c r="N39" i="34"/>
  <c r="J25" i="34"/>
  <c r="J23" i="34"/>
  <c r="Q20" i="34"/>
  <c r="I15" i="34"/>
  <c r="M19" i="34"/>
  <c r="C36" i="34"/>
  <c r="F38" i="34"/>
  <c r="P38" i="34"/>
  <c r="K24" i="34"/>
  <c r="D35" i="34"/>
  <c r="O21" i="34"/>
  <c r="L35" i="34"/>
  <c r="I25" i="34"/>
  <c r="I20" i="34"/>
  <c r="I36" i="34"/>
  <c r="F15" i="34"/>
  <c r="O28" i="34"/>
  <c r="P12" i="34"/>
  <c r="I30" i="34"/>
  <c r="N33" i="34"/>
  <c r="K12" i="34"/>
  <c r="M22" i="34"/>
  <c r="K21" i="34"/>
  <c r="E34" i="34"/>
  <c r="N15" i="34"/>
  <c r="G23" i="34"/>
  <c r="H13" i="34"/>
  <c r="J29" i="34"/>
  <c r="H26" i="34"/>
  <c r="M37" i="34"/>
  <c r="H38" i="34"/>
  <c r="K28" i="34"/>
  <c r="C11" i="34"/>
  <c r="C26" i="34"/>
  <c r="C24" i="34"/>
  <c r="J21" i="34"/>
  <c r="E11" i="34"/>
  <c r="Q33" i="34"/>
  <c r="L34" i="34"/>
  <c r="J38" i="34"/>
  <c r="F40" i="34"/>
  <c r="G22" i="34"/>
  <c r="G20" i="34"/>
  <c r="N17" i="34"/>
  <c r="L10" i="34"/>
  <c r="O30" i="34"/>
  <c r="K32" i="34"/>
  <c r="H35" i="34"/>
  <c r="L20" i="34"/>
  <c r="K17" i="34"/>
  <c r="K15" i="34"/>
  <c r="E14" i="34"/>
  <c r="Q21" i="34"/>
  <c r="H31" i="34"/>
  <c r="D33" i="34"/>
  <c r="P35" i="34"/>
  <c r="E21" i="34"/>
  <c r="D18" i="34"/>
  <c r="D16" i="34"/>
  <c r="M14" i="34"/>
  <c r="I13" i="34"/>
  <c r="G40" i="34"/>
  <c r="G28" i="34"/>
  <c r="E32" i="34"/>
  <c r="I17" i="34"/>
  <c r="H14" i="34"/>
  <c r="H12" i="34"/>
  <c r="F24" i="34"/>
  <c r="Q22" i="34"/>
  <c r="H40" i="34"/>
  <c r="C41" i="34"/>
  <c r="P27" i="34"/>
  <c r="M13" i="34"/>
  <c r="O25" i="34"/>
  <c r="M26" i="34"/>
  <c r="E24" i="34"/>
  <c r="L14" i="34"/>
  <c r="P40" i="34"/>
  <c r="K41" i="34"/>
  <c r="I28" i="34"/>
  <c r="F14" i="34"/>
  <c r="I41" i="34"/>
  <c r="O32" i="34"/>
  <c r="Q28" i="34"/>
  <c r="N14" i="34"/>
  <c r="M11" i="34"/>
  <c r="M15" i="34"/>
  <c r="F25" i="34"/>
  <c r="C30" i="34"/>
  <c r="M18" i="34"/>
  <c r="G32" i="34"/>
  <c r="C22" i="34"/>
  <c r="P24" i="34"/>
  <c r="C12" i="34"/>
  <c r="H22" i="34"/>
  <c r="P31" i="34"/>
  <c r="L16" i="34"/>
  <c r="Q17" i="34"/>
  <c r="L27" i="34"/>
  <c r="Q30" i="34"/>
  <c r="Q13" i="34"/>
  <c r="M29" i="34"/>
  <c r="P37" i="34"/>
  <c r="J19" i="34"/>
  <c r="E19" i="34"/>
  <c r="J37" i="34"/>
  <c r="F20" i="34"/>
  <c r="O17" i="34"/>
  <c r="N16" i="34"/>
  <c r="G27" i="34"/>
  <c r="L30" i="34"/>
  <c r="D14" i="28"/>
  <c r="D18" i="28"/>
  <c r="D19" i="28"/>
  <c r="B22" i="28"/>
  <c r="B11" i="28"/>
  <c r="D21" i="28"/>
  <c r="C12" i="28"/>
  <c r="B20" i="28"/>
  <c r="E24" i="28"/>
  <c r="C13" i="28"/>
  <c r="D11" i="28"/>
  <c r="B23" i="28"/>
  <c r="D10" i="28"/>
  <c r="B17" i="28"/>
  <c r="C19" i="28"/>
  <c r="D16" i="28"/>
  <c r="C14" i="28"/>
  <c r="D17" i="28"/>
  <c r="B21" i="28"/>
  <c r="C24" i="28"/>
  <c r="C17" i="28"/>
  <c r="B19" i="28"/>
  <c r="B14" i="28"/>
  <c r="C10" i="28"/>
  <c r="B10" i="28"/>
  <c r="B16" i="28"/>
  <c r="C20" i="28"/>
  <c r="D22" i="28"/>
  <c r="B13" i="28"/>
  <c r="D20" i="28"/>
  <c r="D13" i="28"/>
  <c r="C11" i="28"/>
  <c r="F24" i="28"/>
  <c r="B18" i="28"/>
  <c r="C22" i="28"/>
  <c r="G24" i="28"/>
  <c r="B12" i="28"/>
  <c r="B15" i="28"/>
  <c r="C15" i="28"/>
  <c r="C16" i="28"/>
  <c r="B24" i="28"/>
  <c r="D12" i="28"/>
  <c r="D23" i="28"/>
  <c r="D24" i="28"/>
  <c r="C23" i="28"/>
  <c r="D15" i="28"/>
  <c r="C21" i="28"/>
  <c r="C18" i="28"/>
  <c r="G19" i="32"/>
  <c r="G40" i="30"/>
  <c r="E14" i="30"/>
  <c r="E36" i="30"/>
  <c r="D18" i="30"/>
  <c r="E20" i="30"/>
  <c r="F37" i="30"/>
  <c r="C41" i="30"/>
  <c r="H41" i="30"/>
  <c r="H23" i="30"/>
  <c r="F26" i="30"/>
  <c r="E25" i="30"/>
  <c r="E37" i="30"/>
  <c r="D36" i="30"/>
  <c r="C33" i="30"/>
  <c r="G27" i="32"/>
  <c r="C37" i="30"/>
  <c r="D11" i="30"/>
  <c r="C21" i="30"/>
  <c r="H18" i="30"/>
  <c r="E13" i="30"/>
  <c r="E30" i="30"/>
  <c r="G34" i="30"/>
  <c r="F33" i="30"/>
  <c r="G21" i="32"/>
  <c r="F25" i="30"/>
  <c r="D12" i="30"/>
  <c r="H29" i="30"/>
  <c r="D31" i="30"/>
  <c r="G35" i="32"/>
  <c r="C35" i="30"/>
  <c r="H38" i="30"/>
  <c r="D22" i="30"/>
  <c r="C18" i="30"/>
  <c r="D19" i="30"/>
  <c r="G40" i="32"/>
  <c r="H27" i="30"/>
  <c r="H11" i="30"/>
  <c r="D35" i="30"/>
  <c r="G22" i="30"/>
  <c r="F42" i="30"/>
  <c r="H28" i="30"/>
  <c r="G11" i="30"/>
  <c r="F17" i="30"/>
  <c r="G35" i="30"/>
  <c r="D32" i="30"/>
  <c r="D20" i="30"/>
  <c r="D33" i="30"/>
  <c r="G20" i="32"/>
  <c r="G34" i="32"/>
  <c r="C16" i="30"/>
  <c r="H39" i="30"/>
  <c r="D29" i="30"/>
  <c r="E39" i="30"/>
  <c r="H36" i="30"/>
  <c r="G42" i="30"/>
  <c r="F19" i="30"/>
  <c r="G26" i="32"/>
  <c r="G15" i="30"/>
  <c r="E17" i="30"/>
  <c r="G36" i="30"/>
  <c r="H34" i="30"/>
  <c r="E23" i="30"/>
  <c r="C32" i="30"/>
  <c r="G32" i="32"/>
  <c r="C36" i="30"/>
  <c r="G12" i="30"/>
  <c r="E41" i="30"/>
  <c r="C15" i="30"/>
  <c r="C40" i="30"/>
  <c r="E11" i="30"/>
  <c r="H30" i="30"/>
  <c r="D28" i="30"/>
  <c r="F41" i="30"/>
  <c r="G22" i="32"/>
  <c r="G38" i="30"/>
  <c r="H32" i="30"/>
  <c r="H33" i="30"/>
  <c r="E12" i="30"/>
  <c r="E24" i="30"/>
  <c r="E40" i="30"/>
  <c r="D25" i="30"/>
  <c r="G17" i="30"/>
  <c r="G16" i="30"/>
  <c r="F16" i="30"/>
  <c r="D30" i="30"/>
  <c r="H35" i="30"/>
  <c r="E34" i="30"/>
  <c r="H14" i="30"/>
  <c r="C39" i="30"/>
  <c r="G20" i="30"/>
  <c r="E16" i="30"/>
  <c r="E33" i="30"/>
  <c r="H31" i="30"/>
  <c r="F27" i="30"/>
  <c r="G38" i="32"/>
  <c r="H25" i="30"/>
  <c r="C11" i="30"/>
  <c r="F22" i="30"/>
  <c r="H26" i="30"/>
  <c r="F13" i="30"/>
  <c r="G12" i="32"/>
  <c r="E21" i="30"/>
  <c r="F30" i="30"/>
  <c r="E26" i="30"/>
  <c r="F14" i="30"/>
  <c r="E15" i="30"/>
  <c r="G23" i="32"/>
  <c r="F35" i="30"/>
  <c r="G29" i="30"/>
  <c r="G25" i="30"/>
  <c r="E28" i="30"/>
  <c r="H16" i="30"/>
  <c r="G13" i="30"/>
  <c r="D13" i="30"/>
  <c r="C26" i="30"/>
  <c r="F12" i="30"/>
  <c r="G31" i="30"/>
  <c r="E42" i="30"/>
  <c r="D26" i="30"/>
  <c r="C17" i="30"/>
  <c r="F15" i="30"/>
  <c r="H24" i="30"/>
  <c r="G14" i="32"/>
  <c r="G19" i="30"/>
  <c r="G24" i="32"/>
  <c r="D38" i="30"/>
  <c r="G37" i="30"/>
  <c r="G42" i="32"/>
  <c r="H13" i="30"/>
  <c r="D21" i="30"/>
  <c r="F40" i="30"/>
  <c r="G15" i="32"/>
  <c r="G30" i="32"/>
  <c r="H21" i="30"/>
  <c r="F29" i="30"/>
  <c r="E27" i="30"/>
  <c r="G14" i="30"/>
  <c r="H40" i="30"/>
  <c r="G28" i="30"/>
  <c r="G13" i="32"/>
  <c r="F20" i="30"/>
  <c r="F11" i="30"/>
  <c r="D34" i="30"/>
  <c r="C27" i="30"/>
  <c r="F36" i="30"/>
  <c r="H15" i="30"/>
  <c r="F31" i="30"/>
  <c r="G23" i="30"/>
  <c r="G43" i="32"/>
  <c r="G41" i="30"/>
  <c r="C24" i="30"/>
  <c r="G29" i="32"/>
  <c r="F28" i="30"/>
  <c r="F23" i="30"/>
  <c r="D40" i="30"/>
  <c r="E32" i="30"/>
  <c r="F38" i="30"/>
  <c r="C34" i="30"/>
  <c r="C28" i="30"/>
  <c r="E35" i="30"/>
  <c r="D17" i="30"/>
  <c r="G25" i="32"/>
  <c r="G21" i="30"/>
  <c r="C13" i="30"/>
  <c r="G30" i="30"/>
  <c r="D14" i="30"/>
  <c r="D39" i="30"/>
  <c r="C30" i="30"/>
  <c r="G36" i="32"/>
  <c r="C31" i="30"/>
  <c r="D37" i="30"/>
  <c r="C38" i="30"/>
  <c r="C29" i="30"/>
  <c r="E29" i="30"/>
  <c r="G33" i="32"/>
  <c r="C14" i="30"/>
  <c r="C12" i="30"/>
  <c r="G17" i="32"/>
  <c r="G18" i="32"/>
  <c r="H19" i="30"/>
  <c r="D41" i="30"/>
  <c r="G16" i="32"/>
  <c r="F24" i="30"/>
  <c r="F18" i="30"/>
  <c r="G37" i="32"/>
  <c r="F39" i="30"/>
  <c r="F34" i="30"/>
  <c r="D23" i="30"/>
  <c r="G32" i="30"/>
  <c r="E18" i="30"/>
  <c r="H22" i="30"/>
  <c r="E22" i="30"/>
  <c r="D16" i="30"/>
  <c r="D15" i="30"/>
  <c r="H37" i="30"/>
  <c r="G39" i="30"/>
  <c r="G27" i="30"/>
  <c r="C22" i="30"/>
  <c r="H20" i="30"/>
  <c r="D27" i="30"/>
  <c r="H17" i="30"/>
  <c r="G24" i="30"/>
  <c r="C25" i="30"/>
  <c r="G18" i="30"/>
  <c r="G33" i="30"/>
  <c r="C19" i="30"/>
  <c r="F21" i="30"/>
  <c r="F32" i="30"/>
  <c r="D42" i="30"/>
  <c r="E38" i="30"/>
  <c r="G31" i="32"/>
  <c r="H12" i="30"/>
  <c r="H42" i="30"/>
  <c r="C23" i="30"/>
  <c r="E19" i="30"/>
  <c r="G28" i="32"/>
  <c r="D24" i="30"/>
  <c r="G39" i="32"/>
  <c r="G26" i="30"/>
  <c r="E31" i="30"/>
  <c r="G41" i="32"/>
  <c r="C42" i="30"/>
  <c r="C20" i="30"/>
  <c r="D88" i="28" l="1"/>
  <c r="B88" i="28"/>
  <c r="C88" i="28"/>
  <c r="E88" i="28"/>
  <c r="C61" i="28"/>
  <c r="F22" i="105"/>
  <c r="D61" i="28"/>
  <c r="E61" i="28"/>
  <c r="B61" i="28"/>
  <c r="J23" i="2"/>
  <c r="K42" i="27"/>
  <c r="G23" i="35"/>
  <c r="F23" i="35"/>
  <c r="F19" i="35"/>
  <c r="F15" i="35"/>
  <c r="G15" i="35"/>
  <c r="G26" i="35"/>
  <c r="G22" i="35"/>
  <c r="G18" i="35"/>
  <c r="G14" i="35"/>
  <c r="G19" i="35"/>
  <c r="F26" i="35"/>
  <c r="F22" i="35"/>
  <c r="F18" i="35"/>
  <c r="F14" i="35"/>
  <c r="G21" i="35"/>
  <c r="G17" i="35"/>
  <c r="G13" i="35"/>
  <c r="F25" i="35"/>
  <c r="F21" i="35"/>
  <c r="F17" i="35"/>
  <c r="F13" i="35"/>
  <c r="G24" i="35"/>
  <c r="G20" i="35"/>
  <c r="G16" i="35"/>
  <c r="G12" i="35"/>
  <c r="G25" i="35"/>
  <c r="F24" i="35"/>
  <c r="F20" i="35"/>
  <c r="F16" i="35"/>
  <c r="F12" i="35"/>
  <c r="B9" i="32"/>
  <c r="K16" i="120"/>
  <c r="V12" i="120" s="1"/>
  <c r="C31" i="28"/>
  <c r="C32" i="28" s="1"/>
  <c r="C27" i="28"/>
  <c r="C28" i="28" s="1"/>
  <c r="B27" i="28"/>
  <c r="B28" i="28" s="1"/>
  <c r="B31" i="28"/>
  <c r="B32" i="28" s="1"/>
  <c r="D31" i="28"/>
  <c r="D32" i="28" s="1"/>
  <c r="D27" i="28"/>
  <c r="D28" i="28" s="1"/>
  <c r="F42" i="32"/>
  <c r="V14" i="120" l="1"/>
  <c r="V13" i="120"/>
  <c r="V10" i="120"/>
  <c r="V15" i="120"/>
  <c r="V11" i="120"/>
  <c r="B46" i="137"/>
  <c r="C39" i="32"/>
  <c r="F31" i="32"/>
  <c r="E40" i="32"/>
  <c r="C19" i="32"/>
  <c r="C42" i="32"/>
  <c r="D12" i="32"/>
  <c r="E16" i="32"/>
  <c r="F20" i="32"/>
  <c r="E34" i="32"/>
  <c r="E17" i="32"/>
  <c r="F29" i="32"/>
  <c r="F16" i="32"/>
  <c r="E44" i="32"/>
  <c r="C35" i="32"/>
  <c r="D39" i="32"/>
  <c r="F25" i="32"/>
  <c r="D28" i="32"/>
  <c r="C29" i="32"/>
  <c r="D24" i="32"/>
  <c r="C13" i="32"/>
  <c r="D16" i="32"/>
  <c r="D38" i="32"/>
  <c r="E39" i="32"/>
  <c r="E20" i="32"/>
  <c r="F15" i="32"/>
  <c r="C28" i="32"/>
  <c r="F12" i="32"/>
  <c r="F27" i="32"/>
  <c r="F14" i="32"/>
  <c r="E41" i="32"/>
  <c r="C32" i="32"/>
  <c r="C15" i="32"/>
  <c r="C23" i="32"/>
  <c r="E12" i="32"/>
  <c r="E22" i="32"/>
  <c r="E27" i="32"/>
  <c r="F32" i="32"/>
  <c r="D20" i="32"/>
  <c r="D30" i="32"/>
  <c r="E21" i="32"/>
  <c r="D19" i="32"/>
  <c r="C16" i="32"/>
  <c r="D15" i="32"/>
  <c r="F30" i="32"/>
  <c r="C26" i="32"/>
  <c r="F23" i="32"/>
  <c r="C17" i="32"/>
  <c r="F33" i="32"/>
  <c r="E18" i="32"/>
  <c r="C41" i="32"/>
  <c r="E33" i="32"/>
  <c r="C30" i="32"/>
  <c r="E30" i="32"/>
  <c r="C38" i="32"/>
  <c r="F36" i="32"/>
  <c r="E36" i="32"/>
  <c r="F34" i="32"/>
  <c r="F38" i="32"/>
  <c r="E42" i="32"/>
  <c r="C44" i="32"/>
  <c r="C27" i="32"/>
  <c r="C37" i="32"/>
  <c r="E26" i="32"/>
  <c r="D34" i="32"/>
  <c r="D23" i="32"/>
  <c r="C12" i="32"/>
  <c r="F13" i="32"/>
  <c r="F28" i="32"/>
  <c r="C33" i="32"/>
  <c r="D37" i="32"/>
  <c r="D32" i="32"/>
  <c r="D31" i="32"/>
  <c r="D22" i="32"/>
  <c r="F39" i="32"/>
  <c r="E23" i="32"/>
  <c r="E19" i="32"/>
  <c r="F37" i="32"/>
  <c r="D35" i="32"/>
  <c r="F44" i="32"/>
  <c r="E32" i="32"/>
  <c r="E43" i="32"/>
  <c r="D25" i="32"/>
  <c r="E14" i="32"/>
  <c r="E24" i="32"/>
  <c r="D21" i="32"/>
  <c r="F35" i="32"/>
  <c r="E25" i="32"/>
  <c r="C43" i="32"/>
  <c r="C40" i="32"/>
  <c r="D18" i="32"/>
  <c r="D33" i="32"/>
  <c r="E29" i="32"/>
  <c r="F21" i="32"/>
  <c r="C34" i="32"/>
  <c r="E15" i="32"/>
  <c r="F41" i="32"/>
  <c r="D17" i="32"/>
  <c r="F18" i="32"/>
  <c r="C22" i="32"/>
  <c r="E28" i="32"/>
  <c r="F24" i="32"/>
  <c r="F26" i="32"/>
  <c r="C20" i="32"/>
  <c r="D29" i="32"/>
  <c r="F17" i="32"/>
  <c r="F43" i="32"/>
  <c r="E38" i="32"/>
  <c r="E35" i="32"/>
  <c r="D14" i="32"/>
  <c r="C24" i="32"/>
  <c r="D36" i="32"/>
  <c r="D13" i="32"/>
  <c r="E31" i="32"/>
  <c r="C36" i="32"/>
  <c r="C25" i="32"/>
  <c r="D27" i="32"/>
  <c r="E37" i="32"/>
  <c r="D41" i="32"/>
  <c r="C14" i="32"/>
  <c r="F40" i="32"/>
  <c r="C21" i="32"/>
  <c r="D43" i="32"/>
  <c r="D42" i="32"/>
  <c r="D40" i="32"/>
  <c r="D26" i="32"/>
  <c r="C31" i="32"/>
  <c r="E13" i="32"/>
  <c r="F22" i="32"/>
  <c r="C18" i="32"/>
  <c r="F19" i="32"/>
  <c r="D44" i="32"/>
  <c r="E54" i="2" l="1"/>
  <c r="D64" i="12"/>
  <c r="G44" i="12"/>
  <c r="B26" i="16"/>
  <c r="C26" i="16"/>
  <c r="A40" i="22" l="1"/>
  <c r="B40" i="22"/>
  <c r="C40" i="22"/>
  <c r="D40" i="22"/>
  <c r="E40" i="22"/>
  <c r="F17" i="124"/>
  <c r="C14" i="94"/>
  <c r="D14" i="94"/>
  <c r="B14" i="94"/>
  <c r="G14" i="94"/>
  <c r="H14" i="94"/>
  <c r="F14" i="94"/>
  <c r="E14" i="94"/>
  <c r="B26" i="18"/>
  <c r="C26" i="18"/>
  <c r="D12" i="3"/>
  <c r="D10" i="3"/>
  <c r="D13" i="3"/>
  <c r="D11" i="3"/>
  <c r="F40" i="22" l="1"/>
  <c r="I14" i="94"/>
  <c r="C15" i="94" s="1"/>
  <c r="D14" i="3"/>
  <c r="B42" i="138"/>
  <c r="B41" i="138"/>
  <c r="E36" i="138"/>
  <c r="D36" i="138"/>
  <c r="C39" i="138"/>
  <c r="F41" i="138"/>
  <c r="D42" i="138"/>
  <c r="C42" i="138"/>
  <c r="E38" i="138"/>
  <c r="F36" i="138"/>
  <c r="F45" i="138"/>
  <c r="F39" i="138"/>
  <c r="C40" i="138"/>
  <c r="E40" i="138"/>
  <c r="B37" i="138"/>
  <c r="D37" i="138"/>
  <c r="E37" i="138"/>
  <c r="E42" i="138"/>
  <c r="C38" i="138"/>
  <c r="B45" i="138"/>
  <c r="B36" i="138"/>
  <c r="B38" i="138"/>
  <c r="D39" i="138"/>
  <c r="D45" i="138"/>
  <c r="C37" i="138"/>
  <c r="C45" i="138"/>
  <c r="E41" i="138"/>
  <c r="C41" i="138"/>
  <c r="D41" i="138"/>
  <c r="E45" i="138"/>
  <c r="F42" i="138"/>
  <c r="B40" i="138"/>
  <c r="F40" i="138"/>
  <c r="D40" i="138"/>
  <c r="D38" i="138"/>
  <c r="F38" i="138"/>
  <c r="C36" i="138"/>
  <c r="E39" i="138"/>
  <c r="F37" i="138"/>
  <c r="B39" i="138"/>
  <c r="E19" i="28"/>
  <c r="E18" i="28"/>
  <c r="E16" i="28"/>
  <c r="E11" i="28"/>
  <c r="E17" i="28"/>
  <c r="E21" i="28"/>
  <c r="E12" i="28"/>
  <c r="E22" i="28"/>
  <c r="E20" i="28"/>
  <c r="E14" i="28"/>
  <c r="E23" i="28"/>
  <c r="E13" i="28"/>
  <c r="E15" i="28"/>
  <c r="E27" i="28" l="1"/>
  <c r="E28" i="28" s="1"/>
  <c r="E31" i="28"/>
  <c r="E32" i="28" s="1"/>
  <c r="H15" i="94"/>
  <c r="G15" i="94"/>
  <c r="F15" i="94"/>
  <c r="E15" i="94"/>
  <c r="D15" i="94"/>
  <c r="B15" i="94"/>
  <c r="I15" i="94"/>
  <c r="N56" i="35"/>
  <c r="N55" i="35"/>
  <c r="N48" i="35"/>
  <c r="N49" i="35"/>
  <c r="G44" i="32" l="1"/>
  <c r="D43" i="30" l="1"/>
  <c r="D40" i="31"/>
  <c r="D12" i="31"/>
  <c r="D21" i="31"/>
  <c r="D37" i="31"/>
  <c r="D29" i="31"/>
  <c r="D28" i="31"/>
  <c r="D27" i="31"/>
  <c r="D24" i="31"/>
  <c r="D32" i="31"/>
  <c r="D15" i="31"/>
  <c r="D36" i="31"/>
  <c r="D14" i="31"/>
  <c r="D19" i="31"/>
  <c r="D13" i="31"/>
  <c r="D18" i="31"/>
  <c r="D34" i="31"/>
  <c r="D26" i="31"/>
  <c r="D16" i="31"/>
  <c r="D20" i="31"/>
  <c r="D35" i="31"/>
  <c r="D25" i="31"/>
  <c r="D17" i="31"/>
  <c r="D33" i="31"/>
  <c r="D43" i="31"/>
  <c r="D42" i="31"/>
  <c r="D41" i="31"/>
  <c r="D23" i="31"/>
  <c r="D39" i="31"/>
  <c r="D31" i="31"/>
  <c r="D22" i="31"/>
  <c r="D38" i="31"/>
  <c r="D30" i="31"/>
  <c r="H41" i="107"/>
  <c r="C35" i="107"/>
  <c r="C41" i="107"/>
  <c r="B43" i="107"/>
  <c r="G34" i="107"/>
  <c r="B37" i="107"/>
  <c r="H40" i="107"/>
  <c r="F39" i="107"/>
  <c r="F36" i="107"/>
  <c r="H38" i="107"/>
  <c r="G38" i="107"/>
  <c r="C36" i="107"/>
  <c r="D37" i="107"/>
  <c r="C43" i="107"/>
  <c r="G41" i="107"/>
  <c r="B42" i="107"/>
  <c r="G40" i="107"/>
  <c r="E36" i="107"/>
  <c r="F37" i="107"/>
  <c r="E35" i="107"/>
  <c r="F38" i="107"/>
  <c r="E41" i="107"/>
  <c r="G37" i="107"/>
  <c r="D36" i="107"/>
  <c r="B41" i="107"/>
  <c r="D41" i="107"/>
  <c r="F42" i="107"/>
  <c r="C40" i="107"/>
  <c r="D40" i="107"/>
  <c r="H37" i="107"/>
  <c r="B40" i="107"/>
  <c r="D35" i="107"/>
  <c r="E40" i="107"/>
  <c r="C42" i="107"/>
  <c r="H35" i="107"/>
  <c r="D42" i="107"/>
  <c r="F35" i="107"/>
  <c r="B36" i="107"/>
  <c r="B35" i="107"/>
  <c r="G42" i="107"/>
  <c r="F40" i="107"/>
  <c r="G43" i="107"/>
  <c r="C34" i="107"/>
  <c r="E38" i="107"/>
  <c r="F43" i="107"/>
  <c r="B38" i="107"/>
  <c r="F34" i="107"/>
  <c r="G35" i="107"/>
  <c r="H39" i="107"/>
  <c r="C37" i="107"/>
  <c r="C38" i="107"/>
  <c r="G36" i="107"/>
  <c r="D38" i="107"/>
  <c r="B34" i="107"/>
  <c r="C39" i="107"/>
  <c r="D43" i="107"/>
  <c r="E37" i="107"/>
  <c r="B39" i="107"/>
  <c r="E43" i="107"/>
  <c r="G39" i="107"/>
  <c r="H36" i="107"/>
  <c r="H42" i="107"/>
  <c r="D39" i="107"/>
  <c r="E39" i="107"/>
  <c r="E42" i="107"/>
  <c r="D34" i="107"/>
  <c r="E34" i="107"/>
  <c r="H43" i="107"/>
  <c r="F41" i="107"/>
  <c r="H34" i="107"/>
  <c r="H17" i="107"/>
  <c r="D19" i="107"/>
  <c r="F11" i="107"/>
  <c r="B15" i="107"/>
  <c r="F17" i="107"/>
  <c r="B10" i="107"/>
  <c r="B13" i="107"/>
  <c r="C14" i="107"/>
  <c r="E16" i="107"/>
  <c r="H16" i="107"/>
  <c r="C13" i="107"/>
  <c r="D10" i="107"/>
  <c r="D13" i="107"/>
  <c r="B12" i="107"/>
  <c r="G13" i="107"/>
  <c r="D12" i="107"/>
  <c r="B17" i="107"/>
  <c r="G12" i="107"/>
  <c r="C17" i="107"/>
  <c r="H13" i="107"/>
  <c r="E11" i="107"/>
  <c r="G11" i="107"/>
  <c r="D15" i="107"/>
  <c r="G17" i="107"/>
  <c r="C19" i="107"/>
  <c r="D14" i="107"/>
  <c r="B19" i="107"/>
  <c r="H15" i="107"/>
  <c r="E17" i="107"/>
  <c r="D11" i="107"/>
  <c r="E13" i="107"/>
  <c r="G19" i="107"/>
  <c r="C16" i="107"/>
  <c r="F19" i="107"/>
  <c r="H11" i="107"/>
  <c r="E10" i="107"/>
  <c r="C10" i="107"/>
  <c r="C11" i="107"/>
  <c r="G10" i="107"/>
  <c r="G14" i="107"/>
  <c r="G15" i="107"/>
  <c r="B11" i="107"/>
  <c r="F18" i="107"/>
  <c r="F10" i="107"/>
  <c r="D18" i="107"/>
  <c r="G18" i="107"/>
  <c r="F14" i="107"/>
  <c r="F15" i="107"/>
  <c r="H19" i="107"/>
  <c r="H10" i="107"/>
  <c r="D16" i="107"/>
  <c r="C18" i="107"/>
  <c r="E12" i="107"/>
  <c r="H14" i="107"/>
  <c r="C15" i="107"/>
  <c r="E14" i="107"/>
  <c r="G16" i="107"/>
  <c r="B14" i="107"/>
  <c r="F16" i="107"/>
  <c r="E18" i="107"/>
  <c r="B16" i="107"/>
  <c r="F13" i="107"/>
  <c r="E15" i="107"/>
  <c r="D17" i="107"/>
  <c r="B18" i="107"/>
  <c r="C12" i="107"/>
  <c r="E19" i="107"/>
  <c r="F12" i="107"/>
  <c r="H12" i="107"/>
  <c r="C11" i="120" l="1"/>
  <c r="C10" i="120"/>
  <c r="G13" i="120"/>
  <c r="F14" i="120"/>
  <c r="F11" i="120"/>
  <c r="E11" i="120"/>
  <c r="D11" i="120"/>
  <c r="G10" i="120"/>
  <c r="E14" i="120"/>
  <c r="C14" i="120"/>
  <c r="B13" i="120"/>
  <c r="E15" i="120"/>
  <c r="G12" i="120"/>
  <c r="G11" i="120"/>
  <c r="F12" i="120"/>
  <c r="E12" i="120"/>
  <c r="C13" i="120"/>
  <c r="H12" i="120"/>
  <c r="F13" i="120"/>
  <c r="E13" i="120"/>
  <c r="J14" i="120"/>
  <c r="J15" i="120"/>
  <c r="I10" i="120"/>
  <c r="D13" i="120"/>
  <c r="F10" i="120"/>
  <c r="E10" i="120"/>
  <c r="D15" i="120"/>
  <c r="C15" i="120"/>
  <c r="J13" i="120"/>
  <c r="C12" i="120"/>
  <c r="I15" i="120"/>
  <c r="F15" i="120"/>
  <c r="H11" i="120"/>
  <c r="B11" i="120"/>
  <c r="B14" i="120"/>
  <c r="I11" i="120"/>
  <c r="D12" i="120"/>
  <c r="D10" i="120"/>
  <c r="J10" i="120"/>
  <c r="J12" i="120"/>
  <c r="H13" i="120"/>
  <c r="I14" i="120"/>
  <c r="H14" i="120"/>
  <c r="H10" i="120"/>
  <c r="B12" i="120"/>
  <c r="J11" i="120"/>
  <c r="I12" i="120"/>
  <c r="B15" i="120"/>
  <c r="G15" i="120"/>
  <c r="B10" i="120"/>
  <c r="I13" i="120"/>
  <c r="H15" i="120"/>
  <c r="G14" i="120"/>
  <c r="D14" i="120"/>
  <c r="B44" i="137"/>
  <c r="E43" i="137"/>
  <c r="D44" i="137"/>
  <c r="E38" i="137"/>
  <c r="D37" i="137"/>
  <c r="G45" i="137"/>
  <c r="C42" i="137"/>
  <c r="B45" i="137"/>
  <c r="C37" i="137"/>
  <c r="E41" i="137"/>
  <c r="F44" i="137"/>
  <c r="G41" i="137"/>
  <c r="B43" i="137"/>
  <c r="C38" i="137"/>
  <c r="G39" i="137"/>
  <c r="D39" i="137"/>
  <c r="C39" i="137"/>
  <c r="B41" i="137"/>
  <c r="F37" i="137"/>
  <c r="E37" i="137"/>
  <c r="C43" i="137"/>
  <c r="F46" i="137"/>
  <c r="G42" i="137"/>
  <c r="E40" i="137"/>
  <c r="C40" i="137"/>
  <c r="D40" i="137"/>
  <c r="E45" i="137"/>
  <c r="E44" i="137"/>
  <c r="D41" i="137"/>
  <c r="B39" i="137"/>
  <c r="F41" i="137"/>
  <c r="C41" i="137"/>
  <c r="C44" i="137"/>
  <c r="B40" i="137"/>
  <c r="G40" i="137"/>
  <c r="D45" i="137"/>
  <c r="B38" i="137"/>
  <c r="C46" i="137"/>
  <c r="F45" i="137"/>
  <c r="F38" i="137"/>
  <c r="D42" i="137"/>
  <c r="D46" i="137"/>
  <c r="G46" i="137"/>
  <c r="G38" i="137"/>
  <c r="B37" i="137"/>
  <c r="D43" i="137"/>
  <c r="E39" i="137"/>
  <c r="F43" i="137"/>
  <c r="G43" i="137"/>
  <c r="C45" i="137"/>
  <c r="F39" i="137"/>
  <c r="F40" i="137"/>
  <c r="G44" i="137"/>
  <c r="B42" i="137"/>
  <c r="G37" i="137"/>
  <c r="E46" i="137"/>
  <c r="D38" i="137"/>
  <c r="E42" i="137"/>
  <c r="F42" i="137"/>
  <c r="E16" i="137"/>
  <c r="G17" i="137"/>
  <c r="E18" i="137"/>
  <c r="F19" i="137"/>
  <c r="C12" i="137"/>
  <c r="C18" i="137"/>
  <c r="D11" i="137"/>
  <c r="E20" i="137"/>
  <c r="B17" i="137"/>
  <c r="F20" i="137"/>
  <c r="D19" i="137"/>
  <c r="E13" i="137"/>
  <c r="C11" i="137"/>
  <c r="G13" i="137"/>
  <c r="F11" i="137"/>
  <c r="B11" i="137"/>
  <c r="D17" i="137"/>
  <c r="D14" i="137"/>
  <c r="E11" i="137"/>
  <c r="G12" i="137"/>
  <c r="C14" i="137"/>
  <c r="B18" i="137"/>
  <c r="E19" i="137"/>
  <c r="E12" i="137"/>
  <c r="F14" i="137"/>
  <c r="B20" i="137"/>
  <c r="G14" i="137"/>
  <c r="G16" i="137"/>
  <c r="B16" i="137"/>
  <c r="G20" i="137"/>
  <c r="D12" i="137"/>
  <c r="D20" i="137"/>
  <c r="C15" i="137"/>
  <c r="E17" i="137"/>
  <c r="B19" i="137"/>
  <c r="G18" i="137"/>
  <c r="D18" i="137"/>
  <c r="D16" i="137"/>
  <c r="B13" i="137"/>
  <c r="C13" i="137"/>
  <c r="G19" i="137"/>
  <c r="F16" i="137"/>
  <c r="D15" i="137"/>
  <c r="F15" i="137"/>
  <c r="F12" i="137"/>
  <c r="F13" i="137"/>
  <c r="E15" i="137"/>
  <c r="C17" i="137"/>
  <c r="G15" i="137"/>
  <c r="B15" i="137"/>
  <c r="E14" i="137"/>
  <c r="B14" i="137"/>
  <c r="F17" i="137"/>
  <c r="C19" i="137"/>
  <c r="C20" i="137"/>
  <c r="D13" i="137"/>
  <c r="B12" i="137"/>
  <c r="G11" i="137"/>
  <c r="F18" i="137"/>
  <c r="C16" i="137"/>
  <c r="E21" i="81"/>
  <c r="C17" i="81"/>
  <c r="D15" i="81"/>
  <c r="H14" i="81"/>
  <c r="E17" i="81"/>
  <c r="G14" i="81"/>
  <c r="G21" i="81"/>
  <c r="G15" i="81"/>
  <c r="E19" i="81"/>
  <c r="E12" i="81"/>
  <c r="B43" i="81"/>
  <c r="H42" i="81"/>
  <c r="C33" i="81"/>
  <c r="H41" i="81"/>
  <c r="H37" i="81"/>
  <c r="G40" i="81"/>
  <c r="E42" i="81"/>
  <c r="D39" i="81"/>
  <c r="G43" i="81"/>
  <c r="F13" i="81"/>
  <c r="B13" i="81"/>
  <c r="C14" i="81"/>
  <c r="D11" i="81"/>
  <c r="B20" i="81"/>
  <c r="D21" i="81"/>
  <c r="E40" i="81"/>
  <c r="D34" i="81"/>
  <c r="H36" i="81"/>
  <c r="B35" i="81"/>
  <c r="E35" i="81"/>
  <c r="E33" i="81"/>
  <c r="D41" i="81"/>
  <c r="C35" i="81"/>
  <c r="B18" i="81"/>
  <c r="D16" i="81"/>
  <c r="G12" i="81"/>
  <c r="G13" i="81"/>
  <c r="B41" i="81"/>
  <c r="F42" i="81"/>
  <c r="C39" i="81"/>
  <c r="H17" i="81"/>
  <c r="B14" i="81"/>
  <c r="B17" i="81"/>
  <c r="E14" i="81"/>
  <c r="F15" i="81"/>
  <c r="B16" i="81"/>
  <c r="H16" i="81"/>
  <c r="F14" i="81"/>
  <c r="F11" i="81"/>
  <c r="B15" i="81"/>
  <c r="F36" i="81"/>
  <c r="F37" i="81"/>
  <c r="F35" i="81"/>
  <c r="C42" i="81"/>
  <c r="E34" i="81"/>
  <c r="D38" i="81"/>
  <c r="D33" i="81"/>
  <c r="F38" i="81"/>
  <c r="F33" i="81"/>
  <c r="C40" i="81"/>
  <c r="G19" i="81"/>
  <c r="C15" i="81"/>
  <c r="D19" i="81"/>
  <c r="H39" i="81"/>
  <c r="C34" i="81"/>
  <c r="C38" i="81"/>
  <c r="C37" i="81"/>
  <c r="D40" i="81"/>
  <c r="G36" i="81"/>
  <c r="E39" i="81"/>
  <c r="F39" i="81"/>
  <c r="C20" i="81"/>
  <c r="E16" i="81"/>
  <c r="B34" i="81"/>
  <c r="E38" i="81"/>
  <c r="H18" i="81"/>
  <c r="F18" i="81"/>
  <c r="H11" i="81"/>
  <c r="H21" i="81"/>
  <c r="F19" i="81"/>
  <c r="G18" i="81"/>
  <c r="E11" i="81"/>
  <c r="C18" i="81"/>
  <c r="G16" i="81"/>
  <c r="F34" i="81"/>
  <c r="C43" i="81"/>
  <c r="G35" i="81"/>
  <c r="E41" i="81"/>
  <c r="H33" i="81"/>
  <c r="C41" i="81"/>
  <c r="H40" i="81"/>
  <c r="G42" i="81"/>
  <c r="H43" i="81"/>
  <c r="G37" i="81"/>
  <c r="C19" i="81"/>
  <c r="E18" i="81"/>
  <c r="H20" i="81"/>
  <c r="C12" i="81"/>
  <c r="B12" i="81"/>
  <c r="D18" i="81"/>
  <c r="F12" i="81"/>
  <c r="F20" i="81"/>
  <c r="B19" i="81"/>
  <c r="E43" i="81"/>
  <c r="G33" i="81"/>
  <c r="E37" i="81"/>
  <c r="H35" i="81"/>
  <c r="F16" i="81"/>
  <c r="H34" i="81"/>
  <c r="E36" i="81"/>
  <c r="H13" i="81"/>
  <c r="D17" i="81"/>
  <c r="E15" i="81"/>
  <c r="G17" i="81"/>
  <c r="C11" i="81"/>
  <c r="C13" i="81"/>
  <c r="B21" i="81"/>
  <c r="D20" i="81"/>
  <c r="D13" i="81"/>
  <c r="G11" i="81"/>
  <c r="H38" i="81"/>
  <c r="F40" i="81"/>
  <c r="B33" i="81"/>
  <c r="B42" i="81"/>
  <c r="F43" i="81"/>
  <c r="D35" i="81"/>
  <c r="C36" i="81"/>
  <c r="B39" i="81"/>
  <c r="B40" i="81"/>
  <c r="D12" i="81"/>
  <c r="B11" i="81"/>
  <c r="C16" i="81"/>
  <c r="F17" i="81"/>
  <c r="C21" i="81"/>
  <c r="H15" i="81"/>
  <c r="D14" i="81"/>
  <c r="G20" i="81"/>
  <c r="F21" i="81"/>
  <c r="E13" i="81"/>
  <c r="D42" i="81"/>
  <c r="D37" i="81"/>
  <c r="B36" i="81"/>
  <c r="G34" i="81"/>
  <c r="D36" i="81"/>
  <c r="G41" i="81"/>
  <c r="G38" i="81"/>
  <c r="F41" i="81"/>
  <c r="D43" i="81"/>
  <c r="E20" i="81"/>
  <c r="H12" i="81"/>
  <c r="H19" i="81"/>
  <c r="B37" i="81"/>
  <c r="G39" i="81"/>
  <c r="B38" i="81"/>
  <c r="B20" i="138" l="1"/>
  <c r="B16" i="120"/>
  <c r="M10" i="120" s="1"/>
  <c r="J16" i="120"/>
  <c r="U10" i="120" s="1"/>
  <c r="D16" i="120"/>
  <c r="O15" i="120" s="1"/>
  <c r="E16" i="120"/>
  <c r="P14" i="120" s="1"/>
  <c r="F16" i="120"/>
  <c r="Q11" i="120" s="1"/>
  <c r="G16" i="120"/>
  <c r="R11" i="120" s="1"/>
  <c r="I16" i="120"/>
  <c r="T14" i="120" s="1"/>
  <c r="C16" i="120"/>
  <c r="N12" i="120" s="1"/>
  <c r="H16" i="120"/>
  <c r="S14" i="120" s="1"/>
  <c r="F20" i="138"/>
  <c r="E20" i="138"/>
  <c r="C20" i="138"/>
  <c r="D20" i="138"/>
  <c r="F81" i="28"/>
  <c r="F74" i="28"/>
  <c r="F77" i="28"/>
  <c r="F83" i="28"/>
  <c r="F79" i="28"/>
  <c r="F87" i="28"/>
  <c r="F82" i="28"/>
  <c r="F85" i="28"/>
  <c r="F80" i="28"/>
  <c r="F84" i="28"/>
  <c r="F86" i="28"/>
  <c r="F75" i="28"/>
  <c r="F76" i="28"/>
  <c r="F78" i="28"/>
  <c r="T15" i="120" l="1"/>
  <c r="M14" i="120"/>
  <c r="U15" i="120"/>
  <c r="T13" i="120"/>
  <c r="M13" i="120"/>
  <c r="M11" i="120"/>
  <c r="M12" i="120"/>
  <c r="Q15" i="120"/>
  <c r="O12" i="120"/>
  <c r="O11" i="120"/>
  <c r="T11" i="120"/>
  <c r="M15" i="120"/>
  <c r="N13" i="120"/>
  <c r="N10" i="120"/>
  <c r="O13" i="120"/>
  <c r="T12" i="120"/>
  <c r="P11" i="120"/>
  <c r="N15" i="120"/>
  <c r="P15" i="120"/>
  <c r="Q13" i="120"/>
  <c r="P10" i="120"/>
  <c r="Q10" i="120"/>
  <c r="O14" i="120"/>
  <c r="N11" i="120"/>
  <c r="P12" i="120"/>
  <c r="U12" i="120"/>
  <c r="Q12" i="120"/>
  <c r="P13" i="120"/>
  <c r="U14" i="120"/>
  <c r="T10" i="120"/>
  <c r="O10" i="120"/>
  <c r="U13" i="120"/>
  <c r="U11" i="120"/>
  <c r="N14" i="120"/>
  <c r="S11" i="120"/>
  <c r="S12" i="120"/>
  <c r="R12" i="120"/>
  <c r="Q14" i="120"/>
  <c r="S15" i="120"/>
  <c r="S13" i="120"/>
  <c r="R15" i="120"/>
  <c r="R14" i="120"/>
  <c r="R13" i="120"/>
  <c r="S10" i="120"/>
  <c r="R10" i="120"/>
  <c r="G16" i="28"/>
  <c r="G13" i="28"/>
  <c r="G15" i="28"/>
  <c r="F15" i="28"/>
  <c r="F16" i="28"/>
  <c r="G20" i="28"/>
  <c r="G19" i="28"/>
  <c r="F23" i="28"/>
  <c r="G14" i="28"/>
  <c r="F14" i="28"/>
  <c r="G23" i="28"/>
  <c r="F13" i="28"/>
  <c r="F17" i="28"/>
  <c r="G18" i="28"/>
  <c r="F18" i="28"/>
  <c r="F20" i="28"/>
  <c r="F19" i="28"/>
  <c r="G17" i="28"/>
  <c r="F15" i="105" l="1"/>
  <c r="F21" i="105"/>
  <c r="F16" i="105"/>
  <c r="F20" i="105"/>
  <c r="F14" i="105"/>
  <c r="F18" i="105"/>
  <c r="F19" i="105"/>
  <c r="D49" i="28"/>
  <c r="F17" i="105"/>
  <c r="D87" i="28"/>
  <c r="C87" i="28"/>
  <c r="E87" i="28"/>
  <c r="B87" i="28"/>
  <c r="B60" i="28"/>
  <c r="C60" i="28"/>
  <c r="E60" i="28"/>
  <c r="D60" i="28"/>
  <c r="B47" i="28"/>
  <c r="D46" i="16"/>
  <c r="D32" i="16"/>
  <c r="D43" i="16"/>
  <c r="D11" i="16"/>
  <c r="D14" i="16"/>
  <c r="D51" i="16"/>
  <c r="D27" i="16"/>
  <c r="D36" i="16"/>
  <c r="D13" i="16"/>
  <c r="D44" i="16"/>
  <c r="D22" i="16"/>
  <c r="D26" i="16"/>
  <c r="D15" i="16"/>
  <c r="D45" i="16"/>
  <c r="D50" i="16"/>
  <c r="D35" i="16"/>
  <c r="D20" i="16"/>
  <c r="D21" i="16"/>
  <c r="D41" i="16"/>
  <c r="D52" i="16"/>
  <c r="D34" i="16"/>
  <c r="D42" i="16"/>
  <c r="D10" i="16"/>
  <c r="D31" i="16"/>
  <c r="D16" i="16"/>
  <c r="D12" i="16"/>
  <c r="D33" i="16"/>
  <c r="D40" i="16"/>
  <c r="D17" i="16" l="1"/>
  <c r="D23" i="16"/>
  <c r="D37" i="16"/>
  <c r="D47" i="16"/>
  <c r="D53" i="16"/>
  <c r="B68" i="76"/>
  <c r="F68" i="76"/>
  <c r="E68" i="76"/>
  <c r="C68" i="76"/>
  <c r="F52" i="76"/>
  <c r="D52" i="76"/>
  <c r="C52" i="76"/>
  <c r="B52" i="76"/>
  <c r="E52" i="76"/>
  <c r="D23" i="76"/>
  <c r="F23" i="76"/>
  <c r="B23" i="76"/>
  <c r="E23" i="76"/>
  <c r="C23" i="76"/>
  <c r="G23" i="76" l="1"/>
  <c r="D26" i="18" l="1"/>
  <c r="C23" i="19"/>
  <c r="B23" i="19"/>
  <c r="F23" i="19"/>
  <c r="G23" i="19"/>
  <c r="D23" i="19"/>
  <c r="C49" i="12"/>
  <c r="C39" i="125"/>
  <c r="A39" i="15" l="1"/>
  <c r="M23" i="15"/>
  <c r="B23" i="15"/>
  <c r="I23" i="15"/>
  <c r="J23" i="15"/>
  <c r="F23" i="15"/>
  <c r="D23" i="15"/>
  <c r="E23" i="15"/>
  <c r="K23" i="15"/>
  <c r="G23" i="15"/>
  <c r="C23" i="15"/>
  <c r="H23" i="15"/>
  <c r="L23" i="15"/>
  <c r="Q23" i="20"/>
  <c r="E21" i="20"/>
  <c r="N22" i="20"/>
  <c r="F19" i="20"/>
  <c r="F12" i="20"/>
  <c r="B18" i="20"/>
  <c r="O18" i="20"/>
  <c r="T22" i="20"/>
  <c r="I21" i="20"/>
  <c r="O20" i="20"/>
  <c r="D18" i="20"/>
  <c r="W11" i="20"/>
  <c r="B11" i="20"/>
  <c r="T14" i="20"/>
  <c r="S21" i="20"/>
  <c r="J22" i="20"/>
  <c r="Q11" i="20"/>
  <c r="O11" i="20"/>
  <c r="W22" i="20"/>
  <c r="M19" i="20"/>
  <c r="B17" i="20"/>
  <c r="F20" i="20"/>
  <c r="F22" i="20"/>
  <c r="C19" i="20"/>
  <c r="O16" i="20"/>
  <c r="B23" i="20"/>
  <c r="V13" i="20"/>
  <c r="F17" i="20"/>
  <c r="S15" i="20"/>
  <c r="F13" i="20"/>
  <c r="E22" i="20"/>
  <c r="F18" i="20"/>
  <c r="Y20" i="20"/>
  <c r="U17" i="20"/>
  <c r="N17" i="20"/>
  <c r="P22" i="20"/>
  <c r="M22" i="20"/>
  <c r="R17" i="20"/>
  <c r="T18" i="20"/>
  <c r="M16" i="20"/>
  <c r="T16" i="20"/>
  <c r="R22" i="20"/>
  <c r="D21" i="20"/>
  <c r="Y18" i="20"/>
  <c r="N19" i="20"/>
  <c r="W16" i="20"/>
  <c r="G20" i="20"/>
  <c r="U21" i="20"/>
  <c r="O15" i="20"/>
  <c r="D19" i="20"/>
  <c r="T20" i="20"/>
  <c r="V15" i="20"/>
  <c r="Q12" i="20"/>
  <c r="F23" i="20"/>
  <c r="G12" i="20"/>
  <c r="F16" i="20"/>
  <c r="Q22" i="20"/>
  <c r="K14" i="20"/>
  <c r="X17" i="20"/>
  <c r="N20" i="20"/>
  <c r="O21" i="20"/>
  <c r="V11" i="20"/>
  <c r="M14" i="20"/>
  <c r="Y12" i="20"/>
  <c r="Y15" i="20"/>
  <c r="I23" i="20"/>
  <c r="E12" i="20"/>
  <c r="Q15" i="20"/>
  <c r="X22" i="20"/>
  <c r="Q18" i="20"/>
  <c r="D17" i="20"/>
  <c r="E15" i="20"/>
  <c r="Y19" i="20"/>
  <c r="R21" i="20"/>
  <c r="W19" i="20"/>
  <c r="G15" i="20"/>
  <c r="U20" i="20"/>
  <c r="O12" i="20"/>
  <c r="R20" i="20"/>
  <c r="M20" i="20"/>
  <c r="O17" i="20"/>
  <c r="O14" i="20"/>
  <c r="C14" i="20"/>
  <c r="T11" i="20"/>
  <c r="S12" i="20"/>
  <c r="K11" i="20"/>
  <c r="P14" i="20"/>
  <c r="L21" i="20"/>
  <c r="C13" i="20"/>
  <c r="L17" i="20"/>
  <c r="P17" i="20"/>
  <c r="E18" i="20"/>
  <c r="W17" i="20"/>
  <c r="R18" i="20"/>
  <c r="B21" i="20"/>
  <c r="D11" i="20"/>
  <c r="L20" i="20"/>
  <c r="L14" i="20"/>
  <c r="Q13" i="20"/>
  <c r="Y22" i="20"/>
  <c r="E16" i="20"/>
  <c r="N13" i="20"/>
  <c r="D22" i="20"/>
  <c r="T15" i="20"/>
  <c r="P21" i="20"/>
  <c r="S16" i="20"/>
  <c r="T19" i="20"/>
  <c r="I22" i="20"/>
  <c r="S13" i="20"/>
  <c r="W12" i="20"/>
  <c r="N11" i="20"/>
  <c r="V20" i="20"/>
  <c r="V12" i="20"/>
  <c r="B14" i="20"/>
  <c r="P18" i="20"/>
  <c r="N16" i="20"/>
  <c r="W23" i="20"/>
  <c r="S22" i="20"/>
  <c r="B12" i="20"/>
  <c r="K17" i="20"/>
  <c r="M23" i="20"/>
  <c r="W15" i="20"/>
  <c r="K20" i="20"/>
  <c r="O19" i="20"/>
  <c r="P23" i="20"/>
  <c r="Q19" i="20"/>
  <c r="D20" i="20"/>
  <c r="U13" i="20"/>
  <c r="C12" i="20"/>
  <c r="K12" i="20"/>
  <c r="C21" i="20"/>
  <c r="U12" i="20"/>
  <c r="P11" i="20"/>
  <c r="X11" i="20"/>
  <c r="V23" i="20"/>
  <c r="H22" i="20"/>
  <c r="X13" i="20"/>
  <c r="G22" i="20"/>
  <c r="R15" i="20"/>
  <c r="K19" i="20"/>
  <c r="C16" i="20"/>
  <c r="R12" i="20"/>
  <c r="C15" i="20"/>
  <c r="K16" i="20"/>
  <c r="X23" i="20"/>
  <c r="J23" i="20"/>
  <c r="R16" i="20"/>
  <c r="C11" i="20"/>
  <c r="P20" i="20"/>
  <c r="R11" i="20"/>
  <c r="V19" i="20"/>
  <c r="L22" i="20"/>
  <c r="F11" i="20"/>
  <c r="K15" i="20"/>
  <c r="L13" i="20"/>
  <c r="L11" i="20"/>
  <c r="H23" i="20"/>
  <c r="G18" i="20"/>
  <c r="P13" i="20"/>
  <c r="V18" i="20"/>
  <c r="U11" i="20"/>
  <c r="B22" i="20"/>
  <c r="K13" i="20"/>
  <c r="C18" i="20"/>
  <c r="D13" i="20"/>
  <c r="N18" i="20"/>
  <c r="D14" i="20"/>
  <c r="T17" i="20"/>
  <c r="E14" i="20"/>
  <c r="S20" i="20"/>
  <c r="X19" i="20"/>
  <c r="V21" i="20"/>
  <c r="E17" i="20"/>
  <c r="B19" i="20"/>
  <c r="N12" i="20"/>
  <c r="E13" i="20"/>
  <c r="D12" i="20"/>
  <c r="B20" i="20"/>
  <c r="T21" i="20"/>
  <c r="L16" i="20"/>
  <c r="U23" i="20"/>
  <c r="T12" i="20"/>
  <c r="V22" i="20"/>
  <c r="X18" i="20"/>
  <c r="U22" i="20"/>
  <c r="N21" i="20"/>
  <c r="D16" i="20"/>
  <c r="F15" i="20"/>
  <c r="S18" i="20"/>
  <c r="O22" i="20"/>
  <c r="E20" i="20"/>
  <c r="G23" i="20"/>
  <c r="K23" i="20"/>
  <c r="G19" i="20"/>
  <c r="X20" i="20"/>
  <c r="Y23" i="20"/>
  <c r="Y17" i="20"/>
  <c r="L19" i="20"/>
  <c r="E23" i="20"/>
  <c r="O23" i="20"/>
  <c r="N23" i="20"/>
  <c r="S23" i="20"/>
  <c r="X14" i="20"/>
  <c r="G16" i="20"/>
  <c r="T23" i="20"/>
  <c r="W13" i="20"/>
  <c r="I19" i="20"/>
  <c r="L18" i="20"/>
  <c r="G21" i="20"/>
  <c r="P15" i="20"/>
  <c r="X16" i="20"/>
  <c r="Y11" i="20"/>
  <c r="H19" i="20"/>
  <c r="Q21" i="20"/>
  <c r="L12" i="20"/>
  <c r="L15" i="20"/>
  <c r="O13" i="20"/>
  <c r="E19" i="20"/>
  <c r="J21" i="20"/>
  <c r="I20" i="20"/>
  <c r="B13" i="20"/>
  <c r="U15" i="20"/>
  <c r="C20" i="20"/>
  <c r="B16" i="20"/>
  <c r="F14" i="20"/>
  <c r="E11" i="20"/>
  <c r="Y21" i="20"/>
  <c r="Y16" i="20"/>
  <c r="N14" i="20"/>
  <c r="Y14" i="20"/>
  <c r="J20" i="20"/>
  <c r="R23" i="20"/>
  <c r="Y13" i="20"/>
  <c r="W21" i="20"/>
  <c r="X21" i="20"/>
  <c r="G11" i="20"/>
  <c r="H21" i="20"/>
  <c r="Q16" i="20"/>
  <c r="B15" i="20"/>
  <c r="R13" i="20"/>
  <c r="U16" i="20"/>
  <c r="H20" i="20"/>
  <c r="S14" i="20"/>
  <c r="X12" i="20"/>
  <c r="W14" i="20"/>
  <c r="G13" i="20"/>
  <c r="P12" i="20"/>
  <c r="K18" i="20"/>
  <c r="G14" i="20"/>
  <c r="K22" i="20"/>
  <c r="R14" i="20"/>
  <c r="W18" i="20"/>
  <c r="P16" i="20"/>
  <c r="V17" i="20"/>
  <c r="M12" i="20"/>
  <c r="M11" i="20"/>
  <c r="W20" i="20"/>
  <c r="K21" i="20"/>
  <c r="F21" i="20"/>
  <c r="Q14" i="20"/>
  <c r="C22" i="20"/>
  <c r="S17" i="20"/>
  <c r="Q17" i="20"/>
  <c r="R19" i="20"/>
  <c r="G17" i="20"/>
  <c r="S11" i="20"/>
  <c r="M15" i="20"/>
  <c r="M21" i="20"/>
  <c r="U14" i="20"/>
  <c r="J19" i="20"/>
  <c r="C23" i="20"/>
  <c r="D15" i="20"/>
  <c r="C17" i="20"/>
  <c r="V16" i="20"/>
  <c r="Q20" i="20"/>
  <c r="P19" i="20"/>
  <c r="U19" i="20"/>
  <c r="M17" i="20"/>
  <c r="L23" i="20"/>
  <c r="X15" i="20"/>
  <c r="S19" i="20"/>
  <c r="U18" i="20"/>
  <c r="M13" i="20"/>
  <c r="M18" i="20"/>
  <c r="T13" i="20"/>
  <c r="N15" i="20"/>
  <c r="V14" i="20"/>
  <c r="D23" i="20"/>
  <c r="C44" i="21"/>
  <c r="G44" i="21"/>
  <c r="I44" i="21"/>
  <c r="F44" i="21"/>
  <c r="B44" i="21"/>
  <c r="H44" i="21"/>
  <c r="E44" i="21"/>
  <c r="C22" i="21"/>
  <c r="H22" i="21"/>
  <c r="I22" i="21"/>
  <c r="G22" i="21"/>
  <c r="D22" i="21"/>
  <c r="E22" i="21"/>
  <c r="F22" i="21"/>
  <c r="B22" i="21"/>
  <c r="D17" i="40"/>
  <c r="C17" i="40"/>
  <c r="B17" i="40"/>
  <c r="F17" i="40"/>
  <c r="D9" i="40"/>
  <c r="E17" i="40"/>
  <c r="F9" i="40"/>
  <c r="B9" i="40"/>
  <c r="C9" i="40"/>
  <c r="E9" i="40"/>
  <c r="L39" i="15" l="1"/>
  <c r="H39" i="15"/>
  <c r="C39" i="15"/>
  <c r="G39" i="15"/>
  <c r="K39" i="15"/>
  <c r="E39" i="15"/>
  <c r="D39" i="15"/>
  <c r="F39" i="15"/>
  <c r="J39" i="15"/>
  <c r="I39" i="15"/>
  <c r="B39" i="15"/>
  <c r="M39" i="15"/>
  <c r="O23" i="15"/>
  <c r="N23" i="15"/>
  <c r="Q23" i="15"/>
  <c r="P23" i="15"/>
  <c r="E49" i="8"/>
  <c r="Q39" i="15" l="1"/>
  <c r="O39" i="15"/>
  <c r="P39" i="15"/>
  <c r="N39" i="15"/>
  <c r="B22" i="2"/>
  <c r="D22" i="2"/>
  <c r="E22" i="2"/>
  <c r="F22" i="2"/>
  <c r="C22" i="2"/>
  <c r="G22" i="2"/>
  <c r="D37" i="114"/>
  <c r="J27" i="114"/>
  <c r="F27" i="114"/>
  <c r="D27" i="114"/>
  <c r="E37" i="114"/>
  <c r="E27" i="114"/>
  <c r="I27" i="114"/>
  <c r="C37" i="114"/>
  <c r="B37" i="114"/>
  <c r="F37" i="114"/>
  <c r="H27" i="114"/>
  <c r="G27" i="114"/>
  <c r="L27" i="114"/>
  <c r="H37" i="114"/>
  <c r="G26" i="2" l="1"/>
  <c r="G27" i="2" s="1"/>
  <c r="C26" i="2"/>
  <c r="C27" i="2" s="1"/>
  <c r="F26" i="2"/>
  <c r="F27" i="2" s="1"/>
  <c r="E26" i="2"/>
  <c r="E27" i="2" s="1"/>
  <c r="D26" i="2"/>
  <c r="D27" i="2" s="1"/>
  <c r="B26" i="2"/>
  <c r="B27" i="2" s="1"/>
  <c r="H22" i="2"/>
  <c r="H26" i="2" s="1"/>
  <c r="H27" i="2" s="1"/>
  <c r="I37" i="114"/>
  <c r="M27" i="114"/>
  <c r="J42" i="27"/>
  <c r="H42" i="21"/>
  <c r="D42" i="21"/>
  <c r="D40" i="21"/>
  <c r="B36" i="21"/>
  <c r="E40" i="21"/>
  <c r="B39" i="21"/>
  <c r="H39" i="21"/>
  <c r="H37" i="21"/>
  <c r="G40" i="21"/>
  <c r="I37" i="21"/>
  <c r="F41" i="21"/>
  <c r="E42" i="21"/>
  <c r="H38" i="21"/>
  <c r="C43" i="21"/>
  <c r="E37" i="21"/>
  <c r="D43" i="21"/>
  <c r="B40" i="21"/>
  <c r="H35" i="21"/>
  <c r="G43" i="21"/>
  <c r="G42" i="21"/>
  <c r="E35" i="21"/>
  <c r="G41" i="21"/>
  <c r="G35" i="21"/>
  <c r="F38" i="21"/>
  <c r="G39" i="21"/>
  <c r="C38" i="21"/>
  <c r="B42" i="21"/>
  <c r="C37" i="21"/>
  <c r="G38" i="21"/>
  <c r="E43" i="21"/>
  <c r="F36" i="21"/>
  <c r="C40" i="21"/>
  <c r="I36" i="21"/>
  <c r="E36" i="21"/>
  <c r="I41" i="21"/>
  <c r="F40" i="21"/>
  <c r="H36" i="21"/>
  <c r="B37" i="21"/>
  <c r="G36" i="21"/>
  <c r="I38" i="21"/>
  <c r="H41" i="21"/>
  <c r="B41" i="21"/>
  <c r="I39" i="21"/>
  <c r="F37" i="21"/>
  <c r="I43" i="21"/>
  <c r="C35" i="21"/>
  <c r="B43" i="21"/>
  <c r="E38" i="21"/>
  <c r="H40" i="21"/>
  <c r="C39" i="21"/>
  <c r="H43" i="21"/>
  <c r="D41" i="21"/>
  <c r="C36" i="21"/>
  <c r="E39" i="21"/>
  <c r="I35" i="21"/>
  <c r="E41" i="21"/>
  <c r="C41" i="21"/>
  <c r="F35" i="21"/>
  <c r="I40" i="21"/>
  <c r="C42" i="21"/>
  <c r="I42" i="21"/>
  <c r="F39" i="21"/>
  <c r="B35" i="21"/>
  <c r="F43" i="21"/>
  <c r="G37" i="21"/>
  <c r="F42" i="21"/>
  <c r="B38" i="21"/>
  <c r="I18" i="21"/>
  <c r="I11" i="21"/>
  <c r="G10" i="21"/>
  <c r="C15" i="21"/>
  <c r="E19" i="21"/>
  <c r="D21" i="21"/>
  <c r="I12" i="21"/>
  <c r="F12" i="21"/>
  <c r="B13" i="21"/>
  <c r="I19" i="21"/>
  <c r="I10" i="21"/>
  <c r="I13" i="21"/>
  <c r="H12" i="21"/>
  <c r="G15" i="21"/>
  <c r="G16" i="21"/>
  <c r="C13" i="21"/>
  <c r="C14" i="21"/>
  <c r="E13" i="21"/>
  <c r="H20" i="21"/>
  <c r="B12" i="21"/>
  <c r="H11" i="21"/>
  <c r="G17" i="21"/>
  <c r="B15" i="21"/>
  <c r="H17" i="21"/>
  <c r="G18" i="21"/>
  <c r="B17" i="21"/>
  <c r="H15" i="21"/>
  <c r="F14" i="21"/>
  <c r="I21" i="21"/>
  <c r="E18" i="21"/>
  <c r="I20" i="21"/>
  <c r="H13" i="21"/>
  <c r="G14" i="21"/>
  <c r="I15" i="21"/>
  <c r="B21" i="21"/>
  <c r="E10" i="21"/>
  <c r="B16" i="21"/>
  <c r="B14" i="21"/>
  <c r="B10" i="21"/>
  <c r="G12" i="21"/>
  <c r="G11" i="21"/>
  <c r="F17" i="21"/>
  <c r="E15" i="21"/>
  <c r="C19" i="21"/>
  <c r="I14" i="21"/>
  <c r="F19" i="21"/>
  <c r="F16" i="21"/>
  <c r="F11" i="21"/>
  <c r="I17" i="21"/>
  <c r="B18" i="21"/>
  <c r="F18" i="21"/>
  <c r="E12" i="21"/>
  <c r="C21" i="21"/>
  <c r="E17" i="21"/>
  <c r="F21" i="21"/>
  <c r="C12" i="21"/>
  <c r="D18" i="21"/>
  <c r="C20" i="21"/>
  <c r="G20" i="21"/>
  <c r="I16" i="21"/>
  <c r="F13" i="21"/>
  <c r="E20" i="21"/>
  <c r="B11" i="21"/>
  <c r="H18" i="21"/>
  <c r="G13" i="21"/>
  <c r="E14" i="21"/>
  <c r="C17" i="21"/>
  <c r="H10" i="21"/>
  <c r="F10" i="21"/>
  <c r="D20" i="21"/>
  <c r="H16" i="21"/>
  <c r="B20" i="21"/>
  <c r="G21" i="21"/>
  <c r="C16" i="21"/>
  <c r="D19" i="21"/>
  <c r="E16" i="21"/>
  <c r="B19" i="21"/>
  <c r="C10" i="21"/>
  <c r="E21" i="21"/>
  <c r="F15" i="21"/>
  <c r="G19" i="21"/>
  <c r="C11" i="21"/>
  <c r="E11" i="21"/>
  <c r="F20" i="21"/>
  <c r="H19" i="21"/>
  <c r="H21" i="21"/>
  <c r="C18" i="21"/>
  <c r="H14" i="21"/>
  <c r="J22" i="2" l="1"/>
  <c r="J26" i="2" s="1"/>
  <c r="J27" i="2" s="1"/>
  <c r="K14" i="15"/>
  <c r="E13" i="15"/>
  <c r="I14" i="15"/>
  <c r="C21" i="15"/>
  <c r="L14" i="15"/>
  <c r="M11" i="15"/>
  <c r="H17" i="15"/>
  <c r="I19" i="15"/>
  <c r="D16" i="15"/>
  <c r="M14" i="15"/>
  <c r="G22" i="15"/>
  <c r="J18" i="15"/>
  <c r="B20" i="15"/>
  <c r="H15" i="15"/>
  <c r="B22" i="15"/>
  <c r="H11" i="15"/>
  <c r="M19" i="15"/>
  <c r="K11" i="15"/>
  <c r="L15" i="15"/>
  <c r="L13" i="15"/>
  <c r="E22" i="15"/>
  <c r="M20" i="15"/>
  <c r="I22" i="15"/>
  <c r="H20" i="15"/>
  <c r="D11" i="15"/>
  <c r="J17" i="15"/>
  <c r="M13" i="15"/>
  <c r="H12" i="15"/>
  <c r="J22" i="15"/>
  <c r="C11" i="15"/>
  <c r="H13" i="15"/>
  <c r="E15" i="15"/>
  <c r="I12" i="15"/>
  <c r="F20" i="15"/>
  <c r="D18" i="15"/>
  <c r="H18" i="15"/>
  <c r="E16" i="15"/>
  <c r="J12" i="15"/>
  <c r="L18" i="15"/>
  <c r="J11" i="15"/>
  <c r="J21" i="15"/>
  <c r="K12" i="15"/>
  <c r="B21" i="15"/>
  <c r="C17" i="15"/>
  <c r="G19" i="15"/>
  <c r="B17" i="15"/>
  <c r="K20" i="15"/>
  <c r="H22" i="15"/>
  <c r="C12" i="15"/>
  <c r="B14" i="15"/>
  <c r="I11" i="15"/>
  <c r="E12" i="15"/>
  <c r="L21" i="15"/>
  <c r="K19" i="15"/>
  <c r="L22" i="15"/>
  <c r="F19" i="15"/>
  <c r="J13" i="15"/>
  <c r="I13" i="15"/>
  <c r="B11" i="15"/>
  <c r="M22" i="15"/>
  <c r="B12" i="15"/>
  <c r="I17" i="15"/>
  <c r="M16" i="15"/>
  <c r="D13" i="15"/>
  <c r="M15" i="15"/>
  <c r="I16" i="15"/>
  <c r="G21" i="15"/>
  <c r="J16" i="15"/>
  <c r="K18" i="15"/>
  <c r="D22" i="15"/>
  <c r="B15" i="15"/>
  <c r="G18" i="15"/>
  <c r="J20" i="15"/>
  <c r="E19" i="15"/>
  <c r="B18" i="15"/>
  <c r="K22" i="15"/>
  <c r="D19" i="15"/>
  <c r="L20" i="15"/>
  <c r="M12" i="15"/>
  <c r="C20" i="15"/>
  <c r="F22" i="15"/>
  <c r="I20" i="15"/>
  <c r="C18" i="15"/>
  <c r="H21" i="15"/>
  <c r="I21" i="15"/>
  <c r="M18" i="15"/>
  <c r="J14" i="15"/>
  <c r="E18" i="15"/>
  <c r="L17" i="15"/>
  <c r="C14" i="15"/>
  <c r="K21" i="15"/>
  <c r="F18" i="15"/>
  <c r="C22" i="15"/>
  <c r="M17" i="15"/>
  <c r="D14" i="15"/>
  <c r="H16" i="15"/>
  <c r="L11" i="15"/>
  <c r="I18" i="15"/>
  <c r="J19" i="15"/>
  <c r="B19" i="15"/>
  <c r="B16" i="15"/>
  <c r="J15" i="15"/>
  <c r="K17" i="15"/>
  <c r="I15" i="15"/>
  <c r="C19" i="15"/>
  <c r="H19" i="15"/>
  <c r="C16" i="15"/>
  <c r="E21" i="15"/>
  <c r="L16" i="15"/>
  <c r="E14" i="15"/>
  <c r="K13" i="15"/>
  <c r="G20" i="15"/>
  <c r="D15" i="15"/>
  <c r="F21" i="15"/>
  <c r="M21" i="15"/>
  <c r="D20" i="15"/>
  <c r="D21" i="15"/>
  <c r="L19" i="15"/>
  <c r="E11" i="15"/>
  <c r="H14" i="15"/>
  <c r="C13" i="15"/>
  <c r="K16" i="15"/>
  <c r="D12" i="15"/>
  <c r="L12" i="15"/>
  <c r="K15" i="15"/>
  <c r="B13" i="15"/>
  <c r="E20" i="15"/>
  <c r="C15" i="15"/>
  <c r="E17" i="15"/>
  <c r="D17" i="15"/>
  <c r="P15" i="15" l="1"/>
  <c r="Q17" i="15"/>
  <c r="O13" i="15"/>
  <c r="O18" i="15"/>
  <c r="P21" i="15"/>
  <c r="P22" i="15"/>
  <c r="N19" i="15"/>
  <c r="O20" i="15"/>
  <c r="Q12" i="15"/>
  <c r="P20" i="15"/>
  <c r="P19" i="15"/>
  <c r="P18" i="15"/>
  <c r="N20" i="15"/>
  <c r="O21" i="15"/>
  <c r="N13" i="15"/>
  <c r="N18" i="15"/>
  <c r="P16" i="15"/>
  <c r="O15" i="15"/>
  <c r="O14" i="15"/>
  <c r="Q20" i="15"/>
  <c r="P14" i="15"/>
  <c r="N11" i="15"/>
  <c r="N15" i="15"/>
  <c r="O16" i="15"/>
  <c r="N21" i="15"/>
  <c r="P17" i="15"/>
  <c r="P13" i="15"/>
  <c r="Q18" i="15"/>
  <c r="P12" i="15"/>
  <c r="O11" i="15"/>
  <c r="N16" i="15"/>
  <c r="O17" i="15"/>
  <c r="O22" i="15"/>
  <c r="N14" i="15"/>
  <c r="N12" i="15"/>
  <c r="Q22" i="15"/>
  <c r="P11" i="15"/>
  <c r="Q21" i="15"/>
  <c r="Q16" i="15"/>
  <c r="O19" i="15"/>
  <c r="Q11" i="15"/>
  <c r="Q15" i="15"/>
  <c r="Q13" i="15"/>
  <c r="Q19" i="15"/>
  <c r="Q14" i="15"/>
  <c r="O12" i="15"/>
  <c r="N17" i="15"/>
  <c r="N22" i="15"/>
  <c r="A29" i="2"/>
  <c r="C12" i="115"/>
  <c r="E14" i="115"/>
  <c r="E10" i="115"/>
  <c r="C15" i="115"/>
  <c r="E11" i="115"/>
  <c r="E13" i="115"/>
  <c r="D11" i="115"/>
  <c r="C10" i="115"/>
  <c r="B11" i="115"/>
  <c r="D14" i="115"/>
  <c r="D13" i="115"/>
  <c r="D15" i="115"/>
  <c r="C13" i="115"/>
  <c r="B13" i="115"/>
  <c r="D12" i="115"/>
  <c r="B12" i="115"/>
  <c r="D10" i="115"/>
  <c r="E12" i="115"/>
  <c r="E15" i="115"/>
  <c r="B15" i="115"/>
  <c r="B10" i="115"/>
  <c r="B14" i="115"/>
  <c r="C14" i="115"/>
  <c r="C11" i="115"/>
  <c r="B11" i="2"/>
  <c r="F11" i="2"/>
  <c r="F18" i="2"/>
  <c r="G10" i="2"/>
  <c r="C18" i="2"/>
  <c r="E10" i="2"/>
  <c r="E20" i="2"/>
  <c r="B21" i="2"/>
  <c r="G20" i="2"/>
  <c r="B12" i="2"/>
  <c r="E13" i="2"/>
  <c r="F21" i="2"/>
  <c r="F20" i="2"/>
  <c r="E16" i="2"/>
  <c r="E12" i="2"/>
  <c r="C10" i="2"/>
  <c r="G13" i="2"/>
  <c r="D17" i="2"/>
  <c r="C20" i="2"/>
  <c r="G15" i="2"/>
  <c r="G18" i="2"/>
  <c r="C12" i="2"/>
  <c r="C17" i="2"/>
  <c r="B14" i="2"/>
  <c r="F17" i="2"/>
  <c r="E15" i="2"/>
  <c r="G21" i="2"/>
  <c r="B19" i="2"/>
  <c r="D19" i="2"/>
  <c r="E11" i="2"/>
  <c r="F19" i="2"/>
  <c r="D20" i="2"/>
  <c r="E21" i="2"/>
  <c r="B18" i="2"/>
  <c r="E17" i="2"/>
  <c r="D21" i="2"/>
  <c r="G11" i="2"/>
  <c r="B15" i="2"/>
  <c r="C21" i="2"/>
  <c r="F14" i="2"/>
  <c r="C19" i="2"/>
  <c r="B10" i="2"/>
  <c r="C11" i="2"/>
  <c r="B20" i="2"/>
  <c r="G14" i="2"/>
  <c r="D18" i="2"/>
  <c r="F15" i="2"/>
  <c r="E14" i="2"/>
  <c r="B13" i="2"/>
  <c r="B16" i="2"/>
  <c r="F16" i="2"/>
  <c r="E18" i="2"/>
  <c r="G17" i="2"/>
  <c r="F13" i="2"/>
  <c r="C14" i="2"/>
  <c r="E19" i="2"/>
  <c r="G16" i="2"/>
  <c r="C13" i="2"/>
  <c r="F12" i="2"/>
  <c r="B17" i="2"/>
  <c r="G19" i="2"/>
  <c r="C16" i="2"/>
  <c r="F10" i="2"/>
  <c r="C15" i="2"/>
  <c r="G12" i="2"/>
  <c r="F54" i="2"/>
  <c r="F52" i="2"/>
  <c r="E43" i="2"/>
  <c r="C46" i="2"/>
  <c r="F55" i="2"/>
  <c r="C51" i="2"/>
  <c r="C55" i="2"/>
  <c r="F50" i="2"/>
  <c r="C43" i="2"/>
  <c r="B46" i="2"/>
  <c r="E44" i="2"/>
  <c r="C52" i="2"/>
  <c r="B47" i="2"/>
  <c r="D51" i="2"/>
  <c r="E52" i="2"/>
  <c r="C47" i="2"/>
  <c r="F49" i="2"/>
  <c r="B44" i="2"/>
  <c r="E50" i="2"/>
  <c r="B43" i="2"/>
  <c r="B52" i="2"/>
  <c r="E49" i="2"/>
  <c r="F46" i="2"/>
  <c r="C44" i="2"/>
  <c r="F53" i="2"/>
  <c r="F43" i="2"/>
  <c r="C54" i="2"/>
  <c r="F47" i="2"/>
  <c r="C49" i="2"/>
  <c r="F48" i="2"/>
  <c r="B45" i="2"/>
  <c r="C53" i="2"/>
  <c r="F44" i="2"/>
  <c r="D53" i="2"/>
  <c r="B50" i="2"/>
  <c r="E55" i="2"/>
  <c r="B49" i="2"/>
  <c r="C48" i="2"/>
  <c r="D55" i="2"/>
  <c r="F51" i="2"/>
  <c r="C45" i="2"/>
  <c r="D50" i="2"/>
  <c r="E46" i="2"/>
  <c r="B48" i="2"/>
  <c r="E45" i="2"/>
  <c r="D52" i="2"/>
  <c r="B53" i="2"/>
  <c r="E53" i="2"/>
  <c r="D54" i="2"/>
  <c r="B55" i="2"/>
  <c r="E48" i="2"/>
  <c r="F45" i="2"/>
  <c r="B54" i="2"/>
  <c r="E47" i="2"/>
  <c r="C50" i="2"/>
  <c r="E51" i="2"/>
  <c r="B51" i="2"/>
  <c r="H12" i="126"/>
  <c r="E12" i="126"/>
  <c r="F12" i="126"/>
  <c r="C12" i="126"/>
  <c r="G12" i="126"/>
  <c r="B12" i="126"/>
  <c r="D12" i="126"/>
  <c r="B63" i="2" l="1"/>
  <c r="B64" i="2" s="1"/>
  <c r="E63" i="2"/>
  <c r="E64" i="2" s="1"/>
  <c r="B59" i="2"/>
  <c r="B60" i="2" s="1"/>
  <c r="F63" i="2"/>
  <c r="F64" i="2" s="1"/>
  <c r="D59" i="2"/>
  <c r="D60" i="2" s="1"/>
  <c r="E59" i="2"/>
  <c r="E60" i="2" s="1"/>
  <c r="D63" i="2"/>
  <c r="D64" i="2" s="1"/>
  <c r="C59" i="2"/>
  <c r="C60" i="2" s="1"/>
  <c r="C63" i="2"/>
  <c r="C64" i="2" s="1"/>
  <c r="F59" i="2"/>
  <c r="F60" i="2" s="1"/>
  <c r="G19" i="33"/>
  <c r="G55" i="2"/>
  <c r="G59" i="2" s="1"/>
  <c r="G60" i="2" s="1"/>
  <c r="E30" i="2"/>
  <c r="C30" i="2"/>
  <c r="B30" i="2"/>
  <c r="B31" i="2" s="1"/>
  <c r="G30" i="2"/>
  <c r="F30" i="2"/>
  <c r="D30" i="2"/>
  <c r="F15" i="115"/>
  <c r="K16" i="24" l="1"/>
  <c r="D16" i="24"/>
  <c r="K12" i="24"/>
  <c r="L14" i="24"/>
  <c r="E18" i="24"/>
  <c r="D21" i="24"/>
  <c r="L18" i="24"/>
  <c r="E19" i="24"/>
  <c r="J20" i="24"/>
  <c r="M16" i="24"/>
  <c r="F20" i="24"/>
  <c r="H21" i="24"/>
  <c r="L21" i="24"/>
  <c r="E20" i="24"/>
  <c r="F18" i="24"/>
  <c r="M19" i="24"/>
  <c r="F15" i="24"/>
  <c r="N22" i="24"/>
  <c r="C23" i="24"/>
  <c r="J19" i="24"/>
  <c r="B19" i="24"/>
  <c r="F14" i="24"/>
  <c r="K20" i="24"/>
  <c r="D17" i="24"/>
  <c r="B12" i="24"/>
  <c r="L16" i="24"/>
  <c r="D18" i="24"/>
  <c r="F17" i="24"/>
  <c r="L13" i="24"/>
  <c r="E22" i="24"/>
  <c r="C14" i="24"/>
  <c r="D13" i="24"/>
  <c r="B17" i="24"/>
  <c r="K14" i="24"/>
  <c r="E13" i="24"/>
  <c r="M21" i="24"/>
  <c r="B21" i="24"/>
  <c r="K15" i="24"/>
  <c r="K23" i="24"/>
  <c r="I17" i="24"/>
  <c r="C17" i="24"/>
  <c r="H12" i="24"/>
  <c r="J17" i="24"/>
  <c r="C19" i="24"/>
  <c r="G22" i="24"/>
  <c r="I13" i="24"/>
  <c r="C16" i="24"/>
  <c r="D20" i="24"/>
  <c r="L22" i="24"/>
  <c r="E21" i="24"/>
  <c r="F21" i="24"/>
  <c r="J18" i="24"/>
  <c r="D19" i="24"/>
  <c r="H17" i="24"/>
  <c r="L19" i="24"/>
  <c r="D14" i="24"/>
  <c r="M20" i="24"/>
  <c r="I14" i="24"/>
  <c r="J21" i="24"/>
  <c r="B16" i="24"/>
  <c r="N15" i="24"/>
  <c r="G12" i="24"/>
  <c r="F16" i="24"/>
  <c r="H23" i="24"/>
  <c r="N12" i="24"/>
  <c r="I21" i="24"/>
  <c r="M23" i="24"/>
  <c r="F13" i="24"/>
  <c r="L15" i="24"/>
  <c r="G23" i="24"/>
  <c r="G13" i="24"/>
  <c r="B15" i="24"/>
  <c r="D23" i="24"/>
  <c r="I18" i="24"/>
  <c r="C21" i="24"/>
  <c r="L23" i="24"/>
  <c r="I19" i="24"/>
  <c r="B14" i="24"/>
  <c r="I16" i="24"/>
  <c r="L20" i="24"/>
  <c r="D15" i="24"/>
  <c r="C13" i="24"/>
  <c r="B13" i="24"/>
  <c r="C22" i="24"/>
  <c r="K18" i="24"/>
  <c r="H16" i="24"/>
  <c r="C15" i="24"/>
  <c r="H13" i="24"/>
  <c r="D22" i="24"/>
  <c r="C20" i="24"/>
  <c r="B22" i="24"/>
  <c r="B23" i="24"/>
  <c r="M22" i="24"/>
  <c r="H20" i="24"/>
  <c r="L17" i="24"/>
  <c r="N16" i="24"/>
  <c r="G19" i="24"/>
  <c r="F12" i="24"/>
  <c r="N17" i="24"/>
  <c r="F22" i="24"/>
  <c r="E12" i="24"/>
  <c r="E23" i="24"/>
  <c r="I20" i="24"/>
  <c r="B18" i="24"/>
  <c r="N13" i="24"/>
  <c r="F19" i="24"/>
  <c r="L12" i="24"/>
  <c r="F23" i="24"/>
  <c r="G18" i="24"/>
  <c r="C18" i="24"/>
  <c r="J22" i="24"/>
  <c r="E17" i="24"/>
  <c r="K17" i="24"/>
  <c r="H15" i="24"/>
  <c r="E14" i="24"/>
  <c r="N18" i="24"/>
  <c r="N21" i="24"/>
  <c r="H22" i="24"/>
  <c r="M13" i="24"/>
  <c r="N23" i="24"/>
  <c r="J23" i="24"/>
  <c r="K13" i="24"/>
  <c r="G20" i="24"/>
  <c r="I22" i="24"/>
  <c r="M14" i="24"/>
  <c r="H14" i="24"/>
  <c r="M18" i="24"/>
  <c r="M15" i="24"/>
  <c r="G17" i="24"/>
  <c r="D12" i="24"/>
  <c r="I23" i="24"/>
  <c r="G16" i="24"/>
  <c r="M12" i="24"/>
  <c r="N19" i="24"/>
  <c r="G14" i="24"/>
  <c r="C12" i="24"/>
  <c r="N14" i="24"/>
  <c r="G21" i="24"/>
  <c r="I12" i="24"/>
  <c r="E16" i="24"/>
  <c r="K22" i="24"/>
  <c r="E15" i="24"/>
  <c r="G15" i="24"/>
  <c r="K21" i="24"/>
  <c r="N20" i="24"/>
  <c r="H18" i="24"/>
  <c r="M17" i="24"/>
  <c r="K19" i="24"/>
  <c r="H19" i="24"/>
  <c r="B20" i="24"/>
  <c r="I15" i="24"/>
  <c r="F12" i="12"/>
  <c r="E26" i="16" l="1"/>
  <c r="F26" i="16"/>
  <c r="H21" i="2"/>
  <c r="C32" i="125"/>
  <c r="C31" i="7"/>
  <c r="C19" i="7"/>
  <c r="C38" i="7"/>
  <c r="C56" i="7"/>
  <c r="C34" i="7"/>
  <c r="E49" i="7"/>
  <c r="C37" i="7"/>
  <c r="D44" i="7"/>
  <c r="C44" i="7"/>
  <c r="C12" i="7"/>
  <c r="B13" i="138" l="1"/>
  <c r="C13" i="138"/>
  <c r="D13" i="138"/>
  <c r="E13" i="138"/>
  <c r="F13" i="138"/>
  <c r="B14" i="138"/>
  <c r="C14" i="138"/>
  <c r="D14" i="138"/>
  <c r="E14" i="138"/>
  <c r="F14" i="138"/>
  <c r="B15" i="138"/>
  <c r="C15" i="138"/>
  <c r="D15" i="138"/>
  <c r="E15" i="138"/>
  <c r="F15" i="138"/>
  <c r="B16" i="138"/>
  <c r="C16" i="138"/>
  <c r="D16" i="138"/>
  <c r="E16" i="138"/>
  <c r="F16" i="138"/>
  <c r="B17" i="138"/>
  <c r="C17" i="138"/>
  <c r="D17" i="138"/>
  <c r="E17" i="138"/>
  <c r="F17" i="138"/>
  <c r="D11" i="138"/>
  <c r="E11" i="138"/>
  <c r="F11" i="138"/>
  <c r="D12" i="138"/>
  <c r="E12" i="138"/>
  <c r="F12" i="138"/>
  <c r="C11" i="138"/>
  <c r="C12" i="138"/>
  <c r="B11" i="138"/>
  <c r="B12" i="138"/>
  <c r="B48" i="19"/>
  <c r="I48" i="19"/>
  <c r="H48" i="19"/>
  <c r="G48" i="19"/>
  <c r="F48" i="19"/>
  <c r="E48" i="19"/>
  <c r="D48" i="19"/>
  <c r="C48" i="19"/>
  <c r="F289" i="224"/>
  <c r="F288" i="224"/>
  <c r="F287" i="224"/>
  <c r="F286" i="224"/>
  <c r="F285" i="224"/>
  <c r="F284" i="224"/>
  <c r="F283" i="224"/>
  <c r="F282" i="224"/>
  <c r="F281" i="224"/>
  <c r="F280" i="224"/>
  <c r="F279" i="224"/>
  <c r="F278" i="224"/>
  <c r="F277" i="224"/>
  <c r="F276" i="224"/>
  <c r="F275" i="224"/>
  <c r="F274" i="224"/>
  <c r="F273" i="224"/>
  <c r="F272" i="224"/>
  <c r="F271" i="224"/>
  <c r="F270" i="224"/>
  <c r="F269" i="224"/>
  <c r="F268" i="224"/>
  <c r="F267" i="224"/>
  <c r="F266" i="224"/>
  <c r="F265" i="224"/>
  <c r="F264" i="224"/>
  <c r="F263" i="224"/>
  <c r="F262" i="224"/>
  <c r="F261" i="224"/>
  <c r="F260" i="224"/>
  <c r="F259" i="224"/>
  <c r="F258" i="224"/>
  <c r="H161" i="221"/>
  <c r="H160" i="221"/>
  <c r="H159" i="221"/>
  <c r="H158" i="221"/>
  <c r="H157" i="221"/>
  <c r="H156" i="221"/>
  <c r="H155" i="221"/>
  <c r="H154" i="221"/>
  <c r="H153" i="221"/>
  <c r="H152" i="221"/>
  <c r="H151" i="221"/>
  <c r="H150" i="221"/>
  <c r="H149" i="221"/>
  <c r="H148" i="221"/>
  <c r="H147" i="221"/>
  <c r="H146" i="221"/>
  <c r="H145" i="221"/>
  <c r="H144" i="221"/>
  <c r="H143" i="221"/>
  <c r="H142" i="221"/>
  <c r="H141" i="221"/>
  <c r="H140" i="221"/>
  <c r="H139" i="221"/>
  <c r="H138" i="221"/>
  <c r="H137" i="221"/>
  <c r="H136" i="221"/>
  <c r="H135" i="221"/>
  <c r="H134" i="221"/>
  <c r="H133" i="221"/>
  <c r="H132" i="221"/>
  <c r="H131" i="221"/>
  <c r="H130" i="221"/>
  <c r="C27" i="7"/>
  <c r="C63" i="7"/>
  <c r="C51" i="7"/>
  <c r="D27" i="7"/>
  <c r="H27" i="7"/>
  <c r="C49" i="7"/>
  <c r="C59" i="7"/>
  <c r="A10" i="96" l="1"/>
  <c r="D20" i="96"/>
  <c r="D18" i="96"/>
  <c r="D22" i="96"/>
  <c r="D17" i="96"/>
  <c r="D21" i="96"/>
  <c r="D19" i="96"/>
  <c r="D16" i="96"/>
  <c r="D15" i="96"/>
  <c r="D13" i="96"/>
  <c r="D12" i="96"/>
  <c r="D14" i="96"/>
  <c r="D23" i="96" l="1"/>
  <c r="G10" i="33"/>
  <c r="G11" i="33"/>
  <c r="G12" i="33"/>
  <c r="G13" i="33"/>
  <c r="G14" i="33"/>
  <c r="G15" i="33"/>
  <c r="G16" i="33"/>
  <c r="G17" i="33"/>
  <c r="G18" i="33"/>
  <c r="B86" i="28" l="1"/>
  <c r="F11" i="115"/>
  <c r="F12" i="115"/>
  <c r="F13" i="115"/>
  <c r="F14" i="115"/>
  <c r="F10" i="115"/>
  <c r="G43" i="2"/>
  <c r="G44" i="2"/>
  <c r="G45" i="2"/>
  <c r="G46" i="2"/>
  <c r="G47" i="2"/>
  <c r="G48" i="2"/>
  <c r="G49" i="2"/>
  <c r="G50" i="2"/>
  <c r="G51" i="2"/>
  <c r="G63" i="2" s="1"/>
  <c r="G64" i="2" s="1"/>
  <c r="G52" i="2"/>
  <c r="G53" i="2"/>
  <c r="G54" i="2"/>
  <c r="C31" i="2"/>
  <c r="E31" i="2"/>
  <c r="F31" i="2"/>
  <c r="G31" i="2"/>
  <c r="H20" i="2"/>
  <c r="H11" i="2"/>
  <c r="J11" i="2" s="1"/>
  <c r="H12" i="2"/>
  <c r="J12" i="2" s="1"/>
  <c r="H13" i="2"/>
  <c r="J13" i="2" s="1"/>
  <c r="H14" i="2"/>
  <c r="J14" i="2" s="1"/>
  <c r="H15" i="2"/>
  <c r="J15" i="2" s="1"/>
  <c r="H16" i="2"/>
  <c r="J16" i="2" s="1"/>
  <c r="H17" i="2"/>
  <c r="H18" i="2"/>
  <c r="J18" i="2" s="1"/>
  <c r="H19" i="2"/>
  <c r="J19" i="2" s="1"/>
  <c r="H10" i="2"/>
  <c r="F16" i="124"/>
  <c r="A39" i="22"/>
  <c r="B39" i="22"/>
  <c r="C39" i="22"/>
  <c r="D39" i="22"/>
  <c r="E39" i="22"/>
  <c r="H16" i="114"/>
  <c r="F16" i="114"/>
  <c r="D36" i="114"/>
  <c r="B16" i="114"/>
  <c r="F26" i="114"/>
  <c r="E26" i="114"/>
  <c r="B36" i="114"/>
  <c r="G26" i="114"/>
  <c r="D16" i="114"/>
  <c r="H26" i="114"/>
  <c r="C36" i="114"/>
  <c r="C16" i="114"/>
  <c r="J26" i="114"/>
  <c r="I26" i="114"/>
  <c r="E36" i="114"/>
  <c r="D26" i="114"/>
  <c r="F36" i="114"/>
  <c r="G16" i="114"/>
  <c r="L26" i="114"/>
  <c r="J16" i="114"/>
  <c r="H36" i="114"/>
  <c r="F39" i="22" l="1"/>
  <c r="J17" i="2"/>
  <c r="J30" i="2" s="1"/>
  <c r="H30" i="2"/>
  <c r="H31" i="2" s="1"/>
  <c r="J20" i="2"/>
  <c r="M26" i="114"/>
  <c r="I36" i="114"/>
  <c r="E16" i="114"/>
  <c r="K16" i="114"/>
  <c r="J21" i="2"/>
  <c r="I42" i="34"/>
  <c r="J31" i="2" l="1"/>
  <c r="I42" i="27"/>
  <c r="A86" i="28" l="1"/>
  <c r="D86" i="28"/>
  <c r="D85" i="28"/>
  <c r="A85" i="28"/>
  <c r="A52" i="28"/>
  <c r="A59" i="28"/>
  <c r="A58" i="28"/>
  <c r="E58" i="28" l="1"/>
  <c r="E59" i="28"/>
  <c r="D59" i="28"/>
  <c r="C58" i="28"/>
  <c r="C86" i="28"/>
  <c r="C59" i="28"/>
  <c r="C85" i="28"/>
  <c r="B59" i="28"/>
  <c r="B85" i="28"/>
  <c r="B58" i="28"/>
  <c r="E86" i="28"/>
  <c r="E85" i="28"/>
  <c r="D58" i="28"/>
  <c r="I23" i="114"/>
  <c r="I25" i="114"/>
  <c r="J23" i="114"/>
  <c r="D33" i="114"/>
  <c r="D34" i="114"/>
  <c r="B33" i="114"/>
  <c r="H14" i="114"/>
  <c r="G23" i="114"/>
  <c r="F25" i="114"/>
  <c r="B35" i="114"/>
  <c r="F13" i="114"/>
  <c r="H15" i="114"/>
  <c r="D25" i="114"/>
  <c r="G15" i="114"/>
  <c r="H25" i="114"/>
  <c r="D24" i="114"/>
  <c r="G25" i="114"/>
  <c r="C14" i="114"/>
  <c r="C35" i="114"/>
  <c r="E24" i="114"/>
  <c r="F24" i="114"/>
  <c r="B34" i="114"/>
  <c r="I24" i="114"/>
  <c r="F14" i="114"/>
  <c r="E35" i="114"/>
  <c r="D14" i="114"/>
  <c r="G24" i="114"/>
  <c r="J24" i="114"/>
  <c r="B13" i="114"/>
  <c r="C33" i="114"/>
  <c r="F34" i="114"/>
  <c r="H24" i="114"/>
  <c r="D23" i="114"/>
  <c r="E34" i="114"/>
  <c r="C13" i="114"/>
  <c r="E23" i="114"/>
  <c r="B14" i="114"/>
  <c r="G13" i="114"/>
  <c r="F35" i="114"/>
  <c r="E33" i="114"/>
  <c r="F15" i="114"/>
  <c r="C34" i="114"/>
  <c r="E25" i="114"/>
  <c r="D35" i="114"/>
  <c r="F33" i="114"/>
  <c r="G14" i="114"/>
  <c r="H23" i="114"/>
  <c r="J25" i="114"/>
  <c r="H13" i="114"/>
  <c r="F23" i="114"/>
  <c r="D13" i="114"/>
  <c r="L24" i="114"/>
  <c r="J15" i="114"/>
  <c r="J13" i="114"/>
  <c r="J14" i="114"/>
  <c r="L23" i="114"/>
  <c r="H35" i="114"/>
  <c r="H33" i="114"/>
  <c r="L25" i="114"/>
  <c r="H34" i="114"/>
  <c r="K13" i="114" l="1"/>
  <c r="E13" i="114"/>
  <c r="E14" i="114"/>
  <c r="K15" i="114"/>
  <c r="B15" i="114"/>
  <c r="C15" i="114"/>
  <c r="D15" i="114"/>
  <c r="E15" i="114" l="1"/>
  <c r="C42" i="27"/>
  <c r="D42" i="27"/>
  <c r="E42" i="27"/>
  <c r="F42" i="27"/>
  <c r="G42" i="27"/>
  <c r="H42" i="27"/>
  <c r="C31" i="16"/>
  <c r="A9" i="13"/>
  <c r="A9" i="11"/>
  <c r="A10" i="23"/>
  <c r="A23" i="19"/>
  <c r="A48" i="19" s="1"/>
  <c r="B31" i="18"/>
  <c r="C27" i="18"/>
  <c r="B27" i="18"/>
  <c r="C31" i="18"/>
  <c r="B27" i="16"/>
  <c r="B31" i="16"/>
  <c r="C27" i="16"/>
  <c r="C28" i="16" l="1"/>
  <c r="B28" i="16"/>
  <c r="E27" i="16"/>
  <c r="F27" i="16"/>
  <c r="E64" i="12"/>
  <c r="F44" i="12"/>
  <c r="G64" i="12"/>
  <c r="I44" i="12"/>
  <c r="H44" i="12"/>
  <c r="F64" i="12"/>
  <c r="I64" i="12"/>
  <c r="H64" i="12"/>
  <c r="J22" i="14"/>
  <c r="C22" i="14"/>
  <c r="E27" i="18" l="1"/>
  <c r="D27" i="18"/>
  <c r="D28" i="18" s="1"/>
  <c r="B28" i="18"/>
  <c r="C28" i="18"/>
  <c r="F27" i="18"/>
  <c r="E23" i="19"/>
  <c r="F40" i="12"/>
  <c r="F42" i="12"/>
  <c r="F24" i="12"/>
  <c r="F18" i="12"/>
  <c r="F14" i="12"/>
  <c r="F16" i="12"/>
  <c r="F41" i="12"/>
  <c r="F25" i="12"/>
  <c r="F26" i="12"/>
  <c r="F19" i="12"/>
  <c r="F36" i="12"/>
  <c r="F22" i="12"/>
  <c r="F15" i="12"/>
  <c r="F38" i="12"/>
  <c r="F34" i="12"/>
  <c r="F35" i="12"/>
  <c r="F27" i="12"/>
  <c r="F37" i="12"/>
  <c r="F32" i="12"/>
  <c r="F43" i="12"/>
  <c r="F13" i="12"/>
  <c r="F31" i="12"/>
  <c r="F29" i="12"/>
  <c r="F28" i="12"/>
  <c r="F23" i="12"/>
  <c r="F17" i="12"/>
  <c r="F20" i="12"/>
  <c r="F30" i="12"/>
  <c r="F39" i="12"/>
  <c r="F33" i="12"/>
  <c r="F21" i="12"/>
  <c r="F28" i="18" l="1"/>
  <c r="E28" i="18"/>
  <c r="H23" i="19"/>
  <c r="G12" i="10"/>
  <c r="C12" i="10"/>
  <c r="D12" i="10"/>
  <c r="H12" i="10"/>
  <c r="E12" i="10"/>
  <c r="F12" i="10"/>
  <c r="G18" i="94"/>
  <c r="G10" i="94"/>
  <c r="C10" i="94"/>
  <c r="G16" i="94"/>
  <c r="B18" i="94"/>
  <c r="H16" i="94"/>
  <c r="H12" i="94"/>
  <c r="F10" i="94"/>
  <c r="B12" i="94"/>
  <c r="H18" i="94"/>
  <c r="D16" i="94"/>
  <c r="E18" i="94"/>
  <c r="F18" i="94"/>
  <c r="C12" i="94"/>
  <c r="B10" i="94"/>
  <c r="F12" i="94"/>
  <c r="B16" i="94"/>
  <c r="G12" i="94"/>
  <c r="E12" i="94"/>
  <c r="C16" i="94"/>
  <c r="C18" i="94"/>
  <c r="D18" i="94"/>
  <c r="E16" i="94"/>
  <c r="F16" i="94"/>
  <c r="D10" i="94"/>
  <c r="D12" i="94"/>
  <c r="H10" i="94"/>
  <c r="E10" i="94"/>
  <c r="E55" i="7"/>
  <c r="C55" i="7"/>
  <c r="I12" i="10" l="1"/>
  <c r="I23" i="19"/>
  <c r="B9" i="76"/>
  <c r="B34" i="76"/>
  <c r="B49" i="76"/>
  <c r="B65" i="76"/>
  <c r="D69" i="76"/>
  <c r="E70" i="76"/>
  <c r="F70" i="76"/>
  <c r="B70" i="76"/>
  <c r="C70" i="76"/>
  <c r="D68" i="76"/>
  <c r="E54" i="76"/>
  <c r="C54" i="76"/>
  <c r="D54" i="76"/>
  <c r="F54" i="76"/>
  <c r="B54" i="76"/>
  <c r="E37" i="76"/>
  <c r="B37" i="76"/>
  <c r="D37" i="76"/>
  <c r="C37" i="76"/>
  <c r="F37" i="76"/>
  <c r="G37" i="76"/>
  <c r="D14" i="76"/>
  <c r="B12" i="76"/>
  <c r="E15" i="76"/>
  <c r="B14" i="76"/>
  <c r="C14" i="76"/>
  <c r="B19" i="76"/>
  <c r="D17" i="76"/>
  <c r="D15" i="76"/>
  <c r="F22" i="76"/>
  <c r="D13" i="76"/>
  <c r="C12" i="76"/>
  <c r="E19" i="76"/>
  <c r="E12" i="76"/>
  <c r="B13" i="76"/>
  <c r="E18" i="76"/>
  <c r="D16" i="76"/>
  <c r="D18" i="76"/>
  <c r="F19" i="76"/>
  <c r="F14" i="76"/>
  <c r="D22" i="76"/>
  <c r="B17" i="76"/>
  <c r="F13" i="76"/>
  <c r="C20" i="76"/>
  <c r="E16" i="76"/>
  <c r="B20" i="76"/>
  <c r="F18" i="76"/>
  <c r="F15" i="76"/>
  <c r="F17" i="76"/>
  <c r="E20" i="76"/>
  <c r="C17" i="76"/>
  <c r="D19" i="76"/>
  <c r="B22" i="76"/>
  <c r="C18" i="76"/>
  <c r="D21" i="76"/>
  <c r="F20" i="76"/>
  <c r="D12" i="76"/>
  <c r="B16" i="76"/>
  <c r="C13" i="76"/>
  <c r="C19" i="76"/>
  <c r="F16" i="76"/>
  <c r="F21" i="76"/>
  <c r="E22" i="76"/>
  <c r="C15" i="76"/>
  <c r="B18" i="76"/>
  <c r="B15" i="76"/>
  <c r="E17" i="76"/>
  <c r="F12" i="76"/>
  <c r="D20" i="76"/>
  <c r="E21" i="76"/>
  <c r="E13" i="76"/>
  <c r="C21" i="76"/>
  <c r="C22" i="76"/>
  <c r="C16" i="76"/>
  <c r="B21" i="76"/>
  <c r="E14" i="76"/>
  <c r="G12" i="76" l="1"/>
  <c r="G13" i="76"/>
  <c r="G14" i="76"/>
  <c r="G15" i="76"/>
  <c r="G16" i="76"/>
  <c r="G17" i="76"/>
  <c r="G18" i="76"/>
  <c r="G19" i="76"/>
  <c r="G20" i="76"/>
  <c r="G21" i="76"/>
  <c r="G22" i="76"/>
  <c r="C24" i="76"/>
  <c r="D24" i="76"/>
  <c r="E24" i="76"/>
  <c r="F24" i="76"/>
  <c r="B24" i="76"/>
  <c r="D70" i="76"/>
  <c r="B36" i="76"/>
  <c r="F36" i="76"/>
  <c r="E36" i="76"/>
  <c r="D36" i="76"/>
  <c r="C36" i="76"/>
  <c r="G36" i="76"/>
  <c r="G24" i="76" l="1"/>
  <c r="B38" i="76"/>
  <c r="C38" i="76"/>
  <c r="D38" i="76"/>
  <c r="E38" i="76"/>
  <c r="F38" i="76"/>
  <c r="G38" i="76"/>
  <c r="B9" i="36" l="1"/>
  <c r="E75" i="28"/>
  <c r="E76" i="28"/>
  <c r="E77" i="28"/>
  <c r="E78" i="28"/>
  <c r="E79" i="28"/>
  <c r="E80" i="28"/>
  <c r="E81" i="28"/>
  <c r="E82" i="28"/>
  <c r="E83" i="28"/>
  <c r="E84" i="28"/>
  <c r="D75" i="28"/>
  <c r="D76" i="28"/>
  <c r="D77" i="28"/>
  <c r="D78" i="28"/>
  <c r="D79" i="28"/>
  <c r="D80" i="28"/>
  <c r="D81" i="28"/>
  <c r="D82" i="28"/>
  <c r="D83" i="28"/>
  <c r="D84" i="28"/>
  <c r="D74" i="28"/>
  <c r="C75" i="28"/>
  <c r="C76" i="28"/>
  <c r="C77" i="28"/>
  <c r="C78" i="28"/>
  <c r="C79" i="28"/>
  <c r="C80" i="28"/>
  <c r="C81" i="28"/>
  <c r="C82" i="28"/>
  <c r="C83" i="28"/>
  <c r="C84" i="28"/>
  <c r="C74" i="28"/>
  <c r="B75" i="28"/>
  <c r="B76" i="28"/>
  <c r="B77" i="28"/>
  <c r="B78" i="28"/>
  <c r="B79" i="28"/>
  <c r="B80" i="28"/>
  <c r="B81" i="28"/>
  <c r="B82" i="28"/>
  <c r="B83" i="28"/>
  <c r="B84" i="28"/>
  <c r="B74" i="28"/>
  <c r="A75" i="28"/>
  <c r="A76" i="28"/>
  <c r="A77" i="28"/>
  <c r="A78" i="28"/>
  <c r="A79" i="28"/>
  <c r="A80" i="28"/>
  <c r="A81" i="28"/>
  <c r="A82" i="28"/>
  <c r="A83" i="28"/>
  <c r="A84" i="28"/>
  <c r="A74" i="28"/>
  <c r="D57" i="28"/>
  <c r="E57" i="28"/>
  <c r="B57" i="28"/>
  <c r="C57" i="28"/>
  <c r="A48" i="28"/>
  <c r="A49" i="28"/>
  <c r="A50" i="28"/>
  <c r="A51" i="28"/>
  <c r="A53" i="28"/>
  <c r="A54" i="28"/>
  <c r="A55" i="28"/>
  <c r="A56" i="28"/>
  <c r="A57" i="28"/>
  <c r="A47" i="28"/>
  <c r="D28" i="125"/>
  <c r="C17" i="125"/>
  <c r="C28" i="125"/>
  <c r="F17" i="125"/>
  <c r="F28" i="125"/>
  <c r="E28" i="125"/>
  <c r="D17" i="125"/>
  <c r="E17" i="125"/>
  <c r="O42" i="35" l="1"/>
  <c r="O48" i="35"/>
  <c r="P51" i="35"/>
  <c r="M50" i="35"/>
  <c r="O46" i="35"/>
  <c r="O54" i="35"/>
  <c r="O52" i="35"/>
  <c r="N47" i="35"/>
  <c r="P52" i="35"/>
  <c r="N51" i="35"/>
  <c r="O49" i="35"/>
  <c r="N54" i="35"/>
  <c r="P46" i="35"/>
  <c r="P45" i="35"/>
  <c r="P56" i="35"/>
  <c r="N46" i="35"/>
  <c r="O56" i="35"/>
  <c r="M45" i="35"/>
  <c r="P48" i="35"/>
  <c r="P44" i="35"/>
  <c r="M47" i="35"/>
  <c r="M43" i="35"/>
  <c r="O55" i="35"/>
  <c r="M53" i="35"/>
  <c r="P54" i="35"/>
  <c r="M52" i="35"/>
  <c r="O45" i="35"/>
  <c r="M55" i="35"/>
  <c r="M44" i="35"/>
  <c r="M49" i="35"/>
  <c r="P53" i="35"/>
  <c r="O43" i="35"/>
  <c r="N52" i="35"/>
  <c r="M46" i="35"/>
  <c r="N45" i="35"/>
  <c r="P43" i="35"/>
  <c r="O50" i="35"/>
  <c r="O51" i="35"/>
  <c r="M48" i="35"/>
  <c r="P55" i="35"/>
  <c r="M51" i="35"/>
  <c r="P47" i="35"/>
  <c r="M56" i="35"/>
  <c r="N44" i="35"/>
  <c r="O44" i="35"/>
  <c r="M42" i="35"/>
  <c r="P49" i="35"/>
  <c r="N42" i="35"/>
  <c r="P50" i="35"/>
  <c r="O53" i="35"/>
  <c r="M54" i="35"/>
  <c r="N50" i="35"/>
  <c r="N53" i="35"/>
  <c r="N43" i="35"/>
  <c r="P42" i="35"/>
  <c r="O47" i="35"/>
  <c r="I27" i="7"/>
  <c r="J27" i="7" s="1"/>
  <c r="B9" i="19"/>
  <c r="A22" i="19"/>
  <c r="A21" i="19"/>
  <c r="A20" i="19"/>
  <c r="A19" i="19"/>
  <c r="A18" i="19"/>
  <c r="A17" i="19"/>
  <c r="A16" i="19"/>
  <c r="A15" i="19"/>
  <c r="A14" i="19"/>
  <c r="A13" i="19"/>
  <c r="A12" i="19"/>
  <c r="F19" i="19"/>
  <c r="C22" i="19"/>
  <c r="D21" i="19"/>
  <c r="F20" i="19"/>
  <c r="C15" i="19"/>
  <c r="B11" i="19"/>
  <c r="F22" i="19"/>
  <c r="G18" i="19"/>
  <c r="B15" i="19"/>
  <c r="C13" i="19"/>
  <c r="D16" i="19"/>
  <c r="G12" i="19"/>
  <c r="B14" i="19"/>
  <c r="F18" i="19"/>
  <c r="D11" i="19"/>
  <c r="B18" i="19"/>
  <c r="F16" i="19"/>
  <c r="B19" i="19"/>
  <c r="E21" i="19"/>
  <c r="G14" i="19"/>
  <c r="C16" i="19"/>
  <c r="B17" i="19"/>
  <c r="D12" i="19"/>
  <c r="C18" i="19"/>
  <c r="B12" i="19"/>
  <c r="C21" i="19"/>
  <c r="F11" i="19"/>
  <c r="F17" i="19"/>
  <c r="G21" i="19"/>
  <c r="F11" i="93"/>
  <c r="C11" i="93"/>
  <c r="H11" i="93"/>
  <c r="F10" i="93"/>
  <c r="E10" i="93"/>
  <c r="E13" i="93"/>
  <c r="D10" i="93"/>
  <c r="F12" i="93"/>
  <c r="F13" i="93"/>
  <c r="B10" i="93"/>
  <c r="E11" i="93"/>
  <c r="G11" i="93"/>
  <c r="G10" i="93"/>
  <c r="G12" i="93"/>
  <c r="C13" i="93"/>
  <c r="B11" i="93"/>
  <c r="D12" i="93"/>
  <c r="B12" i="93"/>
  <c r="D13" i="93"/>
  <c r="H12" i="93"/>
  <c r="H10" i="93"/>
  <c r="G13" i="93"/>
  <c r="E12" i="93"/>
  <c r="C10" i="93"/>
  <c r="D11" i="93"/>
  <c r="H13" i="93"/>
  <c r="B13" i="93"/>
  <c r="C12" i="93"/>
  <c r="B18" i="96"/>
  <c r="G21" i="96"/>
  <c r="E16" i="96"/>
  <c r="C18" i="96"/>
  <c r="G17" i="96"/>
  <c r="F19" i="96"/>
  <c r="F22" i="96"/>
  <c r="E14" i="96"/>
  <c r="F14" i="96"/>
  <c r="F15" i="96"/>
  <c r="F21" i="96"/>
  <c r="B21" i="96"/>
  <c r="C14" i="96"/>
  <c r="C21" i="96"/>
  <c r="C22" i="96"/>
  <c r="F12" i="96"/>
  <c r="G14" i="96"/>
  <c r="G15" i="96"/>
  <c r="B22" i="96"/>
  <c r="E22" i="96"/>
  <c r="C13" i="96"/>
  <c r="B13" i="96"/>
  <c r="B17" i="96"/>
  <c r="B20" i="96"/>
  <c r="C16" i="96"/>
  <c r="E13" i="96"/>
  <c r="F18" i="96"/>
  <c r="C12" i="96"/>
  <c r="C17" i="96"/>
  <c r="B14" i="96"/>
  <c r="B12" i="96"/>
  <c r="E17" i="96"/>
  <c r="C15" i="96"/>
  <c r="E18" i="96"/>
  <c r="G19" i="96"/>
  <c r="E20" i="96"/>
  <c r="B19" i="96"/>
  <c r="F17" i="96"/>
  <c r="C20" i="96"/>
  <c r="C19" i="96"/>
  <c r="G20" i="96"/>
  <c r="B15" i="96"/>
  <c r="G12" i="96"/>
  <c r="E15" i="96"/>
  <c r="B16" i="96"/>
  <c r="G18" i="96"/>
  <c r="G13" i="96"/>
  <c r="G16" i="96"/>
  <c r="F16" i="96"/>
  <c r="F13" i="96"/>
  <c r="E19" i="96"/>
  <c r="F20" i="96"/>
  <c r="G22" i="96"/>
  <c r="E21" i="96"/>
  <c r="E12" i="96"/>
  <c r="F14" i="40"/>
  <c r="B14" i="40"/>
  <c r="B12" i="40"/>
  <c r="E14" i="40"/>
  <c r="B16" i="40"/>
  <c r="E11" i="40"/>
  <c r="E12" i="40"/>
  <c r="C16" i="40"/>
  <c r="F11" i="40"/>
  <c r="D13" i="40"/>
  <c r="F13" i="40"/>
  <c r="D14" i="40"/>
  <c r="B11" i="40"/>
  <c r="C14" i="40"/>
  <c r="C13" i="40"/>
  <c r="C15" i="40"/>
  <c r="D15" i="40"/>
  <c r="E16" i="40"/>
  <c r="D16" i="40"/>
  <c r="E10" i="40"/>
  <c r="B10" i="40"/>
  <c r="F15" i="40"/>
  <c r="E15" i="40"/>
  <c r="C12" i="40"/>
  <c r="C11" i="40"/>
  <c r="B15" i="40"/>
  <c r="D11" i="40"/>
  <c r="E13" i="40"/>
  <c r="B13" i="40"/>
  <c r="F12" i="40"/>
  <c r="F10" i="40"/>
  <c r="D12" i="40"/>
  <c r="C10" i="40"/>
  <c r="D10" i="40"/>
  <c r="F16" i="40"/>
  <c r="G9" i="40" l="1"/>
  <c r="F14" i="93"/>
  <c r="F37" i="15"/>
  <c r="G37" i="15"/>
  <c r="H37" i="15"/>
  <c r="I37" i="15"/>
  <c r="J37" i="15"/>
  <c r="K37" i="15"/>
  <c r="L37" i="15"/>
  <c r="M37" i="15"/>
  <c r="E37" i="15"/>
  <c r="B37" i="15"/>
  <c r="C37" i="15"/>
  <c r="D37" i="15"/>
  <c r="A37" i="15"/>
  <c r="A33" i="13"/>
  <c r="A26" i="13"/>
  <c r="A9" i="9"/>
  <c r="F13" i="19"/>
  <c r="D14" i="19"/>
  <c r="D13" i="19"/>
  <c r="C12" i="19"/>
  <c r="G20" i="19"/>
  <c r="D18" i="19"/>
  <c r="G16" i="19"/>
  <c r="G15" i="19"/>
  <c r="G17" i="19"/>
  <c r="F12" i="19"/>
  <c r="B21" i="19"/>
  <c r="E16" i="19"/>
  <c r="G11" i="19"/>
  <c r="F21" i="19"/>
  <c r="D19" i="19"/>
  <c r="B20" i="19"/>
  <c r="E19" i="19"/>
  <c r="E18" i="19"/>
  <c r="D20" i="19"/>
  <c r="B13" i="19"/>
  <c r="E11" i="19"/>
  <c r="B16" i="19"/>
  <c r="G19" i="19"/>
  <c r="E17" i="19"/>
  <c r="D15" i="19"/>
  <c r="E13" i="19"/>
  <c r="E12" i="19"/>
  <c r="G13" i="19"/>
  <c r="E20" i="19"/>
  <c r="C17" i="19"/>
  <c r="E14" i="19"/>
  <c r="D22" i="19"/>
  <c r="F14" i="19"/>
  <c r="G22" i="19"/>
  <c r="C11" i="19"/>
  <c r="C20" i="19"/>
  <c r="E22" i="19"/>
  <c r="B22" i="19"/>
  <c r="C14" i="19"/>
  <c r="F15" i="19"/>
  <c r="E15" i="19"/>
  <c r="D17" i="19"/>
  <c r="C19" i="19"/>
  <c r="D33" i="13"/>
  <c r="E18" i="13"/>
  <c r="C28" i="13"/>
  <c r="D19" i="13"/>
  <c r="C43" i="13"/>
  <c r="C14" i="13"/>
  <c r="E26" i="13"/>
  <c r="C25" i="13"/>
  <c r="E28" i="13"/>
  <c r="D20" i="13"/>
  <c r="E22" i="13"/>
  <c r="E33" i="13"/>
  <c r="E43" i="13"/>
  <c r="C20" i="13"/>
  <c r="D32" i="13"/>
  <c r="D35" i="13"/>
  <c r="C38" i="13"/>
  <c r="C30" i="13"/>
  <c r="E31" i="13"/>
  <c r="D39" i="13"/>
  <c r="C29" i="13"/>
  <c r="E29" i="13"/>
  <c r="C18" i="13"/>
  <c r="D43" i="13"/>
  <c r="E24" i="13"/>
  <c r="D12" i="13"/>
  <c r="D41" i="13"/>
  <c r="D27" i="13"/>
  <c r="E25" i="13"/>
  <c r="D17" i="13"/>
  <c r="E19" i="13"/>
  <c r="C39" i="13"/>
  <c r="D36" i="13"/>
  <c r="E12" i="13"/>
  <c r="E16" i="13"/>
  <c r="E38" i="13"/>
  <c r="D42" i="13"/>
  <c r="E35" i="13"/>
  <c r="C27" i="13"/>
  <c r="C31" i="13"/>
  <c r="C13" i="13"/>
  <c r="E37" i="13"/>
  <c r="C40" i="13"/>
  <c r="E30" i="13"/>
  <c r="D13" i="13"/>
  <c r="C23" i="13"/>
  <c r="D26" i="13"/>
  <c r="D16" i="13"/>
  <c r="D22" i="13"/>
  <c r="C42" i="13"/>
  <c r="C35" i="13"/>
  <c r="C16" i="13"/>
  <c r="C21" i="13"/>
  <c r="D15" i="13"/>
  <c r="E32" i="13"/>
  <c r="D38" i="13"/>
  <c r="D29" i="13"/>
  <c r="C15" i="13"/>
  <c r="C32" i="13"/>
  <c r="E15" i="13"/>
  <c r="E14" i="13"/>
  <c r="C33" i="13"/>
  <c r="D28" i="13"/>
  <c r="E36" i="13"/>
  <c r="D37" i="13"/>
  <c r="D25" i="13"/>
  <c r="C37" i="13"/>
  <c r="C24" i="13"/>
  <c r="E27" i="13"/>
  <c r="C41" i="13"/>
  <c r="D14" i="13"/>
  <c r="C17" i="13"/>
  <c r="E23" i="13"/>
  <c r="D31" i="13"/>
  <c r="D21" i="13"/>
  <c r="E21" i="13"/>
  <c r="C12" i="13"/>
  <c r="C34" i="13"/>
  <c r="C36" i="13"/>
  <c r="D23" i="13"/>
  <c r="D18" i="13"/>
  <c r="E17" i="13"/>
  <c r="D24" i="13"/>
  <c r="E42" i="13"/>
  <c r="D40" i="13"/>
  <c r="E41" i="13"/>
  <c r="D34" i="13"/>
  <c r="E13" i="13"/>
  <c r="C19" i="13"/>
  <c r="C26" i="13"/>
  <c r="E34" i="13"/>
  <c r="E20" i="13"/>
  <c r="D30" i="13"/>
  <c r="E40" i="13"/>
  <c r="C22" i="13"/>
  <c r="E39" i="13"/>
  <c r="B44" i="18"/>
  <c r="C11" i="18"/>
  <c r="C32" i="18"/>
  <c r="B47" i="18"/>
  <c r="B34" i="18"/>
  <c r="C20" i="18"/>
  <c r="C44" i="18"/>
  <c r="C43" i="18"/>
  <c r="B17" i="18"/>
  <c r="C21" i="18"/>
  <c r="B40" i="18"/>
  <c r="B36" i="18"/>
  <c r="B22" i="18"/>
  <c r="C12" i="18"/>
  <c r="B10" i="18"/>
  <c r="C37" i="18"/>
  <c r="B42" i="18"/>
  <c r="C46" i="18"/>
  <c r="B33" i="18"/>
  <c r="B21" i="18"/>
  <c r="B16" i="18"/>
  <c r="B13" i="18"/>
  <c r="B14" i="18"/>
  <c r="C33" i="18"/>
  <c r="C15" i="18"/>
  <c r="C35" i="18"/>
  <c r="B32" i="18"/>
  <c r="B35" i="18"/>
  <c r="C10" i="18"/>
  <c r="C16" i="18"/>
  <c r="C45" i="18"/>
  <c r="B12" i="18"/>
  <c r="C40" i="18"/>
  <c r="C22" i="18"/>
  <c r="C17" i="18"/>
  <c r="B41" i="18"/>
  <c r="B45" i="18"/>
  <c r="C34" i="18"/>
  <c r="B43" i="18"/>
  <c r="C42" i="18"/>
  <c r="B15" i="18"/>
  <c r="C41" i="18"/>
  <c r="B20" i="18"/>
  <c r="B37" i="18"/>
  <c r="C36" i="18"/>
  <c r="C13" i="18"/>
  <c r="B11" i="18"/>
  <c r="C14" i="18"/>
  <c r="B46" i="18"/>
  <c r="C47" i="18"/>
  <c r="C20" i="16"/>
  <c r="B52" i="16"/>
  <c r="B46" i="16"/>
  <c r="B16" i="16"/>
  <c r="B10" i="16"/>
  <c r="C33" i="16"/>
  <c r="B15" i="16"/>
  <c r="B50" i="16"/>
  <c r="B44" i="16"/>
  <c r="C50" i="16"/>
  <c r="B51" i="16"/>
  <c r="C42" i="16"/>
  <c r="C43" i="16"/>
  <c r="B40" i="16"/>
  <c r="C13" i="16"/>
  <c r="C52" i="16"/>
  <c r="C34" i="16"/>
  <c r="C40" i="16"/>
  <c r="C22" i="16"/>
  <c r="B36" i="16"/>
  <c r="C32" i="16"/>
  <c r="C16" i="16"/>
  <c r="B22" i="16"/>
  <c r="C36" i="16"/>
  <c r="B14" i="16"/>
  <c r="C46" i="16"/>
  <c r="C41" i="16"/>
  <c r="C14" i="16"/>
  <c r="B11" i="16"/>
  <c r="C35" i="16"/>
  <c r="C44" i="16"/>
  <c r="B35" i="16"/>
  <c r="B45" i="16"/>
  <c r="C11" i="16"/>
  <c r="B34" i="16"/>
  <c r="C10" i="16"/>
  <c r="C12" i="16"/>
  <c r="C51" i="16"/>
  <c r="C21" i="16"/>
  <c r="B33" i="16"/>
  <c r="B32" i="16"/>
  <c r="B42" i="16"/>
  <c r="B43" i="16"/>
  <c r="B20" i="16"/>
  <c r="B21" i="16"/>
  <c r="B13" i="16"/>
  <c r="B41" i="16"/>
  <c r="C15" i="16"/>
  <c r="B12" i="16"/>
  <c r="C45" i="16"/>
  <c r="I22" i="14"/>
  <c r="G22" i="14"/>
  <c r="F22" i="14"/>
  <c r="E22" i="14"/>
  <c r="D22" i="14"/>
  <c r="H22" i="14"/>
  <c r="H9" i="14"/>
  <c r="E9" i="14"/>
  <c r="D9" i="14"/>
  <c r="F9" i="14"/>
  <c r="G9" i="14"/>
  <c r="C9" i="14"/>
  <c r="F40" i="16" l="1"/>
  <c r="E40" i="16"/>
  <c r="C23" i="16"/>
  <c r="C37" i="16"/>
  <c r="B23" i="16"/>
  <c r="B53" i="16"/>
  <c r="C47" i="16"/>
  <c r="B17" i="16"/>
  <c r="C17" i="16"/>
  <c r="B47" i="16"/>
  <c r="C53" i="16"/>
  <c r="B37" i="16"/>
  <c r="D37" i="18"/>
  <c r="G24" i="19"/>
  <c r="G47" i="19" s="1"/>
  <c r="B24" i="19"/>
  <c r="C24" i="19"/>
  <c r="C45" i="19" s="1"/>
  <c r="E24" i="19"/>
  <c r="E44" i="19" s="1"/>
  <c r="D24" i="19"/>
  <c r="D46" i="19" s="1"/>
  <c r="F24" i="19"/>
  <c r="F46" i="19" s="1"/>
  <c r="H13" i="19"/>
  <c r="I9" i="14"/>
  <c r="F27" i="13"/>
  <c r="F31" i="13"/>
  <c r="F34" i="13"/>
  <c r="F36" i="13"/>
  <c r="F38" i="13"/>
  <c r="F40" i="13"/>
  <c r="F42" i="13"/>
  <c r="F13" i="13"/>
  <c r="F15" i="13"/>
  <c r="F17" i="13"/>
  <c r="F19" i="13"/>
  <c r="F21" i="13"/>
  <c r="F23" i="13"/>
  <c r="F25" i="13"/>
  <c r="F35" i="13"/>
  <c r="F37" i="13"/>
  <c r="F41" i="13"/>
  <c r="F43" i="13"/>
  <c r="F33" i="13"/>
  <c r="F39" i="13"/>
  <c r="F12" i="13"/>
  <c r="F14" i="13"/>
  <c r="F16" i="13"/>
  <c r="F18" i="13"/>
  <c r="F20" i="13"/>
  <c r="F22" i="13"/>
  <c r="F24" i="13"/>
  <c r="F29" i="13"/>
  <c r="F26" i="13"/>
  <c r="F28" i="13"/>
  <c r="F30" i="13"/>
  <c r="F32" i="13"/>
  <c r="A9" i="12"/>
  <c r="H68" i="12"/>
  <c r="G50" i="12"/>
  <c r="C32" i="12"/>
  <c r="I63" i="12"/>
  <c r="H19" i="12"/>
  <c r="C67" i="12"/>
  <c r="F59" i="12"/>
  <c r="C13" i="12"/>
  <c r="E63" i="12"/>
  <c r="G38" i="12"/>
  <c r="E51" i="12"/>
  <c r="D49" i="12"/>
  <c r="C50" i="12"/>
  <c r="G17" i="12"/>
  <c r="I29" i="12"/>
  <c r="H18" i="12"/>
  <c r="G35" i="12"/>
  <c r="H51" i="12"/>
  <c r="C30" i="12"/>
  <c r="G68" i="12"/>
  <c r="G20" i="12"/>
  <c r="I14" i="12"/>
  <c r="G24" i="12"/>
  <c r="F58" i="12"/>
  <c r="G21" i="12"/>
  <c r="F50" i="12"/>
  <c r="G27" i="12"/>
  <c r="I30" i="12"/>
  <c r="C17" i="12"/>
  <c r="G15" i="12"/>
  <c r="I19" i="12"/>
  <c r="I59" i="12"/>
  <c r="H12" i="12"/>
  <c r="G41" i="12"/>
  <c r="G12" i="12"/>
  <c r="C55" i="12"/>
  <c r="G31" i="12"/>
  <c r="F55" i="12"/>
  <c r="I35" i="12"/>
  <c r="C40" i="12"/>
  <c r="H23" i="12"/>
  <c r="C25" i="12"/>
  <c r="D53" i="12"/>
  <c r="I49" i="12"/>
  <c r="G49" i="12"/>
  <c r="E52" i="12"/>
  <c r="I51" i="12"/>
  <c r="H28" i="12"/>
  <c r="G59" i="12"/>
  <c r="E67" i="12"/>
  <c r="H58" i="12"/>
  <c r="H22" i="12"/>
  <c r="D72" i="12"/>
  <c r="G32" i="12"/>
  <c r="C34" i="12"/>
  <c r="H30" i="12"/>
  <c r="G43" i="12"/>
  <c r="H20" i="12"/>
  <c r="G28" i="12"/>
  <c r="C51" i="12"/>
  <c r="C19" i="12"/>
  <c r="C38" i="12"/>
  <c r="H21" i="12"/>
  <c r="H67" i="12"/>
  <c r="I39" i="12"/>
  <c r="G52" i="12"/>
  <c r="I50" i="12"/>
  <c r="I42" i="12"/>
  <c r="F53" i="12"/>
  <c r="G42" i="12"/>
  <c r="G18" i="12"/>
  <c r="C18" i="12"/>
  <c r="G72" i="12"/>
  <c r="F54" i="12"/>
  <c r="C39" i="12"/>
  <c r="I53" i="12"/>
  <c r="I20" i="12"/>
  <c r="H72" i="12"/>
  <c r="E69" i="12"/>
  <c r="F52" i="12"/>
  <c r="G63" i="12"/>
  <c r="D54" i="12"/>
  <c r="I43" i="12"/>
  <c r="C56" i="12"/>
  <c r="I26" i="12"/>
  <c r="C58" i="12"/>
  <c r="H52" i="12"/>
  <c r="C59" i="12"/>
  <c r="I55" i="12"/>
  <c r="C15" i="12"/>
  <c r="G37" i="12"/>
  <c r="H17" i="12"/>
  <c r="C33" i="12"/>
  <c r="H53" i="12"/>
  <c r="C27" i="12"/>
  <c r="I37" i="12"/>
  <c r="H56" i="12"/>
  <c r="F67" i="12"/>
  <c r="C53" i="12"/>
  <c r="G54" i="12"/>
  <c r="C22" i="12"/>
  <c r="I58" i="12"/>
  <c r="H55" i="12"/>
  <c r="D52" i="12"/>
  <c r="E49" i="12"/>
  <c r="D68" i="12"/>
  <c r="H29" i="12"/>
  <c r="H32" i="12"/>
  <c r="I17" i="12"/>
  <c r="C28" i="12"/>
  <c r="I27" i="12"/>
  <c r="I68" i="12"/>
  <c r="C54" i="12"/>
  <c r="D58" i="12"/>
  <c r="I38" i="12"/>
  <c r="E53" i="12"/>
  <c r="D67" i="12"/>
  <c r="I16" i="12"/>
  <c r="G19" i="12"/>
  <c r="F51" i="12"/>
  <c r="E68" i="12"/>
  <c r="E55" i="12"/>
  <c r="D59" i="12"/>
  <c r="H40" i="12"/>
  <c r="H13" i="12"/>
  <c r="I13" i="12"/>
  <c r="I15" i="12"/>
  <c r="G23" i="12"/>
  <c r="I25" i="12"/>
  <c r="I21" i="12"/>
  <c r="H25" i="12"/>
  <c r="H36" i="12"/>
  <c r="E58" i="12"/>
  <c r="G34" i="12"/>
  <c r="C69" i="12"/>
  <c r="I56" i="12"/>
  <c r="G29" i="12"/>
  <c r="G33" i="12"/>
  <c r="H54" i="12"/>
  <c r="H38" i="12"/>
  <c r="G36" i="12"/>
  <c r="I24" i="12"/>
  <c r="H41" i="12"/>
  <c r="F72" i="12"/>
  <c r="G67" i="12"/>
  <c r="H50" i="12"/>
  <c r="G53" i="12"/>
  <c r="D51" i="12"/>
  <c r="G55" i="12"/>
  <c r="C24" i="12"/>
  <c r="C23" i="12"/>
  <c r="H69" i="12"/>
  <c r="G13" i="12"/>
  <c r="G14" i="12"/>
  <c r="C43" i="12"/>
  <c r="E50" i="12"/>
  <c r="C36" i="12"/>
  <c r="E59" i="12"/>
  <c r="G69" i="12"/>
  <c r="H27" i="12"/>
  <c r="I41" i="12"/>
  <c r="G40" i="12"/>
  <c r="H15" i="12"/>
  <c r="I32" i="12"/>
  <c r="C12" i="12"/>
  <c r="C63" i="12"/>
  <c r="E72" i="12"/>
  <c r="H16" i="12"/>
  <c r="H31" i="12"/>
  <c r="C52" i="12"/>
  <c r="H37" i="12"/>
  <c r="F63" i="12"/>
  <c r="I33" i="12"/>
  <c r="G51" i="12"/>
  <c r="G56" i="12"/>
  <c r="D63" i="12"/>
  <c r="C68" i="12"/>
  <c r="C20" i="12"/>
  <c r="F49" i="12"/>
  <c r="I31" i="12"/>
  <c r="D55" i="12"/>
  <c r="I18" i="12"/>
  <c r="G39" i="12"/>
  <c r="G22" i="12"/>
  <c r="C14" i="12"/>
  <c r="C37" i="12"/>
  <c r="I54" i="12"/>
  <c r="H14" i="12"/>
  <c r="C35" i="12"/>
  <c r="I36" i="12"/>
  <c r="G16" i="12"/>
  <c r="F68" i="12"/>
  <c r="H26" i="12"/>
  <c r="H43" i="12"/>
  <c r="D50" i="12"/>
  <c r="H39" i="12"/>
  <c r="G26" i="12"/>
  <c r="E54" i="12"/>
  <c r="C26" i="12"/>
  <c r="H63" i="12"/>
  <c r="F56" i="12"/>
  <c r="I52" i="12"/>
  <c r="D56" i="12"/>
  <c r="H59" i="12"/>
  <c r="C29" i="12"/>
  <c r="C21" i="12"/>
  <c r="H49" i="12"/>
  <c r="C31" i="12"/>
  <c r="C16" i="12"/>
  <c r="I40" i="12"/>
  <c r="I23" i="12"/>
  <c r="I72" i="12"/>
  <c r="C42" i="12"/>
  <c r="C41" i="12"/>
  <c r="I67" i="12"/>
  <c r="C72" i="12"/>
  <c r="G58" i="12"/>
  <c r="F69" i="12"/>
  <c r="I34" i="12"/>
  <c r="G30" i="12"/>
  <c r="D69" i="12"/>
  <c r="I12" i="12"/>
  <c r="G25" i="12"/>
  <c r="E56" i="12"/>
  <c r="H42" i="12"/>
  <c r="H33" i="12"/>
  <c r="I69" i="12"/>
  <c r="I28" i="12"/>
  <c r="H34" i="12"/>
  <c r="H24" i="12"/>
  <c r="H35" i="12"/>
  <c r="I22" i="12"/>
  <c r="B46" i="19" l="1"/>
  <c r="H24" i="19"/>
  <c r="C55" i="16"/>
  <c r="D42" i="19"/>
  <c r="D41" i="19"/>
  <c r="D36" i="19"/>
  <c r="D39" i="19"/>
  <c r="D43" i="19"/>
  <c r="D40" i="19"/>
  <c r="D37" i="19"/>
  <c r="D38" i="19"/>
  <c r="E45" i="19"/>
  <c r="G44" i="19"/>
  <c r="D44" i="19"/>
  <c r="G46" i="19"/>
  <c r="D45" i="19"/>
  <c r="G45" i="19"/>
  <c r="F45" i="19"/>
  <c r="F47" i="19"/>
  <c r="E46" i="19"/>
  <c r="F44" i="19"/>
  <c r="C44" i="19"/>
  <c r="C46" i="19"/>
  <c r="E47" i="19"/>
  <c r="C47" i="19"/>
  <c r="D47" i="19"/>
  <c r="B45" i="19"/>
  <c r="B44" i="19"/>
  <c r="B47" i="19"/>
  <c r="I70" i="12"/>
  <c r="I9" i="12" s="1"/>
  <c r="H70" i="12"/>
  <c r="H9" i="12" s="1"/>
  <c r="G70" i="12"/>
  <c r="G9" i="12" s="1"/>
  <c r="F70" i="12"/>
  <c r="F9" i="12" s="1"/>
  <c r="D70" i="12"/>
  <c r="E70" i="12"/>
  <c r="E9" i="12" s="1"/>
  <c r="J44" i="12"/>
  <c r="J68" i="12"/>
  <c r="J67" i="12"/>
  <c r="J69" i="12"/>
  <c r="A57" i="12"/>
  <c r="A62" i="12"/>
  <c r="B62" i="12"/>
  <c r="B57" i="12"/>
  <c r="A58" i="12"/>
  <c r="A26" i="12"/>
  <c r="A33" i="12"/>
  <c r="J49" i="12"/>
  <c r="J50" i="12"/>
  <c r="J51" i="12"/>
  <c r="J52" i="12"/>
  <c r="J53" i="12"/>
  <c r="J54" i="12"/>
  <c r="J55" i="12"/>
  <c r="J56" i="12"/>
  <c r="J63" i="12"/>
  <c r="J58" i="12"/>
  <c r="J59" i="12"/>
  <c r="E44" i="12"/>
  <c r="J34" i="12"/>
  <c r="J37" i="12"/>
  <c r="J42" i="12"/>
  <c r="J33" i="12"/>
  <c r="J40" i="12"/>
  <c r="J39" i="12"/>
  <c r="J36" i="12"/>
  <c r="J38" i="12"/>
  <c r="J41" i="12"/>
  <c r="J12" i="12"/>
  <c r="C44" i="12"/>
  <c r="J13" i="12"/>
  <c r="J14" i="12"/>
  <c r="J15" i="12"/>
  <c r="J16" i="12"/>
  <c r="J17" i="12"/>
  <c r="J18" i="12"/>
  <c r="J19" i="12"/>
  <c r="J20" i="12"/>
  <c r="J21" i="12"/>
  <c r="J22" i="12"/>
  <c r="J23" i="12"/>
  <c r="J24" i="12"/>
  <c r="J25" i="12"/>
  <c r="J35" i="12"/>
  <c r="J43" i="12"/>
  <c r="D44" i="12"/>
  <c r="J26" i="12"/>
  <c r="J27" i="12"/>
  <c r="J28" i="12"/>
  <c r="J29" i="12"/>
  <c r="J30" i="12"/>
  <c r="J31" i="12"/>
  <c r="J32" i="12"/>
  <c r="B9" i="10"/>
  <c r="B24" i="10"/>
  <c r="E57" i="12"/>
  <c r="D57" i="12"/>
  <c r="G57" i="12"/>
  <c r="H57" i="12"/>
  <c r="C57" i="12"/>
  <c r="I57" i="12"/>
  <c r="F57" i="12"/>
  <c r="C62" i="12"/>
  <c r="G62" i="12"/>
  <c r="F62" i="12"/>
  <c r="H62" i="12"/>
  <c r="D62" i="12"/>
  <c r="E62" i="12"/>
  <c r="I62" i="12"/>
  <c r="E34" i="11"/>
  <c r="C23" i="11"/>
  <c r="D36" i="11"/>
  <c r="C21" i="11"/>
  <c r="D31" i="11"/>
  <c r="C36" i="11"/>
  <c r="D24" i="11"/>
  <c r="E32" i="11"/>
  <c r="C31" i="11"/>
  <c r="E25" i="11"/>
  <c r="C28" i="11"/>
  <c r="D23" i="11"/>
  <c r="E33" i="11"/>
  <c r="D28" i="11"/>
  <c r="E39" i="11"/>
  <c r="E41" i="11"/>
  <c r="E21" i="11"/>
  <c r="C32" i="11"/>
  <c r="C37" i="11"/>
  <c r="E17" i="11"/>
  <c r="D16" i="11"/>
  <c r="D35" i="11"/>
  <c r="E18" i="11"/>
  <c r="E15" i="11"/>
  <c r="C25" i="11"/>
  <c r="C34" i="11"/>
  <c r="C26" i="11"/>
  <c r="C20" i="11"/>
  <c r="D37" i="11"/>
  <c r="E36" i="11"/>
  <c r="D27" i="11"/>
  <c r="C19" i="11"/>
  <c r="D42" i="11"/>
  <c r="D13" i="11"/>
  <c r="E26" i="11"/>
  <c r="C41" i="11"/>
  <c r="E31" i="11"/>
  <c r="C27" i="11"/>
  <c r="C12" i="11"/>
  <c r="D33" i="11"/>
  <c r="E19" i="11"/>
  <c r="D18" i="11"/>
  <c r="E24" i="11"/>
  <c r="E29" i="11"/>
  <c r="E13" i="11"/>
  <c r="C33" i="11"/>
  <c r="E23" i="11"/>
  <c r="D41" i="11"/>
  <c r="C14" i="11"/>
  <c r="C13" i="11"/>
  <c r="C18" i="11"/>
  <c r="D32" i="11"/>
  <c r="D22" i="11"/>
  <c r="E42" i="11"/>
  <c r="C16" i="11"/>
  <c r="E14" i="11"/>
  <c r="E30" i="11"/>
  <c r="D40" i="11"/>
  <c r="D25" i="11"/>
  <c r="E20" i="11"/>
  <c r="D34" i="11"/>
  <c r="D21" i="11"/>
  <c r="C29" i="11"/>
  <c r="C22" i="11"/>
  <c r="C35" i="11"/>
  <c r="D14" i="11"/>
  <c r="E37" i="11"/>
  <c r="E40" i="11"/>
  <c r="E35" i="11"/>
  <c r="E28" i="11"/>
  <c r="C17" i="11"/>
  <c r="C24" i="11"/>
  <c r="E43" i="11"/>
  <c r="D39" i="11"/>
  <c r="E12" i="11"/>
  <c r="E16" i="11"/>
  <c r="D26" i="11"/>
  <c r="E22" i="11"/>
  <c r="D12" i="11"/>
  <c r="C40" i="11"/>
  <c r="D19" i="11"/>
  <c r="C43" i="11"/>
  <c r="D43" i="11"/>
  <c r="D38" i="11"/>
  <c r="D29" i="11"/>
  <c r="D20" i="11"/>
  <c r="C42" i="11"/>
  <c r="D30" i="11"/>
  <c r="C38" i="11"/>
  <c r="E27" i="11"/>
  <c r="C39" i="11"/>
  <c r="C30" i="11"/>
  <c r="E38" i="11"/>
  <c r="C15" i="11"/>
  <c r="D15" i="11"/>
  <c r="D17" i="11"/>
  <c r="J47" i="12" l="1"/>
  <c r="D9" i="12"/>
  <c r="J60" i="12"/>
  <c r="J62" i="12"/>
  <c r="J61" i="12"/>
  <c r="J48" i="12"/>
  <c r="J57" i="12"/>
  <c r="A9" i="8"/>
  <c r="A61" i="8" s="1"/>
  <c r="A10" i="126"/>
  <c r="C33" i="9"/>
  <c r="D28" i="9"/>
  <c r="C27" i="9"/>
  <c r="C30" i="9"/>
  <c r="E42" i="9"/>
  <c r="E36" i="9"/>
  <c r="C16" i="9"/>
  <c r="E18" i="9"/>
  <c r="D34" i="9"/>
  <c r="D17" i="9"/>
  <c r="C12" i="9"/>
  <c r="D38" i="9"/>
  <c r="C32" i="9"/>
  <c r="E34" i="9"/>
  <c r="E22" i="9"/>
  <c r="E41" i="9"/>
  <c r="C42" i="9"/>
  <c r="E27" i="9"/>
  <c r="D12" i="9"/>
  <c r="E29" i="9"/>
  <c r="E32" i="9"/>
  <c r="E23" i="9"/>
  <c r="D14" i="9"/>
  <c r="E13" i="9"/>
  <c r="E43" i="9"/>
  <c r="D25" i="9"/>
  <c r="E31" i="9"/>
  <c r="D20" i="9"/>
  <c r="D35" i="9"/>
  <c r="D15" i="9"/>
  <c r="D26" i="9"/>
  <c r="C26" i="9"/>
  <c r="C23" i="9"/>
  <c r="E16" i="9"/>
  <c r="C25" i="9"/>
  <c r="D31" i="9"/>
  <c r="C13" i="9"/>
  <c r="D40" i="9"/>
  <c r="E39" i="9"/>
  <c r="D16" i="9"/>
  <c r="D27" i="9"/>
  <c r="D37" i="9"/>
  <c r="E26" i="9"/>
  <c r="C34" i="9"/>
  <c r="E19" i="9"/>
  <c r="C37" i="9"/>
  <c r="C15" i="9"/>
  <c r="D13" i="9"/>
  <c r="C14" i="9"/>
  <c r="C31" i="9"/>
  <c r="D36" i="9"/>
  <c r="C21" i="9"/>
  <c r="C18" i="9"/>
  <c r="C28" i="9"/>
  <c r="C29" i="9"/>
  <c r="E38" i="9"/>
  <c r="E30" i="9"/>
  <c r="D43" i="9"/>
  <c r="C40" i="9"/>
  <c r="C35" i="9"/>
  <c r="E24" i="9"/>
  <c r="E35" i="9"/>
  <c r="D32" i="9"/>
  <c r="E15" i="9"/>
  <c r="C17" i="9"/>
  <c r="D23" i="9"/>
  <c r="C43" i="9"/>
  <c r="D39" i="9"/>
  <c r="E25" i="9"/>
  <c r="E21" i="9"/>
  <c r="E17" i="9"/>
  <c r="D33" i="9"/>
  <c r="C19" i="9"/>
  <c r="C36" i="9"/>
  <c r="C39" i="9"/>
  <c r="C20" i="9"/>
  <c r="D29" i="9"/>
  <c r="E12" i="9"/>
  <c r="E14" i="9"/>
  <c r="D19" i="9"/>
  <c r="C41" i="9"/>
  <c r="D18" i="9"/>
  <c r="D21" i="9"/>
  <c r="E28" i="9"/>
  <c r="D42" i="9"/>
  <c r="E33" i="9"/>
  <c r="C22" i="9"/>
  <c r="C24" i="9"/>
  <c r="E37" i="9"/>
  <c r="E20" i="9"/>
  <c r="D41" i="9"/>
  <c r="D24" i="9"/>
  <c r="D30" i="9"/>
  <c r="C38" i="9"/>
  <c r="D22" i="9"/>
  <c r="E40" i="9"/>
  <c r="F26" i="10"/>
  <c r="G26" i="10"/>
  <c r="E26" i="10"/>
  <c r="H26" i="10"/>
  <c r="C26" i="10"/>
  <c r="I26" i="10"/>
  <c r="D26" i="10"/>
  <c r="C54" i="8"/>
  <c r="D40" i="8"/>
  <c r="H51" i="8"/>
  <c r="I21" i="8"/>
  <c r="E23" i="8"/>
  <c r="D30" i="8"/>
  <c r="I41" i="8"/>
  <c r="H34" i="8"/>
  <c r="I38" i="8"/>
  <c r="G13" i="8"/>
  <c r="C26" i="8"/>
  <c r="D52" i="8"/>
  <c r="H18" i="8"/>
  <c r="D12" i="8"/>
  <c r="I26" i="8"/>
  <c r="F50" i="8"/>
  <c r="F31" i="8"/>
  <c r="C68" i="8"/>
  <c r="F27" i="8"/>
  <c r="I59" i="8"/>
  <c r="D21" i="8"/>
  <c r="E55" i="8"/>
  <c r="G67" i="8"/>
  <c r="F72" i="8"/>
  <c r="H29" i="8"/>
  <c r="D42" i="8"/>
  <c r="E59" i="8"/>
  <c r="G33" i="8"/>
  <c r="C39" i="8"/>
  <c r="D32" i="8"/>
  <c r="C51" i="8"/>
  <c r="F68" i="8"/>
  <c r="G25" i="8"/>
  <c r="G22" i="8"/>
  <c r="I29" i="8"/>
  <c r="I72" i="8"/>
  <c r="G37" i="8"/>
  <c r="D29" i="8"/>
  <c r="D27" i="8"/>
  <c r="H28" i="8"/>
  <c r="E27" i="8"/>
  <c r="H36" i="8"/>
  <c r="H25" i="8"/>
  <c r="I16" i="8"/>
  <c r="E72" i="8"/>
  <c r="E63" i="8"/>
  <c r="I40" i="8"/>
  <c r="C56" i="8"/>
  <c r="F39" i="8"/>
  <c r="F28" i="8"/>
  <c r="F51" i="8"/>
  <c r="I50" i="8"/>
  <c r="E69" i="8"/>
  <c r="C40" i="8"/>
  <c r="D26" i="8"/>
  <c r="G42" i="8"/>
  <c r="G28" i="8"/>
  <c r="F32" i="8"/>
  <c r="C42" i="8"/>
  <c r="C19" i="8"/>
  <c r="D19" i="8"/>
  <c r="H40" i="8"/>
  <c r="I43" i="8"/>
  <c r="C22" i="8"/>
  <c r="E26" i="8"/>
  <c r="H24" i="8"/>
  <c r="H35" i="8"/>
  <c r="F23" i="8"/>
  <c r="C53" i="8"/>
  <c r="C13" i="8"/>
  <c r="C36" i="8"/>
  <c r="H32" i="8"/>
  <c r="E53" i="8"/>
  <c r="D41" i="8"/>
  <c r="G52" i="8"/>
  <c r="G72" i="8"/>
  <c r="H68" i="8"/>
  <c r="F63" i="8"/>
  <c r="H39" i="8"/>
  <c r="G53" i="8"/>
  <c r="F25" i="8"/>
  <c r="D18" i="8"/>
  <c r="E58" i="8"/>
  <c r="E21" i="8"/>
  <c r="I13" i="8"/>
  <c r="H12" i="8"/>
  <c r="G21" i="8"/>
  <c r="D17" i="8"/>
  <c r="H20" i="8"/>
  <c r="H53" i="8"/>
  <c r="F19" i="8"/>
  <c r="E18" i="8"/>
  <c r="I31" i="8"/>
  <c r="F13" i="8"/>
  <c r="G26" i="8"/>
  <c r="D51" i="8"/>
  <c r="H72" i="8"/>
  <c r="C63" i="8"/>
  <c r="G49" i="8"/>
  <c r="F22" i="8"/>
  <c r="E52" i="8"/>
  <c r="F38" i="8"/>
  <c r="F41" i="8"/>
  <c r="F43" i="8"/>
  <c r="C16" i="8"/>
  <c r="C28" i="8"/>
  <c r="C20" i="8"/>
  <c r="D37" i="8"/>
  <c r="I52" i="8"/>
  <c r="I30" i="8"/>
  <c r="H22" i="8"/>
  <c r="H15" i="8"/>
  <c r="H17" i="8"/>
  <c r="D14" i="8"/>
  <c r="H14" i="8"/>
  <c r="F37" i="8"/>
  <c r="G23" i="8"/>
  <c r="H27" i="8"/>
  <c r="D39" i="8"/>
  <c r="F21" i="8"/>
  <c r="D55" i="8"/>
  <c r="E42" i="8"/>
  <c r="D69" i="8"/>
  <c r="D59" i="8"/>
  <c r="F35" i="8"/>
  <c r="G12" i="8"/>
  <c r="D58" i="8"/>
  <c r="G40" i="8"/>
  <c r="H63" i="8"/>
  <c r="F33" i="8"/>
  <c r="H56" i="8"/>
  <c r="F69" i="8"/>
  <c r="F52" i="8"/>
  <c r="G16" i="8"/>
  <c r="I17" i="8"/>
  <c r="H49" i="8"/>
  <c r="D53" i="8"/>
  <c r="G35" i="8"/>
  <c r="G59" i="8"/>
  <c r="G31" i="8"/>
  <c r="D50" i="8"/>
  <c r="H26" i="8"/>
  <c r="D56" i="8"/>
  <c r="C69" i="8"/>
  <c r="I27" i="8"/>
  <c r="I34" i="8"/>
  <c r="E24" i="8"/>
  <c r="F58" i="8"/>
  <c r="D72" i="8"/>
  <c r="E31" i="8"/>
  <c r="H13" i="8"/>
  <c r="C12" i="8"/>
  <c r="C33" i="8"/>
  <c r="D35" i="8"/>
  <c r="F54" i="8"/>
  <c r="D67" i="8"/>
  <c r="D33" i="8"/>
  <c r="D25" i="8"/>
  <c r="I49" i="8"/>
  <c r="F53" i="8"/>
  <c r="E17" i="8"/>
  <c r="C34" i="8"/>
  <c r="H33" i="8"/>
  <c r="I35" i="8"/>
  <c r="C67" i="8"/>
  <c r="G14" i="8"/>
  <c r="I37" i="8"/>
  <c r="F40" i="8"/>
  <c r="C41" i="8"/>
  <c r="C59" i="8"/>
  <c r="G24" i="8"/>
  <c r="D23" i="8"/>
  <c r="E34" i="8"/>
  <c r="C18" i="8"/>
  <c r="C15" i="8"/>
  <c r="I58" i="8"/>
  <c r="G29" i="8"/>
  <c r="I12" i="8"/>
  <c r="E40" i="8"/>
  <c r="I25" i="8"/>
  <c r="E35" i="8"/>
  <c r="D54" i="8"/>
  <c r="C25" i="8"/>
  <c r="E36" i="8"/>
  <c r="E56" i="8"/>
  <c r="G36" i="8"/>
  <c r="I19" i="8"/>
  <c r="E22" i="8"/>
  <c r="D31" i="8"/>
  <c r="I15" i="8"/>
  <c r="E33" i="8"/>
  <c r="I22" i="8"/>
  <c r="F34" i="8"/>
  <c r="E19" i="8"/>
  <c r="D15" i="8"/>
  <c r="G38" i="8"/>
  <c r="G39" i="8"/>
  <c r="F18" i="8"/>
  <c r="G18" i="8"/>
  <c r="G27" i="8"/>
  <c r="C43" i="8"/>
  <c r="C27" i="8"/>
  <c r="H52" i="8"/>
  <c r="H59" i="8"/>
  <c r="H23" i="8"/>
  <c r="E41" i="8"/>
  <c r="G15" i="8"/>
  <c r="E13" i="8"/>
  <c r="I23" i="8"/>
  <c r="H69" i="8"/>
  <c r="F56" i="8"/>
  <c r="E25" i="8"/>
  <c r="D22" i="8"/>
  <c r="I51" i="8"/>
  <c r="E38" i="8"/>
  <c r="E67" i="8"/>
  <c r="F17" i="8"/>
  <c r="G55" i="8"/>
  <c r="F24" i="8"/>
  <c r="H54" i="8"/>
  <c r="I33" i="8"/>
  <c r="F67" i="8"/>
  <c r="I18" i="8"/>
  <c r="H19" i="8"/>
  <c r="I55" i="8"/>
  <c r="H50" i="8"/>
  <c r="H31" i="8"/>
  <c r="E28" i="8"/>
  <c r="G17" i="8"/>
  <c r="H16" i="8"/>
  <c r="I36" i="8"/>
  <c r="G56" i="8"/>
  <c r="D16" i="8"/>
  <c r="G20" i="8"/>
  <c r="C30" i="8"/>
  <c r="C14" i="8"/>
  <c r="H58" i="8"/>
  <c r="E29" i="8"/>
  <c r="I69" i="8"/>
  <c r="I53" i="8"/>
  <c r="I56" i="8"/>
  <c r="H55" i="8"/>
  <c r="E12" i="8"/>
  <c r="H67" i="8"/>
  <c r="H37" i="8"/>
  <c r="F16" i="8"/>
  <c r="G50" i="8"/>
  <c r="C21" i="8"/>
  <c r="H38" i="8"/>
  <c r="C49" i="8"/>
  <c r="D68" i="8"/>
  <c r="C35" i="8"/>
  <c r="F30" i="8"/>
  <c r="I20" i="8"/>
  <c r="E43" i="8"/>
  <c r="I42" i="8"/>
  <c r="D13" i="8"/>
  <c r="I14" i="8"/>
  <c r="G63" i="8"/>
  <c r="D63" i="8"/>
  <c r="D49" i="8"/>
  <c r="F15" i="8"/>
  <c r="G19" i="8"/>
  <c r="G41" i="8"/>
  <c r="G58" i="8"/>
  <c r="C23" i="8"/>
  <c r="E68" i="8"/>
  <c r="H30" i="8"/>
  <c r="C37" i="8"/>
  <c r="E39" i="8"/>
  <c r="D38" i="8"/>
  <c r="D28" i="8"/>
  <c r="C17" i="8"/>
  <c r="E30" i="8"/>
  <c r="I28" i="8"/>
  <c r="D20" i="8"/>
  <c r="H41" i="8"/>
  <c r="D24" i="8"/>
  <c r="I54" i="8"/>
  <c r="C55" i="8"/>
  <c r="G34" i="8"/>
  <c r="E20" i="8"/>
  <c r="E51" i="8"/>
  <c r="C29" i="8"/>
  <c r="C52" i="8"/>
  <c r="E37" i="8"/>
  <c r="C58" i="8"/>
  <c r="G30" i="8"/>
  <c r="G69" i="8"/>
  <c r="C24" i="8"/>
  <c r="C32" i="8"/>
  <c r="I32" i="8"/>
  <c r="C31" i="8"/>
  <c r="I39" i="8"/>
  <c r="G51" i="8"/>
  <c r="D34" i="8"/>
  <c r="E16" i="8"/>
  <c r="F14" i="8"/>
  <c r="E54" i="8"/>
  <c r="H42" i="8"/>
  <c r="G43" i="8"/>
  <c r="D43" i="8"/>
  <c r="E32" i="8"/>
  <c r="I63" i="8"/>
  <c r="I68" i="8"/>
  <c r="F59" i="8"/>
  <c r="C72" i="8"/>
  <c r="F55" i="8"/>
  <c r="F26" i="8"/>
  <c r="F49" i="8"/>
  <c r="F12" i="8"/>
  <c r="I24" i="8"/>
  <c r="E50" i="8"/>
  <c r="H43" i="8"/>
  <c r="C50" i="8"/>
  <c r="E15" i="8"/>
  <c r="F20" i="8"/>
  <c r="G32" i="8"/>
  <c r="F42" i="8"/>
  <c r="F29" i="8"/>
  <c r="G54" i="8"/>
  <c r="G68" i="8"/>
  <c r="C38" i="8"/>
  <c r="E14" i="8"/>
  <c r="D36" i="8"/>
  <c r="H21" i="8"/>
  <c r="I67" i="8"/>
  <c r="F36" i="8"/>
  <c r="H47" i="8"/>
  <c r="C69" i="7"/>
  <c r="C68" i="7"/>
  <c r="E68" i="7"/>
  <c r="E56" i="7"/>
  <c r="G67" i="7"/>
  <c r="D68" i="7"/>
  <c r="E63" i="7"/>
  <c r="E58" i="7"/>
  <c r="C67" i="7"/>
  <c r="H67" i="7"/>
  <c r="E53" i="7"/>
  <c r="H73" i="7"/>
  <c r="F67" i="7"/>
  <c r="G68" i="7"/>
  <c r="D67" i="7"/>
  <c r="E69" i="7"/>
  <c r="H68" i="7"/>
  <c r="G73" i="7"/>
  <c r="F73" i="7"/>
  <c r="E67" i="7"/>
  <c r="F68" i="7"/>
  <c r="E50" i="7"/>
  <c r="H69" i="7"/>
  <c r="E52" i="7"/>
  <c r="E54" i="7"/>
  <c r="E73" i="7"/>
  <c r="C73" i="7"/>
  <c r="C58" i="7"/>
  <c r="F69" i="7"/>
  <c r="D73" i="7"/>
  <c r="E59" i="7"/>
  <c r="G69" i="7"/>
  <c r="E51" i="7"/>
  <c r="D69" i="7"/>
  <c r="B60" i="8" l="1"/>
  <c r="B47" i="8"/>
  <c r="B48" i="8"/>
  <c r="B61" i="8"/>
  <c r="J64" i="12"/>
  <c r="A48" i="8"/>
  <c r="A47" i="8"/>
  <c r="A60" i="8"/>
  <c r="I73" i="7"/>
  <c r="I67" i="7"/>
  <c r="B62" i="8"/>
  <c r="J26" i="10"/>
  <c r="A57" i="8"/>
  <c r="B57" i="8"/>
  <c r="A26" i="8"/>
  <c r="A58" i="8"/>
  <c r="A33" i="8"/>
  <c r="A62" i="8"/>
  <c r="A9" i="7"/>
  <c r="B62" i="7" s="1"/>
  <c r="I57" i="8"/>
  <c r="H57" i="8"/>
  <c r="G57" i="8"/>
  <c r="C57" i="8"/>
  <c r="D57" i="8"/>
  <c r="F57" i="8"/>
  <c r="E57" i="8"/>
  <c r="I61" i="8"/>
  <c r="D61" i="8"/>
  <c r="C61" i="8"/>
  <c r="F61" i="8"/>
  <c r="C48" i="8"/>
  <c r="H61" i="8"/>
  <c r="E61" i="8"/>
  <c r="E48" i="8"/>
  <c r="D48" i="8"/>
  <c r="G48" i="8"/>
  <c r="I48" i="8"/>
  <c r="H48" i="8"/>
  <c r="G61" i="8"/>
  <c r="F48" i="8"/>
  <c r="H60" i="8"/>
  <c r="E60" i="8"/>
  <c r="C60" i="8"/>
  <c r="C47" i="8"/>
  <c r="G62" i="8"/>
  <c r="C62" i="8"/>
  <c r="H62" i="8"/>
  <c r="D60" i="8"/>
  <c r="F62" i="8"/>
  <c r="E47" i="8"/>
  <c r="D62" i="8"/>
  <c r="G47" i="8"/>
  <c r="G60" i="8"/>
  <c r="D47" i="8"/>
  <c r="I47" i="8"/>
  <c r="E62" i="8"/>
  <c r="F47" i="8"/>
  <c r="F60" i="8"/>
  <c r="I60" i="8"/>
  <c r="I62" i="8"/>
  <c r="D20" i="7"/>
  <c r="D15" i="7"/>
  <c r="D35" i="7"/>
  <c r="D40" i="7"/>
  <c r="C20" i="7"/>
  <c r="C21" i="7"/>
  <c r="H38" i="7"/>
  <c r="D43" i="7"/>
  <c r="D16" i="7"/>
  <c r="D33" i="7"/>
  <c r="D12" i="7"/>
  <c r="C16" i="7"/>
  <c r="D14" i="7"/>
  <c r="D37" i="7"/>
  <c r="H43" i="7"/>
  <c r="C53" i="7"/>
  <c r="C26" i="7"/>
  <c r="H15" i="7"/>
  <c r="D22" i="7"/>
  <c r="H25" i="7"/>
  <c r="D31" i="7"/>
  <c r="C18" i="7"/>
  <c r="H30" i="7"/>
  <c r="H14" i="7"/>
  <c r="C41" i="7"/>
  <c r="C22" i="7"/>
  <c r="C52" i="7"/>
  <c r="D28" i="7"/>
  <c r="H22" i="7"/>
  <c r="H41" i="7"/>
  <c r="C30" i="7"/>
  <c r="H40" i="7"/>
  <c r="H33" i="7"/>
  <c r="D36" i="7"/>
  <c r="H28" i="7"/>
  <c r="C13" i="7"/>
  <c r="D19" i="7"/>
  <c r="H24" i="7"/>
  <c r="H34" i="7"/>
  <c r="H26" i="7"/>
  <c r="D42" i="7"/>
  <c r="H42" i="7"/>
  <c r="D29" i="7"/>
  <c r="D32" i="7"/>
  <c r="C24" i="7"/>
  <c r="H29" i="7"/>
  <c r="C40" i="7"/>
  <c r="H13" i="7"/>
  <c r="H16" i="7"/>
  <c r="D39" i="7"/>
  <c r="H36" i="7"/>
  <c r="C33" i="7"/>
  <c r="D23" i="7"/>
  <c r="H20" i="7"/>
  <c r="H18" i="7"/>
  <c r="C43" i="7"/>
  <c r="C32" i="7"/>
  <c r="C54" i="7"/>
  <c r="H17" i="7"/>
  <c r="D17" i="7"/>
  <c r="H35" i="7"/>
  <c r="C15" i="7"/>
  <c r="C28" i="7"/>
  <c r="D13" i="7"/>
  <c r="H31" i="7"/>
  <c r="H37" i="7"/>
  <c r="C14" i="7"/>
  <c r="H12" i="7"/>
  <c r="D25" i="7"/>
  <c r="C25" i="7"/>
  <c r="C17" i="7"/>
  <c r="C42" i="7"/>
  <c r="C39" i="7"/>
  <c r="D34" i="7"/>
  <c r="C29" i="7"/>
  <c r="H23" i="7"/>
  <c r="H39" i="7"/>
  <c r="H44" i="7"/>
  <c r="H32" i="7"/>
  <c r="C23" i="7"/>
  <c r="H19" i="7"/>
  <c r="D41" i="7"/>
  <c r="D21" i="7"/>
  <c r="D26" i="7"/>
  <c r="C50" i="7"/>
  <c r="D30" i="7"/>
  <c r="C36" i="7"/>
  <c r="D24" i="7"/>
  <c r="H21" i="7"/>
  <c r="D38" i="7"/>
  <c r="C35" i="7"/>
  <c r="D18" i="7"/>
  <c r="C47" i="7"/>
  <c r="B61" i="7" l="1"/>
  <c r="B60" i="7"/>
  <c r="B47" i="7"/>
  <c r="B48" i="7"/>
  <c r="A47" i="7"/>
  <c r="I29" i="7"/>
  <c r="I12" i="7"/>
  <c r="A48" i="7"/>
  <c r="A57" i="7"/>
  <c r="A62" i="7"/>
  <c r="B57" i="7"/>
  <c r="A10" i="125"/>
  <c r="C35" i="125"/>
  <c r="C60" i="125"/>
  <c r="C44" i="125"/>
  <c r="F33" i="125"/>
  <c r="F26" i="125"/>
  <c r="C34" i="125"/>
  <c r="D25" i="125"/>
  <c r="F59" i="125"/>
  <c r="D20" i="125"/>
  <c r="F53" i="125"/>
  <c r="D57" i="125"/>
  <c r="C52" i="125"/>
  <c r="D38" i="125"/>
  <c r="F39" i="125"/>
  <c r="C41" i="125"/>
  <c r="E41" i="125"/>
  <c r="C68" i="125"/>
  <c r="C30" i="125"/>
  <c r="C36" i="125"/>
  <c r="E70" i="125"/>
  <c r="D36" i="125"/>
  <c r="C16" i="125"/>
  <c r="E71" i="125"/>
  <c r="E27" i="125"/>
  <c r="D18" i="125"/>
  <c r="C73" i="125"/>
  <c r="E21" i="125"/>
  <c r="D59" i="125"/>
  <c r="C21" i="125"/>
  <c r="E60" i="125"/>
  <c r="F60" i="125"/>
  <c r="C45" i="125"/>
  <c r="E50" i="125"/>
  <c r="C40" i="125"/>
  <c r="D44" i="125"/>
  <c r="E56" i="125"/>
  <c r="D22" i="125"/>
  <c r="D50" i="125"/>
  <c r="F13" i="125"/>
  <c r="D42" i="125"/>
  <c r="C43" i="125"/>
  <c r="F29" i="125"/>
  <c r="D65" i="125"/>
  <c r="E57" i="125"/>
  <c r="E29" i="125"/>
  <c r="C37" i="125"/>
  <c r="D37" i="125"/>
  <c r="C59" i="125"/>
  <c r="D73" i="125"/>
  <c r="E69" i="125"/>
  <c r="C33" i="125"/>
  <c r="C69" i="125"/>
  <c r="F34" i="125"/>
  <c r="E55" i="125"/>
  <c r="D69" i="125"/>
  <c r="F69" i="125"/>
  <c r="F23" i="125"/>
  <c r="F31" i="125"/>
  <c r="E31" i="125"/>
  <c r="D55" i="125"/>
  <c r="E42" i="125"/>
  <c r="F40" i="125"/>
  <c r="E39" i="125"/>
  <c r="C18" i="125"/>
  <c r="E24" i="125"/>
  <c r="C15" i="125"/>
  <c r="F16" i="125"/>
  <c r="F21" i="125"/>
  <c r="D71" i="125"/>
  <c r="F44" i="125"/>
  <c r="E43" i="125"/>
  <c r="D15" i="125"/>
  <c r="E30" i="125"/>
  <c r="F15" i="125"/>
  <c r="D41" i="125"/>
  <c r="F30" i="125"/>
  <c r="F18" i="125"/>
  <c r="F27" i="125"/>
  <c r="F52" i="125"/>
  <c r="D52" i="125"/>
  <c r="E51" i="125"/>
  <c r="E18" i="125"/>
  <c r="F19" i="125"/>
  <c r="C22" i="125"/>
  <c r="D70" i="125"/>
  <c r="F24" i="125"/>
  <c r="D31" i="125"/>
  <c r="C38" i="125"/>
  <c r="E64" i="125"/>
  <c r="E35" i="125"/>
  <c r="D14" i="125"/>
  <c r="D29" i="125"/>
  <c r="F56" i="125"/>
  <c r="C65" i="125"/>
  <c r="F41" i="125"/>
  <c r="D56" i="125"/>
  <c r="D26" i="125"/>
  <c r="D32" i="125"/>
  <c r="E26" i="125"/>
  <c r="D53" i="125"/>
  <c r="C42" i="125"/>
  <c r="F71" i="125"/>
  <c r="D16" i="125"/>
  <c r="C55" i="125"/>
  <c r="D54" i="125"/>
  <c r="D64" i="125"/>
  <c r="F73" i="125"/>
  <c r="F57" i="125"/>
  <c r="E52" i="125"/>
  <c r="E25" i="125"/>
  <c r="E37" i="125"/>
  <c r="F55" i="125"/>
  <c r="C31" i="125"/>
  <c r="F32" i="125"/>
  <c r="E40" i="125"/>
  <c r="D60" i="125"/>
  <c r="F64" i="125"/>
  <c r="C51" i="125"/>
  <c r="F51" i="125"/>
  <c r="C19" i="125"/>
  <c r="F14" i="125"/>
  <c r="C64" i="125"/>
  <c r="F20" i="125"/>
  <c r="E19" i="125"/>
  <c r="C29" i="125"/>
  <c r="D35" i="125"/>
  <c r="D24" i="125"/>
  <c r="C26" i="125"/>
  <c r="C25" i="125"/>
  <c r="E54" i="125"/>
  <c r="E34" i="125"/>
  <c r="C54" i="125"/>
  <c r="E65" i="125"/>
  <c r="F38" i="125"/>
  <c r="E44" i="125"/>
  <c r="F42" i="125"/>
  <c r="D40" i="125"/>
  <c r="C13" i="125"/>
  <c r="C24" i="125"/>
  <c r="E32" i="125"/>
  <c r="D27" i="125"/>
  <c r="E36" i="125"/>
  <c r="E73" i="125"/>
  <c r="F22" i="125"/>
  <c r="F54" i="125"/>
  <c r="C70" i="125"/>
  <c r="E68" i="125"/>
  <c r="E23" i="125"/>
  <c r="D33" i="125"/>
  <c r="E22" i="125"/>
  <c r="E13" i="125"/>
  <c r="D51" i="125"/>
  <c r="E45" i="125"/>
  <c r="D45" i="125"/>
  <c r="D68" i="125"/>
  <c r="E38" i="125"/>
  <c r="F50" i="125"/>
  <c r="D23" i="125"/>
  <c r="D21" i="125"/>
  <c r="E14" i="125"/>
  <c r="C23" i="125"/>
  <c r="C14" i="125"/>
  <c r="C50" i="125"/>
  <c r="D19" i="125"/>
  <c r="F25" i="125"/>
  <c r="C56" i="125"/>
  <c r="D34" i="125"/>
  <c r="E33" i="125"/>
  <c r="C27" i="125"/>
  <c r="F45" i="125"/>
  <c r="F65" i="125"/>
  <c r="F35" i="125"/>
  <c r="E15" i="125"/>
  <c r="D43" i="125"/>
  <c r="F36" i="125"/>
  <c r="E20" i="125"/>
  <c r="F43" i="125"/>
  <c r="F70" i="125"/>
  <c r="F37" i="125"/>
  <c r="D39" i="125"/>
  <c r="C20" i="125"/>
  <c r="C57" i="125"/>
  <c r="F68" i="125"/>
  <c r="C71" i="125"/>
  <c r="E53" i="125"/>
  <c r="D13" i="125"/>
  <c r="D30" i="125"/>
  <c r="E59" i="125"/>
  <c r="E16" i="125"/>
  <c r="C53" i="125"/>
  <c r="C57" i="7"/>
  <c r="C48" i="7"/>
  <c r="C61" i="7"/>
  <c r="E61" i="7"/>
  <c r="E48" i="7"/>
  <c r="C60" i="7"/>
  <c r="C62" i="7"/>
  <c r="E60" i="7"/>
  <c r="E47" i="7"/>
  <c r="B62" i="125" l="1"/>
  <c r="B61" i="125"/>
  <c r="E49" i="125"/>
  <c r="F62" i="125"/>
  <c r="D49" i="125"/>
  <c r="E62" i="125"/>
  <c r="C49" i="125"/>
  <c r="D62" i="125"/>
  <c r="C62" i="125"/>
  <c r="B49" i="125"/>
  <c r="B48" i="125"/>
  <c r="F49" i="125"/>
  <c r="D10" i="125"/>
  <c r="A48" i="125"/>
  <c r="A49" i="125"/>
  <c r="G45" i="125"/>
  <c r="I47" i="7"/>
  <c r="G68" i="125"/>
  <c r="G69" i="125"/>
  <c r="G70" i="125"/>
  <c r="G50" i="125"/>
  <c r="G51" i="125"/>
  <c r="G55" i="125"/>
  <c r="G59" i="125"/>
  <c r="G52" i="125"/>
  <c r="G53" i="125"/>
  <c r="G54" i="125"/>
  <c r="G56" i="125"/>
  <c r="G57" i="125"/>
  <c r="G60" i="125"/>
  <c r="G64" i="125"/>
  <c r="G65" i="125"/>
  <c r="A62" i="125"/>
  <c r="A61" i="125"/>
  <c r="A63" i="125"/>
  <c r="A10" i="101"/>
  <c r="E58" i="125"/>
  <c r="C58" i="125"/>
  <c r="F58" i="125"/>
  <c r="D58" i="125"/>
  <c r="C48" i="125"/>
  <c r="C63" i="125"/>
  <c r="E63" i="125"/>
  <c r="D61" i="125"/>
  <c r="D48" i="125"/>
  <c r="D63" i="125"/>
  <c r="F61" i="125"/>
  <c r="C61" i="125"/>
  <c r="F63" i="125"/>
  <c r="F48" i="125"/>
  <c r="E61" i="125"/>
  <c r="E48" i="125"/>
  <c r="G48" i="125" l="1"/>
  <c r="G63" i="125"/>
  <c r="G61" i="125"/>
  <c r="G49" i="125"/>
  <c r="G62" i="125"/>
  <c r="G58" i="125"/>
  <c r="I34" i="114"/>
  <c r="I35" i="114"/>
  <c r="I33" i="114"/>
  <c r="K14" i="114"/>
  <c r="M23" i="114"/>
  <c r="M24" i="114"/>
  <c r="M25" i="114"/>
  <c r="F15" i="124" l="1"/>
  <c r="F257" i="224"/>
  <c r="F256" i="224"/>
  <c r="F255" i="224"/>
  <c r="F254" i="224"/>
  <c r="F253" i="224"/>
  <c r="F252" i="224"/>
  <c r="F251" i="224"/>
  <c r="F250" i="224"/>
  <c r="F249" i="224"/>
  <c r="F248" i="224"/>
  <c r="F247" i="224"/>
  <c r="F246" i="224"/>
  <c r="F245" i="224"/>
  <c r="F244" i="224"/>
  <c r="F243" i="224"/>
  <c r="F242" i="224"/>
  <c r="F241" i="224"/>
  <c r="F240" i="224"/>
  <c r="F239" i="224"/>
  <c r="F238" i="224"/>
  <c r="F237" i="224"/>
  <c r="F236" i="224"/>
  <c r="F235" i="224"/>
  <c r="F234" i="224"/>
  <c r="F233" i="224"/>
  <c r="F232" i="224"/>
  <c r="F231" i="224"/>
  <c r="F230" i="224"/>
  <c r="F229" i="224"/>
  <c r="F228" i="224"/>
  <c r="F227" i="224"/>
  <c r="F226" i="224"/>
  <c r="A38" i="22"/>
  <c r="B38" i="22"/>
  <c r="C38" i="22"/>
  <c r="D38" i="22"/>
  <c r="E38" i="22"/>
  <c r="F38" i="22" l="1"/>
  <c r="H129" i="221"/>
  <c r="H128" i="221"/>
  <c r="H127" i="221"/>
  <c r="H126" i="221"/>
  <c r="H125" i="221"/>
  <c r="H124" i="221"/>
  <c r="H123" i="221"/>
  <c r="H122" i="221"/>
  <c r="H121" i="221"/>
  <c r="H120" i="221"/>
  <c r="H119" i="221"/>
  <c r="H118" i="221"/>
  <c r="H117" i="221"/>
  <c r="H116" i="221"/>
  <c r="H115" i="221"/>
  <c r="H114" i="221"/>
  <c r="H113" i="221"/>
  <c r="H112" i="221"/>
  <c r="H111" i="221"/>
  <c r="H110" i="221"/>
  <c r="H109" i="221"/>
  <c r="H108" i="221"/>
  <c r="H107" i="221"/>
  <c r="H106" i="221"/>
  <c r="H105" i="221"/>
  <c r="H104" i="221"/>
  <c r="H103" i="221"/>
  <c r="H102" i="221"/>
  <c r="H101" i="221"/>
  <c r="H100" i="221"/>
  <c r="H99" i="221"/>
  <c r="H98" i="221"/>
  <c r="C13" i="101" l="1"/>
  <c r="D13" i="101"/>
  <c r="E13" i="101"/>
  <c r="C14" i="101"/>
  <c r="D14" i="101"/>
  <c r="E14" i="101"/>
  <c r="C15" i="101"/>
  <c r="D15" i="101"/>
  <c r="E15" i="101"/>
  <c r="C16" i="101"/>
  <c r="D16" i="101"/>
  <c r="E16" i="101"/>
  <c r="C17" i="101"/>
  <c r="D17" i="101"/>
  <c r="E17" i="101"/>
  <c r="C18" i="101"/>
  <c r="D18" i="101"/>
  <c r="E18" i="101"/>
  <c r="C19" i="101"/>
  <c r="D19" i="101"/>
  <c r="E19" i="101"/>
  <c r="C20" i="101"/>
  <c r="D20" i="101"/>
  <c r="E20" i="101"/>
  <c r="C21" i="101"/>
  <c r="D21" i="101"/>
  <c r="E21" i="101"/>
  <c r="C22" i="101"/>
  <c r="D22" i="101"/>
  <c r="E22" i="101"/>
  <c r="C23" i="101"/>
  <c r="D23" i="101"/>
  <c r="E23" i="101"/>
  <c r="C24" i="101"/>
  <c r="D24" i="101"/>
  <c r="E24" i="101"/>
  <c r="C25" i="101"/>
  <c r="D25" i="101"/>
  <c r="E25" i="101"/>
  <c r="C26" i="101"/>
  <c r="D26" i="101"/>
  <c r="E26" i="101"/>
  <c r="C27" i="101"/>
  <c r="D27" i="101"/>
  <c r="E27" i="101"/>
  <c r="C28" i="101"/>
  <c r="D28" i="101"/>
  <c r="E28" i="101"/>
  <c r="C29" i="101"/>
  <c r="D29" i="101"/>
  <c r="E29" i="101"/>
  <c r="C30" i="101"/>
  <c r="D30" i="101"/>
  <c r="E30" i="101"/>
  <c r="C31" i="101"/>
  <c r="D31" i="101"/>
  <c r="E31" i="101"/>
  <c r="C32" i="101"/>
  <c r="D32" i="101"/>
  <c r="E32" i="101"/>
  <c r="C33" i="101"/>
  <c r="D33" i="101"/>
  <c r="E33" i="101"/>
  <c r="C34" i="101"/>
  <c r="D34" i="101"/>
  <c r="E34" i="101"/>
  <c r="C35" i="101"/>
  <c r="D35" i="101"/>
  <c r="E35" i="101"/>
  <c r="C36" i="101"/>
  <c r="D36" i="101"/>
  <c r="E36" i="101"/>
  <c r="C37" i="101"/>
  <c r="D37" i="101"/>
  <c r="E37" i="101"/>
  <c r="C38" i="101"/>
  <c r="D38" i="101"/>
  <c r="E38" i="101"/>
  <c r="C39" i="101"/>
  <c r="D39" i="101"/>
  <c r="E39" i="101"/>
  <c r="C40" i="101"/>
  <c r="D40" i="101"/>
  <c r="E40" i="101"/>
  <c r="C41" i="101"/>
  <c r="D41" i="101"/>
  <c r="E41" i="101"/>
  <c r="C42" i="101"/>
  <c r="D42" i="101"/>
  <c r="E42" i="101"/>
  <c r="C43" i="101"/>
  <c r="D43" i="101"/>
  <c r="E43" i="101"/>
  <c r="D12" i="101"/>
  <c r="E12" i="101"/>
  <c r="C12" i="101"/>
  <c r="F225" i="224"/>
  <c r="F224" i="224"/>
  <c r="F223" i="224"/>
  <c r="F222" i="224"/>
  <c r="F221" i="224"/>
  <c r="F220" i="224"/>
  <c r="F219" i="224"/>
  <c r="F218" i="224"/>
  <c r="F217" i="224"/>
  <c r="F216" i="224"/>
  <c r="F215" i="224"/>
  <c r="F214" i="224"/>
  <c r="F213" i="224"/>
  <c r="F212" i="224"/>
  <c r="F211" i="224"/>
  <c r="F210" i="224"/>
  <c r="F209" i="224"/>
  <c r="F208" i="224"/>
  <c r="F207" i="224"/>
  <c r="F206" i="224"/>
  <c r="F205" i="224"/>
  <c r="F204" i="224"/>
  <c r="F203" i="224"/>
  <c r="F202" i="224"/>
  <c r="F201" i="224"/>
  <c r="F200" i="224"/>
  <c r="F199" i="224"/>
  <c r="F198" i="224"/>
  <c r="F197" i="224"/>
  <c r="F196" i="224"/>
  <c r="F195" i="224"/>
  <c r="F194" i="224"/>
  <c r="F193" i="224"/>
  <c r="F192" i="224"/>
  <c r="F191" i="224"/>
  <c r="F190" i="224"/>
  <c r="F189" i="224"/>
  <c r="F188" i="224"/>
  <c r="F187" i="224"/>
  <c r="F186" i="224"/>
  <c r="F185" i="224"/>
  <c r="F184" i="224"/>
  <c r="F183" i="224"/>
  <c r="F182" i="224"/>
  <c r="F181" i="224"/>
  <c r="F180" i="224"/>
  <c r="F179" i="224"/>
  <c r="F178" i="224"/>
  <c r="F177" i="224"/>
  <c r="F176" i="224"/>
  <c r="F175" i="224"/>
  <c r="F174" i="224"/>
  <c r="F173" i="224"/>
  <c r="F172" i="224"/>
  <c r="F171" i="224"/>
  <c r="F170" i="224"/>
  <c r="F169" i="224"/>
  <c r="F168" i="224"/>
  <c r="F167" i="224"/>
  <c r="F166" i="224"/>
  <c r="F165" i="224"/>
  <c r="F164" i="224"/>
  <c r="F163" i="224"/>
  <c r="F162" i="224"/>
  <c r="F161" i="224"/>
  <c r="F160" i="224"/>
  <c r="F159" i="224"/>
  <c r="F158" i="224"/>
  <c r="F157" i="224"/>
  <c r="F156" i="224"/>
  <c r="F155" i="224"/>
  <c r="F154" i="224"/>
  <c r="F153" i="224"/>
  <c r="F152" i="224"/>
  <c r="F151" i="224"/>
  <c r="F150" i="224"/>
  <c r="F149" i="224"/>
  <c r="F148" i="224"/>
  <c r="F147" i="224"/>
  <c r="F146" i="224"/>
  <c r="F145" i="224"/>
  <c r="F144" i="224"/>
  <c r="F143" i="224"/>
  <c r="F142" i="224"/>
  <c r="F141" i="224"/>
  <c r="F140" i="224"/>
  <c r="F139" i="224"/>
  <c r="F138" i="224"/>
  <c r="F137" i="224"/>
  <c r="F136" i="224"/>
  <c r="F135" i="224"/>
  <c r="F134" i="224"/>
  <c r="F133" i="224"/>
  <c r="F132" i="224"/>
  <c r="F131" i="224"/>
  <c r="F130" i="224"/>
  <c r="F129" i="224"/>
  <c r="F128" i="224"/>
  <c r="F127" i="224"/>
  <c r="F126" i="224"/>
  <c r="F125" i="224"/>
  <c r="F124" i="224"/>
  <c r="F123" i="224"/>
  <c r="F122" i="224"/>
  <c r="F121" i="224"/>
  <c r="F120" i="224"/>
  <c r="F119" i="224"/>
  <c r="F118" i="224"/>
  <c r="F117" i="224"/>
  <c r="F116" i="224"/>
  <c r="F115" i="224"/>
  <c r="F114" i="224"/>
  <c r="F113" i="224"/>
  <c r="F112" i="224"/>
  <c r="F111" i="224"/>
  <c r="F110" i="224"/>
  <c r="F109" i="224"/>
  <c r="F108" i="224"/>
  <c r="F107" i="224"/>
  <c r="F106" i="224"/>
  <c r="F105" i="224"/>
  <c r="F104" i="224"/>
  <c r="F103" i="224"/>
  <c r="F102" i="224"/>
  <c r="F101" i="224"/>
  <c r="F100" i="224"/>
  <c r="F99" i="224"/>
  <c r="F98" i="224"/>
  <c r="F97" i="224"/>
  <c r="F96" i="224"/>
  <c r="F95" i="224"/>
  <c r="F94" i="224"/>
  <c r="F93" i="224"/>
  <c r="F92" i="224"/>
  <c r="F91" i="224"/>
  <c r="F90" i="224"/>
  <c r="F89" i="224"/>
  <c r="F88" i="224"/>
  <c r="F87" i="224"/>
  <c r="F86" i="224"/>
  <c r="F85" i="224"/>
  <c r="F84" i="224"/>
  <c r="F83" i="224"/>
  <c r="F82" i="224"/>
  <c r="F81" i="224"/>
  <c r="F80" i="224"/>
  <c r="F79" i="224"/>
  <c r="F78" i="224"/>
  <c r="F77" i="224"/>
  <c r="F76" i="224"/>
  <c r="F75" i="224"/>
  <c r="F74" i="224"/>
  <c r="F73" i="224"/>
  <c r="F72" i="224"/>
  <c r="F71" i="224"/>
  <c r="F70" i="224"/>
  <c r="F69" i="224"/>
  <c r="F68" i="224"/>
  <c r="F67" i="224"/>
  <c r="F66" i="224"/>
  <c r="F65" i="224"/>
  <c r="F64" i="224"/>
  <c r="F63" i="224"/>
  <c r="F62" i="224"/>
  <c r="F61" i="224"/>
  <c r="F60" i="224"/>
  <c r="F59" i="224"/>
  <c r="F58" i="224"/>
  <c r="F57" i="224"/>
  <c r="F56" i="224"/>
  <c r="F55" i="224"/>
  <c r="F54" i="224"/>
  <c r="F53" i="224"/>
  <c r="F52" i="224"/>
  <c r="F51" i="224"/>
  <c r="F50" i="224"/>
  <c r="F49" i="224"/>
  <c r="F48" i="224"/>
  <c r="F47" i="224"/>
  <c r="F46" i="224"/>
  <c r="F45" i="224"/>
  <c r="F44" i="224"/>
  <c r="F43" i="224"/>
  <c r="F42" i="224"/>
  <c r="F41" i="224"/>
  <c r="F40" i="224"/>
  <c r="F39" i="224"/>
  <c r="F38" i="224"/>
  <c r="F37" i="224"/>
  <c r="F36" i="224"/>
  <c r="F35" i="224"/>
  <c r="F34" i="224"/>
  <c r="F3" i="224"/>
  <c r="F4" i="224"/>
  <c r="F5" i="224"/>
  <c r="F6" i="224"/>
  <c r="F7" i="224"/>
  <c r="F8" i="224"/>
  <c r="F9" i="224"/>
  <c r="F10" i="224"/>
  <c r="F11" i="224"/>
  <c r="F12" i="224"/>
  <c r="F13" i="224"/>
  <c r="F14" i="224"/>
  <c r="F15" i="224"/>
  <c r="F16" i="224"/>
  <c r="F17" i="224"/>
  <c r="F18" i="224"/>
  <c r="F19" i="224"/>
  <c r="F20" i="224"/>
  <c r="F21" i="224"/>
  <c r="F22" i="224"/>
  <c r="F23" i="224"/>
  <c r="F24" i="224"/>
  <c r="F25" i="224"/>
  <c r="F26" i="224"/>
  <c r="F27" i="224"/>
  <c r="F28" i="224"/>
  <c r="F29" i="224"/>
  <c r="F30" i="224"/>
  <c r="F31" i="224"/>
  <c r="F32" i="224"/>
  <c r="F33" i="224"/>
  <c r="F2" i="224"/>
  <c r="C13" i="23"/>
  <c r="D13" i="23"/>
  <c r="E13" i="23"/>
  <c r="F13" i="23"/>
  <c r="G13" i="23"/>
  <c r="C14" i="23"/>
  <c r="D14" i="23"/>
  <c r="E14" i="23"/>
  <c r="F14" i="23"/>
  <c r="G14" i="23"/>
  <c r="C15" i="23"/>
  <c r="D15" i="23"/>
  <c r="E15" i="23"/>
  <c r="F15" i="23"/>
  <c r="G15" i="23"/>
  <c r="C16" i="23"/>
  <c r="D16" i="23"/>
  <c r="E16" i="23"/>
  <c r="F16" i="23"/>
  <c r="G16" i="23"/>
  <c r="C17" i="23"/>
  <c r="D17" i="23"/>
  <c r="E17" i="23"/>
  <c r="F17" i="23"/>
  <c r="G17" i="23"/>
  <c r="C18" i="23"/>
  <c r="D18" i="23"/>
  <c r="E18" i="23"/>
  <c r="F18" i="23"/>
  <c r="G18" i="23"/>
  <c r="C19" i="23"/>
  <c r="D19" i="23"/>
  <c r="E19" i="23"/>
  <c r="F19" i="23"/>
  <c r="G19" i="23"/>
  <c r="C20" i="23"/>
  <c r="D20" i="23"/>
  <c r="E20" i="23"/>
  <c r="F20" i="23"/>
  <c r="G20" i="23"/>
  <c r="C21" i="23"/>
  <c r="D21" i="23"/>
  <c r="E21" i="23"/>
  <c r="F21" i="23"/>
  <c r="G21" i="23"/>
  <c r="C22" i="23"/>
  <c r="D22" i="23"/>
  <c r="E22" i="23"/>
  <c r="F22" i="23"/>
  <c r="G22" i="23"/>
  <c r="C23" i="23"/>
  <c r="D23" i="23"/>
  <c r="E23" i="23"/>
  <c r="F23" i="23"/>
  <c r="G23" i="23"/>
  <c r="C24" i="23"/>
  <c r="D24" i="23"/>
  <c r="E24" i="23"/>
  <c r="F24" i="23"/>
  <c r="G24" i="23"/>
  <c r="C25" i="23"/>
  <c r="D25" i="23"/>
  <c r="E25" i="23"/>
  <c r="F25" i="23"/>
  <c r="G25" i="23"/>
  <c r="C26" i="23"/>
  <c r="D26" i="23"/>
  <c r="E26" i="23"/>
  <c r="F26" i="23"/>
  <c r="G26" i="23"/>
  <c r="C27" i="23"/>
  <c r="D27" i="23"/>
  <c r="E27" i="23"/>
  <c r="F27" i="23"/>
  <c r="G27" i="23"/>
  <c r="C28" i="23"/>
  <c r="D28" i="23"/>
  <c r="E28" i="23"/>
  <c r="F28" i="23"/>
  <c r="G28" i="23"/>
  <c r="C29" i="23"/>
  <c r="D29" i="23"/>
  <c r="E29" i="23"/>
  <c r="F29" i="23"/>
  <c r="G29" i="23"/>
  <c r="C30" i="23"/>
  <c r="D30" i="23"/>
  <c r="E30" i="23"/>
  <c r="F30" i="23"/>
  <c r="G30" i="23"/>
  <c r="C31" i="23"/>
  <c r="D31" i="23"/>
  <c r="E31" i="23"/>
  <c r="F31" i="23"/>
  <c r="G31" i="23"/>
  <c r="C32" i="23"/>
  <c r="D32" i="23"/>
  <c r="E32" i="23"/>
  <c r="F32" i="23"/>
  <c r="G32" i="23"/>
  <c r="C33" i="23"/>
  <c r="D33" i="23"/>
  <c r="E33" i="23"/>
  <c r="F33" i="23"/>
  <c r="G33" i="23"/>
  <c r="C34" i="23"/>
  <c r="D34" i="23"/>
  <c r="E34" i="23"/>
  <c r="F34" i="23"/>
  <c r="G34" i="23"/>
  <c r="C35" i="23"/>
  <c r="D35" i="23"/>
  <c r="E35" i="23"/>
  <c r="F35" i="23"/>
  <c r="G35" i="23"/>
  <c r="C36" i="23"/>
  <c r="D36" i="23"/>
  <c r="E36" i="23"/>
  <c r="F36" i="23"/>
  <c r="G36" i="23"/>
  <c r="C37" i="23"/>
  <c r="D37" i="23"/>
  <c r="E37" i="23"/>
  <c r="F37" i="23"/>
  <c r="G37" i="23"/>
  <c r="C38" i="23"/>
  <c r="D38" i="23"/>
  <c r="E38" i="23"/>
  <c r="F38" i="23"/>
  <c r="G38" i="23"/>
  <c r="C39" i="23"/>
  <c r="D39" i="23"/>
  <c r="E39" i="23"/>
  <c r="F39" i="23"/>
  <c r="G39" i="23"/>
  <c r="C40" i="23"/>
  <c r="D40" i="23"/>
  <c r="E40" i="23"/>
  <c r="F40" i="23"/>
  <c r="G40" i="23"/>
  <c r="C41" i="23"/>
  <c r="D41" i="23"/>
  <c r="E41" i="23"/>
  <c r="F41" i="23"/>
  <c r="G41" i="23"/>
  <c r="C42" i="23"/>
  <c r="D42" i="23"/>
  <c r="E42" i="23"/>
  <c r="F42" i="23"/>
  <c r="G42" i="23"/>
  <c r="C43" i="23"/>
  <c r="D43" i="23"/>
  <c r="E43" i="23"/>
  <c r="F43" i="23"/>
  <c r="G43" i="23"/>
  <c r="D12" i="23"/>
  <c r="E12" i="23"/>
  <c r="F12" i="23"/>
  <c r="G12" i="23"/>
  <c r="C12" i="23"/>
  <c r="H3" i="221"/>
  <c r="H4" i="221"/>
  <c r="H5" i="221"/>
  <c r="H6" i="221"/>
  <c r="H7" i="221"/>
  <c r="H8" i="221"/>
  <c r="H9" i="221"/>
  <c r="H10" i="221"/>
  <c r="H11" i="221"/>
  <c r="H12" i="221"/>
  <c r="H13" i="221"/>
  <c r="H14" i="221"/>
  <c r="H15" i="221"/>
  <c r="H16" i="221"/>
  <c r="H17" i="221"/>
  <c r="H18" i="221"/>
  <c r="H19" i="221"/>
  <c r="H20" i="221"/>
  <c r="H21" i="221"/>
  <c r="H22" i="221"/>
  <c r="H23" i="221"/>
  <c r="H24" i="221"/>
  <c r="H25" i="221"/>
  <c r="H26" i="221"/>
  <c r="H27" i="221"/>
  <c r="H28" i="221"/>
  <c r="H29" i="221"/>
  <c r="H30" i="221"/>
  <c r="H31" i="221"/>
  <c r="H32" i="221"/>
  <c r="H33" i="221"/>
  <c r="H34" i="221"/>
  <c r="H35" i="221"/>
  <c r="H36" i="221"/>
  <c r="H37" i="221"/>
  <c r="H38" i="221"/>
  <c r="H39" i="221"/>
  <c r="H40" i="221"/>
  <c r="H41" i="221"/>
  <c r="H42" i="221"/>
  <c r="H43" i="221"/>
  <c r="H44" i="221"/>
  <c r="H45" i="221"/>
  <c r="H46" i="221"/>
  <c r="H47" i="221"/>
  <c r="H48" i="221"/>
  <c r="H49" i="221"/>
  <c r="H50" i="221"/>
  <c r="H51" i="221"/>
  <c r="H52" i="221"/>
  <c r="H53" i="221"/>
  <c r="H54" i="221"/>
  <c r="H55" i="221"/>
  <c r="H56" i="221"/>
  <c r="H57" i="221"/>
  <c r="H58" i="221"/>
  <c r="H59" i="221"/>
  <c r="H60" i="221"/>
  <c r="H61" i="221"/>
  <c r="H62" i="221"/>
  <c r="H63" i="221"/>
  <c r="H64" i="221"/>
  <c r="H65" i="221"/>
  <c r="H66" i="221"/>
  <c r="H67" i="221"/>
  <c r="H68" i="221"/>
  <c r="H69" i="221"/>
  <c r="H70" i="221"/>
  <c r="H71" i="221"/>
  <c r="H72" i="221"/>
  <c r="H73" i="221"/>
  <c r="H74" i="221"/>
  <c r="H75" i="221"/>
  <c r="H76" i="221"/>
  <c r="H77" i="221"/>
  <c r="H78" i="221"/>
  <c r="H79" i="221"/>
  <c r="H80" i="221"/>
  <c r="H81" i="221"/>
  <c r="H82" i="221"/>
  <c r="H83" i="221"/>
  <c r="H84" i="221"/>
  <c r="H85" i="221"/>
  <c r="H86" i="221"/>
  <c r="H87" i="221"/>
  <c r="H88" i="221"/>
  <c r="H89" i="221"/>
  <c r="H90" i="221"/>
  <c r="H91" i="221"/>
  <c r="H92" i="221"/>
  <c r="H93" i="221"/>
  <c r="H94" i="221"/>
  <c r="H95" i="221"/>
  <c r="H96" i="221"/>
  <c r="H97" i="221"/>
  <c r="H2" i="221"/>
  <c r="C12" i="17"/>
  <c r="B12" i="17"/>
  <c r="D12" i="17" l="1"/>
  <c r="B13" i="17"/>
  <c r="C11" i="17"/>
  <c r="B11" i="17"/>
  <c r="B15" i="17"/>
  <c r="B10" i="17"/>
  <c r="C15" i="17"/>
  <c r="C10" i="17"/>
  <c r="C14" i="17"/>
  <c r="C13" i="17"/>
  <c r="B14" i="17"/>
  <c r="I10" i="25" l="1"/>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C11" i="25"/>
  <c r="D11" i="25"/>
  <c r="E11" i="25"/>
  <c r="F11" i="25"/>
  <c r="G11" i="25"/>
  <c r="H11" i="25"/>
  <c r="C12" i="25"/>
  <c r="D12" i="25"/>
  <c r="E12" i="25"/>
  <c r="F12" i="25"/>
  <c r="G12" i="25"/>
  <c r="H12" i="25"/>
  <c r="C13" i="25"/>
  <c r="D13" i="25"/>
  <c r="E13" i="25"/>
  <c r="F13" i="25"/>
  <c r="G13" i="25"/>
  <c r="H13" i="25"/>
  <c r="C14" i="25"/>
  <c r="D14" i="25"/>
  <c r="E14" i="25"/>
  <c r="F14" i="25"/>
  <c r="G14" i="25"/>
  <c r="H14" i="25"/>
  <c r="C15" i="25"/>
  <c r="D15" i="25"/>
  <c r="E15" i="25"/>
  <c r="F15" i="25"/>
  <c r="G15" i="25"/>
  <c r="H15" i="25"/>
  <c r="C16" i="25"/>
  <c r="D16" i="25"/>
  <c r="E16" i="25"/>
  <c r="F16" i="25"/>
  <c r="G16" i="25"/>
  <c r="H16" i="25"/>
  <c r="C17" i="25"/>
  <c r="D17" i="25"/>
  <c r="E17" i="25"/>
  <c r="F17" i="25"/>
  <c r="G17" i="25"/>
  <c r="H17" i="25"/>
  <c r="C18" i="25"/>
  <c r="D18" i="25"/>
  <c r="E18" i="25"/>
  <c r="F18" i="25"/>
  <c r="G18" i="25"/>
  <c r="H18" i="25"/>
  <c r="C19" i="25"/>
  <c r="D19" i="25"/>
  <c r="E19" i="25"/>
  <c r="F19" i="25"/>
  <c r="G19" i="25"/>
  <c r="H19" i="25"/>
  <c r="C20" i="25"/>
  <c r="D20" i="25"/>
  <c r="E20" i="25"/>
  <c r="F20" i="25"/>
  <c r="G20" i="25"/>
  <c r="H20" i="25"/>
  <c r="C21" i="25"/>
  <c r="D21" i="25"/>
  <c r="E21" i="25"/>
  <c r="F21" i="25"/>
  <c r="G21" i="25"/>
  <c r="H21" i="25"/>
  <c r="C22" i="25"/>
  <c r="D22" i="25"/>
  <c r="E22" i="25"/>
  <c r="F22" i="25"/>
  <c r="G22" i="25"/>
  <c r="H22" i="25"/>
  <c r="C23" i="25"/>
  <c r="D23" i="25"/>
  <c r="E23" i="25"/>
  <c r="F23" i="25"/>
  <c r="G23" i="25"/>
  <c r="H23" i="25"/>
  <c r="C24" i="25"/>
  <c r="D24" i="25"/>
  <c r="E24" i="25"/>
  <c r="F24" i="25"/>
  <c r="G24" i="25"/>
  <c r="H24" i="25"/>
  <c r="C25" i="25"/>
  <c r="D25" i="25"/>
  <c r="E25" i="25"/>
  <c r="F25" i="25"/>
  <c r="G25" i="25"/>
  <c r="H25" i="25"/>
  <c r="C26" i="25"/>
  <c r="D26" i="25"/>
  <c r="E26" i="25"/>
  <c r="F26" i="25"/>
  <c r="G26" i="25"/>
  <c r="H26" i="25"/>
  <c r="C27" i="25"/>
  <c r="D27" i="25"/>
  <c r="E27" i="25"/>
  <c r="F27" i="25"/>
  <c r="G27" i="25"/>
  <c r="H27" i="25"/>
  <c r="C28" i="25"/>
  <c r="D28" i="25"/>
  <c r="E28" i="25"/>
  <c r="F28" i="25"/>
  <c r="G28" i="25"/>
  <c r="H28" i="25"/>
  <c r="C29" i="25"/>
  <c r="D29" i="25"/>
  <c r="E29" i="25"/>
  <c r="F29" i="25"/>
  <c r="G29" i="25"/>
  <c r="H29" i="25"/>
  <c r="C30" i="25"/>
  <c r="D30" i="25"/>
  <c r="E30" i="25"/>
  <c r="F30" i="25"/>
  <c r="G30" i="25"/>
  <c r="H30" i="25"/>
  <c r="C31" i="25"/>
  <c r="D31" i="25"/>
  <c r="E31" i="25"/>
  <c r="F31" i="25"/>
  <c r="G31" i="25"/>
  <c r="H31" i="25"/>
  <c r="C32" i="25"/>
  <c r="D32" i="25"/>
  <c r="E32" i="25"/>
  <c r="F32" i="25"/>
  <c r="G32" i="25"/>
  <c r="H32" i="25"/>
  <c r="C33" i="25"/>
  <c r="D33" i="25"/>
  <c r="E33" i="25"/>
  <c r="F33" i="25"/>
  <c r="G33" i="25"/>
  <c r="H33" i="25"/>
  <c r="C34" i="25"/>
  <c r="D34" i="25"/>
  <c r="E34" i="25"/>
  <c r="F34" i="25"/>
  <c r="G34" i="25"/>
  <c r="H34" i="25"/>
  <c r="C35" i="25"/>
  <c r="D35" i="25"/>
  <c r="E35" i="25"/>
  <c r="F35" i="25"/>
  <c r="G35" i="25"/>
  <c r="H35" i="25"/>
  <c r="C36" i="25"/>
  <c r="D36" i="25"/>
  <c r="E36" i="25"/>
  <c r="F36" i="25"/>
  <c r="G36" i="25"/>
  <c r="H36" i="25"/>
  <c r="C37" i="25"/>
  <c r="D37" i="25"/>
  <c r="E37" i="25"/>
  <c r="F37" i="25"/>
  <c r="G37" i="25"/>
  <c r="H37" i="25"/>
  <c r="C38" i="25"/>
  <c r="D38" i="25"/>
  <c r="E38" i="25"/>
  <c r="F38" i="25"/>
  <c r="G38" i="25"/>
  <c r="H38" i="25"/>
  <c r="C39" i="25"/>
  <c r="D39" i="25"/>
  <c r="E39" i="25"/>
  <c r="F39" i="25"/>
  <c r="G39" i="25"/>
  <c r="H39" i="25"/>
  <c r="C40" i="25"/>
  <c r="D40" i="25"/>
  <c r="E40" i="25"/>
  <c r="F40" i="25"/>
  <c r="G40" i="25"/>
  <c r="H40" i="25"/>
  <c r="C41" i="25"/>
  <c r="D41" i="25"/>
  <c r="E41" i="25"/>
  <c r="F41" i="25"/>
  <c r="G41" i="25"/>
  <c r="H41" i="25"/>
  <c r="D10" i="25"/>
  <c r="E10" i="25"/>
  <c r="F10" i="25"/>
  <c r="G10" i="25"/>
  <c r="H10" i="25"/>
  <c r="C10" i="25"/>
  <c r="D36" i="18"/>
  <c r="D35" i="18"/>
  <c r="D44" i="13"/>
  <c r="E44" i="13"/>
  <c r="C44" i="13"/>
  <c r="D42" i="18" l="1"/>
  <c r="D22" i="18"/>
  <c r="D46" i="18"/>
  <c r="D44" i="18"/>
  <c r="D32" i="18"/>
  <c r="B23" i="18"/>
  <c r="B49" i="18" s="1"/>
  <c r="D43" i="18"/>
  <c r="D11" i="18"/>
  <c r="D14" i="18"/>
  <c r="C23" i="18"/>
  <c r="C49" i="18" s="1"/>
  <c r="D40" i="18"/>
  <c r="D21" i="18"/>
  <c r="D33" i="18"/>
  <c r="D31" i="18"/>
  <c r="D41" i="18"/>
  <c r="D45" i="18"/>
  <c r="D34" i="18"/>
  <c r="D15" i="18"/>
  <c r="D20" i="18"/>
  <c r="D13" i="17"/>
  <c r="D10" i="18"/>
  <c r="D12" i="18"/>
  <c r="D16" i="18"/>
  <c r="D13" i="18"/>
  <c r="F44" i="13"/>
  <c r="F12" i="11"/>
  <c r="D47" i="18" l="1"/>
  <c r="D23" i="18"/>
  <c r="D17" i="18"/>
  <c r="M30" i="15"/>
  <c r="M31" i="15"/>
  <c r="M32" i="15"/>
  <c r="M33" i="15"/>
  <c r="M34" i="15"/>
  <c r="M35" i="15"/>
  <c r="M36" i="15"/>
  <c r="M38" i="15"/>
  <c r="M29" i="15"/>
  <c r="L30" i="15"/>
  <c r="L31" i="15"/>
  <c r="L32" i="15"/>
  <c r="L33" i="15"/>
  <c r="L34" i="15"/>
  <c r="L35" i="15"/>
  <c r="L36" i="15"/>
  <c r="L38" i="15"/>
  <c r="L29" i="15"/>
  <c r="K30" i="15"/>
  <c r="K31" i="15"/>
  <c r="K32" i="15"/>
  <c r="K33" i="15"/>
  <c r="K34" i="15"/>
  <c r="K35" i="15"/>
  <c r="K36" i="15"/>
  <c r="K38" i="15"/>
  <c r="K29" i="15"/>
  <c r="J30" i="15"/>
  <c r="J31" i="15"/>
  <c r="J32" i="15"/>
  <c r="J33" i="15"/>
  <c r="J34" i="15"/>
  <c r="J35" i="15"/>
  <c r="J36" i="15"/>
  <c r="J38" i="15"/>
  <c r="J29" i="15"/>
  <c r="I30" i="15"/>
  <c r="I31" i="15"/>
  <c r="I32" i="15"/>
  <c r="I33" i="15"/>
  <c r="I34" i="15"/>
  <c r="I35" i="15"/>
  <c r="I36" i="15"/>
  <c r="I38" i="15"/>
  <c r="I29" i="15"/>
  <c r="H30" i="15"/>
  <c r="H31" i="15"/>
  <c r="H32" i="15"/>
  <c r="H33" i="15"/>
  <c r="H34" i="15"/>
  <c r="H35" i="15"/>
  <c r="H36" i="15"/>
  <c r="H38" i="15"/>
  <c r="H29" i="15"/>
  <c r="G36" i="15"/>
  <c r="G38" i="15"/>
  <c r="F36" i="15"/>
  <c r="F38" i="15"/>
  <c r="E30" i="15"/>
  <c r="E31" i="15"/>
  <c r="E32" i="15"/>
  <c r="E33" i="15"/>
  <c r="E34" i="15"/>
  <c r="E35" i="15"/>
  <c r="E36" i="15"/>
  <c r="E38" i="15"/>
  <c r="E29" i="15"/>
  <c r="D30" i="15"/>
  <c r="D31" i="15"/>
  <c r="D32" i="15"/>
  <c r="D33" i="15"/>
  <c r="D34" i="15"/>
  <c r="D35" i="15"/>
  <c r="D36" i="15"/>
  <c r="D38" i="15"/>
  <c r="D29" i="15"/>
  <c r="C30" i="15"/>
  <c r="C31" i="15"/>
  <c r="C32" i="15"/>
  <c r="C33" i="15"/>
  <c r="C34" i="15"/>
  <c r="C35" i="15"/>
  <c r="C36" i="15"/>
  <c r="C38" i="15"/>
  <c r="C29" i="15"/>
  <c r="B30" i="15"/>
  <c r="B31" i="15"/>
  <c r="B32" i="15"/>
  <c r="B33" i="15"/>
  <c r="B34" i="15"/>
  <c r="B35" i="15"/>
  <c r="B36" i="15"/>
  <c r="B38" i="15"/>
  <c r="B29" i="15"/>
  <c r="A30" i="15"/>
  <c r="A31" i="15"/>
  <c r="A32" i="15"/>
  <c r="A33" i="15"/>
  <c r="A34" i="15"/>
  <c r="A35" i="15"/>
  <c r="A36" i="15"/>
  <c r="A38" i="15"/>
  <c r="A29" i="15"/>
  <c r="O29" i="15"/>
  <c r="D49" i="18" l="1"/>
  <c r="Q29" i="15"/>
  <c r="F49" i="18"/>
  <c r="E49" i="18"/>
  <c r="N29" i="15"/>
  <c r="C15" i="126"/>
  <c r="D15" i="126"/>
  <c r="E15" i="126"/>
  <c r="F15" i="126"/>
  <c r="G15" i="126"/>
  <c r="H15" i="126"/>
  <c r="B15" i="126"/>
  <c r="C14" i="126"/>
  <c r="D14" i="126"/>
  <c r="E14" i="126"/>
  <c r="F14" i="126"/>
  <c r="G14" i="126"/>
  <c r="H14" i="126"/>
  <c r="B14" i="126"/>
  <c r="C13" i="126"/>
  <c r="D13" i="126"/>
  <c r="E13" i="126"/>
  <c r="F13" i="126"/>
  <c r="G13" i="126"/>
  <c r="H13" i="126"/>
  <c r="B13" i="126"/>
  <c r="P29" i="15" l="1"/>
  <c r="I14" i="126"/>
  <c r="J20" i="8"/>
  <c r="J35" i="8"/>
  <c r="J27" i="8"/>
  <c r="J19" i="8"/>
  <c r="J43" i="8"/>
  <c r="J36" i="8"/>
  <c r="J28" i="8"/>
  <c r="J40" i="8"/>
  <c r="J24" i="8"/>
  <c r="J41" i="8"/>
  <c r="J33" i="8"/>
  <c r="J25" i="8"/>
  <c r="J17" i="8"/>
  <c r="J32" i="8"/>
  <c r="J16" i="8"/>
  <c r="J42" i="8"/>
  <c r="J34" i="8"/>
  <c r="J26" i="8"/>
  <c r="J18" i="8"/>
  <c r="J37" i="8"/>
  <c r="J29" i="8"/>
  <c r="J21" i="8"/>
  <c r="J13" i="8"/>
  <c r="J38" i="8"/>
  <c r="J30" i="8"/>
  <c r="J22" i="8"/>
  <c r="J14" i="8"/>
  <c r="J39" i="8"/>
  <c r="J31" i="8"/>
  <c r="J23" i="8"/>
  <c r="J15" i="8"/>
  <c r="J12" i="8"/>
  <c r="C10" i="3" l="1"/>
  <c r="E10" i="3"/>
  <c r="F10" i="3"/>
  <c r="G10" i="3"/>
  <c r="C11" i="3"/>
  <c r="E11" i="3"/>
  <c r="F11" i="3"/>
  <c r="G11" i="3"/>
  <c r="C12" i="3"/>
  <c r="E12" i="3"/>
  <c r="F12" i="3"/>
  <c r="G12" i="3"/>
  <c r="C13" i="3"/>
  <c r="E13" i="3"/>
  <c r="F13" i="3"/>
  <c r="G13" i="3"/>
  <c r="B11" i="3"/>
  <c r="B12" i="3"/>
  <c r="B13" i="3"/>
  <c r="B10" i="3"/>
  <c r="G73" i="125" l="1"/>
  <c r="I12" i="94"/>
  <c r="I13" i="94" s="1"/>
  <c r="I18" i="94"/>
  <c r="I19" i="94" s="1"/>
  <c r="I16" i="94"/>
  <c r="I17" i="94" s="1"/>
  <c r="I10" i="94"/>
  <c r="B11" i="94" s="1"/>
  <c r="I11" i="94" l="1"/>
  <c r="H22" i="96" l="1"/>
  <c r="H21" i="96"/>
  <c r="H18" i="96"/>
  <c r="H16" i="96"/>
  <c r="H14" i="96"/>
  <c r="H20" i="96"/>
  <c r="H15" i="96"/>
  <c r="H19" i="96"/>
  <c r="H13" i="96"/>
  <c r="H12" i="96"/>
  <c r="H17" i="96"/>
  <c r="C37" i="19" l="1"/>
  <c r="H22" i="19"/>
  <c r="H16" i="19"/>
  <c r="H20" i="19"/>
  <c r="H12" i="19"/>
  <c r="H11" i="19"/>
  <c r="I11" i="19" s="1"/>
  <c r="G39" i="19"/>
  <c r="H21" i="19"/>
  <c r="H17" i="19"/>
  <c r="E37" i="19"/>
  <c r="H19" i="19"/>
  <c r="H18" i="19"/>
  <c r="H15" i="19"/>
  <c r="H14" i="19"/>
  <c r="I19" i="19" l="1"/>
  <c r="I21" i="19"/>
  <c r="I20" i="19"/>
  <c r="I22" i="19"/>
  <c r="N38" i="15"/>
  <c r="N30" i="15"/>
  <c r="O32" i="15"/>
  <c r="N37" i="15"/>
  <c r="O31" i="15"/>
  <c r="O33" i="15"/>
  <c r="O38" i="15"/>
  <c r="N35" i="15"/>
  <c r="O37" i="15"/>
  <c r="N36" i="15"/>
  <c r="O30" i="15"/>
  <c r="N34" i="15"/>
  <c r="O36" i="15"/>
  <c r="N31" i="15"/>
  <c r="N33" i="15"/>
  <c r="O35" i="15"/>
  <c r="N32" i="15"/>
  <c r="O34" i="15"/>
  <c r="C41" i="19"/>
  <c r="C36" i="19"/>
  <c r="E36" i="19"/>
  <c r="F38" i="19"/>
  <c r="E41" i="19"/>
  <c r="C38" i="19"/>
  <c r="C39" i="19"/>
  <c r="E38" i="19"/>
  <c r="E42" i="19"/>
  <c r="C40" i="19"/>
  <c r="G40" i="19"/>
  <c r="C43" i="19"/>
  <c r="E40" i="19"/>
  <c r="C42" i="19"/>
  <c r="H47" i="19"/>
  <c r="B38" i="19"/>
  <c r="B39" i="19"/>
  <c r="B43" i="19"/>
  <c r="B41" i="19"/>
  <c r="I14" i="19"/>
  <c r="B42" i="19"/>
  <c r="I15" i="19"/>
  <c r="B36" i="19"/>
  <c r="I12" i="19"/>
  <c r="G37" i="19"/>
  <c r="I13" i="19"/>
  <c r="I17" i="19"/>
  <c r="I16" i="19"/>
  <c r="B40" i="19"/>
  <c r="G42" i="19"/>
  <c r="G41" i="19"/>
  <c r="E39" i="19"/>
  <c r="E43" i="19"/>
  <c r="I18" i="19"/>
  <c r="F37" i="19"/>
  <c r="F39" i="19"/>
  <c r="F41" i="19"/>
  <c r="F43" i="19"/>
  <c r="F40" i="19"/>
  <c r="G38" i="19"/>
  <c r="G36" i="19"/>
  <c r="F42" i="19"/>
  <c r="B37" i="19"/>
  <c r="F36" i="19"/>
  <c r="G43" i="19"/>
  <c r="D28" i="16"/>
  <c r="D55" i="16" s="1"/>
  <c r="H45" i="19" l="1"/>
  <c r="H46" i="19"/>
  <c r="H44" i="19"/>
  <c r="B49" i="19"/>
  <c r="F28" i="16"/>
  <c r="E28" i="16"/>
  <c r="I24" i="19"/>
  <c r="H39" i="19"/>
  <c r="Q38" i="15"/>
  <c r="Q36" i="15"/>
  <c r="Q35" i="15"/>
  <c r="Q30" i="15"/>
  <c r="Q33" i="15"/>
  <c r="P34" i="15"/>
  <c r="Q37" i="15"/>
  <c r="P31" i="15"/>
  <c r="Q32" i="15"/>
  <c r="Q31" i="15"/>
  <c r="Q34" i="15"/>
  <c r="P33" i="15"/>
  <c r="P30" i="15"/>
  <c r="P35" i="15"/>
  <c r="P32" i="15"/>
  <c r="P36" i="15"/>
  <c r="P38" i="15"/>
  <c r="P37" i="15"/>
  <c r="H37" i="19"/>
  <c r="H38" i="19"/>
  <c r="H41" i="19"/>
  <c r="H42" i="19"/>
  <c r="G49" i="19"/>
  <c r="H40" i="19"/>
  <c r="H36" i="19"/>
  <c r="H43" i="19"/>
  <c r="I45" i="19" l="1"/>
  <c r="I44" i="19"/>
  <c r="I47" i="19"/>
  <c r="I46" i="19"/>
  <c r="I41" i="19"/>
  <c r="I42" i="19"/>
  <c r="I43" i="19"/>
  <c r="I37" i="19"/>
  <c r="I38" i="19"/>
  <c r="I39" i="19"/>
  <c r="I36" i="19"/>
  <c r="I40" i="19"/>
  <c r="G25" i="89"/>
  <c r="H49" i="19"/>
  <c r="I49" i="19" l="1"/>
  <c r="H22" i="89" l="1"/>
  <c r="G48" i="89" s="1"/>
  <c r="H14" i="89"/>
  <c r="G40" i="89" s="1"/>
  <c r="H17" i="89"/>
  <c r="G43" i="89" s="1"/>
  <c r="H20" i="89"/>
  <c r="G46" i="89" s="1"/>
  <c r="H12" i="89"/>
  <c r="H15" i="89"/>
  <c r="G41" i="89" s="1"/>
  <c r="H18" i="89"/>
  <c r="G44" i="89" s="1"/>
  <c r="H13" i="89"/>
  <c r="G39" i="89" s="1"/>
  <c r="H23" i="89"/>
  <c r="G49" i="89" s="1"/>
  <c r="G36" i="89"/>
  <c r="H21" i="89"/>
  <c r="G47" i="89" s="1"/>
  <c r="H24" i="89"/>
  <c r="G50" i="89" s="1"/>
  <c r="H16" i="89"/>
  <c r="G42" i="89" s="1"/>
  <c r="G45" i="89"/>
  <c r="G37" i="89"/>
  <c r="I13" i="36"/>
  <c r="J13" i="36"/>
  <c r="K13" i="36"/>
  <c r="L13" i="36"/>
  <c r="I14" i="36"/>
  <c r="J14" i="36"/>
  <c r="K14" i="36"/>
  <c r="L14" i="36"/>
  <c r="I15" i="36"/>
  <c r="J15" i="36"/>
  <c r="K15" i="36"/>
  <c r="L15" i="36"/>
  <c r="I16" i="36"/>
  <c r="J16" i="36"/>
  <c r="K16" i="36"/>
  <c r="L16" i="36"/>
  <c r="I17" i="36"/>
  <c r="J17" i="36"/>
  <c r="K17" i="36"/>
  <c r="L17" i="36"/>
  <c r="I18" i="36"/>
  <c r="J18" i="36"/>
  <c r="K18" i="36"/>
  <c r="L18" i="36"/>
  <c r="I19" i="36"/>
  <c r="J19" i="36"/>
  <c r="K19" i="36"/>
  <c r="L19" i="36"/>
  <c r="I20" i="36"/>
  <c r="J20" i="36"/>
  <c r="K20" i="36"/>
  <c r="L20" i="36"/>
  <c r="I21" i="36"/>
  <c r="J21" i="36"/>
  <c r="K21" i="36"/>
  <c r="L21" i="36"/>
  <c r="I22" i="36"/>
  <c r="J22" i="36"/>
  <c r="K22" i="36"/>
  <c r="L22" i="36"/>
  <c r="I23" i="36"/>
  <c r="J23" i="36"/>
  <c r="K23" i="36"/>
  <c r="L23" i="36"/>
  <c r="I24" i="36"/>
  <c r="J24" i="36"/>
  <c r="K24" i="36"/>
  <c r="L24" i="36"/>
  <c r="I25" i="36"/>
  <c r="J25" i="36"/>
  <c r="K25" i="36"/>
  <c r="L25" i="36"/>
  <c r="I26" i="36"/>
  <c r="J26" i="36"/>
  <c r="K26" i="36"/>
  <c r="L26" i="36"/>
  <c r="I27" i="36"/>
  <c r="J27" i="36"/>
  <c r="K27" i="36"/>
  <c r="L27" i="36"/>
  <c r="I28" i="36"/>
  <c r="J28" i="36"/>
  <c r="K28" i="36"/>
  <c r="L28" i="36"/>
  <c r="I29" i="36"/>
  <c r="J29" i="36"/>
  <c r="K29" i="36"/>
  <c r="L29" i="36"/>
  <c r="I30" i="36"/>
  <c r="J30" i="36"/>
  <c r="K30" i="36"/>
  <c r="L30" i="36"/>
  <c r="I31" i="36"/>
  <c r="J31" i="36"/>
  <c r="K31" i="36"/>
  <c r="L31" i="36"/>
  <c r="I32" i="36"/>
  <c r="J32" i="36"/>
  <c r="K32" i="36"/>
  <c r="L32" i="36"/>
  <c r="I33" i="36"/>
  <c r="J33" i="36"/>
  <c r="K33" i="36"/>
  <c r="L33" i="36"/>
  <c r="I34" i="36"/>
  <c r="J34" i="36"/>
  <c r="K34" i="36"/>
  <c r="L34" i="36"/>
  <c r="I35" i="36"/>
  <c r="J35" i="36"/>
  <c r="K35" i="36"/>
  <c r="L35" i="36"/>
  <c r="I36" i="36"/>
  <c r="J36" i="36"/>
  <c r="K36" i="36"/>
  <c r="L36" i="36"/>
  <c r="I37" i="36"/>
  <c r="J37" i="36"/>
  <c r="K37" i="36"/>
  <c r="L37" i="36"/>
  <c r="I38" i="36"/>
  <c r="J38" i="36"/>
  <c r="K38" i="36"/>
  <c r="L38" i="36"/>
  <c r="I39" i="36"/>
  <c r="J39" i="36"/>
  <c r="K39" i="36"/>
  <c r="L39" i="36"/>
  <c r="I40" i="36"/>
  <c r="J40" i="36"/>
  <c r="K40" i="36"/>
  <c r="L40" i="36"/>
  <c r="I41" i="36"/>
  <c r="J41" i="36"/>
  <c r="K41" i="36"/>
  <c r="L41" i="36"/>
  <c r="I42" i="36"/>
  <c r="J42" i="36"/>
  <c r="K42" i="36"/>
  <c r="L42" i="36"/>
  <c r="I43" i="36"/>
  <c r="J43" i="36"/>
  <c r="K43" i="36"/>
  <c r="L43" i="36"/>
  <c r="J12" i="36"/>
  <c r="K12" i="36"/>
  <c r="L12" i="36"/>
  <c r="I12" i="36"/>
  <c r="C13" i="36"/>
  <c r="D13" i="36"/>
  <c r="E13" i="36"/>
  <c r="F13" i="36"/>
  <c r="C14" i="36"/>
  <c r="D14" i="36"/>
  <c r="E14" i="36"/>
  <c r="F14" i="36"/>
  <c r="C15" i="36"/>
  <c r="D15" i="36"/>
  <c r="E15" i="36"/>
  <c r="F15" i="36"/>
  <c r="C16" i="36"/>
  <c r="D16" i="36"/>
  <c r="E16" i="36"/>
  <c r="F16" i="36"/>
  <c r="C17" i="36"/>
  <c r="D17" i="36"/>
  <c r="E17" i="36"/>
  <c r="F17" i="36"/>
  <c r="C18" i="36"/>
  <c r="D18" i="36"/>
  <c r="E18" i="36"/>
  <c r="F18" i="36"/>
  <c r="C19" i="36"/>
  <c r="D19" i="36"/>
  <c r="E19" i="36"/>
  <c r="F19" i="36"/>
  <c r="C20" i="36"/>
  <c r="D20" i="36"/>
  <c r="E20" i="36"/>
  <c r="F20" i="36"/>
  <c r="C21" i="36"/>
  <c r="D21" i="36"/>
  <c r="E21" i="36"/>
  <c r="F21" i="36"/>
  <c r="C22" i="36"/>
  <c r="D22" i="36"/>
  <c r="E22" i="36"/>
  <c r="F22" i="36"/>
  <c r="C23" i="36"/>
  <c r="D23" i="36"/>
  <c r="E23" i="36"/>
  <c r="F23" i="36"/>
  <c r="C24" i="36"/>
  <c r="D24" i="36"/>
  <c r="E24" i="36"/>
  <c r="F24" i="36"/>
  <c r="C25" i="36"/>
  <c r="D25" i="36"/>
  <c r="E25" i="36"/>
  <c r="F25" i="36"/>
  <c r="C26" i="36"/>
  <c r="D26" i="36"/>
  <c r="E26" i="36"/>
  <c r="F26" i="36"/>
  <c r="C27" i="36"/>
  <c r="D27" i="36"/>
  <c r="E27" i="36"/>
  <c r="F27" i="36"/>
  <c r="C28" i="36"/>
  <c r="D28" i="36"/>
  <c r="E28" i="36"/>
  <c r="F28" i="36"/>
  <c r="C29" i="36"/>
  <c r="D29" i="36"/>
  <c r="E29" i="36"/>
  <c r="F29" i="36"/>
  <c r="C30" i="36"/>
  <c r="D30" i="36"/>
  <c r="E30" i="36"/>
  <c r="F30" i="36"/>
  <c r="C31" i="36"/>
  <c r="D31" i="36"/>
  <c r="E31" i="36"/>
  <c r="F31" i="36"/>
  <c r="C32" i="36"/>
  <c r="D32" i="36"/>
  <c r="E32" i="36"/>
  <c r="F32" i="36"/>
  <c r="C33" i="36"/>
  <c r="D33" i="36"/>
  <c r="E33" i="36"/>
  <c r="F33" i="36"/>
  <c r="C34" i="36"/>
  <c r="D34" i="36"/>
  <c r="E34" i="36"/>
  <c r="F34" i="36"/>
  <c r="C35" i="36"/>
  <c r="D35" i="36"/>
  <c r="E35" i="36"/>
  <c r="F35" i="36"/>
  <c r="C36" i="36"/>
  <c r="D36" i="36"/>
  <c r="E36" i="36"/>
  <c r="F36" i="36"/>
  <c r="C37" i="36"/>
  <c r="D37" i="36"/>
  <c r="E37" i="36"/>
  <c r="F37" i="36"/>
  <c r="C38" i="36"/>
  <c r="D38" i="36"/>
  <c r="E38" i="36"/>
  <c r="F38" i="36"/>
  <c r="C39" i="36"/>
  <c r="D39" i="36"/>
  <c r="E39" i="36"/>
  <c r="F39" i="36"/>
  <c r="C40" i="36"/>
  <c r="D40" i="36"/>
  <c r="E40" i="36"/>
  <c r="F40" i="36"/>
  <c r="C41" i="36"/>
  <c r="D41" i="36"/>
  <c r="E41" i="36"/>
  <c r="F41" i="36"/>
  <c r="O41" i="36" s="1"/>
  <c r="C42" i="36"/>
  <c r="D42" i="36"/>
  <c r="E42" i="36"/>
  <c r="F42" i="36"/>
  <c r="C43" i="36"/>
  <c r="D43" i="36"/>
  <c r="E43" i="36"/>
  <c r="F43" i="36"/>
  <c r="O43" i="36" s="1"/>
  <c r="D12" i="36"/>
  <c r="E12" i="36"/>
  <c r="F12" i="36"/>
  <c r="C12" i="36"/>
  <c r="O39" i="36" l="1"/>
  <c r="O37" i="36"/>
  <c r="O35" i="36"/>
  <c r="O33" i="36"/>
  <c r="O31" i="36"/>
  <c r="G38" i="89"/>
  <c r="H25" i="89"/>
  <c r="N43" i="36"/>
  <c r="N41" i="36"/>
  <c r="N39" i="36"/>
  <c r="N37" i="36"/>
  <c r="N35" i="36"/>
  <c r="N33" i="36"/>
  <c r="N31" i="36"/>
  <c r="N29" i="36"/>
  <c r="N27" i="36"/>
  <c r="O29" i="36"/>
  <c r="E44" i="89"/>
  <c r="E37" i="89"/>
  <c r="O27" i="36"/>
  <c r="O25" i="36"/>
  <c r="O23" i="36"/>
  <c r="O21" i="36"/>
  <c r="O19" i="36"/>
  <c r="O17" i="36"/>
  <c r="O15" i="36"/>
  <c r="B39" i="89"/>
  <c r="D38" i="89"/>
  <c r="F45" i="89"/>
  <c r="D36" i="89"/>
  <c r="C39" i="89"/>
  <c r="B37" i="89"/>
  <c r="D39" i="89"/>
  <c r="B45" i="89"/>
  <c r="B41" i="89"/>
  <c r="E41" i="89"/>
  <c r="C37" i="89"/>
  <c r="E39" i="89"/>
  <c r="D37" i="89"/>
  <c r="C41" i="89"/>
  <c r="O13" i="36"/>
  <c r="B43" i="89"/>
  <c r="D47" i="89"/>
  <c r="E49" i="89"/>
  <c r="D43" i="89"/>
  <c r="E50" i="89"/>
  <c r="D50" i="89"/>
  <c r="B49" i="89"/>
  <c r="C46" i="89"/>
  <c r="B40" i="89"/>
  <c r="D48" i="89"/>
  <c r="E46" i="89"/>
  <c r="F38" i="89"/>
  <c r="E40" i="89"/>
  <c r="F37" i="89"/>
  <c r="F42" i="89"/>
  <c r="F47" i="89"/>
  <c r="E48" i="89"/>
  <c r="C48" i="89"/>
  <c r="D40" i="89"/>
  <c r="C42" i="89"/>
  <c r="F40" i="89"/>
  <c r="D44" i="89"/>
  <c r="D49" i="89"/>
  <c r="C43" i="89"/>
  <c r="F49" i="89"/>
  <c r="B42" i="89"/>
  <c r="F43" i="89"/>
  <c r="D42" i="89"/>
  <c r="B46" i="89"/>
  <c r="C38" i="89"/>
  <c r="C36" i="89"/>
  <c r="F44" i="89"/>
  <c r="E38" i="89"/>
  <c r="E36" i="89"/>
  <c r="E43" i="89"/>
  <c r="D45" i="89"/>
  <c r="B44" i="89"/>
  <c r="E42" i="89"/>
  <c r="E47" i="89"/>
  <c r="F39" i="89"/>
  <c r="F46" i="89"/>
  <c r="D46" i="89"/>
  <c r="C40" i="89"/>
  <c r="F36" i="89"/>
  <c r="C45" i="89"/>
  <c r="B47" i="89"/>
  <c r="E45" i="89"/>
  <c r="C44" i="89"/>
  <c r="C49" i="89"/>
  <c r="D41" i="89"/>
  <c r="F48" i="89"/>
  <c r="B48" i="89"/>
  <c r="F41" i="89"/>
  <c r="C50" i="89"/>
  <c r="B50" i="89"/>
  <c r="B36" i="89"/>
  <c r="C47" i="89"/>
  <c r="B38" i="89"/>
  <c r="F50" i="89"/>
  <c r="N25" i="36"/>
  <c r="N23" i="36"/>
  <c r="N21" i="36"/>
  <c r="N19" i="36"/>
  <c r="N17" i="36"/>
  <c r="N15" i="36"/>
  <c r="N13" i="36"/>
  <c r="O42" i="36"/>
  <c r="O40" i="36"/>
  <c r="O38" i="36"/>
  <c r="O36" i="36"/>
  <c r="O34" i="36"/>
  <c r="O32" i="36"/>
  <c r="O30" i="36"/>
  <c r="O28" i="36"/>
  <c r="O26" i="36"/>
  <c r="R11" i="34"/>
  <c r="O24" i="36"/>
  <c r="O22" i="36"/>
  <c r="O20" i="36"/>
  <c r="O18" i="36"/>
  <c r="O16" i="36"/>
  <c r="O14" i="36"/>
  <c r="N42" i="36"/>
  <c r="N40" i="36"/>
  <c r="N38" i="36"/>
  <c r="N36" i="36"/>
  <c r="N34" i="36"/>
  <c r="N32" i="36"/>
  <c r="N30" i="36"/>
  <c r="N28" i="36"/>
  <c r="N26" i="36"/>
  <c r="N24" i="36"/>
  <c r="N22" i="36"/>
  <c r="N20" i="36"/>
  <c r="N18" i="36"/>
  <c r="N16" i="36"/>
  <c r="N14" i="36"/>
  <c r="O12" i="36"/>
  <c r="N12" i="36"/>
  <c r="H17" i="36"/>
  <c r="G39" i="36"/>
  <c r="M39" i="36" s="1"/>
  <c r="G35" i="36"/>
  <c r="M35" i="36" s="1"/>
  <c r="G31" i="36"/>
  <c r="M31" i="36" s="1"/>
  <c r="G27" i="36"/>
  <c r="M27" i="36" s="1"/>
  <c r="G25" i="36"/>
  <c r="M25" i="36" s="1"/>
  <c r="H39" i="36"/>
  <c r="H19" i="36"/>
  <c r="H30" i="36"/>
  <c r="H43" i="36"/>
  <c r="H41" i="36"/>
  <c r="H37" i="36"/>
  <c r="H33" i="36"/>
  <c r="H29" i="36"/>
  <c r="H27" i="36"/>
  <c r="H23" i="36"/>
  <c r="H15" i="36"/>
  <c r="G13" i="36"/>
  <c r="M13" i="36" s="1"/>
  <c r="H16" i="36"/>
  <c r="G19" i="36"/>
  <c r="M19" i="36" s="1"/>
  <c r="G23" i="36"/>
  <c r="M23" i="36" s="1"/>
  <c r="G43" i="36"/>
  <c r="M43" i="36" s="1"/>
  <c r="G29" i="36"/>
  <c r="M29" i="36" s="1"/>
  <c r="G33" i="36"/>
  <c r="M33" i="36" s="1"/>
  <c r="G21" i="36"/>
  <c r="M21" i="36" s="1"/>
  <c r="G17" i="36"/>
  <c r="M17" i="36" s="1"/>
  <c r="G15" i="36"/>
  <c r="M15" i="36" s="1"/>
  <c r="G40" i="36"/>
  <c r="M40" i="36" s="1"/>
  <c r="G38" i="36"/>
  <c r="M38" i="36" s="1"/>
  <c r="G32" i="36"/>
  <c r="M32" i="36" s="1"/>
  <c r="G30" i="36"/>
  <c r="M30" i="36" s="1"/>
  <c r="G28" i="36"/>
  <c r="M28" i="36" s="1"/>
  <c r="G26" i="36"/>
  <c r="M26" i="36" s="1"/>
  <c r="H13" i="36"/>
  <c r="H40" i="36"/>
  <c r="G24" i="36"/>
  <c r="M24" i="36" s="1"/>
  <c r="G22" i="36"/>
  <c r="M22" i="36" s="1"/>
  <c r="G20" i="36"/>
  <c r="M20" i="36" s="1"/>
  <c r="G18" i="36"/>
  <c r="M18" i="36" s="1"/>
  <c r="G16" i="36"/>
  <c r="M16" i="36" s="1"/>
  <c r="G14" i="36"/>
  <c r="M14" i="36" s="1"/>
  <c r="G41" i="36"/>
  <c r="M41" i="36" s="1"/>
  <c r="G37" i="36"/>
  <c r="M37" i="36" s="1"/>
  <c r="H35" i="36"/>
  <c r="H31" i="36"/>
  <c r="H25" i="36"/>
  <c r="H21" i="36"/>
  <c r="H42" i="36"/>
  <c r="H38" i="36"/>
  <c r="H36" i="36"/>
  <c r="H34" i="36"/>
  <c r="H32" i="36"/>
  <c r="H28" i="36"/>
  <c r="H26" i="36"/>
  <c r="H24" i="36"/>
  <c r="H22" i="36"/>
  <c r="H20" i="36"/>
  <c r="H18" i="36"/>
  <c r="H14" i="36"/>
  <c r="G12" i="36"/>
  <c r="M12" i="36" s="1"/>
  <c r="H12" i="36"/>
  <c r="G42" i="36"/>
  <c r="M42" i="36" s="1"/>
  <c r="G36" i="36"/>
  <c r="M36" i="36" s="1"/>
  <c r="G34" i="36"/>
  <c r="M34" i="36" s="1"/>
  <c r="H37" i="89" l="1"/>
  <c r="H39" i="89"/>
  <c r="H45" i="89"/>
  <c r="H38" i="89"/>
  <c r="H41" i="89"/>
  <c r="H48" i="89"/>
  <c r="H50" i="89"/>
  <c r="H42" i="89"/>
  <c r="H40" i="89"/>
  <c r="H47" i="89"/>
  <c r="H49" i="89"/>
  <c r="H43" i="89"/>
  <c r="H44" i="89"/>
  <c r="H46" i="89"/>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E38" i="31" l="1"/>
  <c r="E30" i="31"/>
  <c r="E22" i="31"/>
  <c r="E14" i="31"/>
  <c r="E37" i="31"/>
  <c r="E29" i="31"/>
  <c r="E21" i="31"/>
  <c r="E13" i="31"/>
  <c r="E12" i="31"/>
  <c r="E36" i="31"/>
  <c r="E28" i="31"/>
  <c r="E20" i="31"/>
  <c r="E43" i="31"/>
  <c r="E35" i="31"/>
  <c r="E27" i="31"/>
  <c r="E19" i="31"/>
  <c r="E42" i="31"/>
  <c r="E34" i="31"/>
  <c r="E26" i="31"/>
  <c r="E18" i="31"/>
  <c r="E41" i="31"/>
  <c r="E33" i="31"/>
  <c r="E25" i="31"/>
  <c r="E17" i="31"/>
  <c r="E40" i="31"/>
  <c r="E32" i="31"/>
  <c r="E24" i="31"/>
  <c r="E16" i="31"/>
  <c r="E39" i="31"/>
  <c r="E31" i="31"/>
  <c r="E23" i="31"/>
  <c r="E15" i="31"/>
  <c r="F29" i="31"/>
  <c r="F43" i="31"/>
  <c r="F35" i="31"/>
  <c r="F27" i="31"/>
  <c r="F19" i="31"/>
  <c r="F42" i="31"/>
  <c r="F34" i="31"/>
  <c r="F26" i="31"/>
  <c r="F18" i="31"/>
  <c r="F25" i="31"/>
  <c r="F17" i="31"/>
  <c r="F33" i="31"/>
  <c r="F40" i="31"/>
  <c r="F32" i="31"/>
  <c r="F24" i="31"/>
  <c r="F16" i="31"/>
  <c r="F41" i="31"/>
  <c r="F39" i="31"/>
  <c r="F31" i="31"/>
  <c r="F23" i="31"/>
  <c r="F15" i="31"/>
  <c r="F38" i="31"/>
  <c r="F30" i="31"/>
  <c r="F22" i="31"/>
  <c r="F14" i="31"/>
  <c r="F37" i="31"/>
  <c r="F21" i="31"/>
  <c r="F13" i="31"/>
  <c r="F12" i="31"/>
  <c r="F36" i="31"/>
  <c r="F28" i="31"/>
  <c r="F20" i="31"/>
  <c r="C43" i="30"/>
  <c r="E49" i="28"/>
  <c r="E50" i="28"/>
  <c r="E51" i="28"/>
  <c r="E52" i="28"/>
  <c r="E53" i="28"/>
  <c r="E54" i="28"/>
  <c r="E55" i="28"/>
  <c r="E56" i="28"/>
  <c r="E48" i="28"/>
  <c r="D50" i="28"/>
  <c r="D51" i="28"/>
  <c r="D52" i="28"/>
  <c r="D53" i="28"/>
  <c r="D54" i="28"/>
  <c r="D55" i="28"/>
  <c r="D56" i="28"/>
  <c r="D48" i="28"/>
  <c r="C49" i="28"/>
  <c r="C50" i="28"/>
  <c r="C51" i="28"/>
  <c r="C52" i="28"/>
  <c r="C53" i="28"/>
  <c r="C54" i="28"/>
  <c r="C55" i="28"/>
  <c r="C56" i="28"/>
  <c r="B49" i="28"/>
  <c r="B50" i="28"/>
  <c r="B51" i="28"/>
  <c r="B52" i="28"/>
  <c r="B53" i="28"/>
  <c r="B54" i="28"/>
  <c r="B55" i="28"/>
  <c r="B56" i="28"/>
  <c r="C48" i="28"/>
  <c r="B48" i="28"/>
  <c r="C47" i="28"/>
  <c r="F13" i="124" l="1"/>
  <c r="A36" i="22"/>
  <c r="A31" i="25" l="1"/>
  <c r="A24" i="25" l="1"/>
  <c r="B36" i="22"/>
  <c r="D36" i="22"/>
  <c r="E36" i="22"/>
  <c r="C36" i="22"/>
  <c r="A26" i="23"/>
  <c r="A33" i="23"/>
  <c r="F36" i="22" l="1"/>
  <c r="F64" i="7" l="1"/>
  <c r="F11" i="124"/>
  <c r="F12" i="124"/>
  <c r="F14" i="124"/>
  <c r="F10" i="124"/>
  <c r="D16" i="126" l="1"/>
  <c r="I69" i="7"/>
  <c r="I58" i="7"/>
  <c r="J58" i="7" s="1"/>
  <c r="I50" i="7"/>
  <c r="J50" i="7" s="1"/>
  <c r="I49" i="7"/>
  <c r="J49" i="7" s="1"/>
  <c r="I52" i="7"/>
  <c r="J52" i="7" s="1"/>
  <c r="H16" i="126"/>
  <c r="I15" i="126"/>
  <c r="E16" i="126"/>
  <c r="B16" i="126"/>
  <c r="I12" i="126"/>
  <c r="I53" i="7"/>
  <c r="J53" i="7" s="1"/>
  <c r="G16" i="126"/>
  <c r="I56" i="7"/>
  <c r="J56" i="7" s="1"/>
  <c r="C42" i="34"/>
  <c r="I48" i="7"/>
  <c r="J48" i="7" s="1"/>
  <c r="F70" i="7"/>
  <c r="F9" i="7" s="1"/>
  <c r="C16" i="126"/>
  <c r="I59" i="7"/>
  <c r="J59" i="7" s="1"/>
  <c r="I54" i="7"/>
  <c r="J54" i="7" s="1"/>
  <c r="J73" i="7"/>
  <c r="I63" i="7"/>
  <c r="J63" i="7" s="1"/>
  <c r="I68" i="7"/>
  <c r="I55" i="7"/>
  <c r="J55" i="7" s="1"/>
  <c r="J47" i="7"/>
  <c r="I51" i="7"/>
  <c r="J51" i="7" s="1"/>
  <c r="I13" i="126"/>
  <c r="F16" i="126"/>
  <c r="A33" i="11"/>
  <c r="A26" i="11"/>
  <c r="G70" i="7"/>
  <c r="G9" i="7" s="1"/>
  <c r="G64" i="7"/>
  <c r="G14" i="125"/>
  <c r="G23" i="125"/>
  <c r="G24" i="125"/>
  <c r="G40" i="125"/>
  <c r="G17" i="125"/>
  <c r="G25" i="125"/>
  <c r="G33" i="125"/>
  <c r="G41" i="125"/>
  <c r="G13" i="125"/>
  <c r="G26" i="125"/>
  <c r="G27" i="125"/>
  <c r="G43" i="125"/>
  <c r="G44" i="125"/>
  <c r="G19" i="125"/>
  <c r="G35" i="125"/>
  <c r="G20" i="125"/>
  <c r="G28" i="125"/>
  <c r="G36" i="125"/>
  <c r="G42" i="125"/>
  <c r="G18" i="125"/>
  <c r="G21" i="125"/>
  <c r="G29" i="125"/>
  <c r="G37" i="125"/>
  <c r="G22" i="125"/>
  <c r="G34" i="125"/>
  <c r="G30" i="125"/>
  <c r="G15" i="125"/>
  <c r="G39" i="125"/>
  <c r="G38" i="125"/>
  <c r="G31" i="125"/>
  <c r="G16" i="125"/>
  <c r="G32" i="125"/>
  <c r="A34" i="125"/>
  <c r="I70" i="7" l="1"/>
  <c r="I16" i="126"/>
  <c r="H70" i="7"/>
  <c r="H9" i="7" s="1"/>
  <c r="H64" i="7"/>
  <c r="A27" i="125"/>
  <c r="B58" i="125"/>
  <c r="B63" i="125"/>
  <c r="A59" i="125"/>
  <c r="A58" i="125"/>
  <c r="G71" i="125"/>
  <c r="G10" i="125" s="1"/>
  <c r="F10" i="125" l="1"/>
  <c r="E10" i="125"/>
  <c r="C10" i="125"/>
  <c r="D18" i="40" l="1"/>
  <c r="F12" i="17"/>
  <c r="D31" i="40" l="1"/>
  <c r="D32" i="40"/>
  <c r="D34" i="40"/>
  <c r="D35" i="40"/>
  <c r="D37" i="40"/>
  <c r="D33" i="40"/>
  <c r="D38" i="40"/>
  <c r="D36" i="40"/>
  <c r="D30" i="40"/>
  <c r="E12" i="17"/>
  <c r="D39" i="40" l="1"/>
  <c r="A37" i="22" l="1"/>
  <c r="A35" i="22"/>
  <c r="B37" i="22" l="1"/>
  <c r="E35" i="22"/>
  <c r="C37" i="22" l="1"/>
  <c r="D37" i="22"/>
  <c r="E37" i="22"/>
  <c r="D35" i="22"/>
  <c r="C35" i="22"/>
  <c r="B35" i="22"/>
  <c r="F37" i="22" l="1"/>
  <c r="F35" i="22"/>
  <c r="J68" i="7" l="1"/>
  <c r="I43" i="7"/>
  <c r="J43" i="7" s="1"/>
  <c r="I42" i="7"/>
  <c r="J42" i="7" s="1"/>
  <c r="I41" i="7"/>
  <c r="J41" i="7" s="1"/>
  <c r="I40" i="7"/>
  <c r="J40" i="7" s="1"/>
  <c r="I39" i="7"/>
  <c r="J39" i="7" s="1"/>
  <c r="I38" i="7"/>
  <c r="J38" i="7" s="1"/>
  <c r="I37" i="7"/>
  <c r="J37" i="7" s="1"/>
  <c r="I36" i="7"/>
  <c r="J36" i="7" s="1"/>
  <c r="I35" i="7"/>
  <c r="J35" i="7" s="1"/>
  <c r="I34" i="7"/>
  <c r="J34" i="7" s="1"/>
  <c r="I33" i="7"/>
  <c r="J33" i="7" s="1"/>
  <c r="I32" i="7"/>
  <c r="J32" i="7" s="1"/>
  <c r="I31" i="7"/>
  <c r="J31" i="7" s="1"/>
  <c r="I30" i="7"/>
  <c r="J30" i="7" s="1"/>
  <c r="J29" i="7"/>
  <c r="I28" i="7"/>
  <c r="J28" i="7" s="1"/>
  <c r="I26" i="7"/>
  <c r="J26" i="7" s="1"/>
  <c r="I25" i="7"/>
  <c r="J25" i="7" s="1"/>
  <c r="I24" i="7"/>
  <c r="J24" i="7" s="1"/>
  <c r="I23" i="7"/>
  <c r="J23" i="7" s="1"/>
  <c r="I22" i="7"/>
  <c r="J22" i="7" s="1"/>
  <c r="I21" i="7"/>
  <c r="J21" i="7" s="1"/>
  <c r="I20" i="7"/>
  <c r="J20" i="7" s="1"/>
  <c r="I19" i="7"/>
  <c r="J19" i="7" s="1"/>
  <c r="I18" i="7"/>
  <c r="J18" i="7" s="1"/>
  <c r="I17" i="7"/>
  <c r="I16" i="7"/>
  <c r="J16" i="7" s="1"/>
  <c r="I15" i="7"/>
  <c r="J15" i="7" s="1"/>
  <c r="I14" i="7"/>
  <c r="J14" i="7" s="1"/>
  <c r="I13" i="7"/>
  <c r="J13" i="7" l="1"/>
  <c r="I44" i="7"/>
  <c r="J17" i="7"/>
  <c r="J69" i="7"/>
  <c r="J12" i="7"/>
  <c r="J10" i="2"/>
  <c r="J44" i="7" l="1"/>
  <c r="J67" i="7"/>
  <c r="J70" i="7" s="1"/>
  <c r="D49" i="19"/>
  <c r="A36" i="19" l="1"/>
  <c r="A47" i="19"/>
  <c r="A46" i="19"/>
  <c r="A45" i="19"/>
  <c r="A43" i="19"/>
  <c r="A42" i="19"/>
  <c r="A41" i="19"/>
  <c r="A40" i="19"/>
  <c r="A39" i="19"/>
  <c r="A38" i="19"/>
  <c r="A37" i="19"/>
  <c r="A44" i="19" l="1"/>
  <c r="H23" i="96" l="1"/>
  <c r="E23" i="96"/>
  <c r="G23" i="96"/>
  <c r="B23" i="96"/>
  <c r="F23" i="96"/>
  <c r="C23" i="96"/>
  <c r="I13" i="93"/>
  <c r="I12" i="93" l="1"/>
  <c r="I11" i="93"/>
  <c r="B19" i="94" l="1"/>
  <c r="H19" i="94"/>
  <c r="B14" i="93"/>
  <c r="I10" i="93"/>
  <c r="I14" i="93" s="1"/>
  <c r="C14" i="93"/>
  <c r="D14" i="93"/>
  <c r="E14" i="93"/>
  <c r="G14" i="93"/>
  <c r="H14" i="93"/>
  <c r="C19" i="94"/>
  <c r="D19" i="94"/>
  <c r="E19" i="94"/>
  <c r="F19" i="94"/>
  <c r="G19" i="94"/>
  <c r="F24" i="101" l="1"/>
  <c r="G24" i="101" s="1"/>
  <c r="F35" i="101"/>
  <c r="H35" i="101" s="1"/>
  <c r="F27" i="101"/>
  <c r="G27" i="101" s="1"/>
  <c r="F36" i="101"/>
  <c r="H36" i="101" s="1"/>
  <c r="F39" i="101"/>
  <c r="H39" i="101" s="1"/>
  <c r="F41" i="101"/>
  <c r="H41" i="101" s="1"/>
  <c r="F25" i="101"/>
  <c r="G25" i="101" s="1"/>
  <c r="F19" i="101"/>
  <c r="G19" i="101" s="1"/>
  <c r="J72" i="12"/>
  <c r="F12" i="101"/>
  <c r="I12" i="101" s="1"/>
  <c r="C44" i="101"/>
  <c r="F34" i="101"/>
  <c r="G34" i="101" s="1"/>
  <c r="F20" i="101"/>
  <c r="G20" i="101" s="1"/>
  <c r="D44" i="101"/>
  <c r="F17" i="101"/>
  <c r="G17" i="101" s="1"/>
  <c r="F40" i="101"/>
  <c r="H40" i="101" s="1"/>
  <c r="F21" i="101"/>
  <c r="G21" i="101" s="1"/>
  <c r="F23" i="101"/>
  <c r="G23" i="101" s="1"/>
  <c r="F43" i="101"/>
  <c r="H43" i="101" s="1"/>
  <c r="F42" i="101"/>
  <c r="H42" i="101" s="1"/>
  <c r="F37" i="101"/>
  <c r="H37" i="101" s="1"/>
  <c r="F29" i="101"/>
  <c r="G29" i="101" s="1"/>
  <c r="F38" i="101"/>
  <c r="H38" i="101" s="1"/>
  <c r="F26" i="101"/>
  <c r="G26" i="101" s="1"/>
  <c r="F13" i="101"/>
  <c r="I13" i="101" s="1"/>
  <c r="F28" i="101"/>
  <c r="G28" i="101" s="1"/>
  <c r="F33" i="101"/>
  <c r="G33" i="101" s="1"/>
  <c r="F14" i="101"/>
  <c r="H14" i="101" s="1"/>
  <c r="F15" i="101"/>
  <c r="I15" i="101" s="1"/>
  <c r="E44" i="101"/>
  <c r="B16" i="17"/>
  <c r="F18" i="101"/>
  <c r="G18" i="101" s="1"/>
  <c r="C16" i="17"/>
  <c r="F16" i="101"/>
  <c r="I16" i="101" s="1"/>
  <c r="F22" i="101"/>
  <c r="G22" i="101" s="1"/>
  <c r="F32" i="101"/>
  <c r="G32" i="101" s="1"/>
  <c r="F30" i="101"/>
  <c r="H30" i="101" s="1"/>
  <c r="F31" i="101"/>
  <c r="I31" i="101" s="1"/>
  <c r="I36" i="101"/>
  <c r="G17" i="94"/>
  <c r="D17" i="94"/>
  <c r="H17" i="94"/>
  <c r="E17" i="94"/>
  <c r="B17" i="94"/>
  <c r="F17" i="94"/>
  <c r="C17" i="94"/>
  <c r="J10" i="93"/>
  <c r="I27" i="101" l="1"/>
  <c r="H27" i="101"/>
  <c r="I39" i="101"/>
  <c r="I35" i="101"/>
  <c r="G38" i="101"/>
  <c r="H24" i="101"/>
  <c r="I24" i="101"/>
  <c r="I25" i="101"/>
  <c r="I32" i="101"/>
  <c r="H18" i="101"/>
  <c r="I17" i="101"/>
  <c r="I30" i="101"/>
  <c r="G37" i="101"/>
  <c r="H25" i="101"/>
  <c r="G41" i="101"/>
  <c r="I37" i="101"/>
  <c r="I41" i="101"/>
  <c r="I20" i="101"/>
  <c r="I42" i="101"/>
  <c r="H20" i="101"/>
  <c r="I28" i="101"/>
  <c r="G42" i="101"/>
  <c r="G30" i="101"/>
  <c r="I43" i="101"/>
  <c r="G14" i="101"/>
  <c r="H13" i="101"/>
  <c r="I14" i="101"/>
  <c r="G43" i="101"/>
  <c r="H26" i="101"/>
  <c r="H33" i="101"/>
  <c r="G39" i="101"/>
  <c r="H32" i="101"/>
  <c r="G13" i="101"/>
  <c r="G16" i="101"/>
  <c r="D16" i="17"/>
  <c r="G12" i="17" s="1"/>
  <c r="I23" i="101"/>
  <c r="H22" i="101"/>
  <c r="H15" i="101"/>
  <c r="I40" i="101"/>
  <c r="G40" i="101"/>
  <c r="G12" i="101"/>
  <c r="H28" i="101"/>
  <c r="H29" i="101"/>
  <c r="H31" i="101"/>
  <c r="G36" i="101"/>
  <c r="H34" i="101"/>
  <c r="H23" i="101"/>
  <c r="I22" i="101"/>
  <c r="I19" i="101"/>
  <c r="H17" i="101"/>
  <c r="I34" i="101"/>
  <c r="F44" i="101"/>
  <c r="H44" i="101" s="1"/>
  <c r="I38" i="101"/>
  <c r="I21" i="101"/>
  <c r="H16" i="101"/>
  <c r="H12" i="101"/>
  <c r="G35" i="101"/>
  <c r="G31" i="101"/>
  <c r="H21" i="101"/>
  <c r="G15" i="101"/>
  <c r="I18" i="101"/>
  <c r="H19" i="101"/>
  <c r="I29" i="101"/>
  <c r="I33" i="101"/>
  <c r="I26" i="101"/>
  <c r="H13" i="94"/>
  <c r="B13" i="94"/>
  <c r="J14" i="93"/>
  <c r="J13" i="93"/>
  <c r="J12" i="93"/>
  <c r="J11" i="93"/>
  <c r="C13" i="94"/>
  <c r="D13" i="94"/>
  <c r="E13" i="94"/>
  <c r="F13" i="94"/>
  <c r="G13" i="94"/>
  <c r="F16" i="17" l="1"/>
  <c r="G44" i="101"/>
  <c r="I44" i="101"/>
  <c r="H11" i="94"/>
  <c r="C11" i="94"/>
  <c r="D11" i="94"/>
  <c r="E11" i="94"/>
  <c r="F11" i="94"/>
  <c r="G11" i="94"/>
  <c r="F46" i="35" l="1"/>
  <c r="L46" i="35" s="1"/>
  <c r="R33" i="34"/>
  <c r="S33" i="34" s="1"/>
  <c r="R41" i="34"/>
  <c r="S41" i="34" s="1"/>
  <c r="R14" i="34"/>
  <c r="S14" i="34" s="1"/>
  <c r="R27" i="34"/>
  <c r="S27" i="34" s="1"/>
  <c r="R18" i="34"/>
  <c r="S18" i="34" s="1"/>
  <c r="R10" i="34"/>
  <c r="R22" i="34"/>
  <c r="S22" i="34" s="1"/>
  <c r="R13" i="34"/>
  <c r="S13" i="34" s="1"/>
  <c r="R12" i="34"/>
  <c r="S12" i="34" s="1"/>
  <c r="R20" i="34"/>
  <c r="S20" i="34" s="1"/>
  <c r="R28" i="34"/>
  <c r="S28" i="34" s="1"/>
  <c r="R36" i="34"/>
  <c r="S36" i="34" s="1"/>
  <c r="S11" i="34"/>
  <c r="R19" i="34"/>
  <c r="S19" i="34" s="1"/>
  <c r="R35" i="34"/>
  <c r="S35" i="34" s="1"/>
  <c r="R26" i="34"/>
  <c r="S26" i="34" s="1"/>
  <c r="R34" i="34"/>
  <c r="S34" i="34" s="1"/>
  <c r="R17" i="34"/>
  <c r="S17" i="34" s="1"/>
  <c r="R25" i="34"/>
  <c r="S25" i="34" s="1"/>
  <c r="R16" i="34"/>
  <c r="S16" i="34" s="1"/>
  <c r="R24" i="34"/>
  <c r="S24" i="34" s="1"/>
  <c r="R32" i="34"/>
  <c r="S32" i="34" s="1"/>
  <c r="R40" i="34"/>
  <c r="S40" i="34" s="1"/>
  <c r="R15" i="34"/>
  <c r="S15" i="34" s="1"/>
  <c r="R23" i="34"/>
  <c r="S23" i="34" s="1"/>
  <c r="R31" i="34"/>
  <c r="S31" i="34" s="1"/>
  <c r="R39" i="34"/>
  <c r="S39" i="34" s="1"/>
  <c r="R30" i="34"/>
  <c r="S30" i="34" s="1"/>
  <c r="R38" i="34"/>
  <c r="S38" i="34" s="1"/>
  <c r="R21" i="34"/>
  <c r="S21" i="34" s="1"/>
  <c r="R29" i="34"/>
  <c r="S29" i="34" s="1"/>
  <c r="R37" i="34"/>
  <c r="S37" i="34" s="1"/>
  <c r="S10" i="34" l="1"/>
  <c r="R42" i="34"/>
  <c r="G43" i="30"/>
  <c r="F43" i="30"/>
  <c r="H43" i="30"/>
  <c r="E44" i="31" s="1"/>
  <c r="E43" i="30"/>
  <c r="C44" i="31" s="1"/>
  <c r="D44" i="31" s="1"/>
  <c r="F44" i="31" l="1"/>
  <c r="D25" i="89"/>
  <c r="D51" i="89" s="1"/>
  <c r="B25" i="89"/>
  <c r="F25" i="89"/>
  <c r="E25" i="89"/>
  <c r="C25" i="89"/>
  <c r="E40" i="18" l="1"/>
  <c r="F31" i="18"/>
  <c r="F40" i="18"/>
  <c r="H25" i="23"/>
  <c r="H19" i="23"/>
  <c r="H24" i="23"/>
  <c r="H14" i="23"/>
  <c r="H38" i="23"/>
  <c r="H37" i="23"/>
  <c r="H29" i="23"/>
  <c r="H32" i="23"/>
  <c r="H35" i="23"/>
  <c r="H41" i="23"/>
  <c r="H42" i="23"/>
  <c r="H12" i="23"/>
  <c r="H18" i="23"/>
  <c r="H17" i="23"/>
  <c r="H31" i="23"/>
  <c r="H34" i="23"/>
  <c r="H28" i="23"/>
  <c r="H39" i="23"/>
  <c r="H30" i="23"/>
  <c r="H33" i="23"/>
  <c r="H26" i="23"/>
  <c r="H40" i="23"/>
  <c r="H21" i="23"/>
  <c r="H20" i="23"/>
  <c r="H16" i="23"/>
  <c r="H43" i="23"/>
  <c r="H22" i="23"/>
  <c r="H13" i="23"/>
  <c r="H15" i="23"/>
  <c r="H36" i="23"/>
  <c r="H27" i="23"/>
  <c r="H23" i="23"/>
  <c r="F43" i="9"/>
  <c r="F42" i="9"/>
  <c r="F42" i="11"/>
  <c r="G51" i="89"/>
  <c r="B51" i="89" l="1"/>
  <c r="F51" i="89"/>
  <c r="E51" i="89"/>
  <c r="C51" i="89"/>
  <c r="H36" i="89"/>
  <c r="H51" i="89" l="1"/>
  <c r="C57" i="35"/>
  <c r="F47" i="35" l="1"/>
  <c r="L47" i="35" s="1"/>
  <c r="G47" i="35"/>
  <c r="F49" i="35"/>
  <c r="L49" i="35" s="1"/>
  <c r="G49" i="35"/>
  <c r="G51" i="35"/>
  <c r="F53" i="35"/>
  <c r="L53" i="35" s="1"/>
  <c r="G53" i="35"/>
  <c r="G55" i="35"/>
  <c r="G43" i="35"/>
  <c r="F43" i="35"/>
  <c r="L43" i="35" s="1"/>
  <c r="G45" i="35"/>
  <c r="F51" i="35"/>
  <c r="L51" i="35" s="1"/>
  <c r="F42" i="35"/>
  <c r="L42" i="35" s="1"/>
  <c r="G42" i="35" l="1"/>
  <c r="F56" i="35"/>
  <c r="L56" i="35" s="1"/>
  <c r="F55" i="35"/>
  <c r="L55" i="35" s="1"/>
  <c r="F54" i="35"/>
  <c r="L54" i="35" s="1"/>
  <c r="F52" i="35"/>
  <c r="L52" i="35" s="1"/>
  <c r="F50" i="35"/>
  <c r="L50" i="35" s="1"/>
  <c r="F48" i="35"/>
  <c r="L48" i="35" s="1"/>
  <c r="F45" i="35"/>
  <c r="L45" i="35" s="1"/>
  <c r="F44" i="35"/>
  <c r="L44" i="35" s="1"/>
  <c r="G56" i="35"/>
  <c r="G54" i="35"/>
  <c r="G52" i="35"/>
  <c r="G50" i="35"/>
  <c r="G48" i="35"/>
  <c r="G46" i="35"/>
  <c r="G44" i="35"/>
  <c r="F57" i="35" l="1"/>
  <c r="G57" i="35"/>
  <c r="S42" i="34" l="1"/>
  <c r="G10" i="40" l="1"/>
  <c r="E9" i="13"/>
  <c r="E21" i="16"/>
  <c r="F31" i="16"/>
  <c r="E36" i="16"/>
  <c r="E32" i="18"/>
  <c r="E31" i="16"/>
  <c r="F32" i="18"/>
  <c r="F36" i="18"/>
  <c r="E31" i="18"/>
  <c r="C9" i="13"/>
  <c r="D9" i="13"/>
  <c r="F9" i="13"/>
  <c r="C44" i="23" l="1"/>
  <c r="J48" i="8"/>
  <c r="I44" i="8"/>
  <c r="J72" i="8"/>
  <c r="G44" i="23"/>
  <c r="F44" i="23"/>
  <c r="D44" i="23"/>
  <c r="E44" i="23"/>
  <c r="H44" i="23" l="1"/>
  <c r="F23" i="9" l="1"/>
  <c r="F21" i="9"/>
  <c r="H10" i="3" l="1"/>
  <c r="H11" i="3"/>
  <c r="H12" i="3"/>
  <c r="H13" i="3"/>
  <c r="A34" i="22"/>
  <c r="H14" i="3" l="1"/>
  <c r="C34" i="22"/>
  <c r="J70" i="12" l="1"/>
  <c r="E34" i="22"/>
  <c r="B34" i="22"/>
  <c r="D34" i="22"/>
  <c r="F34" i="22" l="1"/>
  <c r="H42" i="25" l="1"/>
  <c r="G42" i="25"/>
  <c r="F42" i="25"/>
  <c r="E42" i="25"/>
  <c r="D42" i="25"/>
  <c r="C42" i="25"/>
  <c r="I42" i="25" l="1"/>
  <c r="A33" i="22" l="1"/>
  <c r="A32" i="22"/>
  <c r="E10" i="16" l="1"/>
  <c r="E14" i="3"/>
  <c r="C44" i="36"/>
  <c r="J44" i="36" l="1"/>
  <c r="P42" i="34"/>
  <c r="I44" i="36"/>
  <c r="Q42" i="34"/>
  <c r="D44" i="36"/>
  <c r="N44" i="36" s="1"/>
  <c r="K44" i="36"/>
  <c r="L44" i="36"/>
  <c r="G44" i="36" l="1"/>
  <c r="M44" i="36" s="1"/>
  <c r="H44" i="36"/>
  <c r="G13" i="40" l="1"/>
  <c r="G17" i="40"/>
  <c r="C18" i="40"/>
  <c r="C30" i="40" s="1"/>
  <c r="F18" i="40"/>
  <c r="F37" i="40" s="1"/>
  <c r="B18" i="40"/>
  <c r="G14" i="40"/>
  <c r="G12" i="40"/>
  <c r="E18" i="40"/>
  <c r="G11" i="40"/>
  <c r="G15" i="40"/>
  <c r="G16" i="40"/>
  <c r="G18" i="40" l="1"/>
  <c r="B33" i="40"/>
  <c r="B30" i="40"/>
  <c r="F36" i="40"/>
  <c r="C34" i="40"/>
  <c r="C33" i="40"/>
  <c r="C38" i="40"/>
  <c r="B36" i="40"/>
  <c r="B31" i="40"/>
  <c r="B37" i="40"/>
  <c r="B32" i="40"/>
  <c r="B34" i="40"/>
  <c r="C32" i="40"/>
  <c r="F30" i="40"/>
  <c r="C37" i="40"/>
  <c r="C35" i="40"/>
  <c r="C31" i="40"/>
  <c r="B38" i="40"/>
  <c r="C36" i="40"/>
  <c r="B35" i="40"/>
  <c r="F34" i="40"/>
  <c r="F31" i="40"/>
  <c r="F38" i="40"/>
  <c r="F35" i="40"/>
  <c r="F32" i="40"/>
  <c r="F33" i="40"/>
  <c r="E32" i="40"/>
  <c r="E37" i="40"/>
  <c r="E33" i="40"/>
  <c r="E38" i="40"/>
  <c r="E35" i="40"/>
  <c r="E30" i="40"/>
  <c r="E34" i="40"/>
  <c r="E36" i="40"/>
  <c r="E31" i="40"/>
  <c r="A29" i="22"/>
  <c r="A30" i="22"/>
  <c r="A31" i="22"/>
  <c r="A28" i="22"/>
  <c r="G33" i="40" l="1"/>
  <c r="G31" i="40"/>
  <c r="C39" i="40"/>
  <c r="G35" i="40"/>
  <c r="B39" i="40"/>
  <c r="F39" i="40"/>
  <c r="G32" i="40"/>
  <c r="G37" i="40"/>
  <c r="E39" i="40"/>
  <c r="G34" i="40"/>
  <c r="G30" i="40"/>
  <c r="G38" i="40"/>
  <c r="G36" i="40"/>
  <c r="B28" i="22"/>
  <c r="C29" i="22"/>
  <c r="D30" i="22"/>
  <c r="D33" i="22" l="1"/>
  <c r="C33" i="22"/>
  <c r="E33" i="22"/>
  <c r="B33" i="22"/>
  <c r="D32" i="22"/>
  <c r="C32" i="22"/>
  <c r="E32" i="22"/>
  <c r="B32" i="22"/>
  <c r="E31" i="22"/>
  <c r="C31" i="22"/>
  <c r="B31" i="22"/>
  <c r="G39" i="40"/>
  <c r="E30" i="22"/>
  <c r="B30" i="22"/>
  <c r="C28" i="22"/>
  <c r="D29" i="22"/>
  <c r="E28" i="22"/>
  <c r="C30" i="22"/>
  <c r="D28" i="22"/>
  <c r="D31" i="22"/>
  <c r="E29" i="22"/>
  <c r="B29" i="22"/>
  <c r="F32" i="22" l="1"/>
  <c r="F33" i="22"/>
  <c r="F31" i="22"/>
  <c r="F30" i="22"/>
  <c r="F28" i="22"/>
  <c r="F41" i="9" l="1"/>
  <c r="F37" i="9"/>
  <c r="F33" i="9"/>
  <c r="F29" i="9"/>
  <c r="F25" i="9"/>
  <c r="F19" i="9"/>
  <c r="F15" i="9"/>
  <c r="F10" i="18"/>
  <c r="E44" i="18"/>
  <c r="F38" i="9"/>
  <c r="F34" i="9"/>
  <c r="F31" i="9"/>
  <c r="F30" i="9"/>
  <c r="F27" i="9"/>
  <c r="F26" i="9"/>
  <c r="F22" i="9"/>
  <c r="F20" i="9"/>
  <c r="F17" i="9"/>
  <c r="F16" i="9"/>
  <c r="F13" i="9"/>
  <c r="J51" i="8"/>
  <c r="J58" i="8"/>
  <c r="J50" i="8"/>
  <c r="J67" i="8"/>
  <c r="J59" i="8"/>
  <c r="F12" i="9"/>
  <c r="J54" i="8"/>
  <c r="J63" i="8"/>
  <c r="J55" i="8"/>
  <c r="J61" i="8"/>
  <c r="J53" i="8"/>
  <c r="J49" i="8"/>
  <c r="G44" i="8"/>
  <c r="J47" i="8"/>
  <c r="J60" i="8"/>
  <c r="J56" i="8"/>
  <c r="J52" i="8"/>
  <c r="D15" i="17"/>
  <c r="E15" i="17" s="1"/>
  <c r="E41" i="18"/>
  <c r="J68" i="8"/>
  <c r="F39" i="9"/>
  <c r="F35" i="9"/>
  <c r="F40" i="9"/>
  <c r="F36" i="9"/>
  <c r="F32" i="9"/>
  <c r="F28" i="9"/>
  <c r="F24" i="9"/>
  <c r="F18" i="9"/>
  <c r="F14" i="9"/>
  <c r="F14" i="18"/>
  <c r="F44" i="18"/>
  <c r="F42" i="18"/>
  <c r="F12" i="18"/>
  <c r="E16" i="18"/>
  <c r="E13" i="18"/>
  <c r="E34" i="18"/>
  <c r="E35" i="18"/>
  <c r="F20" i="18"/>
  <c r="F16" i="18"/>
  <c r="F15" i="18"/>
  <c r="E43" i="18"/>
  <c r="F46" i="18"/>
  <c r="E45" i="18"/>
  <c r="F45" i="18"/>
  <c r="F43" i="18"/>
  <c r="E36" i="18"/>
  <c r="F35" i="18"/>
  <c r="F34" i="18"/>
  <c r="F22" i="18"/>
  <c r="F10" i="16"/>
  <c r="E14" i="18"/>
  <c r="E10" i="18"/>
  <c r="F13" i="18"/>
  <c r="E12" i="18"/>
  <c r="E20" i="18"/>
  <c r="E22" i="18"/>
  <c r="E42" i="18"/>
  <c r="E46" i="18"/>
  <c r="E11" i="18"/>
  <c r="E15" i="18"/>
  <c r="E21" i="18"/>
  <c r="E33" i="18"/>
  <c r="F11" i="18"/>
  <c r="F21" i="18"/>
  <c r="F33" i="18"/>
  <c r="F41" i="18"/>
  <c r="C64" i="12"/>
  <c r="B55" i="16" l="1"/>
  <c r="B57" i="16" s="1"/>
  <c r="J44" i="8"/>
  <c r="C57" i="16"/>
  <c r="F15" i="17"/>
  <c r="E37" i="18"/>
  <c r="F17" i="18"/>
  <c r="F47" i="18"/>
  <c r="F37" i="18"/>
  <c r="E17" i="18"/>
  <c r="E23" i="18"/>
  <c r="F23" i="18"/>
  <c r="E47" i="18"/>
  <c r="D57" i="16" l="1"/>
  <c r="B14" i="3"/>
  <c r="F44" i="36" l="1"/>
  <c r="E44" i="36"/>
  <c r="K57" i="35"/>
  <c r="J57" i="35"/>
  <c r="I57" i="35"/>
  <c r="H57" i="35"/>
  <c r="E57" i="35"/>
  <c r="D57" i="35"/>
  <c r="B57" i="35"/>
  <c r="M57" i="35" s="1"/>
  <c r="O42" i="34"/>
  <c r="N42" i="34"/>
  <c r="M42" i="34"/>
  <c r="L42" i="34"/>
  <c r="K42" i="34"/>
  <c r="J42" i="34"/>
  <c r="H42" i="34"/>
  <c r="G42" i="34"/>
  <c r="F42" i="34"/>
  <c r="E42" i="34"/>
  <c r="D42" i="34"/>
  <c r="P57" i="35" l="1"/>
  <c r="O57" i="35"/>
  <c r="N57" i="35"/>
  <c r="L57" i="35"/>
  <c r="O44" i="36"/>
  <c r="E53" i="16" l="1"/>
  <c r="F52" i="16"/>
  <c r="E52" i="16"/>
  <c r="F51" i="16"/>
  <c r="E51" i="16"/>
  <c r="F50" i="16"/>
  <c r="E50" i="16"/>
  <c r="F46" i="16"/>
  <c r="E46" i="16"/>
  <c r="F45" i="16"/>
  <c r="E45" i="16"/>
  <c r="F44" i="16"/>
  <c r="E44" i="16"/>
  <c r="F43" i="16"/>
  <c r="E43" i="16"/>
  <c r="F42" i="16"/>
  <c r="E42" i="16"/>
  <c r="F41" i="16"/>
  <c r="E41" i="16"/>
  <c r="F36" i="16"/>
  <c r="F35" i="16"/>
  <c r="E35" i="16"/>
  <c r="F34" i="16"/>
  <c r="E34" i="16"/>
  <c r="F33" i="16"/>
  <c r="E33" i="16"/>
  <c r="F32" i="16"/>
  <c r="E32" i="16"/>
  <c r="F22" i="16"/>
  <c r="E22" i="16"/>
  <c r="F21" i="16"/>
  <c r="F20" i="16"/>
  <c r="E20" i="16"/>
  <c r="F16" i="16"/>
  <c r="E16" i="16"/>
  <c r="F15" i="16"/>
  <c r="E15" i="16"/>
  <c r="F14" i="16"/>
  <c r="E14" i="16"/>
  <c r="F13" i="16"/>
  <c r="E13" i="16"/>
  <c r="F12" i="16"/>
  <c r="E12" i="16"/>
  <c r="F11" i="16"/>
  <c r="E11" i="16"/>
  <c r="C70" i="12"/>
  <c r="C9" i="12" s="1"/>
  <c r="J9" i="12" s="1"/>
  <c r="E44" i="11"/>
  <c r="E9" i="11" s="1"/>
  <c r="D44" i="11"/>
  <c r="D9" i="11" s="1"/>
  <c r="C44" i="11"/>
  <c r="C9" i="11" s="1"/>
  <c r="F43"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E44" i="9"/>
  <c r="E9" i="9" s="1"/>
  <c r="D44" i="9"/>
  <c r="D9" i="9" s="1"/>
  <c r="C44" i="9"/>
  <c r="C9" i="9" s="1"/>
  <c r="I70" i="8"/>
  <c r="H70" i="8"/>
  <c r="G70" i="8"/>
  <c r="F70" i="8"/>
  <c r="E70" i="8"/>
  <c r="D70" i="8"/>
  <c r="C70" i="8"/>
  <c r="J69" i="8"/>
  <c r="H44" i="8"/>
  <c r="F44" i="8"/>
  <c r="E44" i="8"/>
  <c r="D44" i="8"/>
  <c r="C44" i="8"/>
  <c r="E70" i="7"/>
  <c r="D70" i="7"/>
  <c r="D9" i="7" s="1"/>
  <c r="C70" i="7"/>
  <c r="D64" i="7"/>
  <c r="F14" i="3"/>
  <c r="G14" i="3"/>
  <c r="F44" i="11" l="1"/>
  <c r="F9" i="11" s="1"/>
  <c r="F29" i="22"/>
  <c r="E13" i="17"/>
  <c r="F13" i="17"/>
  <c r="I12" i="3"/>
  <c r="F44" i="9"/>
  <c r="F9" i="9" s="1"/>
  <c r="E17" i="16"/>
  <c r="F53" i="16"/>
  <c r="F47" i="16"/>
  <c r="F37" i="16"/>
  <c r="E23" i="16"/>
  <c r="C14" i="3"/>
  <c r="J70" i="8"/>
  <c r="E47" i="16"/>
  <c r="E37" i="16"/>
  <c r="F23" i="16"/>
  <c r="D11" i="17"/>
  <c r="G11" i="17" s="1"/>
  <c r="D14" i="17"/>
  <c r="D10" i="17"/>
  <c r="G10" i="17" s="1"/>
  <c r="F17" i="16"/>
  <c r="I13" i="3"/>
  <c r="I10" i="3"/>
  <c r="I11" i="3"/>
  <c r="C49" i="19" l="1"/>
  <c r="E49" i="19"/>
  <c r="F49" i="19"/>
  <c r="E11" i="17"/>
  <c r="F11" i="17"/>
  <c r="G16" i="17"/>
  <c r="G15" i="17"/>
  <c r="G14" i="17"/>
  <c r="F14" i="17"/>
  <c r="E14" i="17"/>
  <c r="G13" i="17"/>
  <c r="F10" i="17"/>
  <c r="E10" i="17"/>
  <c r="E55" i="16"/>
  <c r="E16" i="17"/>
  <c r="F57" i="16"/>
  <c r="F55" i="16"/>
  <c r="I14" i="3"/>
  <c r="K14" i="3" s="1"/>
  <c r="J14" i="3" l="1"/>
  <c r="J10" i="3"/>
  <c r="J13" i="3"/>
  <c r="J12" i="3"/>
  <c r="J11" i="3"/>
  <c r="K12" i="3"/>
  <c r="K11" i="3"/>
  <c r="K13" i="3"/>
  <c r="K10" i="3"/>
  <c r="E57" i="16"/>
  <c r="A33" i="7" l="1"/>
  <c r="A26" i="7"/>
  <c r="A60" i="7"/>
  <c r="A58" i="7"/>
  <c r="A26" i="9" l="1"/>
  <c r="A33" i="9"/>
  <c r="C64" i="7" l="1"/>
  <c r="C9" i="7" s="1"/>
  <c r="I61" i="7" l="1"/>
  <c r="J61" i="7" s="1"/>
  <c r="I60" i="7"/>
  <c r="J60" i="7" s="1"/>
  <c r="E57" i="7"/>
  <c r="E62" i="7"/>
  <c r="I62" i="7" l="1"/>
  <c r="J62" i="7" s="1"/>
  <c r="E64" i="7"/>
  <c r="E9" i="7" s="1"/>
  <c r="I57" i="7"/>
  <c r="A26" i="101"/>
  <c r="A33" i="101"/>
  <c r="J57" i="7" l="1"/>
  <c r="J64" i="7" s="1"/>
  <c r="J9" i="7" s="1"/>
  <c r="I64" i="7"/>
  <c r="I9" i="7" s="1"/>
  <c r="F64" i="8" l="1"/>
  <c r="F9" i="8" s="1"/>
  <c r="D64" i="8"/>
  <c r="D9" i="8" s="1"/>
  <c r="I64" i="8"/>
  <c r="I9" i="8" s="1"/>
  <c r="E64" i="8"/>
  <c r="E9" i="8" s="1"/>
  <c r="J62" i="8"/>
  <c r="G64" i="8"/>
  <c r="G9" i="8" s="1"/>
  <c r="H64" i="8"/>
  <c r="H9" i="8" s="1"/>
  <c r="C64" i="8"/>
  <c r="C9" i="8" s="1"/>
  <c r="J57" i="8"/>
  <c r="J64" i="8" l="1"/>
  <c r="J9" i="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43000000}" keepAlive="1" name="s-srs-v01_pds RAP HFSV_Outcome" type="5" refreshedVersion="6" deleted="1" background="1" saveData="1">
    <dbPr connection="" command="" commandType="3"/>
  </connection>
</connections>
</file>

<file path=xl/sharedStrings.xml><?xml version="1.0" encoding="utf-8"?>
<sst xmlns="http://schemas.openxmlformats.org/spreadsheetml/2006/main" count="31421" uniqueCount="1300">
  <si>
    <t>Fire Safety and Organisational Statistics - Tables and Charts</t>
  </si>
  <si>
    <t>Scottish Fire and Rescue Service</t>
  </si>
  <si>
    <t>(formerly Fire and Rescue Service Statistics Scotland)</t>
  </si>
  <si>
    <t>Fire Safety and Organisational Statistics, Scotland</t>
  </si>
  <si>
    <t>The statistics included in this workbook are classed as Official Statistics. This means that they were produced in complinance with the Code of Practice for Statistics and without political interference.</t>
  </si>
  <si>
    <t>This workbook provides statistics on the Scottish Fire and Rescue Service. Covering:</t>
  </si>
  <si>
    <t xml:space="preserve"> - Geographic Reporting Structure</t>
  </si>
  <si>
    <t xml:space="preserve"> - Fire Stations and Capabilities</t>
  </si>
  <si>
    <t xml:space="preserve"> - Fire and Rescue Vehicles</t>
  </si>
  <si>
    <t xml:space="preserve"> - Workforce</t>
  </si>
  <si>
    <t xml:space="preserve"> - Attacks on Fire and Rescue Personnel</t>
  </si>
  <si>
    <t xml:space="preserve"> - Home Fire Safety Visits</t>
  </si>
  <si>
    <t xml:space="preserve"> - Non-Domestic Fire Safety</t>
  </si>
  <si>
    <t>Updates are published annually in this workbook, please source statistics from the latest version.</t>
  </si>
  <si>
    <t>Please see the most recent Fire Safety and Organisational Statistics publication for commentary on the statistics included in this workbook.</t>
  </si>
  <si>
    <t>Please see the Guidance Notes on Statistics publication for further details on these statistics including definitions and advice on interpretation.</t>
  </si>
  <si>
    <t xml:space="preserve">For enquiries or feedback please contact - </t>
  </si>
  <si>
    <t>National.Statistics@firescotland.gov.uk</t>
  </si>
  <si>
    <t>Table of Contents</t>
  </si>
  <si>
    <t>Click on a hyperlink to select the corresponding worksheet</t>
  </si>
  <si>
    <t>Topic</t>
  </si>
  <si>
    <t>Metric</t>
  </si>
  <si>
    <t>Link</t>
  </si>
  <si>
    <t>Code</t>
  </si>
  <si>
    <t>Geographic Reporting Structure</t>
  </si>
  <si>
    <t>Category</t>
  </si>
  <si>
    <t>link</t>
  </si>
  <si>
    <t>GRS1</t>
  </si>
  <si>
    <t>Fire Stations and Capabilities</t>
  </si>
  <si>
    <t>Crewing Model</t>
  </si>
  <si>
    <t>Sum</t>
  </si>
  <si>
    <t>FS_CM1</t>
  </si>
  <si>
    <t>Local Authority</t>
  </si>
  <si>
    <t>FS_CMLA1</t>
  </si>
  <si>
    <t>Primary Crewing Type</t>
  </si>
  <si>
    <t>FS_PC1</t>
  </si>
  <si>
    <t>FS_PCLA1</t>
  </si>
  <si>
    <t>Target Crewing Level</t>
  </si>
  <si>
    <t>FS_TCL1</t>
  </si>
  <si>
    <t>Capabilities</t>
  </si>
  <si>
    <t>FS_CAP1</t>
  </si>
  <si>
    <t>Fire Station Charts</t>
  </si>
  <si>
    <t>Primary Crewing Type and Crewing Model</t>
  </si>
  <si>
    <t>C_FS_P1</t>
  </si>
  <si>
    <t>C_FS_LAB1</t>
  </si>
  <si>
    <t>Map</t>
  </si>
  <si>
    <t>C_FS_M1</t>
  </si>
  <si>
    <t>Fire and Rescue Vehicles</t>
  </si>
  <si>
    <t>Type of Vehicle</t>
  </si>
  <si>
    <t>FL_TY1</t>
  </si>
  <si>
    <t>FL_LA1</t>
  </si>
  <si>
    <t>Workforce Tables</t>
  </si>
  <si>
    <t>Staff Type</t>
  </si>
  <si>
    <t>Headcount</t>
  </si>
  <si>
    <t>WF_STH1</t>
  </si>
  <si>
    <t>Full Time Equivalent</t>
  </si>
  <si>
    <t>WF_STF1</t>
  </si>
  <si>
    <t>Staff Type - Wholetime Operational</t>
  </si>
  <si>
    <t>Duty System</t>
  </si>
  <si>
    <t>WF_STDSH1</t>
  </si>
  <si>
    <t>Geographic Area</t>
  </si>
  <si>
    <t>WF_STDSLAH1</t>
  </si>
  <si>
    <t>Department</t>
  </si>
  <si>
    <t>WF_STDEH1</t>
  </si>
  <si>
    <t>WF_STDEF1</t>
  </si>
  <si>
    <t>Reporting Structure</t>
  </si>
  <si>
    <t>WF_STRSH1</t>
  </si>
  <si>
    <t>WF_STGAH1</t>
  </si>
  <si>
    <t>Role</t>
  </si>
  <si>
    <t>WF_STRH1</t>
  </si>
  <si>
    <t>WF_STRDSH1</t>
  </si>
  <si>
    <t>WF_STRRSH1</t>
  </si>
  <si>
    <t>WF_WRGAH1</t>
  </si>
  <si>
    <t>Staff Type - Retained Duty System</t>
  </si>
  <si>
    <t>WF_RRGH1</t>
  </si>
  <si>
    <t>Staff Type - Control</t>
  </si>
  <si>
    <t>WF_CRGH1</t>
  </si>
  <si>
    <t>Staff Type - Support Staff</t>
  </si>
  <si>
    <t>WF_SRGH1</t>
  </si>
  <si>
    <t>Staff Type - Volunteers</t>
  </si>
  <si>
    <t>WF_VRGH1</t>
  </si>
  <si>
    <t>WF_WRGF1</t>
  </si>
  <si>
    <t>WF_RRGF1</t>
  </si>
  <si>
    <t>WF_CRGF1</t>
  </si>
  <si>
    <t>WF_SRGF1</t>
  </si>
  <si>
    <t>Sex</t>
  </si>
  <si>
    <t>WF_STGH1</t>
  </si>
  <si>
    <t>WF_STG2H1</t>
  </si>
  <si>
    <t>WF_STGRH1</t>
  </si>
  <si>
    <t>WF_STGRF1</t>
  </si>
  <si>
    <t>Age Range</t>
  </si>
  <si>
    <t>WF_STARH1</t>
  </si>
  <si>
    <t>Percentage</t>
  </si>
  <si>
    <t>WF_STARP1</t>
  </si>
  <si>
    <t>Service Length</t>
  </si>
  <si>
    <t>WF_STSLH1</t>
  </si>
  <si>
    <t>WF_STSLP1</t>
  </si>
  <si>
    <t>Ethnicity</t>
  </si>
  <si>
    <t>WF_STETP1</t>
  </si>
  <si>
    <t>Disability</t>
  </si>
  <si>
    <t>WF_STDIP1</t>
  </si>
  <si>
    <t>Disability - Not Known</t>
  </si>
  <si>
    <t>WF_STDNP1</t>
  </si>
  <si>
    <t>New Entrants</t>
  </si>
  <si>
    <t>WF_NEARS1</t>
  </si>
  <si>
    <t>WF_NEGS1</t>
  </si>
  <si>
    <t>WF_NEETP1</t>
  </si>
  <si>
    <t>WF_NEDIP1</t>
  </si>
  <si>
    <t>Leavers</t>
  </si>
  <si>
    <t>Reason for Leaving</t>
  </si>
  <si>
    <t>WF_LERLP1</t>
  </si>
  <si>
    <t>Workforce Charts</t>
  </si>
  <si>
    <t>C_WF_STH1</t>
  </si>
  <si>
    <t>C_WF_STF1</t>
  </si>
  <si>
    <t>C_WF_STGH1</t>
  </si>
  <si>
    <t>C_WF_STARH1</t>
  </si>
  <si>
    <t>C_WF_STSLH1</t>
  </si>
  <si>
    <t>Attacks on SFRS Personnel</t>
  </si>
  <si>
    <t>Related to Operational Incidents</t>
  </si>
  <si>
    <t>AT_ROIS1</t>
  </si>
  <si>
    <t>Not Related to Operational Incidents</t>
  </si>
  <si>
    <t>AT_NOIS1</t>
  </si>
  <si>
    <t>AT_ROILAS1</t>
  </si>
  <si>
    <t>Attacks on SFRS Personnel Charts</t>
  </si>
  <si>
    <t>Type of Attack</t>
  </si>
  <si>
    <t>C_ATS1</t>
  </si>
  <si>
    <t>Type of Attack Resulting in Injuries</t>
  </si>
  <si>
    <t>C_ATIS1</t>
  </si>
  <si>
    <t>Attacks</t>
  </si>
  <si>
    <t>C_ATSLA1</t>
  </si>
  <si>
    <t>Home Fire Safety Visits</t>
  </si>
  <si>
    <t>Outcome and Smoke Alarms Installed</t>
  </si>
  <si>
    <t>HV_OS1</t>
  </si>
  <si>
    <t>Rate</t>
  </si>
  <si>
    <t>HV_OR1</t>
  </si>
  <si>
    <t>Households Visited</t>
  </si>
  <si>
    <t>Rate of Households</t>
  </si>
  <si>
    <t>HV_HR1</t>
  </si>
  <si>
    <t>Distinct Properties</t>
  </si>
  <si>
    <t>HV_DPS1</t>
  </si>
  <si>
    <t>Alarms Installed</t>
  </si>
  <si>
    <t>HV_DPAIS1</t>
  </si>
  <si>
    <t>HV_DPP1</t>
  </si>
  <si>
    <t>HV_DPAIP1</t>
  </si>
  <si>
    <t>Residents of Households Visited</t>
  </si>
  <si>
    <t>HV_RESARS1</t>
  </si>
  <si>
    <t>HV_RESARP1</t>
  </si>
  <si>
    <t>Tenure</t>
  </si>
  <si>
    <t>HV_TENS1</t>
  </si>
  <si>
    <t>Deprivation</t>
  </si>
  <si>
    <t>HV_DEPS1</t>
  </si>
  <si>
    <t>HV_DEPP1</t>
  </si>
  <si>
    <t>Alarms</t>
  </si>
  <si>
    <t>HV_DEPALS1</t>
  </si>
  <si>
    <t>HV_DEPALR1</t>
  </si>
  <si>
    <t>HV_DEPALPER1</t>
  </si>
  <si>
    <t>Owner Occupied</t>
  </si>
  <si>
    <t>HV_DEPALOOCP1</t>
  </si>
  <si>
    <t>Rurality</t>
  </si>
  <si>
    <t>HV_RURS1</t>
  </si>
  <si>
    <t>HV_RURP1</t>
  </si>
  <si>
    <t>HV_OLAS1</t>
  </si>
  <si>
    <t>HV_OLAP1</t>
  </si>
  <si>
    <t>Outcome</t>
  </si>
  <si>
    <t>HV_OLAR1</t>
  </si>
  <si>
    <t>Home Fire Safety Visit Charts</t>
  </si>
  <si>
    <t>C_HV_OS1</t>
  </si>
  <si>
    <t>C_HV_AIS1</t>
  </si>
  <si>
    <t>C_HV_RESP1</t>
  </si>
  <si>
    <t>C_HV_SIMDP1</t>
  </si>
  <si>
    <t>C_HV_SIMDAP1</t>
  </si>
  <si>
    <t>C_HV_SIMDAR1</t>
  </si>
  <si>
    <t>C_HV_SIMDOOP1</t>
  </si>
  <si>
    <t>Trend</t>
  </si>
  <si>
    <t>C_HV_SIMDOOCT1</t>
  </si>
  <si>
    <t>C_HV_RURP1</t>
  </si>
  <si>
    <t>C_HV_LAP1</t>
  </si>
  <si>
    <t>C_HV_LAM1</t>
  </si>
  <si>
    <t>C_HV_LAALM1</t>
  </si>
  <si>
    <t>C_HV_LAALPM1</t>
  </si>
  <si>
    <t>Non-domestic Fire Safety</t>
  </si>
  <si>
    <t>Workflows</t>
  </si>
  <si>
    <t>ND_WS1</t>
  </si>
  <si>
    <t>Audits</t>
  </si>
  <si>
    <t>Premises Type</t>
  </si>
  <si>
    <t>ND_APTS1</t>
  </si>
  <si>
    <t>ND_APTLA1</t>
  </si>
  <si>
    <t>Outcome and Time for Completion</t>
  </si>
  <si>
    <t>ND_OTS1</t>
  </si>
  <si>
    <t>ND_OTPTS1</t>
  </si>
  <si>
    <t>ND_OTPTLAS1</t>
  </si>
  <si>
    <t>Notices Issued</t>
  </si>
  <si>
    <t>ND_NIS1</t>
  </si>
  <si>
    <t>Risk</t>
  </si>
  <si>
    <t>ND_ARS1</t>
  </si>
  <si>
    <t>ND_ARP1</t>
  </si>
  <si>
    <t>Non-domestic Fire Safety Charts</t>
  </si>
  <si>
    <t>C_ND_WS1</t>
  </si>
  <si>
    <t>C_ND_RS1</t>
  </si>
  <si>
    <t>Risk Share</t>
  </si>
  <si>
    <t>C_ND_RS2</t>
  </si>
  <si>
    <t>Back to Table of Contents</t>
  </si>
  <si>
    <t>Table code</t>
  </si>
  <si>
    <t>Update frequency</t>
  </si>
  <si>
    <t>Annual</t>
  </si>
  <si>
    <t>Revisions policy</t>
  </si>
  <si>
    <t>Revisions are not anticipated</t>
  </si>
  <si>
    <t>Year</t>
  </si>
  <si>
    <t>LA Code</t>
  </si>
  <si>
    <t>LSO Code</t>
  </si>
  <si>
    <t>Formal Local Senior Officer Area</t>
  </si>
  <si>
    <t>SFRS Local Senior Officer Area</t>
  </si>
  <si>
    <t>SDA Code</t>
  </si>
  <si>
    <t>Service Delivery Area</t>
  </si>
  <si>
    <t>2018-19</t>
  </si>
  <si>
    <t>S12000033</t>
  </si>
  <si>
    <t>Aberdeen City</t>
  </si>
  <si>
    <t>S39000001</t>
  </si>
  <si>
    <t>S40000005</t>
  </si>
  <si>
    <t>North</t>
  </si>
  <si>
    <t>S12000034</t>
  </si>
  <si>
    <t>Aberdeenshire</t>
  </si>
  <si>
    <t>S39000002</t>
  </si>
  <si>
    <t>Aberdeenshire and Moray</t>
  </si>
  <si>
    <t>S12000041</t>
  </si>
  <si>
    <t>Angus</t>
  </si>
  <si>
    <t>S39000018</t>
  </si>
  <si>
    <t>Dundee, Angus, Perth and Kinross</t>
  </si>
  <si>
    <t>S12000035</t>
  </si>
  <si>
    <t>Argyll and Bute</t>
  </si>
  <si>
    <t>S39000003</t>
  </si>
  <si>
    <t>Argyll and Bute, East Dunbartonshire and West Dunbartonshire</t>
  </si>
  <si>
    <t>S40000003</t>
  </si>
  <si>
    <t>West</t>
  </si>
  <si>
    <t>S12000036</t>
  </si>
  <si>
    <t>City of Edinburgh</t>
  </si>
  <si>
    <t>S39000009</t>
  </si>
  <si>
    <t>Edinburgh City</t>
  </si>
  <si>
    <t>S40000004</t>
  </si>
  <si>
    <t>East</t>
  </si>
  <si>
    <t>S12000005</t>
  </si>
  <si>
    <t>Clackmannanshire</t>
  </si>
  <si>
    <t>S39000016</t>
  </si>
  <si>
    <t>Stirling and Clackmannanshire</t>
  </si>
  <si>
    <t>S12000006</t>
  </si>
  <si>
    <t>Dumfries and Galloway</t>
  </si>
  <si>
    <t>S39000004</t>
  </si>
  <si>
    <t>S12000042</t>
  </si>
  <si>
    <t>Dundee City</t>
  </si>
  <si>
    <t>S12000008</t>
  </si>
  <si>
    <t>East Ayrshire</t>
  </si>
  <si>
    <t>S39000006</t>
  </si>
  <si>
    <t>East Ayrshire, North Ayrshire and South Ayrshire</t>
  </si>
  <si>
    <t>S12000045</t>
  </si>
  <si>
    <t>East Dunbartonshire</t>
  </si>
  <si>
    <t>S12000010</t>
  </si>
  <si>
    <t>East Lothian</t>
  </si>
  <si>
    <t>S39000007</t>
  </si>
  <si>
    <t>East Lothian, Midlothian and the Scottish Borders</t>
  </si>
  <si>
    <t>S12000011</t>
  </si>
  <si>
    <t>East Renfrewshire</t>
  </si>
  <si>
    <t>S39000008</t>
  </si>
  <si>
    <t>East Renfrewshire, Renfrewshire and Inverclyde</t>
  </si>
  <si>
    <t>S12000014</t>
  </si>
  <si>
    <t>Falkirk</t>
  </si>
  <si>
    <t>S39000010</t>
  </si>
  <si>
    <t>Falkirk and West Lothian</t>
  </si>
  <si>
    <t>S12000047</t>
  </si>
  <si>
    <t>Fife</t>
  </si>
  <si>
    <t>S39000019</t>
  </si>
  <si>
    <t>S12000046</t>
  </si>
  <si>
    <t>Glasgow City</t>
  </si>
  <si>
    <t>S39000012</t>
  </si>
  <si>
    <t>S12000017</t>
  </si>
  <si>
    <t>Highland</t>
  </si>
  <si>
    <t>S39000013</t>
  </si>
  <si>
    <t>Highlands</t>
  </si>
  <si>
    <t>S12000018</t>
  </si>
  <si>
    <t>Inverclyde</t>
  </si>
  <si>
    <t>S12000019</t>
  </si>
  <si>
    <t>Midlothian</t>
  </si>
  <si>
    <t>S12000020</t>
  </si>
  <si>
    <t>Moray</t>
  </si>
  <si>
    <t>S12000013</t>
  </si>
  <si>
    <t>Na h-Eileanan Siar</t>
  </si>
  <si>
    <t>S39000017</t>
  </si>
  <si>
    <t>Western Isles, Orkney and Shetland Islands</t>
  </si>
  <si>
    <t>S12000021</t>
  </si>
  <si>
    <t>North Ayrshire</t>
  </si>
  <si>
    <t>S12000044</t>
  </si>
  <si>
    <t>North Lanarkshire</t>
  </si>
  <si>
    <t>S39000014</t>
  </si>
  <si>
    <t>S12000023</t>
  </si>
  <si>
    <t>Orkney Islands</t>
  </si>
  <si>
    <t>S12000024</t>
  </si>
  <si>
    <t>Perth and Kinross</t>
  </si>
  <si>
    <t>S12000038</t>
  </si>
  <si>
    <t>Renfrewshire</t>
  </si>
  <si>
    <t>S12000026</t>
  </si>
  <si>
    <t>Scottish Borders</t>
  </si>
  <si>
    <t>S12000027</t>
  </si>
  <si>
    <t>Shetland Islands</t>
  </si>
  <si>
    <t>S12000028</t>
  </si>
  <si>
    <t>South Ayrshire</t>
  </si>
  <si>
    <t>S12000029</t>
  </si>
  <si>
    <t>South Lanarkshire</t>
  </si>
  <si>
    <t>S39000015</t>
  </si>
  <si>
    <t>S12000030</t>
  </si>
  <si>
    <t>Stirling</t>
  </si>
  <si>
    <t>S12000039</t>
  </si>
  <si>
    <t>West Dunbartonshire</t>
  </si>
  <si>
    <t>S12000040</t>
  </si>
  <si>
    <t>West Lothian</t>
  </si>
  <si>
    <t>2019-20</t>
  </si>
  <si>
    <t>Stirling, Clackmannanshire and Fife</t>
  </si>
  <si>
    <t>S12000049</t>
  </si>
  <si>
    <t>S39000020</t>
  </si>
  <si>
    <t>S12000050</t>
  </si>
  <si>
    <t>S39000021</t>
  </si>
  <si>
    <t>2020-21</t>
  </si>
  <si>
    <t>S39000022</t>
  </si>
  <si>
    <t>2021-22</t>
  </si>
  <si>
    <t>S39000023</t>
  </si>
  <si>
    <t>Aberdeen City, Aberdeenshire and Moray</t>
  </si>
  <si>
    <t>S39000024</t>
  </si>
  <si>
    <t>Lanarkshire</t>
  </si>
  <si>
    <t>2022-23</t>
  </si>
  <si>
    <t>2023-24</t>
  </si>
  <si>
    <t>Clackmannanshire, Fife and Stirling</t>
  </si>
  <si>
    <t>Notes</t>
  </si>
  <si>
    <t>This table maps the geographic areas in the SFRS organisational structure. The 32 Local Authority areas are mapped to the 14 Formal Local Senior Officer Areas and Local Senior Officer Areas in use by SFRS, and 3 Service Delivery Areas.</t>
  </si>
  <si>
    <t>Please note that in 2019-20, SFRS merged the 'Stirling and Clackmannanshire' and 'Fife' LSO areas to form the new 'Stirling, Clackmannanshire and Fife' area. In 2021-22, SFRS merged 'Aberdeen City' and 'Aberdeenshire and Moray' to form the new 'Aberdeen City, Aberdeenshire and Moray area. SFRS also merged 'North Lanarkshire' and 'South Lanarkshire' to from the new 'Lanarkshire' area in 2021-22.</t>
  </si>
  <si>
    <t>In 2023, SFRS changed the name of the LSO Area 'Stirling, Clackmannanshire and Fife' to 'Clackmannanshire, Fife and Stirling'.</t>
  </si>
  <si>
    <t>Fire Station Statistics</t>
  </si>
  <si>
    <t>Fire Stations by Station Crewing Model</t>
  </si>
  <si>
    <t>Wholetime</t>
  </si>
  <si>
    <t>Wholetime and Day</t>
  </si>
  <si>
    <t>Wholetime and Retained</t>
  </si>
  <si>
    <t>Retained</t>
  </si>
  <si>
    <t>Volunteer</t>
  </si>
  <si>
    <t>Total</t>
  </si>
  <si>
    <t>2016-17</t>
  </si>
  <si>
    <t>2017-18</t>
  </si>
  <si>
    <t>In 2019-20 we implemented a methodology change for counting Fire Stations which results in the number of volunteer stations increasing by 1 to 43. This change has been backdated. This follows user consultation in 2019.</t>
  </si>
  <si>
    <t>There are five station crewing models in use in Scotland. These aggregate into the three primary crewing types which are also published. Please see the Guidance Notes publication for definitions and further details.</t>
  </si>
  <si>
    <t>Fire Stations by Crewing Model and Local Authority</t>
  </si>
  <si>
    <t>Number</t>
  </si>
  <si>
    <t>Local Authority Area</t>
  </si>
  <si>
    <t>Scotland (total)</t>
  </si>
  <si>
    <t>In 2019-20, we implemented a methodology change for counting Fire Stations which results in the number of volunteer stations increasing by 1 to 43. This change has been backdated. This follows user consultation in 2019.</t>
  </si>
  <si>
    <t>Row Labels</t>
  </si>
  <si>
    <t>Sum of Wholetime</t>
  </si>
  <si>
    <t>Sum of Wholetime and Retained</t>
  </si>
  <si>
    <t>Sum of Wholetime and Day</t>
  </si>
  <si>
    <t>Sum of Retained</t>
  </si>
  <si>
    <t>Sum of Volunteer</t>
  </si>
  <si>
    <t>Sum of Total</t>
  </si>
  <si>
    <t>Grand Total</t>
  </si>
  <si>
    <t>LA</t>
  </si>
  <si>
    <t>Fire Stations by Primary Crewing Type</t>
  </si>
  <si>
    <t>Day-Crewed</t>
  </si>
  <si>
    <t>Retained Duty System</t>
  </si>
  <si>
    <t>2011-12</t>
  </si>
  <si>
    <t>2012-13</t>
  </si>
  <si>
    <t>2013-14</t>
  </si>
  <si>
    <t>2014-15</t>
  </si>
  <si>
    <t>2015-16</t>
  </si>
  <si>
    <t>Stations which operate with more than one crewing model are counted in the category with the highest level of cover. Please see the Guidance Notes document for definitions and further details.</t>
  </si>
  <si>
    <t>We have implemented a methodology change for counting Fire Stations which results in the number of volunteer stations increasing by 1 to 43. This change has been backdated. This follows user consultation in 2019.</t>
  </si>
  <si>
    <t>Fire Stations by Primary Crewing Type and Local Authority</t>
  </si>
  <si>
    <t>Target Crewing Level By Type</t>
  </si>
  <si>
    <t>Day</t>
  </si>
  <si>
    <t>Wholetime crewing involves 24 hour cover.</t>
  </si>
  <si>
    <t>Day crewing is Wholetime during the day (Monday to Friday 8am to 6pm) and Retained Duty System at night and during the weekends.</t>
  </si>
  <si>
    <t>Retained staff are contracted to be available at agreed periods of time but are typically not in the station during these hours. This is also known as 'on-call'.</t>
  </si>
  <si>
    <t>Volunteer crewing does not involve agreed periods of on-call cover. This is also known as 'on-call'.</t>
  </si>
  <si>
    <t>Fiscal_Yr</t>
  </si>
  <si>
    <t>CapabilityType</t>
  </si>
  <si>
    <t>Capability</t>
  </si>
  <si>
    <t>Value</t>
  </si>
  <si>
    <t>MTA</t>
  </si>
  <si>
    <t>NationalFireResilience</t>
  </si>
  <si>
    <t>CSU</t>
  </si>
  <si>
    <t>DIM</t>
  </si>
  <si>
    <t>Flood</t>
  </si>
  <si>
    <t>HSU</t>
  </si>
  <si>
    <t>Number of Stations with Capability</t>
  </si>
  <si>
    <t>HVP</t>
  </si>
  <si>
    <t>National Fire Resilience</t>
  </si>
  <si>
    <t>MD</t>
  </si>
  <si>
    <t>Specialist</t>
  </si>
  <si>
    <t>SOR</t>
  </si>
  <si>
    <t>Tactical</t>
  </si>
  <si>
    <t>SRT</t>
  </si>
  <si>
    <t>USAR</t>
  </si>
  <si>
    <t>EPU</t>
  </si>
  <si>
    <t>HighR</t>
  </si>
  <si>
    <t>HvR</t>
  </si>
  <si>
    <t>Prime Movers</t>
  </si>
  <si>
    <t>Rope</t>
  </si>
  <si>
    <t>Welfare</t>
  </si>
  <si>
    <t>Foam</t>
  </si>
  <si>
    <t>MOG</t>
  </si>
  <si>
    <t>RRU</t>
  </si>
  <si>
    <t>Water C</t>
  </si>
  <si>
    <t>Wildfire</t>
  </si>
  <si>
    <t>WaterPumping</t>
  </si>
  <si>
    <t>ONE PUMP</t>
  </si>
  <si>
    <t>THREE PUMPS</t>
  </si>
  <si>
    <t>TWO PUMPS</t>
  </si>
  <si>
    <t>PUMPS</t>
  </si>
  <si>
    <t>Sum of Value</t>
  </si>
  <si>
    <t>Column Labels</t>
  </si>
  <si>
    <t>(blank)</t>
  </si>
  <si>
    <t>Sum of Number of Stations with Capability</t>
  </si>
  <si>
    <t>Fire Station Capabilities</t>
  </si>
  <si>
    <t>Firefighting Capabilities</t>
  </si>
  <si>
    <t>Water Pumping</t>
  </si>
  <si>
    <t>Tactical Ability within Water Pumping</t>
  </si>
  <si>
    <t>1 Pump</t>
  </si>
  <si>
    <t>2 Pumps</t>
  </si>
  <si>
    <t>3 Pumps</t>
  </si>
  <si>
    <t>Rapid Response Unit</t>
  </si>
  <si>
    <t>Water Carrier</t>
  </si>
  <si>
    <t>Stations with Tactical Capabilities</t>
  </si>
  <si>
    <t>Total Tactical Capabilities</t>
  </si>
  <si>
    <t>SFRS National Fire Resilience Capabilities</t>
  </si>
  <si>
    <t>Flooding</t>
  </si>
  <si>
    <t>Swift Water Response</t>
  </si>
  <si>
    <t>Detection, Identification and Monitoring Unit</t>
  </si>
  <si>
    <t>Hazmat Support Unit</t>
  </si>
  <si>
    <t>Specialist Operational Response</t>
  </si>
  <si>
    <t>Mass Decontamination</t>
  </si>
  <si>
    <t>Urban Search and Rescue</t>
  </si>
  <si>
    <t>Enhanced Logistical support/Command Support Unit</t>
  </si>
  <si>
    <t>High Volume Pump</t>
  </si>
  <si>
    <t>Stations with National Fire Resilience Capabilities</t>
  </si>
  <si>
    <t>Total National Fire Resilience Capabilities</t>
  </si>
  <si>
    <t>Specialist Capabilities</t>
  </si>
  <si>
    <t>Environ-mental Protection Unit</t>
  </si>
  <si>
    <t>High Reach Rescue</t>
  </si>
  <si>
    <t>Rope Rescue</t>
  </si>
  <si>
    <t>Heavy Rescue</t>
  </si>
  <si>
    <t>Stations with Specialist Capabilities</t>
  </si>
  <si>
    <t>Total Specialist Capabilities</t>
  </si>
  <si>
    <t>Capabilities can be determined both by the presence of equipment or vehicles, and trained personnel.</t>
  </si>
  <si>
    <t>A single crew can be trained and resourced for multiple capabilites which are mobiliesed based on need, this 'Dual Crewing' is common place.</t>
  </si>
  <si>
    <t>High Reach Rescue vehicles, while a specialist capability in their own right, can also be used as a tactical capabiltiy in firefighting where water is pumped down onto a fire from height.</t>
  </si>
  <si>
    <t>Please note in 2021-22, chose to categorise Capabilities differently from previous years, introducing the category 'National Fire Resilience Capabilities'. Individual capabilities still have the same definitions as before and are comparable to previous years.</t>
  </si>
  <si>
    <t xml:space="preserve">SFRS have chosen to remove Marine, Foam and Prime Movers as Capabilities in 2021-22. Foam is seen as being a firefighting medium, rather than a capability. Marine response does not have specialist capabilities attributed that are not already included in the existing categories, removing duplication. Prime Movers are used to transport certain capabilities and this removes duplication. </t>
  </si>
  <si>
    <t>Fire Station Types</t>
  </si>
  <si>
    <t>Chart Code</t>
  </si>
  <si>
    <t>Map of Fire Stations by Type</t>
  </si>
  <si>
    <t>Sum of Pumping Appliances</t>
  </si>
  <si>
    <t>Sum of Aerial Appliances</t>
  </si>
  <si>
    <t>Sum of Resilience Appliances</t>
  </si>
  <si>
    <t>Sum of Fire Boats</t>
  </si>
  <si>
    <t>Sum of Vehicles for Rescue Work</t>
  </si>
  <si>
    <t>Sum of Small Firefighting Vehicles</t>
  </si>
  <si>
    <t>Sum of Other</t>
  </si>
  <si>
    <t>Sum of Total Appliances</t>
  </si>
  <si>
    <t>Sum of Officer Response Vehicles</t>
  </si>
  <si>
    <t>Sum of Reserve Appliances</t>
  </si>
  <si>
    <t>Sum of Training Appliances</t>
  </si>
  <si>
    <t>Sum of Other Fleet Vehicles (excl Officer Response Vehicles)</t>
  </si>
  <si>
    <t>Sum of Total Vehicles (incl boats)</t>
  </si>
  <si>
    <t>2024-25</t>
  </si>
  <si>
    <t>Pumping Appliances</t>
  </si>
  <si>
    <t>Aerial Appliances</t>
  </si>
  <si>
    <t>Resilience Appliances</t>
  </si>
  <si>
    <t>Fire Boats</t>
  </si>
  <si>
    <t>Vehicles for Rescue Work</t>
  </si>
  <si>
    <t>Small Firefighting Vehicles</t>
  </si>
  <si>
    <t>Other</t>
  </si>
  <si>
    <t>Total Appliances</t>
  </si>
  <si>
    <t>Officer Response Vehicles</t>
  </si>
  <si>
    <t>Reserve Appliances</t>
  </si>
  <si>
    <t>Training Appliances</t>
  </si>
  <si>
    <t>Other Fleet Vehicles (excl Officer Response Vehicles)</t>
  </si>
  <si>
    <t>Total Vehicles (incl boats)</t>
  </si>
  <si>
    <t>Fire and Rescue Vehicles Statistics</t>
  </si>
  <si>
    <t>Fire and Rescue Vehicles by Type</t>
  </si>
  <si>
    <t>Operational</t>
  </si>
  <si>
    <t>Non-Operational</t>
  </si>
  <si>
    <t>Other Appliances</t>
  </si>
  <si>
    <t>Other Fleet Vehicles (excl. Officer Response Vehicles)</t>
  </si>
  <si>
    <t>Total Vehicles (incl. boats)</t>
  </si>
  <si>
    <t>SFRS Fleet data is administed principally for the purpose of managing the lifecycle and maintenance of vehicles. Identifying vehicles as operational, reserve or training is conducted as accurately as possible but may not be exact. Please see Capabilites for details of what is available for operational response.</t>
  </si>
  <si>
    <t>Light greyed cells have quality issues that should be considered before using the statistics.</t>
  </si>
  <si>
    <t>It was not possible to publish data on the number of fire boats in 2013-14. The total appliances figure is consequently lower than other years, this is provided for information and should not be used for comparison between years.</t>
  </si>
  <si>
    <t>The Resilience Appliances figure for 2015-16 is an undercount. Year-to-year comparison in both the Resilience and Other Operational categories is not recommended. The issue stems from a mismatch between the CIPFA categories and those recorded on the national fleet system. This longstanding issue has led to variation in definitions prior to the formation of SFRS. Subsequently, while efforts have been made to mitigate this issue, it is still challenging to match these categories.</t>
  </si>
  <si>
    <t>It was not possible to backdate the Officer Response Vehicles or Other Vehicles categories as we can not determine, according to the CIPFA guidelines,  which cars were used operationaly in 2016-17 or previously. The figure for 2017-18 should be considered a foor value as this was mid way through the rollout of an officer provided car scheme. The count for 2018-19 should also be considered a lower estimate albeit more robust.</t>
  </si>
  <si>
    <t>Sum of Other Operational</t>
  </si>
  <si>
    <t>Other Operational</t>
  </si>
  <si>
    <t>S12000048</t>
  </si>
  <si>
    <t>Fire and Rescue Vehicles by Type, by Local Authority</t>
  </si>
  <si>
    <t>Vehicles Primarily for Rescue Work</t>
  </si>
  <si>
    <t xml:space="preserve">Other Operational </t>
  </si>
  <si>
    <t xml:space="preserve"> Resilience Appliances</t>
  </si>
  <si>
    <t>Operational Total</t>
  </si>
  <si>
    <t>Scotland (excluding boats)</t>
  </si>
  <si>
    <t>SFRS Fleet data is administed principally for the purpose of managing the lifecycle and maintenance of vehicles. Identifying vehicles as operational, reserve or training is conducted as accurately as possible but may not be exact. Please see station capabilites for details of what is available for operational response.</t>
  </si>
  <si>
    <t>Operational Boats are provided at national level only.</t>
  </si>
  <si>
    <t>Sum of WholeTime Operational</t>
  </si>
  <si>
    <t>Sum of Retained Duty System</t>
  </si>
  <si>
    <t>Sum of RDS Fulltime</t>
  </si>
  <si>
    <t>Sum of Control</t>
  </si>
  <si>
    <t>Sum of Support</t>
  </si>
  <si>
    <t>2010-11</t>
  </si>
  <si>
    <t>WholeTime Operational</t>
  </si>
  <si>
    <t>RDS Fulltime</t>
  </si>
  <si>
    <t>Control</t>
  </si>
  <si>
    <t>Support</t>
  </si>
  <si>
    <t>Workforce Statistics</t>
  </si>
  <si>
    <t>SFRS Headcount by Staff Type</t>
  </si>
  <si>
    <t>Wholetime Operational</t>
  </si>
  <si>
    <t>Retained Full-time</t>
  </si>
  <si>
    <t>All staff total</t>
  </si>
  <si>
    <t>All staff (excluding volunteers)</t>
  </si>
  <si>
    <t>In 2020 we introduced a new staff type, Retained Full-time. This staff group work in areas with a cluster of Retained Duty System stations and supplement the local on-call cover, as well as conduct local community engagement.</t>
  </si>
  <si>
    <t>Please note that these headcount figures do not represent our Target Operating Model.</t>
  </si>
  <si>
    <t>SFRS Full-time Equivalent by Staff Type</t>
  </si>
  <si>
    <t>Full Time Equivalent (FTE) counts the ratio of a staff member’s contracted working hours to the standard contract hours for that staff group.</t>
  </si>
  <si>
    <t>FTE is not calculated for Volunteers.</t>
  </si>
  <si>
    <t>FTE statistics are rounded after they are calculated.</t>
  </si>
  <si>
    <t>Sum of Operational Crewing</t>
  </si>
  <si>
    <t>Sum of Incident Command Officers</t>
  </si>
  <si>
    <t>Sum of Office Duties</t>
  </si>
  <si>
    <t>Sum of Trainees</t>
  </si>
  <si>
    <t>Operational Crewing</t>
  </si>
  <si>
    <t>Incident Command Officers</t>
  </si>
  <si>
    <t>Office Duties</t>
  </si>
  <si>
    <t>Trainees</t>
  </si>
  <si>
    <t>Wholetime Operational Staff by Duty System - Headcount</t>
  </si>
  <si>
    <t>Off Station</t>
  </si>
  <si>
    <t>Staff in the Off Station category includes those working in Fire Investigation, Fire Safety Enforcement, Fire Engineering, Community Safety Engagement, Operations, Training, and Safety and Assurance, as well as those involved in planning, projects and in other departments. It is important to note that these staff are trained to carry out operational duties and that, should it be required, they can be called up for operational duty as well.</t>
  </si>
  <si>
    <t>1:LA</t>
  </si>
  <si>
    <t>Dumfries and Gallowa</t>
  </si>
  <si>
    <t>1:LA Total</t>
  </si>
  <si>
    <t>2:LSO</t>
  </si>
  <si>
    <t>2:LSO Total</t>
  </si>
  <si>
    <t>3:SDA</t>
  </si>
  <si>
    <t>3:SDA Total</t>
  </si>
  <si>
    <t>4:National</t>
  </si>
  <si>
    <t>Scotland</t>
  </si>
  <si>
    <t>4:National Total</t>
  </si>
  <si>
    <t>ReportingLevel</t>
  </si>
  <si>
    <t>lvl</t>
  </si>
  <si>
    <t>S92000003</t>
  </si>
  <si>
    <t>Wholetime Operational Staff by Duty System and Local Authority - Headcount</t>
  </si>
  <si>
    <t>Area</t>
  </si>
  <si>
    <t>Scotland Total</t>
  </si>
  <si>
    <t>Local Authority Area (total)</t>
  </si>
  <si>
    <t>Local Senior Officer Area</t>
  </si>
  <si>
    <t>Local Senior Officer Area (total)</t>
  </si>
  <si>
    <t>Service Delivery Area (total)</t>
  </si>
  <si>
    <t>GSS Code</t>
  </si>
  <si>
    <t>National Level</t>
  </si>
  <si>
    <t>Grey shaded cells indicate where area breakdown by staff type is not applicable.</t>
  </si>
  <si>
    <t>Staff Type by Department  - Headcount</t>
  </si>
  <si>
    <t>Directorate</t>
  </si>
  <si>
    <t>Unit</t>
  </si>
  <si>
    <t>Asset Management</t>
  </si>
  <si>
    <t>Business Support</t>
  </si>
  <si>
    <t>Finance &amp; Procurement</t>
  </si>
  <si>
    <t>Health, Safety and Organisational Wellbeing</t>
  </si>
  <si>
    <t>Human Resources Organisational Development</t>
  </si>
  <si>
    <t xml:space="preserve">Information Communication Technology </t>
  </si>
  <si>
    <t>Prevention and Protection</t>
  </si>
  <si>
    <t>Response and Resilience</t>
  </si>
  <si>
    <t>Senior Leadership Team</t>
  </si>
  <si>
    <t>Service Delivery</t>
  </si>
  <si>
    <t>Service Transformation</t>
  </si>
  <si>
    <t>Strategic Planning Performance and Communication</t>
  </si>
  <si>
    <t>Training and Employee Development</t>
  </si>
  <si>
    <t>Health and Safety</t>
  </si>
  <si>
    <t>People &amp; Organisational Development</t>
  </si>
  <si>
    <t>Finance &amp; Contractual Services</t>
  </si>
  <si>
    <t>People &amp;  Organisational Development</t>
  </si>
  <si>
    <t>Local Senior Officer Areas</t>
  </si>
  <si>
    <t>Operations</t>
  </si>
  <si>
    <t>Prevention &amp; Protection</t>
  </si>
  <si>
    <t>Projects</t>
  </si>
  <si>
    <t>Training</t>
  </si>
  <si>
    <t>Service Development</t>
  </si>
  <si>
    <t>Information Communication Technology</t>
  </si>
  <si>
    <t>Strategic Leadership Team</t>
  </si>
  <si>
    <t/>
  </si>
  <si>
    <t>Strategic Planning, Performance &amp; Communication</t>
  </si>
  <si>
    <t>Communications and Engagement</t>
  </si>
  <si>
    <t>Corporate Governance</t>
  </si>
  <si>
    <t>Training, Safety &amp; Assurance</t>
  </si>
  <si>
    <t>Safety &amp; Assurance</t>
  </si>
  <si>
    <t>Operational Delivery</t>
  </si>
  <si>
    <t>People</t>
  </si>
  <si>
    <t xml:space="preserve"> Talent</t>
  </si>
  <si>
    <t xml:space="preserve"> Wellbeing</t>
  </si>
  <si>
    <t>Portfolio Office</t>
  </si>
  <si>
    <t xml:space="preserve"> AASI</t>
  </si>
  <si>
    <t xml:space="preserve"> Programme and Project Delivery</t>
  </si>
  <si>
    <t>PP&amp;P</t>
  </si>
  <si>
    <t xml:space="preserve"> Preparedness</t>
  </si>
  <si>
    <t xml:space="preserve"> Prevention</t>
  </si>
  <si>
    <t xml:space="preserve"> Protection</t>
  </si>
  <si>
    <t>Department' is not a term used internally by SFRS, rather SFRS is split into Directorates, Units and Functions. These departments are a merger of internal structures which have been produced for clarity.</t>
  </si>
  <si>
    <t>Staff Type by Department - Full Time Equivalent</t>
  </si>
  <si>
    <t>FisYr</t>
  </si>
  <si>
    <t>Sum of Wholetime Operational</t>
  </si>
  <si>
    <t>Sum of RDS</t>
  </si>
  <si>
    <t>RDS</t>
  </si>
  <si>
    <t>Staff Type by Geographical Reporting Structure - Headcount</t>
  </si>
  <si>
    <t>RDS Full-time</t>
  </si>
  <si>
    <t>All Staff Total</t>
  </si>
  <si>
    <t xml:space="preserve">All Staff (excl. volunteers) </t>
  </si>
  <si>
    <t>All Staff (excl. volunteers)</t>
  </si>
  <si>
    <t xml:space="preserve">Local Authority Area </t>
  </si>
  <si>
    <t xml:space="preserve">Local Senior Officer Area </t>
  </si>
  <si>
    <t>National</t>
  </si>
  <si>
    <t>SCOTLAND (total)</t>
  </si>
  <si>
    <t>- in cells indicates where area breakdown by staff type is not applicable.</t>
  </si>
  <si>
    <t>Staff counts are provided at the geographic area appropriate for the staff type and position in the SFRS working structure. For example Wholetime Operational staff crewing an appliance in a fire station are reported at local authority while Wholetime Operational staff who work in prevention would report at Local Senior Officer Area as their work relates to that geographic area. Support staff are reported nationally.</t>
  </si>
  <si>
    <t>S40000002</t>
  </si>
  <si>
    <t>Staffing Type by Geographic Area - Headcount</t>
  </si>
  <si>
    <t>All Staff (excluding volunteers)</t>
  </si>
  <si>
    <t>-</t>
  </si>
  <si>
    <t>Type</t>
  </si>
  <si>
    <t>Brigade Manager</t>
  </si>
  <si>
    <t>Area Manager</t>
  </si>
  <si>
    <t>Group Manager</t>
  </si>
  <si>
    <t>Station Manager</t>
  </si>
  <si>
    <t>Watch Manager</t>
  </si>
  <si>
    <t>Crew Manager</t>
  </si>
  <si>
    <t>Firefighter</t>
  </si>
  <si>
    <t>WT</t>
  </si>
  <si>
    <t>Vol</t>
  </si>
  <si>
    <t>Sum of Brigade Manager</t>
  </si>
  <si>
    <t>Sum of Area Manager</t>
  </si>
  <si>
    <t>Sum of Group Manager</t>
  </si>
  <si>
    <t>Sum of Station Manager</t>
  </si>
  <si>
    <t>Sum of Watch Manager</t>
  </si>
  <si>
    <t>Sum of Crew Manager</t>
  </si>
  <si>
    <t>Sum of Firefighter</t>
  </si>
  <si>
    <t>Uniformed Staff by Role</t>
  </si>
  <si>
    <t>Brigade Commander</t>
  </si>
  <si>
    <t>Area Commander</t>
  </si>
  <si>
    <t>Group Commander</t>
  </si>
  <si>
    <t>Station Commander</t>
  </si>
  <si>
    <t>Watch Commander</t>
  </si>
  <si>
    <t>Crew Commander</t>
  </si>
  <si>
    <t>Wholetime Operational - Number</t>
  </si>
  <si>
    <t>Wholetime Operational - Percent</t>
  </si>
  <si>
    <t>RDS - Number</t>
  </si>
  <si>
    <t>RDS - Percent</t>
  </si>
  <si>
    <t>RDS Full-time - Number</t>
  </si>
  <si>
    <t>RDS Full-time - Percent</t>
  </si>
  <si>
    <t>Control - Number</t>
  </si>
  <si>
    <t>Control - Percent</t>
  </si>
  <si>
    <t>Volunteer - Number</t>
  </si>
  <si>
    <t>Volunteer - Percent</t>
  </si>
  <si>
    <t>The staff role category names were changed in 2020 from 'Manager' to 'Commander' as SFRS changed this language internally, this ensures consistency of language in describing Uniformed Staff Roles in Scotland. There has been no change to the definitions of the roles and they remain comparable with categories used elsewhere, e.g. Area Commander is synonymous with Area Manager.</t>
  </si>
  <si>
    <t>The Brigade Commander category had included Deputy Assistant Chief Officers (DACOs) in 2014-15 and 2015-16, these are now counted in the Area Commander category. This change could not be backdated.</t>
  </si>
  <si>
    <t>Sum of Brigade Commander</t>
  </si>
  <si>
    <t>Sum of Area Commander</t>
  </si>
  <si>
    <t>Sum of Group Commander</t>
  </si>
  <si>
    <t>Sum of Station Commander</t>
  </si>
  <si>
    <t>Sum of Watch Commander</t>
  </si>
  <si>
    <t>Sum of Crew Commander</t>
  </si>
  <si>
    <t>Operational Crews</t>
  </si>
  <si>
    <t>EmployeeGroup</t>
  </si>
  <si>
    <t>Wholetime Operational Staff by Role and Duty System - Headcount</t>
  </si>
  <si>
    <t>Wholetime Operational Staff by Role and Geographical Reporting Structure - Headcount</t>
  </si>
  <si>
    <t>Wholetime Operational Staff Total</t>
  </si>
  <si>
    <t>Wholetime Operational Staff</t>
  </si>
  <si>
    <t>The Brigade Manager category had included Deputy Assistant Chief Officers (DACOs) in 2014-15 and 2015-16, these are now counted in the Area manager category. This change could not be backdated.</t>
  </si>
  <si>
    <t>Wholetime Operational Staff by Role and Geographical Area - Headcount</t>
  </si>
  <si>
    <t>The Station Manager category formerly included a small number of staff at Local Authority level, since 2016-17 they have all been reported at Local Senior Officer Area.</t>
  </si>
  <si>
    <t>Retained Duty Staff by Role and Geographical Area - Headcount</t>
  </si>
  <si>
    <t>All Retained Duty System staff are reported at Local Authority Area for these statistics.</t>
  </si>
  <si>
    <t>Sum of Control Operator</t>
  </si>
  <si>
    <t>Control Operator</t>
  </si>
  <si>
    <t>Sum of Director</t>
  </si>
  <si>
    <t>Sum of Service Manager</t>
  </si>
  <si>
    <t>Sum of Team Leader</t>
  </si>
  <si>
    <t>Sum of Professional</t>
  </si>
  <si>
    <t>Sum of Specialist Technical</t>
  </si>
  <si>
    <t>Sum of Tech Support</t>
  </si>
  <si>
    <t>Sum of Administration</t>
  </si>
  <si>
    <t>Director</t>
  </si>
  <si>
    <t>Service Manager</t>
  </si>
  <si>
    <t>Team Leader</t>
  </si>
  <si>
    <t>Professional</t>
  </si>
  <si>
    <t>Specialist Technical</t>
  </si>
  <si>
    <t>Tech Support</t>
  </si>
  <si>
    <t>Administration</t>
  </si>
  <si>
    <t>Control Staff by Role and Geographic Area  - Headcount</t>
  </si>
  <si>
    <t>Scotland total</t>
  </si>
  <si>
    <t>All control staff are reported nationally for these statistics.</t>
  </si>
  <si>
    <t>Control Operators are also referred to as Firefighters where appropriate</t>
  </si>
  <si>
    <t>Support Staff by Role and Geographic Area -  Headcount</t>
  </si>
  <si>
    <t>Team 
Leader</t>
  </si>
  <si>
    <t>Specialist/ Technical</t>
  </si>
  <si>
    <t>Technical Support</t>
  </si>
  <si>
    <t>Please note that support staff category definitions are not as consistently applied as uniformed role categories.</t>
  </si>
  <si>
    <t>Support staff are reported nationally for these statistics. Reporting at Senior Officer Area and Service Delivery Area has been trialled in previous years however the SFRS support staff structure does not fit well with reporting at that geographic level and so has been removed.</t>
  </si>
  <si>
    <t>Support staff sub-categories changed in 2013-14 to reflect the sub-categories used in the new organisational structure of the Scottish Fire and Rescue Service.</t>
  </si>
  <si>
    <t xml:space="preserve">Until the 2015-16 statistics the Director category in Support Staff had been included in the Service Manager category.  From the 2015-16 publication this has been presented in a separate category. Comparisons with former statistics can be made by adding the Director category to the Service Manager category.  </t>
  </si>
  <si>
    <t>Volunteers by Role and Geographic Area - Headcount</t>
  </si>
  <si>
    <t>All volunteer staff are reported at Local Authority Area for these statistics.</t>
  </si>
  <si>
    <t>Wholetime Operational Staff by Role and Geographic Area - Full-time Equivalent</t>
  </si>
  <si>
    <t>The Brigade Manager category had included Deputy Assistant Chief Officers (DACOs) in 2014-15 and 2015-16.  This has now been amended so that DACOs are included in the Area manager category and Brigade Manager now includes only Chief Officer, Deputy Chief Officer and Assistant Chief Officer.</t>
  </si>
  <si>
    <t>The Station Manager category included a small number of staff at Local Authority level, since 2016-17 they have all been reported at Local Senior Officer Area.</t>
  </si>
  <si>
    <t>The statistics are rounded after they are calculated.</t>
  </si>
  <si>
    <t>ALL</t>
  </si>
  <si>
    <t>All</t>
  </si>
  <si>
    <t>RDS Staff by Role and Geographic Area - Full-time Equivalent</t>
  </si>
  <si>
    <t>Control Staff by Role and Geographic Area - Full-time Equivalent</t>
  </si>
  <si>
    <t>Support Staff by Role and Geographic Area - Full-time Equivalent</t>
  </si>
  <si>
    <t>Admin-istration</t>
  </si>
  <si>
    <t>Sum of WTFemale</t>
  </si>
  <si>
    <t>Sum of WTMale</t>
  </si>
  <si>
    <t>Sum of RDSFemale</t>
  </si>
  <si>
    <t>Sum of RDSMale</t>
  </si>
  <si>
    <t>Sum of RDS FulltimeFemale</t>
  </si>
  <si>
    <t>Sum of RDS FulltimeMale</t>
  </si>
  <si>
    <t>Sum of ControlFemale</t>
  </si>
  <si>
    <t>Sum of ControlMale</t>
  </si>
  <si>
    <t>Sum of SupportFemale</t>
  </si>
  <si>
    <t>Sum of SupportMale</t>
  </si>
  <si>
    <t>Sum of VolFemale</t>
  </si>
  <si>
    <t>Sum of VolMale</t>
  </si>
  <si>
    <t>WTFemale</t>
  </si>
  <si>
    <t>WTMale</t>
  </si>
  <si>
    <t>RDSFemale</t>
  </si>
  <si>
    <t>RDSMale</t>
  </si>
  <si>
    <t>RDS FulltimeFemale</t>
  </si>
  <si>
    <t>RDS FulltimeMale</t>
  </si>
  <si>
    <t>ControlFemale</t>
  </si>
  <si>
    <t>ControlMale</t>
  </si>
  <si>
    <t>SupportFemale</t>
  </si>
  <si>
    <t>SupportMale</t>
  </si>
  <si>
    <t>VolFemale</t>
  </si>
  <si>
    <t>VolMale</t>
  </si>
  <si>
    <t>Staff Type by Sex Timeseries</t>
  </si>
  <si>
    <t>Support Staff</t>
  </si>
  <si>
    <t>Total (excluding volunteers)</t>
  </si>
  <si>
    <t>Female</t>
  </si>
  <si>
    <t>Male</t>
  </si>
  <si>
    <t>Wholetime operational</t>
  </si>
  <si>
    <t>Note</t>
  </si>
  <si>
    <t>Volunteer staff figures presented in this table differ from that in the headline Staffing table as a methodology revision was not backdated in order to protect privacy.</t>
  </si>
  <si>
    <t>Sum of Female</t>
  </si>
  <si>
    <t>Sum of Male</t>
  </si>
  <si>
    <t>Staff Type by Sex</t>
  </si>
  <si>
    <t>All Staff (total)</t>
  </si>
  <si>
    <t>Watch manager</t>
  </si>
  <si>
    <t>Control Total</t>
  </si>
  <si>
    <t>RDS Total</t>
  </si>
  <si>
    <t>RDS Fulltime Total</t>
  </si>
  <si>
    <t>Support Total</t>
  </si>
  <si>
    <t>Vol Total</t>
  </si>
  <si>
    <t>WT Total</t>
  </si>
  <si>
    <t>PostConv</t>
  </si>
  <si>
    <t>Watch Manger</t>
  </si>
  <si>
    <t>Staff Type by Sex and Role</t>
  </si>
  <si>
    <t>Wholetime Operational (total)</t>
  </si>
  <si>
    <t>Retained Duty System (total)</t>
  </si>
  <si>
    <t>Retained Full Time (total)</t>
  </si>
  <si>
    <t xml:space="preserve">Control </t>
  </si>
  <si>
    <t>Control (total)</t>
  </si>
  <si>
    <t>Specialist/Technical</t>
  </si>
  <si>
    <t>Support Staff (total)</t>
  </si>
  <si>
    <t xml:space="preserve">  Crew Manager</t>
  </si>
  <si>
    <t xml:space="preserve">  Watch Manager</t>
  </si>
  <si>
    <t xml:space="preserve">  Firefighter</t>
  </si>
  <si>
    <t>Volunteer (total)</t>
  </si>
  <si>
    <t xml:space="preserve"> </t>
  </si>
  <si>
    <t>Staff Type by Sex and Role - Full-time Equivalent</t>
  </si>
  <si>
    <t>Retained Fulltime (total)</t>
  </si>
  <si>
    <t>Sum of Retained Full-time</t>
  </si>
  <si>
    <t>Sum of Support Staff</t>
  </si>
  <si>
    <t>20-24</t>
  </si>
  <si>
    <t>25-29</t>
  </si>
  <si>
    <t>30-34</t>
  </si>
  <si>
    <t>35-39</t>
  </si>
  <si>
    <t>40-44</t>
  </si>
  <si>
    <t>45-49</t>
  </si>
  <si>
    <t>50-54</t>
  </si>
  <si>
    <t>55-59</t>
  </si>
  <si>
    <t>60-64</t>
  </si>
  <si>
    <t>65-69</t>
  </si>
  <si>
    <t>70-74</t>
  </si>
  <si>
    <t>Over 75</t>
  </si>
  <si>
    <t>Under 20</t>
  </si>
  <si>
    <t>66 and over</t>
  </si>
  <si>
    <t>30-39</t>
  </si>
  <si>
    <t>20-29</t>
  </si>
  <si>
    <t>55-65</t>
  </si>
  <si>
    <t>Not Recorded</t>
  </si>
  <si>
    <t>Staff Type by Age Range - Headcount</t>
  </si>
  <si>
    <t>All Staff</t>
  </si>
  <si>
    <t>&lt;20</t>
  </si>
  <si>
    <t>Retirement age varies according to type of staffing and individual circumstance.</t>
  </si>
  <si>
    <t>There were 12 volunteers whose age was not known in 2015-16, they have been excluded from the figures.</t>
  </si>
  <si>
    <t>Staff Type by Age Range - Percentage</t>
  </si>
  <si>
    <t>Age range</t>
  </si>
  <si>
    <t>10-14</t>
  </si>
  <si>
    <t>15-19</t>
  </si>
  <si>
    <t>5-9</t>
  </si>
  <si>
    <t>Over 40</t>
  </si>
  <si>
    <t>Under 5</t>
  </si>
  <si>
    <t>Service Length (Years)</t>
  </si>
  <si>
    <t>Staff Type by Service Length - Headcount</t>
  </si>
  <si>
    <t>All Uniformed Staff</t>
  </si>
  <si>
    <t>&lt;5</t>
  </si>
  <si>
    <t>&gt;40</t>
  </si>
  <si>
    <t>Service Length counts the number of full years spent in public service. It is possible for staff to move between Fire and Rescue Services within the UK and keep their accrued service length.</t>
  </si>
  <si>
    <t>Support Staff has been removed from this table due to quality concerns.</t>
  </si>
  <si>
    <t>Staff Type by Service Length - Percentage</t>
  </si>
  <si>
    <t>White</t>
  </si>
  <si>
    <t>Ethnic Minority</t>
  </si>
  <si>
    <t>Not Stated</t>
  </si>
  <si>
    <t>Total (ex Vol)</t>
  </si>
  <si>
    <t>Total Sum of White</t>
  </si>
  <si>
    <t>Total Sum of Ethnic Minority</t>
  </si>
  <si>
    <t>Total Sum of Not Stated</t>
  </si>
  <si>
    <t>Sum of White</t>
  </si>
  <si>
    <t>Sum of Ethnic Minority</t>
  </si>
  <si>
    <t>Sum of Not Stated</t>
  </si>
  <si>
    <t>Staff Type by Ethnicity - Percentage</t>
  </si>
  <si>
    <t>Total
(excl volunteers)</t>
  </si>
  <si>
    <t>Percentages are calculated based on headcount.</t>
  </si>
  <si>
    <t>It was not possible to backdate Ethnicity figures for Retained Full-time staff to their inception in 2017-18.</t>
  </si>
  <si>
    <t>The merger of HR data from the former Scottish Fire and Rescue services in 2013-14 led to a reduction in reliable ethnicity data for staff. Improvements over recent years stem from data collection on new staff and through the provision of an employee digital self-service tool for HR data.</t>
  </si>
  <si>
    <t>Sum of Retained Fulltime</t>
  </si>
  <si>
    <t>Sum of Total (excluding volunters)</t>
  </si>
  <si>
    <t>Retained Fulltime</t>
  </si>
  <si>
    <t>Total (excluding volunters)</t>
  </si>
  <si>
    <t>Staff Type by Disability Status - Percentage</t>
  </si>
  <si>
    <t>These figures present the ratio of staff headcount where a disability has been recorded, to the total headcount for each staff group.</t>
  </si>
  <si>
    <t>It was not possible to backdate Disability figures for Retained Full-time staff to their inception in 2017-18.</t>
  </si>
  <si>
    <t>Staff Type where Disability Status is Not Known - Percentage</t>
  </si>
  <si>
    <t>Total (excluding Volunteers)</t>
  </si>
  <si>
    <t>These figures present the ratio of staff headcount where SFRS does not know a disability status, to the total headcount for each staff group. Please note this does not include staff who have a record showing no disability.</t>
  </si>
  <si>
    <t>New Entrants by Age Range</t>
  </si>
  <si>
    <t>TOTAL</t>
  </si>
  <si>
    <t>This table presents the age range of people who joined SFRS in 2018-19. Please note that the difference between those who joined SFRS and those who left is not the same as the change in headcount. It is possible for people to have multiple roles and staff already in the SFRS database will not be counted in these figures.</t>
  </si>
  <si>
    <t>New Entrants by Sex</t>
  </si>
  <si>
    <t>Volunteers</t>
  </si>
  <si>
    <t>Males</t>
  </si>
  <si>
    <t>ALL STAFF</t>
  </si>
  <si>
    <t>New Entrants by Ethnicity</t>
  </si>
  <si>
    <t>These figures present the ratio of staff headcount by disability response to total headcount for each staff group.</t>
  </si>
  <si>
    <t>Please note that the difference between those who joined SFRS and those who left is not the same as the change in headcount. It is possible for people to have multiple roles and staff already in the SFRS database will not be counted in these figures.</t>
  </si>
  <si>
    <t>New Entrants by Disability</t>
  </si>
  <si>
    <t>Disabled</t>
  </si>
  <si>
    <t>Not Disabled</t>
  </si>
  <si>
    <t>Not Known</t>
  </si>
  <si>
    <t>Sum of Volunteers</t>
  </si>
  <si>
    <t>FiscalYr</t>
  </si>
  <si>
    <t>Sum of WT</t>
  </si>
  <si>
    <t>Sum of Vol</t>
  </si>
  <si>
    <t>EthStat</t>
  </si>
  <si>
    <t>Gender</t>
  </si>
  <si>
    <t>DisStat</t>
  </si>
  <si>
    <t>Dismissal</t>
  </si>
  <si>
    <t>End of contract</t>
  </si>
  <si>
    <t>Resignation</t>
  </si>
  <si>
    <t>Retirement - 30 Years Service</t>
  </si>
  <si>
    <t>Retirement - Age</t>
  </si>
  <si>
    <t>Retirement - Early</t>
  </si>
  <si>
    <t>Retirement - Health</t>
  </si>
  <si>
    <t>Transfer - To another F&amp;R Service</t>
  </si>
  <si>
    <t>TUPE Transfer</t>
  </si>
  <si>
    <t>Voluntary Severance</t>
  </si>
  <si>
    <t>Redundancy</t>
  </si>
  <si>
    <t>Workforce Leavers by Reason for Leaving</t>
  </si>
  <si>
    <t>Please note that the difference between those who joined SFRS and those who left is not the same as the change in headcount. Staff are recorded as leaving when they are no longer in a post with SFRS.</t>
  </si>
  <si>
    <t>Headcount by Type of Staffing</t>
  </si>
  <si>
    <t>Full Time Equivalent by Type of Staffing</t>
  </si>
  <si>
    <t>Staff Type by Sex - Headcount</t>
  </si>
  <si>
    <t>Sum of Attack against property/equipment</t>
  </si>
  <si>
    <t>Sum of Verbal assault</t>
  </si>
  <si>
    <t>Sum of Physical assault</t>
  </si>
  <si>
    <t>Op</t>
  </si>
  <si>
    <t>FinYear</t>
  </si>
  <si>
    <t>Attack against property/equipment</t>
  </si>
  <si>
    <t>Verbal assault</t>
  </si>
  <si>
    <t>Physical assault</t>
  </si>
  <si>
    <t>Attacks on SFRS Personnel Statistics</t>
  </si>
  <si>
    <t>Attacks Related to Operational Incidents</t>
  </si>
  <si>
    <t>Two previous years are revised at each update</t>
  </si>
  <si>
    <t>Incidents</t>
  </si>
  <si>
    <t>Incidents Resulting in Injuries</t>
  </si>
  <si>
    <t>Attacks against Property/Equipment</t>
  </si>
  <si>
    <t>Verbal Assault</t>
  </si>
  <si>
    <t>Physical Assault</t>
  </si>
  <si>
    <t>An attack on SFRS personnel is recorded as 'Related to Operational Incidents' if it occurred on the way to, at the scene of, or returning from an operational incident, or affects Control Room staff responding to emergency calls.</t>
  </si>
  <si>
    <t>An error due to a system change in 2020-21 caused a number of incidents to be categorised incorrectly. This was corrected in 2022-23.</t>
  </si>
  <si>
    <t>Attacks Not Related to Operational Incidents</t>
  </si>
  <si>
    <t>An attack on SFRS personnel is recorded as 'not Related to Operational Incidents' if it did not occur on the way to, during or returning from an operational incident, however may still affect Control Room staff responding to emergency calls.</t>
  </si>
  <si>
    <t>Sum of 2016-17</t>
  </si>
  <si>
    <t>Sum of 2017-18</t>
  </si>
  <si>
    <t>Sum of 2018-19</t>
  </si>
  <si>
    <t>Sum of 2019-20</t>
  </si>
  <si>
    <t>Sum of 2020-21</t>
  </si>
  <si>
    <t>Sum of 2021-22</t>
  </si>
  <si>
    <t>Sum of 2022-23</t>
  </si>
  <si>
    <t>Sum of 2023-24</t>
  </si>
  <si>
    <t>Sum of 2024-25</t>
  </si>
  <si>
    <t>GEOCode_LA</t>
  </si>
  <si>
    <t>Attacks Related to Operational Incidents by Local Authority</t>
  </si>
  <si>
    <t>Attacks on SFRS Personnel by Type of Attack</t>
  </si>
  <si>
    <t>Attacks on SFRS Personnel Resulting in Injuries by Type of Attack</t>
  </si>
  <si>
    <t>Sum of New</t>
  </si>
  <si>
    <t>Sum of Replacement</t>
  </si>
  <si>
    <t>Sum of Total_Alarms</t>
  </si>
  <si>
    <t>Sum of Total_HFSV</t>
  </si>
  <si>
    <t>Sum of HFSV_AdviceOnly</t>
  </si>
  <si>
    <t>Sum of HFSV_AlarmsInstalled</t>
  </si>
  <si>
    <t>HFSV_AlarmsInstalled</t>
  </si>
  <si>
    <t>HFSV_AdviceOnly</t>
  </si>
  <si>
    <t>Total_HFSV</t>
  </si>
  <si>
    <t>Total_Alarms</t>
  </si>
  <si>
    <t>New</t>
  </si>
  <si>
    <t>Replacement</t>
  </si>
  <si>
    <t>Council</t>
  </si>
  <si>
    <t>Households</t>
  </si>
  <si>
    <t>Sum of Households</t>
  </si>
  <si>
    <t>Home Fire Safety Visit Statistics</t>
  </si>
  <si>
    <t>Home Fire Safety Visits (HFSV) by Outcome and Alarms Installed</t>
  </si>
  <si>
    <t>One Year is revised at each update</t>
  </si>
  <si>
    <t>Of the smoke and heat alarms installed:</t>
  </si>
  <si>
    <t>HFSV - smoke and heat alarms installed</t>
  </si>
  <si>
    <t>HFSV - advice only</t>
  </si>
  <si>
    <t>Total HFSV</t>
  </si>
  <si>
    <t>Smoke and heat alarms installed during HFSV</t>
  </si>
  <si>
    <t>The figure for smoke and heat alarms installed for 2021-22 and 2022-23 should be considered a lower estimate as it has not been possible to fully resolve a data quality issue. The breakdown of 'Total HFSV' into 'HFSV with smoke and heat alarms installed' and 'HFSV with advice only' has also been affected. Figures included have been highlighted in grey to show this. Further breakdowns of these figures have been removed from this publication due to this. Please see Guidance Notes for further details.</t>
  </si>
  <si>
    <t>The 'Smoke and heat alarms installed during HFSV' figures for 2021-22 and 2022-23 have been corrected in 2023-24 as previous figures included Fire Retardant Bedding and Carbon Monoxide Alarms. Please see Statistical News document for futher details.</t>
  </si>
  <si>
    <t>Please note that for 2024-25, there was a system changover midway through the year. This new system does not record whether an alarm was new or replaced, and so, the figures for 'New Alarms' and 'Replaced Alarms' for 2024-25 will not add up to the total alarms installed, as there are a number of alarms that we do not know this information for.</t>
  </si>
  <si>
    <t>Home Fire Safety Visits (HFSV) by Outcome and Alarms Installed - Percentage and Rate</t>
  </si>
  <si>
    <t>Rate of Alarms Installed</t>
  </si>
  <si>
    <t>All visits</t>
  </si>
  <si>
    <t>HFSV - 
smoke and heat alarms installed</t>
  </si>
  <si>
    <t>The figure for smoke and heat alarms installed published in 2021-22 and 2022-23 should be considered a lower estimate as it has not been possible to fully resolve a data quality issue. The breakdown of 'Total HFSV' into 'HFSV with smoke and heat alarms installed' and 'HFSV with advice installed' has also been affected. Figures included have been highlighted in grey to show this. Further breakdowns of these figures have been removed from this publication due to this. Please see Guidance Notes for further details.</t>
  </si>
  <si>
    <t>Home Fire Safety Visits (HFSV) Percentage of Scottish Households</t>
  </si>
  <si>
    <t>Percentage of Scottish Households</t>
  </si>
  <si>
    <t>HFSV with smoke and heat alarms installed</t>
  </si>
  <si>
    <t xml:space="preserve">Total HFSV </t>
  </si>
  <si>
    <t>Smoke and heat alarms installed</t>
  </si>
  <si>
    <t>The figures for smoke and heat alarm installed published in 2021-22 and 2022-23 should be considered a lower estimate as it has not been possible to fully resolve a data quality issue. The breakdown of 'Total HFSV' into 'HFSV with smoke and heat alarms installed' and 'HFSV with advice only' has also been affected. Figures included have been highlighted in grey to show this. Further breakdowns of these figures have been removed from this publication due to this. Please see Guidance Notes for further details.</t>
  </si>
  <si>
    <r>
      <t xml:space="preserve">Household data comes from </t>
    </r>
    <r>
      <rPr>
        <i/>
        <sz val="11"/>
        <rFont val="Calibri"/>
        <family val="2"/>
        <scheme val="minor"/>
      </rPr>
      <t>National Records of Scotland, Estimates of Households and Dwellings in Scotland</t>
    </r>
  </si>
  <si>
    <t>https://www.nrscotland.gov.uk/statistics-and-data/statistics/statistics-by-theme/households/household-estimates</t>
  </si>
  <si>
    <t>Sum of OneYrDistinct</t>
  </si>
  <si>
    <t>Sum of ThreeYrDistinct</t>
  </si>
  <si>
    <t>Sum of FiveYrDistinct</t>
  </si>
  <si>
    <t>Sum of OneYrDistinctNew</t>
  </si>
  <si>
    <t>withAlarmsInstalled</t>
  </si>
  <si>
    <t>Counted</t>
  </si>
  <si>
    <t>OneYrDistinct</t>
  </si>
  <si>
    <t>ThreeYrDistinct</t>
  </si>
  <si>
    <t>FiveYrDistinct</t>
  </si>
  <si>
    <t>OneYrDistinctNew</t>
  </si>
  <si>
    <t>HouseholdsinYr</t>
  </si>
  <si>
    <t>HouseholdsThreeYrAv</t>
  </si>
  <si>
    <t>HouseholdsFiveYrAv</t>
  </si>
  <si>
    <t>pcOYDH</t>
  </si>
  <si>
    <t>pcTYDH</t>
  </si>
  <si>
    <t>pcFYDH</t>
  </si>
  <si>
    <t>Home Fire Safety Visits to Distinct Properties</t>
  </si>
  <si>
    <t>Distinct Properties Visited</t>
  </si>
  <si>
    <t>In One Year</t>
  </si>
  <si>
    <t>Over Three Years</t>
  </si>
  <si>
    <t>Over Five Years</t>
  </si>
  <si>
    <t>Non-repeat Visits</t>
  </si>
  <si>
    <t>Percentage of Non-repeat Visits</t>
  </si>
  <si>
    <t>A small proportion of Home Fire Safety Visits are to properties which were previously visited within the year. This table provides figures of the numbers of distinct properties visited in a one year, three year and five year period.</t>
  </si>
  <si>
    <t>Non-repeat visits are those where the premises was not visited in the previous three years.</t>
  </si>
  <si>
    <t>Home Fire Safety Visits with Alarms Installed in Distinct Properties</t>
  </si>
  <si>
    <t>Distinct Properties Visited where Alarms were Installed</t>
  </si>
  <si>
    <t>A small proportion of Home Fire Safety Visits are to properties which were previously visited within the year. This table provides figures of the numbers of distinct properties visited in a one year, three year and five year period where smoke and heat alarms were installed.</t>
  </si>
  <si>
    <t>Figures were not reported in 2021-22 and 2022-23 due to known quality issues with alarm data. Please see Guidance Notes and Statistical News for further information.</t>
  </si>
  <si>
    <t>Sum of In One Year</t>
  </si>
  <si>
    <t>Sum of Over Three Years</t>
  </si>
  <si>
    <t>Sum of Over Five Years</t>
  </si>
  <si>
    <t>Percentage of Scottish Households visited in Home Fire Safety Visits</t>
  </si>
  <si>
    <t>Percent of Scottish Housholds Visited</t>
  </si>
  <si>
    <t>These statistics are based on the number of distinct properties visited by SFRS over one year, three years and five years compared to the National Records of Scotland published Households statistics.</t>
  </si>
  <si>
    <t>Percentage of Scottish Households with Alarms Installed in Home Fire Safety Visits</t>
  </si>
  <si>
    <t>Percent of Scottish Households Visited with Alarms Installed</t>
  </si>
  <si>
    <t>These statistics are based on the number of distinct properties visited by SFRS over one year, three years and five years where smoke alarms were installed compared to the National Records of Scotland published Households statistics.</t>
  </si>
  <si>
    <t>Sum of Under 5s</t>
  </si>
  <si>
    <t>Sum of 5 to 10</t>
  </si>
  <si>
    <t>Sum of 11 to 16</t>
  </si>
  <si>
    <t>Sum of 17 to 30</t>
  </si>
  <si>
    <t>Sum of 31 to 60</t>
  </si>
  <si>
    <t>Sum of Over 60</t>
  </si>
  <si>
    <t>Sum of All Residents</t>
  </si>
  <si>
    <t>Under 5s</t>
  </si>
  <si>
    <t>5 to 10</t>
  </si>
  <si>
    <t>11 to 16</t>
  </si>
  <si>
    <t>17 to 30</t>
  </si>
  <si>
    <t>31 to 60</t>
  </si>
  <si>
    <t>Over 60</t>
  </si>
  <si>
    <t>All Residents</t>
  </si>
  <si>
    <t>Residents of Households Visited in Home Fire Safety Visits by Age Range</t>
  </si>
  <si>
    <t>Number of Scottish Population living in Households who had a HFSV</t>
  </si>
  <si>
    <t>This table presents aggregate figures of the residents of households visited. Where two people live in a household where one is aged 31 to 60 and the other aged over 60 then each person would be included in the appropriate total in this table regardless of whether they were in the home at the time of the visit. The total therefore provides the sum of all of the residents of every household which had a home fire safety visit.</t>
  </si>
  <si>
    <t>Residents of Households Visited in Home Fire Safety Visits by Age Range - Percentage of Population</t>
  </si>
  <si>
    <t>Percentage of Scottish Population living in Households who had a HFSV</t>
  </si>
  <si>
    <t>This table presents aggregate figures of the residents of households visited compared to the population of Scotland in each age range. In other words this is the percentage of the Scottish population who live in housholds which had a home fire safety visit by age range.</t>
  </si>
  <si>
    <r>
      <t xml:space="preserve">Population statistics are sourced from the National Records of Scotland </t>
    </r>
    <r>
      <rPr>
        <i/>
        <sz val="11"/>
        <color theme="1"/>
        <rFont val="Calibri"/>
        <family val="2"/>
        <scheme val="minor"/>
      </rPr>
      <t>Mid-year Population Estimates</t>
    </r>
  </si>
  <si>
    <t>https://www.nrscotland.gov.uk/statistics-and-data/statistics/statistics-by-theme/population/population-estimates/mid-year-population-estimates</t>
  </si>
  <si>
    <t>Sum of 2015-16</t>
  </si>
  <si>
    <t>Housing Association</t>
  </si>
  <si>
    <t>Private Let</t>
  </si>
  <si>
    <t>Tenure of Households Visited in Home Fire Safety Visits</t>
  </si>
  <si>
    <t>Visits</t>
  </si>
  <si>
    <t>Percentage of Visits</t>
  </si>
  <si>
    <t>Sum of 1 - Most Deprived 20%</t>
  </si>
  <si>
    <t>Sum of 2</t>
  </si>
  <si>
    <t>Sum of 3</t>
  </si>
  <si>
    <t>Sum of 4</t>
  </si>
  <si>
    <t>Sum of 5 - Least Deprived 20%</t>
  </si>
  <si>
    <t>Sum of NotKnown</t>
  </si>
  <si>
    <t>Sum of All Scotland</t>
  </si>
  <si>
    <t>1 - Most Deprived 20%</t>
  </si>
  <si>
    <t>2</t>
  </si>
  <si>
    <t>3</t>
  </si>
  <si>
    <t>4</t>
  </si>
  <si>
    <t>5 - Least Deprived 20%</t>
  </si>
  <si>
    <t>NotKnown</t>
  </si>
  <si>
    <t>All Scotland</t>
  </si>
  <si>
    <t>Home Fire Safety Visits by Deprivation of Area</t>
  </si>
  <si>
    <t>All years will be revised at the next update</t>
  </si>
  <si>
    <t>Home Fire Safety Visits by SIMD Quintile</t>
  </si>
  <si>
    <t>This table provides the number of Home Fire Safety Visits by the Scottish Index of Multiple Deprivation quintiles where 1 is the 20% most deprived areas and 5 is the 20% least deprived areas.</t>
  </si>
  <si>
    <t>https://www2.gov.scot/Topics/Statistics/SIMD</t>
  </si>
  <si>
    <t>Please note that 'All Scotland' figures do not always equal total Home Fire Safety Visit figures as it is not always possible to find out the SIMD Quintile for every visit.</t>
  </si>
  <si>
    <t>Home Fire Safety Visits by Deprivation of Area - Percentage of Occupied Dwellings</t>
  </si>
  <si>
    <t>Rate of Home Fire Safety Visits per 100 Occupied Dwellings by SIMD Quintile</t>
  </si>
  <si>
    <t>This table provides the rate of home fire safety visits per 100 Occupied Dwellings, by the Scottish Index of Multiple Deprivation quintiles where 1 is the 20% most deprived areas and 5 is the 20% least deprived areas.</t>
  </si>
  <si>
    <t>https://www.nrscotland.gov.uk/statistics-and-data/statistics/statistics-by-theme/households/household-estimates/small-area-statistics-on-households-and-dwellings</t>
  </si>
  <si>
    <t>Home Fire Safety Visits with Alarms Installed by Deprivation of Area</t>
  </si>
  <si>
    <t>HFSV With Alarms Installed by SIMD Quintile</t>
  </si>
  <si>
    <t>This table uses the Scottish Index of Multiple Deprivation quintiles where 1 is the 20% most deprived areas and 5 is the 20% least deprived areas.</t>
  </si>
  <si>
    <t>Figures were not reported in 2021-22 or 2022-23 due to known quality issues with alarm data. Please see Guidance Notes for further information.</t>
  </si>
  <si>
    <t>Please note these figures only include those visits where a smoke or heat alarm was installed, and not visits where only carbon monoxide alarms were installed or fire retardant bedding or blankets were given out.</t>
  </si>
  <si>
    <t>Home Fire Safety Visits with Alarms Installed by Deprivation of Area - Percentage of Occupied Dwellings</t>
  </si>
  <si>
    <t>Rate of Home Fire Safety Visits with Alarms Installed per 100 Occupied Dwellings by SIMD Quintile</t>
  </si>
  <si>
    <t>Sum of pcAlarmsFitted</t>
  </si>
  <si>
    <t>SIMD2020_Quintile</t>
  </si>
  <si>
    <t>WithAlarmsFitted</t>
  </si>
  <si>
    <t>pcAlarmsFitted</t>
  </si>
  <si>
    <t>RateAlarmsFittedper100OccupiedDwellings</t>
  </si>
  <si>
    <t>OccupiedDwellings</t>
  </si>
  <si>
    <t>Percentage of Home Fire Safety Visits with Alarms Installed by Deprivation of Area</t>
  </si>
  <si>
    <t>Percentage of Home Fire Safety Visits with Alarms Installed by SIMD Quintile</t>
  </si>
  <si>
    <t>Percentage of Home Fire Safety Visits with Alarms Installed in Owner Occupied Properties by Deprivation of Area</t>
  </si>
  <si>
    <t>Percentage of Home Fire Safety Visits with Alarms Installed in Owner Occupied Properties by SIMD Quintile</t>
  </si>
  <si>
    <t>Figures were not reported in 2021-22 and 2022-23 due to known quality issues with alarm data. Please see Guidance Notes for further information.</t>
  </si>
  <si>
    <t>Sum of 1 - Large Urban Areas</t>
  </si>
  <si>
    <t>Sum of 2 - Other Urban Areas</t>
  </si>
  <si>
    <t>Sum of 3 - Accessible Small Towns</t>
  </si>
  <si>
    <t>Sum of 4 - Remote Small Towns</t>
  </si>
  <si>
    <t>Sum of 5 - Accessible Rural</t>
  </si>
  <si>
    <t>Sum of 6 - Remote Rural</t>
  </si>
  <si>
    <t>Home Fire Safety Visits by Rurality</t>
  </si>
  <si>
    <t>HFSVs by Urban Rural 6 Fold Category</t>
  </si>
  <si>
    <t>1 - Large Urban Areas</t>
  </si>
  <si>
    <t>2 - Other Urban Areas</t>
  </si>
  <si>
    <t>3 - Accessible Small Towns</t>
  </si>
  <si>
    <t>4 - Remote Small Towns</t>
  </si>
  <si>
    <t>5 - Accessible Rural</t>
  </si>
  <si>
    <t>6 - Remote Rural</t>
  </si>
  <si>
    <t>This table provides the number of home fire safety visits by the Scottish Government published Urban-Rural 6 Fold index.</t>
  </si>
  <si>
    <t>https://www2.gov.scot/Topics/Statistics/About/Methodology/UrbanRuralClassification</t>
  </si>
  <si>
    <t>Please note that 'All Scotland' figures do not always equal total Home Fire Safety Visit figures as it is not always possible to find out the Urban Rural 6 Fold Category for every visit.</t>
  </si>
  <si>
    <t>Home Fire Safety Visits by Rurality - Percentage of Occupied Dwellings</t>
  </si>
  <si>
    <t>Rate of HFSVs per 100 Occupied Dwellings by Urban Rural 6 Fold Category</t>
  </si>
  <si>
    <t>This table provides the rate of home fire safety visits per 100 Occupied Dwellings, by the Scottish Government published Urban-Rural 6 Fold index.</t>
  </si>
  <si>
    <t>Sum of HFSV - alarms installed</t>
  </si>
  <si>
    <t>Sum of HFSV - advice only</t>
  </si>
  <si>
    <t>Sum of Total HFSV</t>
  </si>
  <si>
    <t>Sum of TotalNewAlarms</t>
  </si>
  <si>
    <t>Sum of TotalReplacedAlarms</t>
  </si>
  <si>
    <t>Sum of TotalAlarms</t>
  </si>
  <si>
    <t>Sum of Dwellings</t>
  </si>
  <si>
    <t>Sum of VisitsPer100Dwelling</t>
  </si>
  <si>
    <t>Sum of AlarmsPer100Dwelling</t>
  </si>
  <si>
    <t>Sum of VisitsPer100Household</t>
  </si>
  <si>
    <t>Sum of AlarmsPer100Household</t>
  </si>
  <si>
    <t>GSSCode</t>
  </si>
  <si>
    <t>HFSV - alarms installed</t>
  </si>
  <si>
    <t>TotalNewAlarms</t>
  </si>
  <si>
    <t>TotalReplacedAlarms</t>
  </si>
  <si>
    <t>TotalAlarms</t>
  </si>
  <si>
    <t>Dwellings</t>
  </si>
  <si>
    <t>VisitsPer100Dwelling</t>
  </si>
  <si>
    <t>AlarmsPer100Dwelling</t>
  </si>
  <si>
    <t>VisitsPer100Household</t>
  </si>
  <si>
    <t>AlarmsPer100Household</t>
  </si>
  <si>
    <t>S12000015</t>
  </si>
  <si>
    <t>Home Fire Safety Visits (HFSV) by Outcome and Alarms Installed, by Local Authority</t>
  </si>
  <si>
    <t>HFSV
 - smoke and heat alarms installed</t>
  </si>
  <si>
    <t>HFSV
 - advice only</t>
  </si>
  <si>
    <t>New Alarms</t>
  </si>
  <si>
    <t>Replaced Alarms</t>
  </si>
  <si>
    <t>Alarm figures were not reported in 2021-22 or 2022-23 due to known quality issues with alarm data. The breakdown of 'Total HFSV' to 'HFSV - with smoke and heat alarm installed' and 'HFSV - advice only' has also been affected and so, has not been broken down to local authority area. Please see Guidance Notes and Statistical News for further information.</t>
  </si>
  <si>
    <t>Home Fire Safety Visits (HFSV) by Outcome and Smoke Alarms Installed, by Local Authority - Percentage</t>
  </si>
  <si>
    <t xml:space="preserve">Rate of alarms installed </t>
  </si>
  <si>
    <t>HFSV - 
advice only</t>
  </si>
  <si>
    <t>Home Fire Safety Visits (HFSV) by Outcome, by Local Authority - Percentage of Households</t>
  </si>
  <si>
    <t>Percentage of Households</t>
  </si>
  <si>
    <t>HFSV with alarms installed</t>
  </si>
  <si>
    <t>Total HFSVs</t>
  </si>
  <si>
    <t>Total Alarms Installed</t>
  </si>
  <si>
    <t>Alarm figures were not reported in 2021-22 and 2022-23 due to known quality issues with alarm data. The breakdown of 'Total HFSV' to 'HFSV - with smoke and heat alarms installed' and 'HFSV - advice only' has also been affected and so, has not been broken down to local authority area. Please see Guidance Notes and Statistical News for further information.</t>
  </si>
  <si>
    <t>Home Fire Safety Visits Statistics</t>
  </si>
  <si>
    <t>Home Fire Safety Visits by Outcome</t>
  </si>
  <si>
    <t>Rate of Home Fire Safety Visits by Age Group of Residents</t>
  </si>
  <si>
    <t>Rate of Home Fire Safety Visits by SIMD</t>
  </si>
  <si>
    <t>Rate of Home Fire Safety Visits with Alarms Installed by SIMD Quintile</t>
  </si>
  <si>
    <t>Rate of Home Fire Safety Visits by Rurality</t>
  </si>
  <si>
    <t>Rate of Home Fire Safety Visits by Local Authority</t>
  </si>
  <si>
    <t>Rate of Home Fire Safety Visits per 100 Households by Local Authority - Map</t>
  </si>
  <si>
    <t>Rate of Alarms Installed per 100 Households by Local Authority</t>
  </si>
  <si>
    <t>Percentage of Alarms Installed Home Fire Safety Visits by Local Authority</t>
  </si>
  <si>
    <t>Non-domestic Fire Safety Statistics</t>
  </si>
  <si>
    <t>Non-domestic Fire Safety Workflows</t>
  </si>
  <si>
    <t>Short Post Fire Audits</t>
  </si>
  <si>
    <t>Site Visits</t>
  </si>
  <si>
    <t>Consultations</t>
  </si>
  <si>
    <t>Fire Engineering Consultations</t>
  </si>
  <si>
    <t>Two new categories of work initiated in 2019-20. Post Fire Short Audits take place when a premises which has been fully audited in the last year has a fire incident. Fire Engineering Consultations are provided by a specialist team to advise new building works.</t>
  </si>
  <si>
    <t>Workflow refers to all of the work completed related to non-domestic property. Workflows are counted according to the financial year in which they are fully completed.</t>
  </si>
  <si>
    <t>The 2017-18, 2018-19 and 2019-20 figures for Audits do not include partial audits of the communal areas of multi-story residential buildings of which there were 76, 24 and 5 respectively.</t>
  </si>
  <si>
    <t>In 2022-23, there was found to be an error with Fire Engineering Consultations. All previous years were revised. This affects Total workflows. Please see Statisical News document for details.</t>
  </si>
  <si>
    <t>Sum of Audits</t>
  </si>
  <si>
    <t>Sum of Post Fire Short Audits</t>
  </si>
  <si>
    <t>Sum of Site Visits</t>
  </si>
  <si>
    <t>Sum of Consultations</t>
  </si>
  <si>
    <t>Sum of Count</t>
  </si>
  <si>
    <t>Post Fire Short Audits</t>
  </si>
  <si>
    <t>Count</t>
  </si>
  <si>
    <t>Sum of 2009-10</t>
  </si>
  <si>
    <t>Sum of 2010-11</t>
  </si>
  <si>
    <t>Sum of 2011-12</t>
  </si>
  <si>
    <t>Sum of 2012-13</t>
  </si>
  <si>
    <t>Sum of 2013-14</t>
  </si>
  <si>
    <t>Sum of 2014-15</t>
  </si>
  <si>
    <t>Care Home</t>
  </si>
  <si>
    <t>Factory or Warehouse</t>
  </si>
  <si>
    <t>Further Education</t>
  </si>
  <si>
    <t>HMO</t>
  </si>
  <si>
    <t>Hospital / Prison</t>
  </si>
  <si>
    <t>Hostel</t>
  </si>
  <si>
    <t>Hotel</t>
  </si>
  <si>
    <t>Licensed Premises</t>
  </si>
  <si>
    <t>Office</t>
  </si>
  <si>
    <t>Other Premises Open to Public</t>
  </si>
  <si>
    <t>Other Sleeping Accommodation</t>
  </si>
  <si>
    <t>Other Workplace</t>
  </si>
  <si>
    <t>Public Building</t>
  </si>
  <si>
    <t>School</t>
  </si>
  <si>
    <t>Shop</t>
  </si>
  <si>
    <t>FSEC</t>
  </si>
  <si>
    <t>PremisesType</t>
  </si>
  <si>
    <t>2009-10</t>
  </si>
  <si>
    <t>T</t>
  </si>
  <si>
    <t>R</t>
  </si>
  <si>
    <t>F</t>
  </si>
  <si>
    <t>B</t>
  </si>
  <si>
    <t>P</t>
  </si>
  <si>
    <t>K</t>
  </si>
  <si>
    <t>N</t>
  </si>
  <si>
    <t>J</t>
  </si>
  <si>
    <t>A</t>
  </si>
  <si>
    <t>C</t>
  </si>
  <si>
    <t>S</t>
  </si>
  <si>
    <t>H</t>
  </si>
  <si>
    <t>E</t>
  </si>
  <si>
    <t>L</t>
  </si>
  <si>
    <t>M</t>
  </si>
  <si>
    <t>Non-domestic Fire Safety Audits by Premises Type</t>
  </si>
  <si>
    <t>Total audits without HMOs</t>
  </si>
  <si>
    <t>Total audits including HMOs</t>
  </si>
  <si>
    <t xml:space="preserve">In 2014 SFRS could not return suitable fire safety data and the statistics were not published.  </t>
  </si>
  <si>
    <t>In 2020-21, Remote Audits were introduced due to the Covid-19 pandemic. These accounted for 1,018 of audits reported in 2020-21 and 321 of audits reported in 2021-22. Remote Audit figures for future years have not been included. Please see Guidance Notes for further information.</t>
  </si>
  <si>
    <t>Non-domestic Fire Safety Audits by Premises Type, by Local Authority</t>
  </si>
  <si>
    <t>Hospital/ Prison</t>
  </si>
  <si>
    <t>Other Sleeping Accom.</t>
  </si>
  <si>
    <t>Other Premises open to Public</t>
  </si>
  <si>
    <t>Other workplace</t>
  </si>
  <si>
    <t>Total audits</t>
  </si>
  <si>
    <t>HMO stands for Houses in Multiple Occupation</t>
  </si>
  <si>
    <t>Sum of Hospital / Prison</t>
  </si>
  <si>
    <t>Sum of Care Home</t>
  </si>
  <si>
    <t>Sum of HMO</t>
  </si>
  <si>
    <t>Sum of Hostel</t>
  </si>
  <si>
    <t>Sum of Hotel</t>
  </si>
  <si>
    <t>Sum of Other Sleeping Accomm</t>
  </si>
  <si>
    <t>Sum of Further Education</t>
  </si>
  <si>
    <t>Sum of Public Building</t>
  </si>
  <si>
    <t>Sum of Licensed Premises</t>
  </si>
  <si>
    <t>Sum of School</t>
  </si>
  <si>
    <t>Sum of Shop</t>
  </si>
  <si>
    <t>Sum of Other Premises Open to Public</t>
  </si>
  <si>
    <t>Sum of Factory or Warehouse</t>
  </si>
  <si>
    <t>Sum of Office</t>
  </si>
  <si>
    <t>Sum of Other Workplace</t>
  </si>
  <si>
    <t>ABERDEENSHIRE</t>
  </si>
  <si>
    <t>ARGYLL AND BUTE</t>
  </si>
  <si>
    <t>Na h-Eileanan an Iar</t>
  </si>
  <si>
    <t>Other Sleeping Accomm</t>
  </si>
  <si>
    <t>MIDLOTHIAN</t>
  </si>
  <si>
    <t>ANGUS</t>
  </si>
  <si>
    <t>DUMFRIES AND GALLOWAY</t>
  </si>
  <si>
    <t>RENFREWSHIRE</t>
  </si>
  <si>
    <t>CITY OF EDINBURGH</t>
  </si>
  <si>
    <t>MORAY</t>
  </si>
  <si>
    <t>NORTH AYRSHIRE</t>
  </si>
  <si>
    <t>EAST LOTHIAN</t>
  </si>
  <si>
    <t>Sum of A_Tally</t>
  </si>
  <si>
    <t>Sum of A_Hours</t>
  </si>
  <si>
    <t>Sum of B_Tally</t>
  </si>
  <si>
    <t>Sum of B_Hours</t>
  </si>
  <si>
    <t>Sum of Enforcement_Tally</t>
  </si>
  <si>
    <t>Sum of Enforcement_Hours</t>
  </si>
  <si>
    <t>Sum of Prohibition_Tally</t>
  </si>
  <si>
    <t>Sum of Prohibition_Hours</t>
  </si>
  <si>
    <t>Type of Premises</t>
  </si>
  <si>
    <t>A_Tally</t>
  </si>
  <si>
    <t>A_Hours</t>
  </si>
  <si>
    <t>B_Tally</t>
  </si>
  <si>
    <t>B_Hours</t>
  </si>
  <si>
    <t>Enforcement_Tally</t>
  </si>
  <si>
    <t>Enforcement_Hours</t>
  </si>
  <si>
    <t>Prohibition_Tally</t>
  </si>
  <si>
    <t>Prohibition_Hours</t>
  </si>
  <si>
    <t>Audits by Outcome and Average Time for Completion</t>
  </si>
  <si>
    <t>Audit - Broadly Compliant</t>
  </si>
  <si>
    <t>Audit - Notable Deficiencies</t>
  </si>
  <si>
    <t>Enforcement Notice</t>
  </si>
  <si>
    <t>Prohibition Notice</t>
  </si>
  <si>
    <t>Average time (hours)</t>
  </si>
  <si>
    <t>Hours</t>
  </si>
  <si>
    <t>Percentage Broadly Compliant</t>
  </si>
  <si>
    <t>Enforcement notices</t>
  </si>
  <si>
    <t>Prohibition Notices</t>
  </si>
  <si>
    <t>Due to quality concerns arising from a change in data collection software, hours recorded cannot be reported for 2019-20.</t>
  </si>
  <si>
    <t xml:space="preserve">In 2013-14 the fire safety audit data was not included in the publication due to quality and completeness concerns.  </t>
  </si>
  <si>
    <t>The number of Enforcement and Prohibition Notices provided is the count of workflows fully completed rather than the count of notices issued within the financial year. Workflows which require Formal Notices can take years to fully complete. We also publish a table on notices issued by financial year.</t>
  </si>
  <si>
    <t>Prohibition Notices may be issued without having first completed an audit, they are therefore recorded as Site Visits rather than Audits and are presented here for reader interest.</t>
  </si>
  <si>
    <t>Audits by Outcome and Average Time for Completion, by Premises Type</t>
  </si>
  <si>
    <t>Average Time (hours)</t>
  </si>
  <si>
    <t>Percentage of Type A</t>
  </si>
  <si>
    <t>The number of Enforcement and Prohibition Notices provided is the count of workflows fully completed rather than the count of notices issued within the financial year. Workflows which require formal Notices can take years to fully complete. We also publish a table on the number of Formal Notices issued by financial year.</t>
  </si>
  <si>
    <t>FIFE</t>
  </si>
  <si>
    <t>SHETLAND ISLANDS</t>
  </si>
  <si>
    <t>Audits by Outcome and Average Time for Completion, by Local Authority</t>
  </si>
  <si>
    <t>Total hours</t>
  </si>
  <si>
    <t>Sum of Enforcement Notice</t>
  </si>
  <si>
    <t>Sum of Prohibition Notice</t>
  </si>
  <si>
    <t>Sum of Alterations Notice</t>
  </si>
  <si>
    <t>Alterations Notice</t>
  </si>
  <si>
    <t>Notices Issued by Type</t>
  </si>
  <si>
    <t>Enforcement Notices</t>
  </si>
  <si>
    <t>Alterations Notices</t>
  </si>
  <si>
    <t>This table was introduced in 2017-18 to provide details of the number of formal Notices issued within the financial year. This contrasts with the number of workflows completed each year which in the Audits Outcome tab.</t>
  </si>
  <si>
    <t>Where a premise had multiple owners who each received a formal Notice, this has been counted only once. The figure therefore reflects the number of unique buildings where a notice has been issued by financial year.</t>
  </si>
  <si>
    <t>Sum of VL</t>
  </si>
  <si>
    <t>Sum of L</t>
  </si>
  <si>
    <t>Sum of M</t>
  </si>
  <si>
    <t>Sum of H</t>
  </si>
  <si>
    <t>Sum of VH</t>
  </si>
  <si>
    <t>Sum of Not Known</t>
  </si>
  <si>
    <t>VL</t>
  </si>
  <si>
    <t>VH</t>
  </si>
  <si>
    <t>Audits by Risk Recorded</t>
  </si>
  <si>
    <t>Premises</t>
  </si>
  <si>
    <t>Very Low</t>
  </si>
  <si>
    <t>Low</t>
  </si>
  <si>
    <t>Medium</t>
  </si>
  <si>
    <t>High</t>
  </si>
  <si>
    <t>Very High</t>
  </si>
  <si>
    <t>Please note that risks should only be compared within category, i.e. a medium risk hotel does not contain the same risk as a medium risk shop.</t>
  </si>
  <si>
    <t>Audits by Risk Recorded - Percentage in Each Premises Type</t>
  </si>
  <si>
    <t>Non-domestic Workflows</t>
  </si>
  <si>
    <t>Audits by Premises Type and Risk</t>
  </si>
  <si>
    <t>Audits by Premises Type and Risk Share</t>
  </si>
  <si>
    <t>29th August 2025</t>
  </si>
  <si>
    <t>HIGHLAND</t>
  </si>
  <si>
    <t>FALKIRK</t>
  </si>
  <si>
    <t>Version 1.0</t>
  </si>
  <si>
    <t>NULL</t>
  </si>
  <si>
    <t>Figures were not reported in 2021-22 and 2022-23 due to known quality issues with smoke alarm data. Please see Guidance Notes for further information.</t>
  </si>
  <si>
    <t>Please note SFRS is in the implementation stage of a new Wildfire Strategy. Please see the Wildfire Strategy page on the SFRS website for more information. Please also note the figure for wildfire capabilities includes stations which have specialised vehicles to respond to wildfires, as well as stations where there is additional specialist equipment that is required for wildfire response.</t>
  </si>
  <si>
    <t>ORKNEY ISLANDS</t>
  </si>
  <si>
    <t>Please note that in 2021-22, 2022-23, 2023-24 and 2024-25, 'HFSV - advice only' includes visits where only carbon monoxide alarms were installed or only fire retardant bedding or blankets were given out, as well as visits where only advice was given. This was done to ensure that HFSV with alarms installed could be fairly compared to previous years. Please see Guidance Notes for futher details.</t>
  </si>
  <si>
    <t>Please note that in 2021-22, 2022-23, 2023-24 and 2024-25, 'HFSV - advice only' includes visits where only carbon monoxide alarms were installed or only fire retardant bedding or blankets were given out, as well as vistis where only advice was given. This was done to ensure that HFSV with alarms installed could be fairly compared to previous years. Please see Guidance Notes for futher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</si>
</sst>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164" formatCode="_(* #,##0_);_(* \(#,##0\);_(* &quot;-&quot;_);_(@_)"/>
    <numFmt numFmtId="165" formatCode="_(* #,##0.00_);_(* \(#,##0.00\);_(* &quot;-&quot;??_);_(@_)"/>
    <numFmt numFmtId="166" formatCode="_-* #,##0_-;\-* #,##0_-;_-* &quot;-&quot;??_-;_-@_-"/>
    <numFmt numFmtId="167" formatCode="#,##0_ ;\-#,##0\ "/>
    <numFmt numFmtId="168" formatCode="0.0%"/>
    <numFmt numFmtId="169" formatCode="_-* #,##0_-;\-* #,##0_-;_-* &quot;- &quot;"/>
    <numFmt numFmtId="170" formatCode="_-* #,##0\ ;\-* #,##0\ ;_-* &quot;-&quot;\ "/>
    <numFmt numFmtId="171" formatCode="_-* #,##0_-;\-* #,##0_-;_-* &quot;- &quot;;_-@_-"/>
    <numFmt numFmtId="172" formatCode="0.0"/>
    <numFmt numFmtId="173" formatCode="#,##0.0"/>
    <numFmt numFmtId="174" formatCode="#,##0;\ \-#,##0;\ &quot;- &quot;"/>
    <numFmt numFmtId="175" formatCode="_-* #,##0.0_-;\-* #,##0.0_-;_-* &quot;- &quot;"/>
    <numFmt numFmtId="176" formatCode="#,##0.00;[Red]\ \ \-\ #,##0.00\ ;&quot;-&quot;"/>
    <numFmt numFmtId="177" formatCode="#,##0.0_ ;\-#,##0.0\ "/>
  </numFmts>
  <fonts count="56" x14ac:knownFonts="1">
    <font>
      <sz val="11"/>
      <color theme="1"/>
      <name val="Calibri"/>
      <family val="2"/>
      <scheme val="minor"/>
    </font>
    <font>
      <sz val="11"/>
      <color theme="1"/>
      <name val="Calibri"/>
      <family val="2"/>
      <scheme val="minor"/>
    </font>
    <font>
      <sz val="12"/>
      <color rgb="FF000000"/>
      <name val="Calibri"/>
      <family val="2"/>
    </font>
    <font>
      <u/>
      <sz val="10"/>
      <color indexed="12"/>
      <name val="Arial"/>
      <family val="2"/>
    </font>
    <font>
      <vertAlign val="superscript"/>
      <sz val="12"/>
      <color rgb="FF000000"/>
      <name val="Calibri"/>
      <family val="2"/>
    </font>
    <font>
      <sz val="10"/>
      <name val="Arial"/>
      <family val="2"/>
    </font>
    <font>
      <sz val="12"/>
      <name val="Arial"/>
      <family val="2"/>
    </font>
    <font>
      <sz val="14"/>
      <name val="Arial"/>
      <family val="2"/>
    </font>
    <font>
      <b/>
      <sz val="12"/>
      <name val="Arial"/>
      <family val="2"/>
    </font>
    <font>
      <b/>
      <sz val="10"/>
      <name val="Arial"/>
      <family val="2"/>
    </font>
    <font>
      <b/>
      <i/>
      <sz val="10"/>
      <name val="Arial"/>
      <family val="2"/>
    </font>
    <font>
      <i/>
      <sz val="10"/>
      <name val="Arial"/>
      <family val="2"/>
    </font>
    <font>
      <sz val="10"/>
      <color rgb="FFFF0000"/>
      <name val="Arial"/>
      <family val="2"/>
    </font>
    <font>
      <sz val="11"/>
      <name val="Arial"/>
      <family val="2"/>
    </font>
    <font>
      <b/>
      <sz val="11"/>
      <name val="Arial"/>
      <family val="2"/>
    </font>
    <font>
      <sz val="10"/>
      <color indexed="8"/>
      <name val="Arial"/>
      <family val="2"/>
    </font>
    <font>
      <b/>
      <sz val="11"/>
      <name val="Calibri"/>
      <family val="2"/>
      <scheme val="minor"/>
    </font>
    <font>
      <b/>
      <sz val="18"/>
      <color indexed="56"/>
      <name val="Arial"/>
      <family val="2"/>
    </font>
    <font>
      <u/>
      <sz val="10"/>
      <name val="Arial"/>
      <family val="2"/>
    </font>
    <font>
      <b/>
      <sz val="9"/>
      <name val="Arial"/>
      <family val="2"/>
    </font>
    <font>
      <b/>
      <sz val="15"/>
      <color indexed="56"/>
      <name val="Calibri"/>
      <family val="2"/>
    </font>
    <font>
      <b/>
      <sz val="13"/>
      <color indexed="56"/>
      <name val="Calibri"/>
      <family val="2"/>
    </font>
    <font>
      <b/>
      <i/>
      <sz val="11"/>
      <name val="Arial"/>
      <family val="2"/>
    </font>
    <font>
      <sz val="10"/>
      <color theme="1"/>
      <name val="Arial"/>
      <family val="2"/>
    </font>
    <font>
      <sz val="12"/>
      <color theme="1"/>
      <name val="Calibri"/>
      <family val="2"/>
      <scheme val="minor"/>
    </font>
    <font>
      <b/>
      <sz val="11"/>
      <color theme="1"/>
      <name val="Calibri"/>
      <family val="2"/>
      <scheme val="minor"/>
    </font>
    <font>
      <sz val="11"/>
      <color theme="0"/>
      <name val="Calibri"/>
      <family val="2"/>
      <scheme val="minor"/>
    </font>
    <font>
      <b/>
      <i/>
      <sz val="9"/>
      <name val="Arial"/>
      <family val="2"/>
    </font>
    <font>
      <b/>
      <sz val="16"/>
      <color theme="1" tint="0.249977111117893"/>
      <name val="Calibri"/>
      <family val="2"/>
      <scheme val="minor"/>
    </font>
    <font>
      <sz val="12"/>
      <color rgb="FF000000"/>
      <name val="Calibri"/>
      <family val="2"/>
      <scheme val="minor"/>
    </font>
    <font>
      <i/>
      <sz val="12"/>
      <color rgb="FF000000"/>
      <name val="Calibri"/>
      <family val="2"/>
      <scheme val="minor"/>
    </font>
    <font>
      <vertAlign val="superscript"/>
      <sz val="12"/>
      <color rgb="FF000000"/>
      <name val="Calibri"/>
      <family val="2"/>
      <scheme val="minor"/>
    </font>
    <font>
      <sz val="11"/>
      <color theme="1"/>
      <name val="Arial"/>
      <family val="2"/>
    </font>
    <font>
      <sz val="11"/>
      <name val="Calibri"/>
      <family val="2"/>
      <scheme val="minor"/>
    </font>
    <font>
      <sz val="11"/>
      <color rgb="FF000000"/>
      <name val="Calibri"/>
      <family val="2"/>
      <scheme val="minor"/>
    </font>
    <font>
      <u/>
      <sz val="11"/>
      <color indexed="12"/>
      <name val="Calibri"/>
      <family val="2"/>
      <scheme val="minor"/>
    </font>
    <font>
      <b/>
      <i/>
      <sz val="11"/>
      <name val="Calibri"/>
      <family val="2"/>
      <scheme val="minor"/>
    </font>
    <font>
      <i/>
      <sz val="11"/>
      <name val="Calibri"/>
      <family val="2"/>
      <scheme val="minor"/>
    </font>
    <font>
      <sz val="11"/>
      <color theme="1"/>
      <name val="Calibri"/>
      <family val="2"/>
    </font>
    <font>
      <u/>
      <sz val="12"/>
      <color indexed="12"/>
      <name val="Calibri"/>
      <family val="2"/>
      <scheme val="minor"/>
    </font>
    <font>
      <b/>
      <sz val="18"/>
      <color theme="1" tint="0.249977111117893"/>
      <name val="Calibri"/>
      <family val="2"/>
      <scheme val="minor"/>
    </font>
    <font>
      <sz val="11"/>
      <color rgb="FFFF0000"/>
      <name val="Calibri"/>
      <family val="2"/>
      <scheme val="minor"/>
    </font>
    <font>
      <b/>
      <u/>
      <sz val="12"/>
      <name val="Arial"/>
      <family val="2"/>
    </font>
    <font>
      <i/>
      <sz val="11"/>
      <color theme="1"/>
      <name val="Calibri"/>
      <family val="2"/>
      <scheme val="minor"/>
    </font>
    <font>
      <b/>
      <i/>
      <u/>
      <sz val="11"/>
      <color theme="1"/>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Arial"/>
      <family val="2"/>
    </font>
    <font>
      <sz val="14"/>
      <color theme="1"/>
      <name val="Calibri"/>
      <family val="2"/>
      <scheme val="minor"/>
    </font>
    <font>
      <i/>
      <sz val="11"/>
      <name val="Arial"/>
      <family val="2"/>
    </font>
    <font>
      <b/>
      <sz val="12"/>
      <color theme="1"/>
      <name val="Arial"/>
      <family val="2"/>
    </font>
    <font>
      <b/>
      <i/>
      <sz val="11"/>
      <color theme="1"/>
      <name val="Calibri"/>
      <family val="2"/>
      <scheme val="minor"/>
    </font>
    <font>
      <sz val="8"/>
      <name val="Calibri"/>
      <family val="2"/>
      <scheme val="minor"/>
    </font>
    <font>
      <b/>
      <sz val="11"/>
      <color rgb="FF000000"/>
      <name val="Calibri"/>
      <family val="2"/>
      <scheme val="minor"/>
    </font>
    <font>
      <b/>
      <sz val="11"/>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indexed="64"/>
      </patternFill>
    </fill>
    <fill>
      <patternFill patternType="solid">
        <fgColor rgb="FFFFFFFF"/>
        <bgColor rgb="FF000000"/>
      </patternFill>
    </fill>
    <fill>
      <patternFill patternType="solid">
        <fgColor theme="0" tint="-4.9989318521683403E-2"/>
        <bgColor indexed="64"/>
      </patternFill>
    </fill>
  </fills>
  <borders count="37">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theme="4"/>
      </top>
      <bottom/>
      <diagonal/>
    </border>
    <border>
      <left/>
      <right/>
      <top/>
      <bottom style="thick">
        <color indexed="22"/>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style="thin">
        <color indexed="64"/>
      </right>
      <top style="thin">
        <color theme="1"/>
      </top>
      <bottom/>
      <diagonal/>
    </border>
    <border>
      <left/>
      <right/>
      <top style="medium">
        <color indexed="64"/>
      </top>
      <bottom/>
      <diagonal/>
    </border>
    <border>
      <left/>
      <right style="thin">
        <color indexed="64"/>
      </right>
      <top/>
      <bottom style="medium">
        <color indexed="64"/>
      </bottom>
      <diagonal/>
    </border>
    <border>
      <left/>
      <right/>
      <top/>
      <bottom style="thin">
        <color theme="4" tint="0.39997558519241921"/>
      </bottom>
      <diagonal/>
    </border>
    <border>
      <left/>
      <right style="thin">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indexed="64"/>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5" fillId="0" borderId="0"/>
    <xf numFmtId="0" fontId="15" fillId="0" borderId="0"/>
    <xf numFmtId="0" fontId="5" fillId="0" borderId="0"/>
    <xf numFmtId="0" fontId="15" fillId="0" borderId="0"/>
    <xf numFmtId="0" fontId="17" fillId="0" borderId="0" applyNumberFormat="0" applyFill="0" applyBorder="0" applyProtection="0">
      <alignment wrapText="1"/>
    </xf>
    <xf numFmtId="0" fontId="15" fillId="0" borderId="0"/>
    <xf numFmtId="0" fontId="15" fillId="0" borderId="0"/>
    <xf numFmtId="0" fontId="20" fillId="0" borderId="0" applyNumberFormat="0" applyFill="0" applyAlignment="0" applyProtection="0"/>
    <xf numFmtId="0" fontId="15" fillId="0" borderId="0"/>
    <xf numFmtId="0" fontId="15" fillId="0" borderId="0"/>
    <xf numFmtId="0" fontId="21" fillId="0" borderId="7" applyNumberFormat="0" applyFill="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15" fillId="0" borderId="0"/>
    <xf numFmtId="0" fontId="23" fillId="0" borderId="0"/>
    <xf numFmtId="165" fontId="23" fillId="0" borderId="0" applyFont="0" applyFill="0" applyBorder="0" applyAlignment="0" applyProtection="0"/>
    <xf numFmtId="9" fontId="23" fillId="0" borderId="0" applyFont="0" applyFill="0" applyBorder="0" applyAlignment="0" applyProtection="0"/>
  </cellStyleXfs>
  <cellXfs count="1066">
    <xf numFmtId="0" fontId="0" fillId="0" borderId="0" xfId="0"/>
    <xf numFmtId="0" fontId="7" fillId="2" borderId="0" xfId="0" applyFont="1" applyFill="1"/>
    <xf numFmtId="0" fontId="9" fillId="0" borderId="1" xfId="0" applyFont="1" applyBorder="1"/>
    <xf numFmtId="0" fontId="9" fillId="0" borderId="1" xfId="0" applyFont="1" applyBorder="1" applyAlignment="1">
      <alignment horizontal="right" wrapText="1"/>
    </xf>
    <xf numFmtId="0" fontId="9" fillId="0" borderId="0" xfId="0" applyFont="1" applyAlignment="1">
      <alignment horizontal="right" wrapText="1"/>
    </xf>
    <xf numFmtId="0" fontId="9" fillId="0" borderId="0" xfId="0" applyFont="1" applyAlignment="1">
      <alignment horizontal="left"/>
    </xf>
    <xf numFmtId="0" fontId="9" fillId="0" borderId="0" xfId="0" applyFont="1" applyAlignment="1">
      <alignment horizontal="left" vertical="center"/>
    </xf>
    <xf numFmtId="0" fontId="7" fillId="0" borderId="0" xfId="0" applyFont="1"/>
    <xf numFmtId="0" fontId="9" fillId="0" borderId="0" xfId="0" applyFont="1" applyAlignment="1">
      <alignment vertical="center" wrapText="1"/>
    </xf>
    <xf numFmtId="167" fontId="5" fillId="0" borderId="2" xfId="0" applyNumberFormat="1" applyFont="1" applyBorder="1"/>
    <xf numFmtId="0" fontId="10" fillId="0" borderId="3" xfId="0" applyFont="1" applyBorder="1" applyAlignment="1">
      <alignment wrapText="1"/>
    </xf>
    <xf numFmtId="168" fontId="11" fillId="0" borderId="3" xfId="2" applyNumberFormat="1" applyFont="1" applyFill="1" applyBorder="1" applyAlignment="1">
      <alignment horizontal="right" wrapText="1"/>
    </xf>
    <xf numFmtId="0" fontId="9" fillId="0" borderId="0" xfId="0" applyFont="1"/>
    <xf numFmtId="0" fontId="5" fillId="0" borderId="0" xfId="0" applyFont="1" applyAlignment="1">
      <alignment horizontal="right" wrapText="1"/>
    </xf>
    <xf numFmtId="166" fontId="5" fillId="0" borderId="0" xfId="0" applyNumberFormat="1" applyFont="1" applyAlignment="1">
      <alignment horizontal="right" wrapText="1"/>
    </xf>
    <xf numFmtId="0" fontId="5" fillId="0" borderId="0" xfId="0" applyFont="1"/>
    <xf numFmtId="0" fontId="9" fillId="0" borderId="1" xfId="0" applyFont="1" applyBorder="1" applyAlignment="1">
      <alignment horizontal="left"/>
    </xf>
    <xf numFmtId="0" fontId="7" fillId="0" borderId="0" xfId="0" applyFont="1" applyAlignment="1">
      <alignment vertical="center"/>
    </xf>
    <xf numFmtId="3" fontId="9" fillId="0" borderId="0" xfId="0" applyNumberFormat="1" applyFont="1" applyAlignment="1">
      <alignment horizontal="right" vertical="center" wrapText="1"/>
    </xf>
    <xf numFmtId="0" fontId="5" fillId="0" borderId="0" xfId="0" applyFont="1" applyAlignment="1">
      <alignment vertical="center"/>
    </xf>
    <xf numFmtId="0" fontId="5" fillId="0" borderId="1" xfId="0" applyFont="1" applyBorder="1"/>
    <xf numFmtId="0" fontId="9" fillId="0" borderId="0" xfId="0" applyFont="1" applyAlignment="1">
      <alignment wrapText="1"/>
    </xf>
    <xf numFmtId="1" fontId="5" fillId="0" borderId="0" xfId="0" applyNumberFormat="1" applyFont="1"/>
    <xf numFmtId="0" fontId="5" fillId="0" borderId="0" xfId="0" applyFont="1" applyAlignment="1">
      <alignment wrapText="1"/>
    </xf>
    <xf numFmtId="168" fontId="5" fillId="0" borderId="0" xfId="0" applyNumberFormat="1" applyFont="1" applyAlignment="1">
      <alignment horizontal="right" wrapText="1"/>
    </xf>
    <xf numFmtId="0" fontId="5" fillId="2" borderId="0" xfId="0" applyFont="1" applyFill="1"/>
    <xf numFmtId="0" fontId="8" fillId="0" borderId="1" xfId="0" applyFont="1" applyBorder="1" applyAlignment="1">
      <alignment horizontal="left" vertical="center" wrapText="1"/>
    </xf>
    <xf numFmtId="0" fontId="9" fillId="0" borderId="3" xfId="0" applyFont="1" applyBorder="1" applyAlignment="1">
      <alignment vertical="center"/>
    </xf>
    <xf numFmtId="9" fontId="10" fillId="0" borderId="4" xfId="0" applyNumberFormat="1" applyFont="1" applyBorder="1" applyAlignment="1">
      <alignment vertical="center"/>
    </xf>
    <xf numFmtId="0" fontId="9" fillId="0" borderId="0" xfId="0" applyFont="1" applyAlignment="1">
      <alignment vertical="center"/>
    </xf>
    <xf numFmtId="9" fontId="9" fillId="0" borderId="0" xfId="0" applyNumberFormat="1" applyFont="1" applyAlignment="1">
      <alignment vertical="center"/>
    </xf>
    <xf numFmtId="0" fontId="9" fillId="0" borderId="5" xfId="0" applyFont="1" applyBorder="1" applyAlignment="1">
      <alignment horizontal="center" wrapText="1"/>
    </xf>
    <xf numFmtId="0" fontId="9" fillId="0" borderId="2" xfId="0" applyFont="1" applyBorder="1"/>
    <xf numFmtId="0" fontId="9" fillId="0" borderId="4" xfId="0" applyFont="1" applyBorder="1" applyAlignment="1">
      <alignment vertical="center"/>
    </xf>
    <xf numFmtId="0" fontId="9" fillId="0" borderId="3" xfId="0" applyFont="1" applyBorder="1"/>
    <xf numFmtId="0" fontId="13" fillId="2" borderId="0" xfId="0" applyFont="1" applyFill="1"/>
    <xf numFmtId="0" fontId="14" fillId="0" borderId="0" xfId="0" applyFont="1"/>
    <xf numFmtId="0" fontId="9" fillId="0" borderId="0" xfId="5" applyFont="1" applyAlignment="1">
      <alignment horizontal="right" wrapText="1"/>
    </xf>
    <xf numFmtId="0" fontId="14" fillId="0" borderId="4" xfId="5" applyFont="1" applyBorder="1" applyAlignment="1">
      <alignment horizontal="left" vertical="center"/>
    </xf>
    <xf numFmtId="0" fontId="14" fillId="0" borderId="0" xfId="5" applyFont="1" applyAlignment="1">
      <alignment horizontal="left" vertical="center"/>
    </xf>
    <xf numFmtId="3" fontId="9" fillId="0" borderId="0" xfId="5" applyNumberFormat="1" applyFont="1" applyAlignment="1">
      <alignment horizontal="right" vertical="center" wrapText="1"/>
    </xf>
    <xf numFmtId="3" fontId="9" fillId="0" borderId="0" xfId="0" applyNumberFormat="1" applyFont="1" applyAlignment="1">
      <alignment vertical="center"/>
    </xf>
    <xf numFmtId="0" fontId="14" fillId="0" borderId="1" xfId="5" applyFont="1" applyBorder="1" applyAlignment="1">
      <alignment horizontal="left"/>
    </xf>
    <xf numFmtId="3" fontId="9" fillId="0" borderId="1" xfId="5" applyNumberFormat="1" applyFont="1" applyBorder="1" applyAlignment="1">
      <alignment horizontal="right" wrapText="1"/>
    </xf>
    <xf numFmtId="3" fontId="9" fillId="0" borderId="0" xfId="5" applyNumberFormat="1" applyFont="1" applyAlignment="1">
      <alignment horizontal="right" wrapText="1"/>
    </xf>
    <xf numFmtId="0" fontId="9" fillId="0" borderId="6" xfId="5" applyFont="1" applyBorder="1" applyAlignment="1">
      <alignment horizontal="left"/>
    </xf>
    <xf numFmtId="3" fontId="5" fillId="0" borderId="0" xfId="5" applyNumberFormat="1" applyFont="1" applyAlignment="1">
      <alignment horizontal="right" wrapText="1"/>
    </xf>
    <xf numFmtId="3" fontId="9" fillId="0" borderId="0" xfId="0" applyNumberFormat="1" applyFont="1"/>
    <xf numFmtId="0" fontId="9" fillId="0" borderId="0" xfId="5" applyFont="1" applyAlignment="1">
      <alignment horizontal="left"/>
    </xf>
    <xf numFmtId="164" fontId="5" fillId="0" borderId="0" xfId="6" applyNumberFormat="1"/>
    <xf numFmtId="164" fontId="5" fillId="0" borderId="0" xfId="0" applyNumberFormat="1" applyFont="1"/>
    <xf numFmtId="164" fontId="5" fillId="0" borderId="0" xfId="0" applyNumberFormat="1" applyFont="1" applyAlignment="1">
      <alignment horizontal="right"/>
    </xf>
    <xf numFmtId="0" fontId="9" fillId="0" borderId="4" xfId="5" applyFont="1" applyBorder="1" applyAlignment="1">
      <alignment horizontal="left" vertical="center"/>
    </xf>
    <xf numFmtId="3" fontId="9" fillId="0" borderId="4" xfId="5" applyNumberFormat="1" applyFont="1" applyBorder="1" applyAlignment="1">
      <alignment horizontal="right" vertical="center" wrapText="1"/>
    </xf>
    <xf numFmtId="0" fontId="14" fillId="0" borderId="0" xfId="5" applyFont="1" applyAlignment="1">
      <alignment horizontal="left" vertical="center" wrapText="1"/>
    </xf>
    <xf numFmtId="3" fontId="9" fillId="0" borderId="0" xfId="0" applyNumberFormat="1" applyFont="1" applyAlignment="1">
      <alignment horizontal="right" vertical="center"/>
    </xf>
    <xf numFmtId="164" fontId="5" fillId="0" borderId="2" xfId="6" applyNumberFormat="1" applyBorder="1"/>
    <xf numFmtId="49" fontId="9" fillId="0" borderId="0" xfId="5" applyNumberFormat="1" applyFont="1" applyAlignment="1">
      <alignment horizontal="left" vertical="center" wrapText="1"/>
    </xf>
    <xf numFmtId="0" fontId="9" fillId="0" borderId="4" xfId="5" applyFont="1" applyBorder="1" applyAlignment="1">
      <alignment horizontal="left" vertical="center" wrapText="1"/>
    </xf>
    <xf numFmtId="164" fontId="9" fillId="0" borderId="4" xfId="5" applyNumberFormat="1" applyFont="1" applyBorder="1" applyAlignment="1">
      <alignment horizontal="right" vertical="center" wrapText="1"/>
    </xf>
    <xf numFmtId="0" fontId="9" fillId="0" borderId="2" xfId="5" applyFont="1" applyBorder="1" applyAlignment="1">
      <alignment horizontal="left"/>
    </xf>
    <xf numFmtId="3" fontId="9" fillId="0" borderId="2" xfId="0" applyNumberFormat="1" applyFont="1" applyBorder="1"/>
    <xf numFmtId="3" fontId="9" fillId="0" borderId="0" xfId="0" applyNumberFormat="1" applyFont="1" applyAlignment="1">
      <alignment horizontal="right"/>
    </xf>
    <xf numFmtId="0" fontId="14" fillId="0" borderId="4" xfId="0" applyFont="1" applyBorder="1" applyAlignment="1">
      <alignment vertical="center"/>
    </xf>
    <xf numFmtId="3" fontId="14" fillId="0" borderId="4" xfId="0" applyNumberFormat="1" applyFont="1" applyBorder="1" applyAlignment="1">
      <alignment vertical="center"/>
    </xf>
    <xf numFmtId="3" fontId="9" fillId="0" borderId="0" xfId="5" applyNumberFormat="1" applyFont="1" applyAlignment="1">
      <alignment horizontal="center" vertical="center" wrapText="1"/>
    </xf>
    <xf numFmtId="170" fontId="5" fillId="0" borderId="0" xfId="6" applyNumberFormat="1"/>
    <xf numFmtId="170" fontId="9" fillId="0" borderId="0" xfId="0" applyNumberFormat="1" applyFont="1"/>
    <xf numFmtId="3" fontId="5" fillId="0" borderId="0" xfId="0" applyNumberFormat="1" applyFont="1"/>
    <xf numFmtId="164" fontId="9" fillId="0" borderId="0" xfId="0" applyNumberFormat="1" applyFont="1"/>
    <xf numFmtId="164" fontId="9" fillId="0" borderId="4" xfId="0" applyNumberFormat="1" applyFont="1" applyBorder="1" applyAlignment="1">
      <alignment horizontal="right" vertical="center"/>
    </xf>
    <xf numFmtId="164" fontId="9" fillId="0" borderId="0" xfId="0" applyNumberFormat="1" applyFont="1" applyAlignment="1">
      <alignment horizontal="right" vertical="center"/>
    </xf>
    <xf numFmtId="3" fontId="9" fillId="0" borderId="1" xfId="5" applyNumberFormat="1" applyFont="1" applyBorder="1" applyAlignment="1">
      <alignment horizontal="center" wrapText="1"/>
    </xf>
    <xf numFmtId="3" fontId="9" fillId="0" borderId="4" xfId="5" applyNumberFormat="1" applyFont="1" applyBorder="1" applyAlignment="1">
      <alignment horizontal="left" vertical="center"/>
    </xf>
    <xf numFmtId="164" fontId="9" fillId="0" borderId="0" xfId="0" applyNumberFormat="1" applyFont="1" applyAlignment="1">
      <alignment vertical="center"/>
    </xf>
    <xf numFmtId="3" fontId="9" fillId="0" borderId="1" xfId="5" applyNumberFormat="1" applyFont="1" applyBorder="1" applyAlignment="1">
      <alignment horizontal="center" vertical="center" wrapText="1"/>
    </xf>
    <xf numFmtId="3" fontId="14" fillId="0" borderId="4" xfId="0" applyNumberFormat="1" applyFont="1" applyBorder="1" applyAlignment="1">
      <alignment horizontal="left" vertical="center"/>
    </xf>
    <xf numFmtId="0" fontId="2" fillId="0" borderId="0" xfId="0" applyFont="1"/>
    <xf numFmtId="0" fontId="14" fillId="0" borderId="1" xfId="0" applyFont="1" applyBorder="1"/>
    <xf numFmtId="0" fontId="9" fillId="0" borderId="1" xfId="5" applyFont="1" applyBorder="1" applyAlignment="1">
      <alignment horizontal="right" wrapText="1"/>
    </xf>
    <xf numFmtId="0" fontId="14" fillId="0" borderId="3" xfId="5" applyFont="1" applyBorder="1" applyAlignment="1">
      <alignment horizontal="left"/>
    </xf>
    <xf numFmtId="0" fontId="9" fillId="0" borderId="2" xfId="5" applyFont="1" applyBorder="1" applyAlignment="1">
      <alignment horizontal="left" vertical="center"/>
    </xf>
    <xf numFmtId="0" fontId="9" fillId="0" borderId="0" xfId="5" applyFont="1" applyAlignment="1">
      <alignment horizontal="left" vertical="center"/>
    </xf>
    <xf numFmtId="0" fontId="14" fillId="0" borderId="0" xfId="0" applyFont="1" applyAlignment="1">
      <alignment vertical="top" wrapText="1"/>
    </xf>
    <xf numFmtId="0" fontId="9" fillId="0" borderId="1" xfId="5" applyFont="1" applyBorder="1" applyAlignment="1">
      <alignment horizontal="right" vertical="center" wrapText="1"/>
    </xf>
    <xf numFmtId="0" fontId="9" fillId="0" borderId="0" xfId="0" applyFont="1" applyAlignment="1">
      <alignment horizontal="right" vertical="center"/>
    </xf>
    <xf numFmtId="0" fontId="5" fillId="0" borderId="3" xfId="0" applyFont="1" applyBorder="1" applyAlignment="1">
      <alignment vertical="center"/>
    </xf>
    <xf numFmtId="0" fontId="9" fillId="0" borderId="1" xfId="0" applyFont="1" applyBorder="1" applyAlignment="1">
      <alignment horizontal="right" vertical="center"/>
    </xf>
    <xf numFmtId="1" fontId="9" fillId="0" borderId="0" xfId="5" applyNumberFormat="1" applyFont="1" applyAlignment="1">
      <alignment horizontal="right" vertical="center" wrapText="1"/>
    </xf>
    <xf numFmtId="0" fontId="5" fillId="0" borderId="0" xfId="5" applyFont="1" applyAlignment="1">
      <alignment horizontal="left"/>
    </xf>
    <xf numFmtId="3" fontId="9" fillId="0" borderId="3" xfId="0" applyNumberFormat="1" applyFont="1" applyBorder="1"/>
    <xf numFmtId="3" fontId="5" fillId="0" borderId="1" xfId="5" applyNumberFormat="1" applyFont="1" applyBorder="1" applyAlignment="1">
      <alignment horizontal="right" wrapText="1"/>
    </xf>
    <xf numFmtId="164" fontId="5" fillId="0" borderId="1" xfId="6" applyNumberFormat="1" applyBorder="1"/>
    <xf numFmtId="164" fontId="5" fillId="0" borderId="0" xfId="5" applyNumberFormat="1" applyFont="1" applyAlignment="1">
      <alignment horizontal="right" wrapText="1"/>
    </xf>
    <xf numFmtId="164" fontId="9" fillId="0" borderId="0" xfId="6" applyNumberFormat="1" applyFont="1"/>
    <xf numFmtId="0" fontId="5" fillId="0" borderId="0" xfId="0" applyFont="1" applyAlignment="1">
      <alignment vertical="top" wrapText="1"/>
    </xf>
    <xf numFmtId="3" fontId="8" fillId="0" borderId="0" xfId="0" applyNumberFormat="1" applyFont="1"/>
    <xf numFmtId="0" fontId="9" fillId="0" borderId="0" xfId="0" applyFont="1" applyAlignment="1">
      <alignment horizontal="right"/>
    </xf>
    <xf numFmtId="1" fontId="16" fillId="0" borderId="0" xfId="0" applyNumberFormat="1" applyFont="1" applyAlignment="1">
      <alignment vertical="center"/>
    </xf>
    <xf numFmtId="0" fontId="10" fillId="0" borderId="0" xfId="0" applyFont="1"/>
    <xf numFmtId="3" fontId="5" fillId="0" borderId="0" xfId="0" applyNumberFormat="1" applyFont="1" applyAlignment="1">
      <alignment horizontal="right"/>
    </xf>
    <xf numFmtId="9" fontId="10" fillId="0" borderId="0" xfId="2" applyFont="1" applyFill="1" applyBorder="1" applyAlignment="1">
      <alignment horizontal="right"/>
    </xf>
    <xf numFmtId="168" fontId="11" fillId="0" borderId="0" xfId="2" applyNumberFormat="1" applyFont="1" applyFill="1" applyBorder="1" applyAlignment="1">
      <alignment horizontal="right"/>
    </xf>
    <xf numFmtId="168" fontId="11" fillId="0" borderId="1" xfId="2" applyNumberFormat="1" applyFont="1" applyFill="1" applyBorder="1" applyAlignment="1">
      <alignment horizontal="right"/>
    </xf>
    <xf numFmtId="3" fontId="5" fillId="0" borderId="2" xfId="0" applyNumberFormat="1" applyFont="1" applyBorder="1"/>
    <xf numFmtId="0" fontId="8" fillId="2" borderId="1" xfId="8" applyFont="1" applyFill="1" applyBorder="1" applyAlignment="1">
      <alignment horizontal="left" vertical="top" wrapText="1"/>
    </xf>
    <xf numFmtId="0" fontId="10" fillId="2" borderId="1" xfId="8" applyFont="1" applyFill="1" applyBorder="1" applyAlignment="1">
      <alignment horizontal="right" wrapText="1"/>
    </xf>
    <xf numFmtId="0" fontId="9" fillId="2" borderId="0" xfId="0" applyFont="1" applyFill="1" applyAlignment="1">
      <alignment horizontal="right"/>
    </xf>
    <xf numFmtId="0" fontId="14" fillId="2" borderId="1" xfId="7" applyFont="1" applyFill="1" applyBorder="1"/>
    <xf numFmtId="3" fontId="9" fillId="2" borderId="1" xfId="0" applyNumberFormat="1" applyFont="1" applyFill="1" applyBorder="1" applyAlignment="1">
      <alignment horizontal="right"/>
    </xf>
    <xf numFmtId="0" fontId="9" fillId="2" borderId="1" xfId="0" applyFont="1" applyFill="1" applyBorder="1" applyAlignment="1">
      <alignment horizontal="right"/>
    </xf>
    <xf numFmtId="0" fontId="5" fillId="2" borderId="1" xfId="0" applyFont="1" applyFill="1" applyBorder="1"/>
    <xf numFmtId="0" fontId="9" fillId="2" borderId="0" xfId="7" applyFont="1" applyFill="1" applyAlignment="1">
      <alignment horizontal="left" indent="1"/>
    </xf>
    <xf numFmtId="0" fontId="5" fillId="2" borderId="0" xfId="7" applyFont="1" applyFill="1"/>
    <xf numFmtId="164" fontId="5" fillId="2" borderId="0" xfId="9" applyNumberFormat="1" applyFont="1" applyFill="1" applyAlignment="1">
      <alignment horizontal="right" wrapText="1"/>
    </xf>
    <xf numFmtId="168" fontId="11" fillId="2" borderId="0" xfId="2" quotePrefix="1" applyNumberFormat="1" applyFont="1" applyFill="1" applyBorder="1" applyAlignment="1">
      <alignment horizontal="right"/>
    </xf>
    <xf numFmtId="164" fontId="5" fillId="2" borderId="0" xfId="9" quotePrefix="1" applyNumberFormat="1" applyFont="1" applyFill="1" applyAlignment="1">
      <alignment horizontal="right" wrapText="1"/>
    </xf>
    <xf numFmtId="3" fontId="9" fillId="2" borderId="0" xfId="0" applyNumberFormat="1" applyFont="1" applyFill="1" applyAlignment="1">
      <alignment horizontal="right"/>
    </xf>
    <xf numFmtId="0" fontId="9" fillId="2" borderId="0" xfId="7" applyFont="1" applyFill="1" applyAlignment="1">
      <alignment horizontal="left"/>
    </xf>
    <xf numFmtId="0" fontId="9" fillId="2" borderId="4" xfId="7" applyFont="1" applyFill="1" applyBorder="1" applyAlignment="1">
      <alignment vertical="center" wrapText="1"/>
    </xf>
    <xf numFmtId="3" fontId="9" fillId="2" borderId="4" xfId="7" applyNumberFormat="1" applyFont="1" applyFill="1" applyBorder="1" applyAlignment="1">
      <alignment horizontal="right" vertical="center"/>
    </xf>
    <xf numFmtId="168" fontId="10" fillId="2" borderId="4" xfId="2" quotePrefix="1" applyNumberFormat="1" applyFont="1" applyFill="1" applyBorder="1" applyAlignment="1">
      <alignment horizontal="right" vertical="center"/>
    </xf>
    <xf numFmtId="3" fontId="5" fillId="2" borderId="0" xfId="7" applyNumberFormat="1" applyFont="1" applyFill="1" applyAlignment="1">
      <alignment horizontal="right"/>
    </xf>
    <xf numFmtId="3" fontId="5" fillId="2" borderId="0" xfId="0" applyNumberFormat="1" applyFont="1" applyFill="1" applyAlignment="1">
      <alignment horizontal="right"/>
    </xf>
    <xf numFmtId="1" fontId="11" fillId="2" borderId="0" xfId="7" quotePrefix="1" applyNumberFormat="1" applyFont="1" applyFill="1" applyAlignment="1">
      <alignment horizontal="right"/>
    </xf>
    <xf numFmtId="3" fontId="9" fillId="2" borderId="1" xfId="7" applyNumberFormat="1" applyFont="1" applyFill="1" applyBorder="1" applyAlignment="1">
      <alignment horizontal="right"/>
    </xf>
    <xf numFmtId="0" fontId="9" fillId="2" borderId="0" xfId="7" applyFont="1" applyFill="1"/>
    <xf numFmtId="1" fontId="10" fillId="2" borderId="1" xfId="7" quotePrefix="1" applyNumberFormat="1" applyFont="1" applyFill="1" applyBorder="1" applyAlignment="1">
      <alignment horizontal="right"/>
    </xf>
    <xf numFmtId="0" fontId="10" fillId="2" borderId="1" xfId="0" applyFont="1" applyFill="1" applyBorder="1" applyAlignment="1">
      <alignment horizontal="right"/>
    </xf>
    <xf numFmtId="0" fontId="9" fillId="2" borderId="4" xfId="7" applyFont="1" applyFill="1" applyBorder="1" applyAlignment="1">
      <alignment vertical="center"/>
    </xf>
    <xf numFmtId="0" fontId="14" fillId="2" borderId="1" xfId="0" applyFont="1" applyFill="1" applyBorder="1"/>
    <xf numFmtId="0" fontId="9" fillId="2" borderId="0" xfId="0" applyFont="1" applyFill="1"/>
    <xf numFmtId="3" fontId="9" fillId="2" borderId="0" xfId="7" applyNumberFormat="1" applyFont="1" applyFill="1" applyAlignment="1">
      <alignment horizontal="right"/>
    </xf>
    <xf numFmtId="0" fontId="9" fillId="2" borderId="0" xfId="7" applyFont="1" applyFill="1" applyAlignment="1">
      <alignment vertical="center"/>
    </xf>
    <xf numFmtId="3" fontId="9" fillId="2" borderId="0" xfId="7" applyNumberFormat="1" applyFont="1" applyFill="1" applyAlignment="1">
      <alignment horizontal="right" vertical="center"/>
    </xf>
    <xf numFmtId="3" fontId="9" fillId="2" borderId="0" xfId="0" applyNumberFormat="1" applyFont="1" applyFill="1" applyAlignment="1">
      <alignment horizontal="right" vertical="center"/>
    </xf>
    <xf numFmtId="9" fontId="10" fillId="2" borderId="0" xfId="2" quotePrefix="1" applyFont="1" applyFill="1" applyBorder="1" applyAlignment="1">
      <alignment horizontal="right" vertical="center"/>
    </xf>
    <xf numFmtId="0" fontId="14" fillId="2" borderId="4" xfId="0" applyFont="1" applyFill="1" applyBorder="1" applyAlignment="1">
      <alignment vertical="center"/>
    </xf>
    <xf numFmtId="3" fontId="9" fillId="2" borderId="4" xfId="0" applyNumberFormat="1" applyFont="1" applyFill="1" applyBorder="1" applyAlignment="1">
      <alignment vertical="center"/>
    </xf>
    <xf numFmtId="0" fontId="14" fillId="2" borderId="0" xfId="0" applyFont="1" applyFill="1"/>
    <xf numFmtId="3" fontId="9" fillId="2" borderId="0" xfId="0" applyNumberFormat="1" applyFont="1" applyFill="1" applyAlignment="1">
      <alignment vertical="center"/>
    </xf>
    <xf numFmtId="0" fontId="14" fillId="2" borderId="4" xfId="0" applyFont="1" applyFill="1" applyBorder="1" applyAlignment="1">
      <alignment vertical="center" wrapText="1"/>
    </xf>
    <xf numFmtId="0" fontId="5" fillId="2" borderId="0" xfId="0" applyFont="1" applyFill="1" applyAlignment="1">
      <alignment horizontal="right"/>
    </xf>
    <xf numFmtId="172" fontId="5" fillId="2" borderId="0" xfId="0" applyNumberFormat="1" applyFont="1" applyFill="1"/>
    <xf numFmtId="0" fontId="10" fillId="2" borderId="0" xfId="0" applyFont="1" applyFill="1" applyAlignment="1">
      <alignment horizontal="right"/>
    </xf>
    <xf numFmtId="0" fontId="9" fillId="2" borderId="5" xfId="0" applyFont="1" applyFill="1" applyBorder="1" applyAlignment="1">
      <alignment vertical="center"/>
    </xf>
    <xf numFmtId="0" fontId="9" fillId="2" borderId="5" xfId="10" applyFont="1" applyFill="1" applyBorder="1" applyAlignment="1">
      <alignment horizontal="right" vertical="center" wrapText="1"/>
    </xf>
    <xf numFmtId="0" fontId="5" fillId="2" borderId="0" xfId="0" applyFont="1" applyFill="1" applyAlignment="1">
      <alignment vertical="center"/>
    </xf>
    <xf numFmtId="166" fontId="5" fillId="2" borderId="0" xfId="1" applyNumberFormat="1" applyFont="1" applyFill="1" applyAlignment="1"/>
    <xf numFmtId="166" fontId="9" fillId="2" borderId="0" xfId="1" applyNumberFormat="1" applyFont="1" applyFill="1" applyBorder="1" applyAlignment="1"/>
    <xf numFmtId="168" fontId="11" fillId="2" borderId="0" xfId="2" quotePrefix="1" applyNumberFormat="1" applyFont="1" applyFill="1" applyBorder="1" applyAlignment="1"/>
    <xf numFmtId="0" fontId="9" fillId="2" borderId="4" xfId="0" applyFont="1" applyFill="1" applyBorder="1" applyAlignment="1">
      <alignment horizontal="left" vertical="center"/>
    </xf>
    <xf numFmtId="166" fontId="9" fillId="2" borderId="4" xfId="1" applyNumberFormat="1" applyFont="1" applyFill="1" applyBorder="1" applyAlignment="1">
      <alignment horizontal="right" vertical="center"/>
    </xf>
    <xf numFmtId="168" fontId="11" fillId="2" borderId="4" xfId="2" quotePrefix="1" applyNumberFormat="1" applyFont="1" applyFill="1" applyBorder="1" applyAlignment="1">
      <alignment horizontal="right" vertical="center"/>
    </xf>
    <xf numFmtId="0" fontId="9" fillId="0" borderId="1" xfId="7" applyFont="1" applyBorder="1" applyAlignment="1">
      <alignment horizontal="right" wrapText="1"/>
    </xf>
    <xf numFmtId="0" fontId="9" fillId="0" borderId="0" xfId="7" applyFont="1" applyAlignment="1">
      <alignment horizontal="left"/>
    </xf>
    <xf numFmtId="166" fontId="9" fillId="0" borderId="0" xfId="1" applyNumberFormat="1" applyFont="1" applyFill="1" applyBorder="1" applyAlignment="1">
      <alignment horizontal="right"/>
    </xf>
    <xf numFmtId="0" fontId="9" fillId="0" borderId="4" xfId="0" applyFont="1" applyBorder="1" applyAlignment="1">
      <alignment horizontal="left" vertical="center"/>
    </xf>
    <xf numFmtId="3" fontId="9" fillId="0" borderId="4" xfId="0" applyNumberFormat="1" applyFont="1" applyBorder="1" applyAlignment="1">
      <alignment vertical="center"/>
    </xf>
    <xf numFmtId="0" fontId="5" fillId="0" borderId="0" xfId="0" applyFont="1" applyAlignment="1">
      <alignment vertical="center" wrapText="1"/>
    </xf>
    <xf numFmtId="9" fontId="9" fillId="0" borderId="1" xfId="2" applyFont="1" applyFill="1" applyBorder="1" applyAlignment="1">
      <alignment horizontal="right" wrapText="1"/>
    </xf>
    <xf numFmtId="9" fontId="9" fillId="0" borderId="0" xfId="2" applyFont="1" applyFill="1" applyBorder="1" applyAlignment="1">
      <alignment horizontal="left"/>
    </xf>
    <xf numFmtId="168" fontId="5" fillId="0" borderId="0" xfId="2" applyNumberFormat="1" applyFont="1" applyFill="1" applyBorder="1" applyAlignment="1"/>
    <xf numFmtId="168" fontId="9" fillId="0" borderId="0" xfId="2" applyNumberFormat="1" applyFont="1" applyFill="1" applyBorder="1" applyAlignment="1"/>
    <xf numFmtId="9" fontId="9" fillId="0" borderId="0" xfId="2" applyFont="1" applyFill="1" applyBorder="1" applyAlignment="1">
      <alignment horizontal="left" wrapText="1"/>
    </xf>
    <xf numFmtId="9" fontId="9" fillId="0" borderId="4" xfId="2" applyFont="1" applyFill="1" applyBorder="1" applyAlignment="1">
      <alignment horizontal="left" vertical="center"/>
    </xf>
    <xf numFmtId="9" fontId="9" fillId="0" borderId="4" xfId="2" applyFont="1" applyFill="1" applyBorder="1" applyAlignment="1">
      <alignment vertical="center"/>
    </xf>
    <xf numFmtId="9" fontId="11" fillId="0" borderId="0" xfId="2" applyFont="1" applyFill="1" applyBorder="1" applyAlignment="1"/>
    <xf numFmtId="9" fontId="10" fillId="0" borderId="0" xfId="2" applyFont="1" applyFill="1" applyBorder="1" applyAlignment="1"/>
    <xf numFmtId="0" fontId="8" fillId="2" borderId="1" xfId="0" applyFont="1" applyFill="1" applyBorder="1" applyAlignment="1">
      <alignment horizontal="left" vertical="top" wrapText="1"/>
    </xf>
    <xf numFmtId="0" fontId="9" fillId="2" borderId="1" xfId="0" applyFont="1" applyFill="1" applyBorder="1" applyAlignment="1">
      <alignment horizontal="right" wrapText="1"/>
    </xf>
    <xf numFmtId="0" fontId="18" fillId="2" borderId="0" xfId="3" applyFont="1" applyFill="1" applyAlignment="1" applyProtection="1">
      <alignment vertical="top"/>
    </xf>
    <xf numFmtId="0" fontId="9" fillId="2" borderId="0" xfId="0" applyFont="1" applyFill="1" applyAlignment="1">
      <alignment wrapText="1"/>
    </xf>
    <xf numFmtId="0" fontId="9" fillId="2" borderId="1" xfId="0" applyFont="1" applyFill="1" applyBorder="1" applyAlignment="1">
      <alignment wrapText="1"/>
    </xf>
    <xf numFmtId="0" fontId="9" fillId="2" borderId="5" xfId="0" applyFont="1" applyFill="1" applyBorder="1" applyAlignment="1">
      <alignment horizontal="right" wrapText="1"/>
    </xf>
    <xf numFmtId="0" fontId="9" fillId="2" borderId="0" xfId="0" applyFont="1" applyFill="1" applyAlignment="1">
      <alignment horizontal="right" wrapText="1"/>
    </xf>
    <xf numFmtId="0" fontId="9" fillId="2" borderId="0" xfId="0" applyFont="1" applyFill="1" applyAlignment="1">
      <alignment horizontal="left"/>
    </xf>
    <xf numFmtId="172" fontId="11" fillId="2" borderId="0" xfId="0" applyNumberFormat="1" applyFont="1" applyFill="1" applyAlignment="1">
      <alignment horizontal="right"/>
    </xf>
    <xf numFmtId="1" fontId="11" fillId="2" borderId="0" xfId="0" applyNumberFormat="1" applyFont="1" applyFill="1" applyAlignment="1">
      <alignment horizontal="right"/>
    </xf>
    <xf numFmtId="172" fontId="10" fillId="2" borderId="0" xfId="0" applyNumberFormat="1" applyFont="1" applyFill="1" applyAlignment="1">
      <alignment horizontal="right"/>
    </xf>
    <xf numFmtId="172" fontId="10" fillId="2" borderId="0" xfId="0" applyNumberFormat="1" applyFont="1" applyFill="1"/>
    <xf numFmtId="0" fontId="5" fillId="2" borderId="0" xfId="4" applyFill="1"/>
    <xf numFmtId="0" fontId="8" fillId="2" borderId="1" xfId="0" applyFont="1" applyFill="1" applyBorder="1" applyAlignment="1">
      <alignment horizontal="left" vertical="center" wrapText="1"/>
    </xf>
    <xf numFmtId="0" fontId="9" fillId="2" borderId="1" xfId="0" applyFont="1" applyFill="1" applyBorder="1"/>
    <xf numFmtId="0" fontId="9" fillId="2" borderId="3" xfId="0" applyFont="1" applyFill="1" applyBorder="1" applyAlignment="1">
      <alignment horizontal="left"/>
    </xf>
    <xf numFmtId="0" fontId="9" fillId="2" borderId="0" xfId="0" applyFont="1" applyFill="1" applyAlignment="1">
      <alignment horizontal="left" vertical="center"/>
    </xf>
    <xf numFmtId="172" fontId="5" fillId="2" borderId="0" xfId="0" applyNumberFormat="1" applyFont="1" applyFill="1" applyAlignment="1">
      <alignment vertical="center"/>
    </xf>
    <xf numFmtId="0" fontId="6" fillId="2" borderId="0" xfId="0" applyFont="1" applyFill="1"/>
    <xf numFmtId="14" fontId="9" fillId="2" borderId="1" xfId="0" applyNumberFormat="1" applyFont="1" applyFill="1" applyBorder="1" applyAlignment="1" applyProtection="1">
      <alignment horizontal="right"/>
      <protection locked="0"/>
    </xf>
    <xf numFmtId="0" fontId="5" fillId="2" borderId="0" xfId="0" quotePrefix="1" applyFont="1" applyFill="1" applyAlignment="1">
      <alignment horizontal="right"/>
    </xf>
    <xf numFmtId="0" fontId="5" fillId="2" borderId="3" xfId="0" applyFont="1" applyFill="1" applyBorder="1" applyAlignment="1">
      <alignment horizontal="right"/>
    </xf>
    <xf numFmtId="1" fontId="11" fillId="2" borderId="3" xfId="0" applyNumberFormat="1" applyFont="1" applyFill="1" applyBorder="1" applyAlignment="1">
      <alignment horizontal="right"/>
    </xf>
    <xf numFmtId="0" fontId="5" fillId="0" borderId="0" xfId="0" applyFont="1" applyProtection="1">
      <protection locked="0"/>
    </xf>
    <xf numFmtId="0" fontId="5" fillId="0" borderId="1" xfId="0" applyFont="1" applyBorder="1" applyProtection="1">
      <protection locked="0"/>
    </xf>
    <xf numFmtId="164" fontId="9" fillId="0" borderId="2" xfId="0" applyNumberFormat="1" applyFont="1" applyBorder="1"/>
    <xf numFmtId="0" fontId="9" fillId="0" borderId="0" xfId="0" applyFont="1" applyProtection="1">
      <protection locked="0"/>
    </xf>
    <xf numFmtId="0" fontId="9" fillId="0" borderId="0" xfId="0" applyFont="1" applyAlignment="1" applyProtection="1">
      <alignment horizontal="right"/>
      <protection locked="0"/>
    </xf>
    <xf numFmtId="0" fontId="9" fillId="2" borderId="0" xfId="0" applyFont="1" applyFill="1" applyAlignment="1">
      <alignment horizontal="left" vertical="center" wrapText="1"/>
    </xf>
    <xf numFmtId="0" fontId="10" fillId="2" borderId="1" xfId="0" applyFont="1" applyFill="1" applyBorder="1"/>
    <xf numFmtId="0" fontId="14" fillId="2" borderId="1" xfId="0" applyFont="1" applyFill="1" applyBorder="1" applyAlignment="1">
      <alignment vertical="center"/>
    </xf>
    <xf numFmtId="0" fontId="19" fillId="2" borderId="1" xfId="0" applyFont="1" applyFill="1" applyBorder="1"/>
    <xf numFmtId="0" fontId="19" fillId="2" borderId="1" xfId="0" applyFont="1" applyFill="1" applyBorder="1" applyAlignment="1">
      <alignment horizontal="right" wrapText="1"/>
    </xf>
    <xf numFmtId="3" fontId="5" fillId="2" borderId="0" xfId="0" applyNumberFormat="1" applyFont="1" applyFill="1"/>
    <xf numFmtId="14" fontId="9" fillId="0" borderId="1" xfId="0" applyNumberFormat="1" applyFont="1" applyBorder="1" applyAlignment="1">
      <alignment horizontal="right" wrapText="1"/>
    </xf>
    <xf numFmtId="164" fontId="5" fillId="0" borderId="0" xfId="0" applyNumberFormat="1" applyFont="1" applyAlignment="1">
      <alignment horizontal="right" wrapText="1"/>
    </xf>
    <xf numFmtId="164" fontId="9" fillId="0" borderId="0" xfId="0" applyNumberFormat="1" applyFont="1" applyAlignment="1">
      <alignment horizontal="right" wrapText="1"/>
    </xf>
    <xf numFmtId="0" fontId="9" fillId="0" borderId="4" xfId="0" applyFont="1" applyBorder="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center"/>
    </xf>
    <xf numFmtId="0" fontId="9" fillId="0" borderId="5" xfId="0" applyFont="1" applyBorder="1" applyAlignment="1">
      <alignment horizontal="right" wrapText="1"/>
    </xf>
    <xf numFmtId="164" fontId="9" fillId="0" borderId="0" xfId="0" applyNumberFormat="1" applyFont="1" applyAlignment="1">
      <alignment horizontal="right"/>
    </xf>
    <xf numFmtId="164" fontId="5" fillId="0" borderId="0" xfId="13" applyNumberFormat="1" applyFont="1" applyAlignment="1">
      <alignment horizontal="right"/>
    </xf>
    <xf numFmtId="0" fontId="10" fillId="0" borderId="0" xfId="0" applyFont="1" applyAlignment="1">
      <alignment horizontal="right"/>
    </xf>
    <xf numFmtId="0" fontId="12" fillId="2" borderId="0" xfId="0" applyFont="1" applyFill="1"/>
    <xf numFmtId="0" fontId="14" fillId="0" borderId="4" xfId="0" applyFont="1" applyBorder="1" applyAlignment="1">
      <alignment horizontal="left" vertical="center"/>
    </xf>
    <xf numFmtId="0" fontId="14" fillId="0" borderId="0" xfId="0" applyFont="1" applyAlignment="1">
      <alignment horizontal="left" vertical="center"/>
    </xf>
    <xf numFmtId="0" fontId="9" fillId="2" borderId="1" xfId="12" applyFont="1" applyFill="1" applyBorder="1" applyAlignment="1">
      <alignment horizontal="right" wrapText="1"/>
    </xf>
    <xf numFmtId="0" fontId="9" fillId="2" borderId="2" xfId="0" applyFont="1" applyFill="1" applyBorder="1" applyAlignment="1">
      <alignment horizontal="left"/>
    </xf>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3" fontId="11" fillId="2" borderId="0" xfId="0" applyNumberFormat="1" applyFont="1" applyFill="1"/>
    <xf numFmtId="0" fontId="22" fillId="2" borderId="1" xfId="0" applyFont="1" applyFill="1" applyBorder="1"/>
    <xf numFmtId="0" fontId="9" fillId="2" borderId="1" xfId="0" applyFont="1" applyFill="1" applyBorder="1" applyAlignment="1">
      <alignment horizontal="left" wrapText="1"/>
    </xf>
    <xf numFmtId="0" fontId="5" fillId="2" borderId="1" xfId="0" applyFont="1" applyFill="1" applyBorder="1" applyAlignment="1">
      <alignment horizontal="right"/>
    </xf>
    <xf numFmtId="3" fontId="9" fillId="2" borderId="5" xfId="0" applyNumberFormat="1" applyFont="1" applyFill="1" applyBorder="1" applyAlignment="1">
      <alignment horizontal="center" wrapText="1"/>
    </xf>
    <xf numFmtId="0" fontId="2" fillId="2" borderId="0" xfId="0" applyFont="1" applyFill="1"/>
    <xf numFmtId="3" fontId="9" fillId="0" borderId="1" xfId="0" applyNumberFormat="1" applyFont="1" applyBorder="1" applyAlignment="1">
      <alignment horizontal="right" wrapText="1"/>
    </xf>
    <xf numFmtId="0" fontId="10" fillId="0" borderId="1" xfId="0" applyFont="1" applyBorder="1"/>
    <xf numFmtId="0" fontId="22" fillId="0" borderId="1" xfId="0" applyFont="1" applyBorder="1" applyAlignment="1">
      <alignment horizontal="right"/>
    </xf>
    <xf numFmtId="172" fontId="9" fillId="0" borderId="0" xfId="0" applyNumberFormat="1" applyFont="1"/>
    <xf numFmtId="172" fontId="9" fillId="0" borderId="0" xfId="0" applyNumberFormat="1" applyFont="1" applyAlignment="1">
      <alignment horizontal="right"/>
    </xf>
    <xf numFmtId="0" fontId="8" fillId="0" borderId="0" xfId="0" applyFont="1" applyAlignment="1">
      <alignment horizontal="left" vertical="center" wrapText="1"/>
    </xf>
    <xf numFmtId="0" fontId="8" fillId="0" borderId="0" xfId="0" applyFont="1" applyAlignment="1">
      <alignment horizontal="left" vertical="top" wrapText="1"/>
    </xf>
    <xf numFmtId="0" fontId="8" fillId="2" borderId="0" xfId="0" applyFont="1" applyFill="1" applyAlignment="1">
      <alignment horizontal="left" vertical="center" wrapText="1"/>
    </xf>
    <xf numFmtId="0" fontId="9" fillId="0" borderId="1" xfId="0" applyFont="1" applyBorder="1" applyAlignment="1">
      <alignment horizontal="center" wrapText="1"/>
    </xf>
    <xf numFmtId="0" fontId="9" fillId="0" borderId="0" xfId="0" applyFont="1" applyAlignment="1">
      <alignment horizontal="center" wrapText="1"/>
    </xf>
    <xf numFmtId="0" fontId="9" fillId="2" borderId="0" xfId="0" applyFont="1" applyFill="1" applyAlignment="1">
      <alignment horizontal="left" wrapText="1"/>
    </xf>
    <xf numFmtId="174" fontId="9" fillId="2" borderId="4" xfId="0" applyNumberFormat="1" applyFont="1" applyFill="1" applyBorder="1" applyAlignment="1">
      <alignment vertical="center"/>
    </xf>
    <xf numFmtId="0" fontId="9" fillId="2" borderId="0" xfId="18" applyFont="1" applyFill="1" applyAlignment="1">
      <alignment horizontal="left" vertical="center" wrapText="1"/>
    </xf>
    <xf numFmtId="166" fontId="9" fillId="2" borderId="0" xfId="0" applyNumberFormat="1" applyFont="1" applyFill="1" applyAlignment="1">
      <alignment vertical="center"/>
    </xf>
    <xf numFmtId="0" fontId="14" fillId="0" borderId="1" xfId="0" applyFont="1" applyBorder="1" applyAlignment="1">
      <alignment wrapText="1"/>
    </xf>
    <xf numFmtId="0" fontId="14" fillId="0" borderId="1" xfId="0" applyFont="1" applyBorder="1" applyAlignment="1">
      <alignment horizontal="right" wrapText="1"/>
    </xf>
    <xf numFmtId="164" fontId="14" fillId="0" borderId="4" xfId="0" applyNumberFormat="1" applyFont="1" applyBorder="1" applyAlignment="1">
      <alignment vertical="center"/>
    </xf>
    <xf numFmtId="0" fontId="5" fillId="0" borderId="0" xfId="0" applyFont="1" applyAlignment="1">
      <alignment horizontal="left" vertical="top" wrapText="1"/>
    </xf>
    <xf numFmtId="169" fontId="5" fillId="0" borderId="0" xfId="17" applyNumberFormat="1" applyFont="1" applyFill="1" applyBorder="1" applyAlignment="1">
      <alignment horizontal="right"/>
    </xf>
    <xf numFmtId="166" fontId="9" fillId="0" borderId="0" xfId="17" applyNumberFormat="1" applyFont="1" applyFill="1" applyBorder="1" applyAlignment="1">
      <alignment horizontal="right"/>
    </xf>
    <xf numFmtId="172" fontId="11" fillId="0" borderId="0" xfId="0" quotePrefix="1" applyNumberFormat="1" applyFont="1" applyAlignment="1">
      <alignment horizontal="right"/>
    </xf>
    <xf numFmtId="0" fontId="9" fillId="0" borderId="1" xfId="19" applyFont="1" applyBorder="1" applyAlignment="1">
      <alignment horizontal="left"/>
    </xf>
    <xf numFmtId="0" fontId="9" fillId="0" borderId="1" xfId="19" applyFont="1" applyBorder="1" applyAlignment="1">
      <alignment horizontal="right"/>
    </xf>
    <xf numFmtId="0" fontId="9" fillId="0" borderId="1" xfId="19" applyFont="1" applyBorder="1" applyAlignment="1">
      <alignment horizontal="right" wrapText="1"/>
    </xf>
    <xf numFmtId="0" fontId="9" fillId="0" borderId="0" xfId="19" applyFont="1"/>
    <xf numFmtId="166" fontId="9" fillId="0" borderId="4" xfId="17" applyNumberFormat="1" applyFont="1" applyFill="1" applyBorder="1" applyAlignment="1">
      <alignment vertical="center"/>
    </xf>
    <xf numFmtId="166" fontId="9" fillId="0" borderId="0" xfId="17" applyNumberFormat="1" applyFont="1" applyFill="1" applyBorder="1" applyAlignment="1">
      <alignment vertical="center"/>
    </xf>
    <xf numFmtId="3" fontId="9" fillId="0" borderId="0" xfId="19" quotePrefix="1" applyNumberFormat="1" applyFont="1" applyAlignment="1">
      <alignment horizontal="right" vertical="center"/>
    </xf>
    <xf numFmtId="1" fontId="9" fillId="0" borderId="0" xfId="0" applyNumberFormat="1" applyFont="1" applyAlignment="1">
      <alignment vertical="center"/>
    </xf>
    <xf numFmtId="165" fontId="10" fillId="0" borderId="0" xfId="0" quotePrefix="1" applyNumberFormat="1" applyFont="1" applyAlignment="1">
      <alignment horizontal="right" vertical="center"/>
    </xf>
    <xf numFmtId="0" fontId="16" fillId="0" borderId="4" xfId="0" applyFont="1" applyBorder="1" applyAlignment="1">
      <alignment vertical="center"/>
    </xf>
    <xf numFmtId="0" fontId="16" fillId="0" borderId="0" xfId="0" applyFont="1" applyAlignment="1">
      <alignment vertical="center"/>
    </xf>
    <xf numFmtId="2" fontId="16" fillId="0" borderId="0" xfId="0" applyNumberFormat="1" applyFont="1" applyAlignment="1">
      <alignment vertical="center"/>
    </xf>
    <xf numFmtId="0" fontId="9" fillId="2" borderId="4" xfId="0" applyFont="1" applyFill="1" applyBorder="1" applyAlignment="1">
      <alignment vertical="center"/>
    </xf>
    <xf numFmtId="0" fontId="24" fillId="0" borderId="0" xfId="0" applyFont="1"/>
    <xf numFmtId="0" fontId="4" fillId="0" borderId="0" xfId="0" applyFont="1" applyAlignment="1">
      <alignment wrapText="1"/>
    </xf>
    <xf numFmtId="166" fontId="5" fillId="0" borderId="0" xfId="21" applyNumberFormat="1" applyFont="1" applyFill="1" applyBorder="1" applyAlignment="1">
      <alignment horizontal="right" wrapText="1"/>
    </xf>
    <xf numFmtId="166" fontId="9" fillId="0" borderId="0" xfId="21" applyNumberFormat="1" applyFont="1" applyFill="1" applyBorder="1" applyAlignment="1">
      <alignment horizontal="right" wrapText="1"/>
    </xf>
    <xf numFmtId="9" fontId="5" fillId="0" borderId="0" xfId="22" applyFont="1" applyFill="1" applyBorder="1"/>
    <xf numFmtId="166" fontId="9" fillId="0" borderId="0" xfId="21" applyNumberFormat="1" applyFont="1" applyFill="1" applyBorder="1" applyAlignment="1">
      <alignment horizontal="right" vertical="center" wrapText="1"/>
    </xf>
    <xf numFmtId="9" fontId="5" fillId="0" borderId="0" xfId="22" applyFont="1" applyFill="1" applyBorder="1" applyAlignment="1">
      <alignment vertical="center"/>
    </xf>
    <xf numFmtId="9" fontId="5" fillId="0" borderId="0" xfId="22" applyFont="1" applyFill="1" applyBorder="1" applyAlignment="1">
      <alignment horizontal="right" wrapText="1"/>
    </xf>
    <xf numFmtId="9" fontId="5" fillId="0" borderId="0" xfId="22" applyFont="1" applyFill="1" applyAlignment="1">
      <alignment horizontal="right" wrapText="1"/>
    </xf>
    <xf numFmtId="168" fontId="11" fillId="0" borderId="3" xfId="22" applyNumberFormat="1" applyFont="1" applyFill="1" applyBorder="1" applyAlignment="1">
      <alignment horizontal="right" wrapText="1"/>
    </xf>
    <xf numFmtId="9" fontId="11" fillId="0" borderId="0" xfId="22" applyFont="1" applyFill="1" applyBorder="1" applyAlignment="1">
      <alignment horizontal="right" wrapText="1"/>
    </xf>
    <xf numFmtId="9" fontId="11" fillId="0" borderId="0" xfId="22" applyFont="1" applyFill="1" applyBorder="1" applyAlignment="1">
      <alignment horizontal="right"/>
    </xf>
    <xf numFmtId="9" fontId="10" fillId="0" borderId="4" xfId="22" applyFont="1" applyFill="1" applyBorder="1" applyAlignment="1">
      <alignment horizontal="right" vertical="center"/>
    </xf>
    <xf numFmtId="9" fontId="10" fillId="0" borderId="0" xfId="22" applyFont="1" applyFill="1" applyBorder="1" applyAlignment="1" applyProtection="1">
      <alignment horizontal="right"/>
      <protection locked="0"/>
    </xf>
    <xf numFmtId="164" fontId="9" fillId="0" borderId="0" xfId="21" applyNumberFormat="1" applyFont="1" applyFill="1" applyBorder="1" applyAlignment="1">
      <alignment vertical="center"/>
    </xf>
    <xf numFmtId="10" fontId="9" fillId="0" borderId="0" xfId="22" applyNumberFormat="1" applyFont="1" applyFill="1" applyBorder="1" applyAlignment="1">
      <alignment vertical="center"/>
    </xf>
    <xf numFmtId="3" fontId="10" fillId="0" borderId="0" xfId="0" applyNumberFormat="1" applyFont="1"/>
    <xf numFmtId="9" fontId="5" fillId="0" borderId="0" xfId="22" applyFont="1" applyFill="1"/>
    <xf numFmtId="166" fontId="5" fillId="0" borderId="0" xfId="21" applyNumberFormat="1" applyFont="1" applyFill="1" applyBorder="1"/>
    <xf numFmtId="166" fontId="9" fillId="0" borderId="0" xfId="21" applyNumberFormat="1" applyFont="1" applyFill="1" applyBorder="1"/>
    <xf numFmtId="166" fontId="16" fillId="0" borderId="4" xfId="21" applyNumberFormat="1" applyFont="1" applyFill="1" applyBorder="1" applyAlignment="1">
      <alignment vertical="center"/>
    </xf>
    <xf numFmtId="166" fontId="16" fillId="0" borderId="0" xfId="21" applyNumberFormat="1" applyFont="1" applyFill="1" applyBorder="1" applyAlignment="1">
      <alignment vertical="center"/>
    </xf>
    <xf numFmtId="9" fontId="16" fillId="0" borderId="0" xfId="22" applyFont="1" applyFill="1" applyBorder="1" applyAlignment="1">
      <alignment vertical="center"/>
    </xf>
    <xf numFmtId="166" fontId="9" fillId="0" borderId="4" xfId="21" applyNumberFormat="1" applyFont="1" applyFill="1" applyBorder="1" applyAlignment="1">
      <alignment vertical="center"/>
    </xf>
    <xf numFmtId="166" fontId="9" fillId="0" borderId="3" xfId="21" applyNumberFormat="1" applyFont="1" applyFill="1" applyBorder="1"/>
    <xf numFmtId="166" fontId="9" fillId="0" borderId="1" xfId="21" applyNumberFormat="1" applyFont="1" applyFill="1" applyBorder="1" applyAlignment="1">
      <alignment horizontal="right" wrapText="1"/>
    </xf>
    <xf numFmtId="166" fontId="9" fillId="0" borderId="4" xfId="21" applyNumberFormat="1" applyFont="1" applyFill="1" applyBorder="1" applyAlignment="1">
      <alignment horizontal="right" vertical="center" wrapText="1"/>
    </xf>
    <xf numFmtId="9" fontId="10" fillId="0" borderId="2" xfId="22" applyFont="1" applyFill="1" applyBorder="1"/>
    <xf numFmtId="9" fontId="10" fillId="0" borderId="0" xfId="22" applyFont="1" applyFill="1" applyBorder="1"/>
    <xf numFmtId="166" fontId="9" fillId="0" borderId="3" xfId="21" applyNumberFormat="1" applyFont="1" applyFill="1" applyBorder="1" applyAlignment="1">
      <alignment vertical="center"/>
    </xf>
    <xf numFmtId="166" fontId="9" fillId="0" borderId="0" xfId="21" applyNumberFormat="1" applyFont="1" applyFill="1" applyBorder="1" applyAlignment="1">
      <alignment vertical="center"/>
    </xf>
    <xf numFmtId="9" fontId="10" fillId="0" borderId="4" xfId="22" applyFont="1" applyFill="1" applyBorder="1" applyAlignment="1">
      <alignment vertical="center"/>
    </xf>
    <xf numFmtId="9" fontId="9" fillId="0" borderId="0" xfId="22" applyFont="1" applyFill="1" applyBorder="1" applyAlignment="1">
      <alignment vertical="center"/>
    </xf>
    <xf numFmtId="168" fontId="11" fillId="0" borderId="1" xfId="22" applyNumberFormat="1" applyFont="1" applyFill="1" applyBorder="1"/>
    <xf numFmtId="9" fontId="11" fillId="0" borderId="1" xfId="22" applyFont="1" applyFill="1" applyBorder="1"/>
    <xf numFmtId="9" fontId="11" fillId="0" borderId="3" xfId="22" applyFont="1" applyFill="1" applyBorder="1"/>
    <xf numFmtId="166" fontId="11" fillId="0" borderId="0" xfId="0" applyNumberFormat="1" applyFont="1"/>
    <xf numFmtId="0" fontId="8" fillId="2" borderId="0" xfId="0" applyFont="1" applyFill="1" applyAlignment="1">
      <alignment horizontal="left" vertical="top" wrapText="1"/>
    </xf>
    <xf numFmtId="170" fontId="5" fillId="0" borderId="2" xfId="6" applyNumberFormat="1" applyBorder="1"/>
    <xf numFmtId="170" fontId="9" fillId="0" borderId="4" xfId="6" applyNumberFormat="1" applyFont="1" applyBorder="1"/>
    <xf numFmtId="0" fontId="0" fillId="0" borderId="1" xfId="0" applyBorder="1"/>
    <xf numFmtId="0" fontId="5" fillId="2" borderId="2" xfId="0" applyFont="1" applyFill="1" applyBorder="1"/>
    <xf numFmtId="168" fontId="11" fillId="2" borderId="2" xfId="2" quotePrefix="1" applyNumberFormat="1" applyFont="1" applyFill="1" applyBorder="1" applyAlignment="1">
      <alignment horizontal="right"/>
    </xf>
    <xf numFmtId="1" fontId="10" fillId="2" borderId="0" xfId="7" quotePrefix="1" applyNumberFormat="1" applyFont="1" applyFill="1" applyAlignment="1">
      <alignment horizontal="right"/>
    </xf>
    <xf numFmtId="3" fontId="9" fillId="2" borderId="2" xfId="0" applyNumberFormat="1" applyFont="1" applyFill="1" applyBorder="1" applyAlignment="1">
      <alignment horizontal="right"/>
    </xf>
    <xf numFmtId="3" fontId="5" fillId="2" borderId="2" xfId="7" applyNumberFormat="1" applyFont="1" applyFill="1" applyBorder="1" applyAlignment="1">
      <alignment horizontal="right"/>
    </xf>
    <xf numFmtId="3" fontId="9" fillId="2" borderId="2" xfId="0" quotePrefix="1" applyNumberFormat="1" applyFont="1" applyFill="1" applyBorder="1" applyAlignment="1">
      <alignment horizontal="right"/>
    </xf>
    <xf numFmtId="0" fontId="14" fillId="2" borderId="0" xfId="7" applyFont="1" applyFill="1"/>
    <xf numFmtId="0" fontId="9" fillId="2" borderId="2" xfId="7" applyFont="1" applyFill="1" applyBorder="1" applyAlignment="1">
      <alignment horizontal="left" indent="1"/>
    </xf>
    <xf numFmtId="164" fontId="5" fillId="2" borderId="2" xfId="9" applyNumberFormat="1" applyFont="1" applyFill="1" applyBorder="1" applyAlignment="1">
      <alignment horizontal="right" wrapText="1"/>
    </xf>
    <xf numFmtId="172" fontId="9" fillId="2" borderId="2" xfId="0" applyNumberFormat="1" applyFont="1" applyFill="1" applyBorder="1" applyAlignment="1">
      <alignment horizontal="right"/>
    </xf>
    <xf numFmtId="172" fontId="11" fillId="2" borderId="2" xfId="0" applyNumberFormat="1" applyFont="1" applyFill="1" applyBorder="1" applyAlignment="1">
      <alignment horizontal="right"/>
    </xf>
    <xf numFmtId="0" fontId="25" fillId="0" borderId="0" xfId="0" applyFont="1"/>
    <xf numFmtId="0" fontId="9" fillId="2" borderId="0" xfId="7" applyFont="1" applyFill="1" applyAlignment="1">
      <alignment horizontal="left" wrapText="1"/>
    </xf>
    <xf numFmtId="164" fontId="9" fillId="0" borderId="4" xfId="0" applyNumberFormat="1" applyFont="1" applyBorder="1"/>
    <xf numFmtId="1" fontId="5" fillId="0" borderId="3" xfId="0" applyNumberFormat="1" applyFont="1" applyBorder="1" applyAlignment="1">
      <alignment vertical="center"/>
    </xf>
    <xf numFmtId="3" fontId="8" fillId="0" borderId="4" xfId="0" applyNumberFormat="1" applyFont="1" applyBorder="1"/>
    <xf numFmtId="166" fontId="9" fillId="0" borderId="4" xfId="0" applyNumberFormat="1" applyFont="1" applyBorder="1" applyAlignment="1">
      <alignment vertical="center"/>
    </xf>
    <xf numFmtId="49" fontId="9" fillId="0" borderId="0" xfId="7" applyNumberFormat="1" applyFont="1" applyAlignment="1">
      <alignment horizontal="left" wrapText="1"/>
    </xf>
    <xf numFmtId="0" fontId="5" fillId="2" borderId="0" xfId="0" applyFont="1" applyFill="1" applyAlignment="1">
      <alignment horizontal="left" vertical="top" wrapText="1"/>
    </xf>
    <xf numFmtId="0" fontId="22" fillId="0" borderId="1" xfId="0" applyFont="1" applyBorder="1"/>
    <xf numFmtId="0" fontId="9" fillId="0" borderId="5" xfId="4" applyFont="1" applyBorder="1" applyAlignment="1">
      <alignment horizontal="center" wrapText="1"/>
    </xf>
    <xf numFmtId="164" fontId="16" fillId="0" borderId="4" xfId="0" applyNumberFormat="1" applyFont="1" applyBorder="1" applyAlignment="1">
      <alignment vertical="center"/>
    </xf>
    <xf numFmtId="0" fontId="27" fillId="2" borderId="1" xfId="0" applyFont="1" applyFill="1" applyBorder="1" applyAlignment="1">
      <alignment horizontal="center" wrapText="1"/>
    </xf>
    <xf numFmtId="164" fontId="9" fillId="0" borderId="4" xfId="0" applyNumberFormat="1" applyFont="1" applyBorder="1" applyAlignment="1">
      <alignment horizontal="right" vertical="center" wrapText="1"/>
    </xf>
    <xf numFmtId="0" fontId="0" fillId="0" borderId="3" xfId="0" applyBorder="1"/>
    <xf numFmtId="0" fontId="28" fillId="0" borderId="0" xfId="0" applyFont="1" applyAlignment="1">
      <alignment vertical="center" wrapText="1"/>
    </xf>
    <xf numFmtId="0" fontId="29" fillId="0" borderId="0" xfId="0" applyFont="1" applyAlignment="1">
      <alignment wrapText="1"/>
    </xf>
    <xf numFmtId="0" fontId="29" fillId="0" borderId="0" xfId="0" applyFont="1" applyAlignment="1">
      <alignment horizontal="center"/>
    </xf>
    <xf numFmtId="0" fontId="30" fillId="0" borderId="0" xfId="0" applyFont="1" applyAlignment="1">
      <alignment wrapText="1"/>
    </xf>
    <xf numFmtId="0" fontId="29" fillId="0" borderId="0" xfId="0" applyFont="1"/>
    <xf numFmtId="0" fontId="29" fillId="0" borderId="0" xfId="0" applyFont="1" applyAlignment="1">
      <alignment horizontal="left"/>
    </xf>
    <xf numFmtId="0" fontId="31" fillId="0" borderId="0" xfId="0" applyFont="1" applyAlignment="1">
      <alignment wrapText="1"/>
    </xf>
    <xf numFmtId="0" fontId="32" fillId="0" borderId="0" xfId="0" applyFont="1"/>
    <xf numFmtId="0" fontId="16" fillId="2" borderId="0" xfId="0" applyFont="1" applyFill="1"/>
    <xf numFmtId="0" fontId="16" fillId="2" borderId="0" xfId="0" applyFont="1" applyFill="1" applyAlignment="1">
      <alignment horizontal="left" vertical="center"/>
    </xf>
    <xf numFmtId="0" fontId="16" fillId="0" borderId="0" xfId="0" applyFont="1"/>
    <xf numFmtId="0" fontId="33" fillId="0" borderId="0" xfId="0" applyFont="1" applyAlignment="1">
      <alignment vertical="center"/>
    </xf>
    <xf numFmtId="0" fontId="33" fillId="0" borderId="0" xfId="0" applyFont="1"/>
    <xf numFmtId="0" fontId="33" fillId="2" borderId="0" xfId="0" applyFont="1" applyFill="1"/>
    <xf numFmtId="0" fontId="33" fillId="2" borderId="0" xfId="0" applyFont="1" applyFill="1" applyAlignment="1">
      <alignment horizontal="right"/>
    </xf>
    <xf numFmtId="172" fontId="33" fillId="2" borderId="0" xfId="0" applyNumberFormat="1" applyFont="1" applyFill="1"/>
    <xf numFmtId="0" fontId="16" fillId="0" borderId="0" xfId="5" applyFont="1" applyAlignment="1">
      <alignment horizontal="left"/>
    </xf>
    <xf numFmtId="1" fontId="16" fillId="0" borderId="0" xfId="5" applyNumberFormat="1" applyFont="1" applyAlignment="1">
      <alignment horizontal="right" wrapText="1"/>
    </xf>
    <xf numFmtId="0" fontId="16" fillId="0" borderId="0" xfId="5" applyFont="1" applyAlignment="1">
      <alignment horizontal="right" wrapText="1"/>
    </xf>
    <xf numFmtId="0" fontId="34" fillId="0" borderId="0" xfId="0" applyFont="1" applyAlignment="1">
      <alignment vertical="center"/>
    </xf>
    <xf numFmtId="0" fontId="34" fillId="0" borderId="0" xfId="0" applyFont="1"/>
    <xf numFmtId="0" fontId="33" fillId="0" borderId="0" xfId="0" applyFont="1" applyAlignment="1">
      <alignment horizontal="left" vertical="top" wrapText="1"/>
    </xf>
    <xf numFmtId="3" fontId="16" fillId="0" borderId="0" xfId="0" applyNumberFormat="1" applyFont="1"/>
    <xf numFmtId="3" fontId="33" fillId="0" borderId="0" xfId="0" applyNumberFormat="1" applyFont="1"/>
    <xf numFmtId="0" fontId="16" fillId="0" borderId="0" xfId="0" applyFont="1" applyAlignment="1">
      <alignment horizontal="left" vertical="top" wrapText="1"/>
    </xf>
    <xf numFmtId="0" fontId="1" fillId="0" borderId="0" xfId="0" applyFont="1"/>
    <xf numFmtId="0" fontId="35" fillId="0" borderId="0" xfId="3" applyFont="1" applyFill="1" applyAlignment="1" applyProtection="1"/>
    <xf numFmtId="0" fontId="16" fillId="0" borderId="0" xfId="3" applyFont="1" applyFill="1" applyAlignment="1" applyProtection="1">
      <protection locked="0"/>
    </xf>
    <xf numFmtId="0" fontId="16" fillId="0" borderId="0" xfId="0" applyFont="1" applyAlignment="1" applyProtection="1">
      <alignment horizontal="right"/>
      <protection locked="0"/>
    </xf>
    <xf numFmtId="0" fontId="33" fillId="0" borderId="0" xfId="0" applyFont="1" applyProtection="1">
      <protection locked="0"/>
    </xf>
    <xf numFmtId="9" fontId="36" fillId="0" borderId="0" xfId="22" applyFont="1" applyFill="1" applyBorder="1" applyAlignment="1" applyProtection="1">
      <alignment horizontal="right"/>
      <protection locked="0"/>
    </xf>
    <xf numFmtId="0" fontId="34" fillId="2" borderId="0" xfId="0" applyFont="1" applyFill="1" applyAlignment="1">
      <alignment vertical="center"/>
    </xf>
    <xf numFmtId="0" fontId="16" fillId="0" borderId="0" xfId="0" applyFont="1" applyAlignment="1">
      <alignment horizontal="left" vertical="center"/>
    </xf>
    <xf numFmtId="164" fontId="33" fillId="0" borderId="0" xfId="13" applyNumberFormat="1" applyFont="1" applyAlignment="1">
      <alignment horizontal="right"/>
    </xf>
    <xf numFmtId="164" fontId="33" fillId="0" borderId="0" xfId="0" applyNumberFormat="1" applyFont="1" applyAlignment="1">
      <alignment vertical="center"/>
    </xf>
    <xf numFmtId="164" fontId="16" fillId="0" borderId="0" xfId="21" applyNumberFormat="1" applyFont="1" applyFill="1" applyBorder="1" applyAlignment="1">
      <alignment vertical="center"/>
    </xf>
    <xf numFmtId="10" fontId="16" fillId="0" borderId="0" xfId="22" applyNumberFormat="1" applyFont="1" applyFill="1" applyBorder="1" applyAlignment="1">
      <alignment vertical="center"/>
    </xf>
    <xf numFmtId="0" fontId="33" fillId="2" borderId="0" xfId="0" applyFont="1" applyFill="1" applyAlignment="1">
      <alignment vertical="top"/>
    </xf>
    <xf numFmtId="0" fontId="34" fillId="2" borderId="0" xfId="0" applyFont="1" applyFill="1"/>
    <xf numFmtId="0" fontId="33" fillId="2" borderId="0" xfId="0" applyFont="1" applyFill="1" applyAlignment="1">
      <alignment vertical="top" wrapText="1"/>
    </xf>
    <xf numFmtId="0" fontId="9" fillId="0" borderId="0" xfId="18" applyFont="1" applyAlignment="1">
      <alignment horizontal="left" vertical="center" wrapText="1"/>
    </xf>
    <xf numFmtId="174" fontId="9" fillId="0" borderId="0" xfId="0" applyNumberFormat="1" applyFont="1" applyAlignment="1">
      <alignment vertical="center"/>
    </xf>
    <xf numFmtId="166" fontId="5" fillId="0" borderId="0" xfId="0" applyNumberFormat="1" applyFont="1"/>
    <xf numFmtId="164" fontId="0" fillId="0" borderId="0" xfId="0" applyNumberFormat="1"/>
    <xf numFmtId="0" fontId="38" fillId="0" borderId="0" xfId="0" applyFont="1" applyAlignment="1">
      <alignment vertical="center"/>
    </xf>
    <xf numFmtId="0" fontId="0" fillId="2" borderId="0" xfId="0" applyFill="1"/>
    <xf numFmtId="0" fontId="33" fillId="0" borderId="0" xfId="0" applyFont="1" applyAlignment="1">
      <alignment vertical="center" wrapText="1"/>
    </xf>
    <xf numFmtId="0" fontId="0" fillId="0" borderId="0" xfId="0" applyAlignment="1">
      <alignment vertical="center" wrapText="1"/>
    </xf>
    <xf numFmtId="0" fontId="16" fillId="0" borderId="0" xfId="5" applyFont="1" applyAlignment="1">
      <alignment horizontal="left" vertical="center"/>
    </xf>
    <xf numFmtId="0" fontId="9" fillId="2" borderId="1" xfId="8" applyFont="1" applyFill="1" applyBorder="1" applyAlignment="1">
      <alignment horizontal="right" wrapText="1"/>
    </xf>
    <xf numFmtId="0" fontId="9" fillId="0" borderId="1" xfId="0" applyFont="1" applyBorder="1" applyAlignment="1" applyProtection="1">
      <alignment horizontal="right"/>
      <protection locked="0"/>
    </xf>
    <xf numFmtId="0" fontId="33" fillId="0" borderId="0" xfId="0" applyFont="1" applyAlignment="1">
      <alignment horizontal="left" vertical="center"/>
    </xf>
    <xf numFmtId="0" fontId="10" fillId="2" borderId="0" xfId="0" applyFont="1" applyFill="1" applyAlignment="1">
      <alignment vertical="center" wrapText="1"/>
    </xf>
    <xf numFmtId="168" fontId="5" fillId="2" borderId="0" xfId="22" applyNumberFormat="1" applyFont="1" applyFill="1" applyBorder="1" applyAlignment="1">
      <alignment vertical="center"/>
    </xf>
    <xf numFmtId="168" fontId="9" fillId="2" borderId="0" xfId="22" applyNumberFormat="1" applyFont="1" applyFill="1" applyBorder="1" applyAlignment="1">
      <alignment vertical="center"/>
    </xf>
    <xf numFmtId="0" fontId="35" fillId="2" borderId="0" xfId="3" applyFont="1" applyFill="1" applyAlignment="1" applyProtection="1">
      <alignment vertical="center" wrapText="1"/>
    </xf>
    <xf numFmtId="0" fontId="39" fillId="0" borderId="0" xfId="3" applyFont="1" applyFill="1" applyBorder="1" applyAlignment="1" applyProtection="1"/>
    <xf numFmtId="0" fontId="39" fillId="0" borderId="0" xfId="3" applyFont="1" applyFill="1" applyBorder="1" applyAlignment="1" applyProtection="1">
      <alignment horizontal="center"/>
    </xf>
    <xf numFmtId="0" fontId="39" fillId="0" borderId="0" xfId="3" applyFont="1" applyAlignment="1" applyProtection="1"/>
    <xf numFmtId="0" fontId="40" fillId="0" borderId="0" xfId="0" applyFont="1" applyAlignment="1">
      <alignment vertical="center" wrapText="1"/>
    </xf>
    <xf numFmtId="0" fontId="40"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9" fillId="2" borderId="8" xfId="0" applyFont="1" applyFill="1" applyBorder="1" applyAlignment="1">
      <alignment horizontal="right"/>
    </xf>
    <xf numFmtId="0" fontId="5" fillId="0" borderId="6" xfId="5" applyFont="1" applyBorder="1" applyAlignment="1">
      <alignment horizontal="left"/>
    </xf>
    <xf numFmtId="0" fontId="5" fillId="0" borderId="2" xfId="5" applyFont="1" applyBorder="1" applyAlignment="1">
      <alignment horizontal="left" wrapText="1"/>
    </xf>
    <xf numFmtId="0" fontId="5" fillId="0" borderId="0" xfId="5" applyFont="1" applyAlignment="1">
      <alignment horizontal="left" vertical="center" wrapText="1"/>
    </xf>
    <xf numFmtId="4" fontId="5" fillId="2" borderId="0" xfId="0" applyNumberFormat="1" applyFont="1" applyFill="1" applyAlignment="1">
      <alignment horizontal="right"/>
    </xf>
    <xf numFmtId="4" fontId="9" fillId="2" borderId="0" xfId="0" applyNumberFormat="1" applyFont="1" applyFill="1" applyAlignment="1">
      <alignment horizontal="right"/>
    </xf>
    <xf numFmtId="0" fontId="41" fillId="0" borderId="0" xfId="0" applyFont="1"/>
    <xf numFmtId="164" fontId="9" fillId="2" borderId="2" xfId="9" applyNumberFormat="1" applyFont="1" applyFill="1" applyBorder="1" applyAlignment="1">
      <alignment horizontal="right" wrapText="1"/>
    </xf>
    <xf numFmtId="172" fontId="0" fillId="0" borderId="0" xfId="0" applyNumberFormat="1"/>
    <xf numFmtId="0" fontId="9" fillId="2" borderId="1" xfId="0" applyFont="1" applyFill="1" applyBorder="1" applyAlignment="1">
      <alignment horizontal="left"/>
    </xf>
    <xf numFmtId="1" fontId="10" fillId="2" borderId="9" xfId="0" applyNumberFormat="1" applyFont="1" applyFill="1" applyBorder="1" applyAlignment="1">
      <alignment horizontal="right"/>
    </xf>
    <xf numFmtId="0" fontId="14" fillId="0" borderId="10" xfId="0" applyFont="1" applyBorder="1" applyAlignment="1">
      <alignment horizontal="right" wrapText="1"/>
    </xf>
    <xf numFmtId="164" fontId="14" fillId="0" borderId="11" xfId="0" applyNumberFormat="1" applyFont="1" applyBorder="1" applyAlignment="1">
      <alignment vertical="center"/>
    </xf>
    <xf numFmtId="0" fontId="9" fillId="2" borderId="1" xfId="5" applyFont="1" applyFill="1" applyBorder="1" applyAlignment="1">
      <alignment horizontal="left"/>
    </xf>
    <xf numFmtId="0" fontId="9" fillId="2" borderId="1" xfId="5" applyFont="1" applyFill="1" applyBorder="1" applyAlignment="1">
      <alignment horizontal="right" wrapText="1"/>
    </xf>
    <xf numFmtId="0" fontId="9" fillId="2" borderId="1" xfId="18" applyFont="1" applyFill="1" applyBorder="1" applyAlignment="1">
      <alignment horizontal="right"/>
    </xf>
    <xf numFmtId="0" fontId="9" fillId="2" borderId="0" xfId="5" applyFont="1" applyFill="1"/>
    <xf numFmtId="171" fontId="5" fillId="2" borderId="0" xfId="21" quotePrefix="1" applyNumberFormat="1" applyFont="1" applyFill="1" applyBorder="1" applyAlignment="1">
      <alignment horizontal="right"/>
    </xf>
    <xf numFmtId="166" fontId="9" fillId="2" borderId="0" xfId="21" applyNumberFormat="1" applyFont="1" applyFill="1" applyBorder="1"/>
    <xf numFmtId="166" fontId="9" fillId="2" borderId="4" xfId="21" applyNumberFormat="1" applyFont="1" applyFill="1" applyBorder="1" applyAlignment="1">
      <alignment vertical="center"/>
    </xf>
    <xf numFmtId="0" fontId="33" fillId="2" borderId="0" xfId="18" applyFont="1" applyFill="1"/>
    <xf numFmtId="0" fontId="9" fillId="0" borderId="1" xfId="5" applyFont="1" applyBorder="1" applyAlignment="1">
      <alignment horizontal="left"/>
    </xf>
    <xf numFmtId="0" fontId="9" fillId="0" borderId="0" xfId="5" applyFont="1"/>
    <xf numFmtId="0" fontId="9" fillId="0" borderId="4" xfId="18" applyFont="1" applyBorder="1" applyAlignment="1">
      <alignment vertical="center"/>
    </xf>
    <xf numFmtId="3" fontId="9" fillId="0" borderId="14" xfId="0" applyNumberFormat="1" applyFont="1" applyBorder="1" applyAlignment="1">
      <alignment horizontal="right" wrapText="1"/>
    </xf>
    <xf numFmtId="0" fontId="0" fillId="0" borderId="0" xfId="0" applyAlignment="1">
      <alignment horizontal="left" wrapText="1"/>
    </xf>
    <xf numFmtId="0" fontId="19" fillId="2" borderId="8" xfId="0" applyFont="1" applyFill="1" applyBorder="1" applyAlignment="1">
      <alignment horizontal="right" wrapText="1"/>
    </xf>
    <xf numFmtId="0" fontId="19" fillId="2" borderId="15" xfId="0" applyFont="1" applyFill="1" applyBorder="1" applyAlignment="1">
      <alignment horizontal="right" wrapText="1"/>
    </xf>
    <xf numFmtId="0" fontId="19" fillId="2" borderId="0" xfId="0" applyFont="1" applyFill="1" applyAlignment="1">
      <alignment horizontal="right" vertical="center" wrapText="1"/>
    </xf>
    <xf numFmtId="0" fontId="35" fillId="2" borderId="0" xfId="3" applyFont="1" applyFill="1" applyAlignment="1" applyProtection="1">
      <alignment horizontal="left" vertical="center" wrapText="1"/>
    </xf>
    <xf numFmtId="168" fontId="0" fillId="0" borderId="0" xfId="0" applyNumberFormat="1"/>
    <xf numFmtId="0" fontId="8" fillId="0" borderId="0" xfId="0" applyFont="1" applyAlignment="1">
      <alignment horizontal="left" vertical="center"/>
    </xf>
    <xf numFmtId="0" fontId="33" fillId="0" borderId="0" xfId="0" applyFont="1" applyAlignment="1">
      <alignment horizontal="left" vertical="center" wrapText="1"/>
    </xf>
    <xf numFmtId="0" fontId="33" fillId="0" borderId="0" xfId="5" applyFont="1" applyAlignment="1">
      <alignment horizontal="left" vertical="top" wrapText="1"/>
    </xf>
    <xf numFmtId="0" fontId="9" fillId="0" borderId="5" xfId="0" applyFont="1" applyBorder="1" applyAlignment="1">
      <alignment horizontal="center" vertical="center" wrapText="1"/>
    </xf>
    <xf numFmtId="0" fontId="8" fillId="2" borderId="0" xfId="8" applyFont="1" applyFill="1" applyAlignment="1">
      <alignment horizontal="left" vertical="top" wrapText="1"/>
    </xf>
    <xf numFmtId="0" fontId="8" fillId="2" borderId="0" xfId="0" applyFont="1" applyFill="1" applyAlignment="1">
      <alignment horizontal="left" vertical="center"/>
    </xf>
    <xf numFmtId="0" fontId="9" fillId="2" borderId="0" xfId="0" applyFont="1" applyFill="1" applyAlignment="1">
      <alignment horizontal="center" wrapText="1"/>
    </xf>
    <xf numFmtId="0" fontId="9" fillId="2" borderId="1" xfId="0" applyFont="1" applyFill="1" applyBorder="1" applyAlignment="1">
      <alignment horizontal="center" wrapText="1"/>
    </xf>
    <xf numFmtId="0" fontId="10" fillId="0" borderId="0" xfId="0" applyFont="1" applyAlignment="1">
      <alignment wrapText="1"/>
    </xf>
    <xf numFmtId="168" fontId="11" fillId="0" borderId="0" xfId="22" applyNumberFormat="1" applyFont="1" applyFill="1" applyBorder="1" applyAlignment="1">
      <alignment horizontal="right" wrapText="1"/>
    </xf>
    <xf numFmtId="164" fontId="9" fillId="5" borderId="4" xfId="5" applyNumberFormat="1" applyFont="1" applyFill="1" applyBorder="1" applyAlignment="1">
      <alignment horizontal="right" vertical="center" wrapText="1"/>
    </xf>
    <xf numFmtId="164" fontId="5" fillId="5" borderId="0" xfId="6" applyNumberFormat="1" applyFill="1"/>
    <xf numFmtId="169" fontId="5" fillId="5" borderId="0" xfId="5" applyNumberFormat="1" applyFont="1" applyFill="1" applyAlignment="1">
      <alignment horizontal="right" wrapText="1"/>
    </xf>
    <xf numFmtId="169" fontId="5" fillId="5" borderId="2" xfId="5" applyNumberFormat="1" applyFont="1" applyFill="1" applyBorder="1" applyAlignment="1">
      <alignment horizontal="right" wrapText="1"/>
    </xf>
    <xf numFmtId="170" fontId="5" fillId="5" borderId="2" xfId="6" applyNumberFormat="1" applyFill="1" applyBorder="1"/>
    <xf numFmtId="170" fontId="5" fillId="5" borderId="0" xfId="6" applyNumberFormat="1" applyFill="1"/>
    <xf numFmtId="164" fontId="9" fillId="5" borderId="4" xfId="0" applyNumberFormat="1" applyFont="1" applyFill="1" applyBorder="1" applyAlignment="1">
      <alignment horizontal="right" vertical="center"/>
    </xf>
    <xf numFmtId="3" fontId="14" fillId="0" borderId="0" xfId="5" applyNumberFormat="1" applyFont="1" applyAlignment="1">
      <alignment horizontal="right" vertical="center" wrapText="1"/>
    </xf>
    <xf numFmtId="0" fontId="8" fillId="0" borderId="0" xfId="0" applyFont="1" applyAlignment="1">
      <alignment vertical="center"/>
    </xf>
    <xf numFmtId="0" fontId="14" fillId="0" borderId="0" xfId="5" applyFont="1" applyAlignment="1">
      <alignment horizontal="left" wrapText="1"/>
    </xf>
    <xf numFmtId="0" fontId="42" fillId="0" borderId="0" xfId="0" applyFont="1" applyAlignment="1">
      <alignment horizontal="left" vertical="center" wrapText="1"/>
    </xf>
    <xf numFmtId="0" fontId="8" fillId="0" borderId="1"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8" xfId="0" applyFont="1" applyBorder="1" applyAlignment="1">
      <alignment horizontal="center" vertical="center" wrapText="1"/>
    </xf>
    <xf numFmtId="9" fontId="10" fillId="0" borderId="3" xfId="0" applyNumberFormat="1" applyFont="1" applyBorder="1" applyAlignment="1">
      <alignment vertical="center"/>
    </xf>
    <xf numFmtId="166" fontId="9" fillId="0" borderId="1" xfId="21" applyNumberFormat="1" applyFont="1" applyFill="1" applyBorder="1"/>
    <xf numFmtId="9" fontId="10" fillId="0" borderId="1" xfId="22" applyFont="1" applyFill="1" applyBorder="1"/>
    <xf numFmtId="1" fontId="16" fillId="0" borderId="0" xfId="5" applyNumberFormat="1" applyFont="1" applyAlignment="1">
      <alignment horizontal="right"/>
    </xf>
    <xf numFmtId="0" fontId="16" fillId="0" borderId="0" xfId="5" applyFont="1" applyAlignment="1">
      <alignment horizontal="right"/>
    </xf>
    <xf numFmtId="1" fontId="16" fillId="0" borderId="0" xfId="0" applyNumberFormat="1" applyFont="1"/>
    <xf numFmtId="0" fontId="33" fillId="0" borderId="0" xfId="5" applyFont="1" applyAlignment="1">
      <alignment horizontal="left" vertical="top"/>
    </xf>
    <xf numFmtId="0" fontId="33" fillId="0" borderId="0" xfId="0" applyFont="1" applyAlignment="1">
      <alignment horizontal="left" vertical="top"/>
    </xf>
    <xf numFmtId="0" fontId="14" fillId="0" borderId="0" xfId="0" applyFont="1" applyAlignment="1">
      <alignment vertical="top"/>
    </xf>
    <xf numFmtId="164" fontId="5" fillId="0" borderId="1" xfId="0" applyNumberFormat="1" applyFont="1" applyBorder="1"/>
    <xf numFmtId="0" fontId="0" fillId="0" borderId="4" xfId="0" applyBorder="1"/>
    <xf numFmtId="171" fontId="9" fillId="5" borderId="4" xfId="0" applyNumberFormat="1" applyFont="1" applyFill="1" applyBorder="1" applyAlignment="1">
      <alignment vertical="center"/>
    </xf>
    <xf numFmtId="166" fontId="9" fillId="0" borderId="0" xfId="0" applyNumberFormat="1" applyFont="1" applyAlignment="1">
      <alignment vertical="center"/>
    </xf>
    <xf numFmtId="0" fontId="0" fillId="0" borderId="0" xfId="0" applyAlignment="1">
      <alignment horizontal="left" vertical="center"/>
    </xf>
    <xf numFmtId="0" fontId="8" fillId="0" borderId="0" xfId="0" applyFont="1" applyAlignment="1">
      <alignment horizontal="left" vertical="top"/>
    </xf>
    <xf numFmtId="0" fontId="0" fillId="0" borderId="0" xfId="0" applyAlignment="1">
      <alignment wrapText="1"/>
    </xf>
    <xf numFmtId="1" fontId="9" fillId="0" borderId="0" xfId="5" applyNumberFormat="1" applyFont="1" applyAlignment="1">
      <alignment horizontal="right"/>
    </xf>
    <xf numFmtId="0" fontId="9" fillId="0" borderId="0" xfId="5" applyFont="1" applyAlignment="1">
      <alignment horizontal="right"/>
    </xf>
    <xf numFmtId="1" fontId="9" fillId="0" borderId="0" xfId="0" applyNumberFormat="1" applyFont="1"/>
    <xf numFmtId="0" fontId="5" fillId="0" borderId="0" xfId="0" applyFont="1" applyAlignment="1">
      <alignment horizontal="left"/>
    </xf>
    <xf numFmtId="0" fontId="38" fillId="0" borderId="0" xfId="0" applyFont="1" applyAlignment="1">
      <alignment horizontal="left" vertical="center"/>
    </xf>
    <xf numFmtId="0" fontId="33" fillId="0" borderId="0" xfId="0" applyFont="1" applyAlignment="1">
      <alignment horizontal="left"/>
    </xf>
    <xf numFmtId="0" fontId="14" fillId="0" borderId="0" xfId="0" applyFont="1" applyAlignment="1">
      <alignment horizontal="left" vertical="top"/>
    </xf>
    <xf numFmtId="0" fontId="9" fillId="0" borderId="19" xfId="0" applyFont="1" applyBorder="1" applyAlignment="1">
      <alignment horizontal="right" vertical="center"/>
    </xf>
    <xf numFmtId="168" fontId="11" fillId="0" borderId="18" xfId="2" applyNumberFormat="1" applyFont="1" applyFill="1" applyBorder="1" applyAlignment="1">
      <alignment horizontal="right"/>
    </xf>
    <xf numFmtId="168" fontId="11" fillId="0" borderId="9" xfId="2" applyNumberFormat="1" applyFont="1" applyFill="1" applyBorder="1" applyAlignment="1">
      <alignment horizontal="right"/>
    </xf>
    <xf numFmtId="0" fontId="9" fillId="0" borderId="5" xfId="0" applyFont="1" applyBorder="1" applyAlignment="1">
      <alignment horizontal="center"/>
    </xf>
    <xf numFmtId="168" fontId="11" fillId="0" borderId="17" xfId="2" applyNumberFormat="1" applyFont="1" applyFill="1" applyBorder="1" applyAlignment="1">
      <alignment horizontal="right"/>
    </xf>
    <xf numFmtId="168" fontId="11" fillId="0" borderId="16" xfId="2" applyNumberFormat="1" applyFont="1" applyFill="1" applyBorder="1" applyAlignment="1">
      <alignment horizontal="right"/>
    </xf>
    <xf numFmtId="168" fontId="11" fillId="0" borderId="20" xfId="2" applyNumberFormat="1" applyFont="1" applyFill="1" applyBorder="1" applyAlignment="1">
      <alignment horizontal="right"/>
    </xf>
    <xf numFmtId="0" fontId="14" fillId="2" borderId="1" xfId="7" applyFont="1" applyFill="1" applyBorder="1" applyAlignment="1">
      <alignment horizontal="left"/>
    </xf>
    <xf numFmtId="1" fontId="25" fillId="2" borderId="0" xfId="0" applyNumberFormat="1" applyFont="1" applyFill="1"/>
    <xf numFmtId="1" fontId="25" fillId="2" borderId="2" xfId="0" applyNumberFormat="1" applyFont="1" applyFill="1" applyBorder="1"/>
    <xf numFmtId="0" fontId="9" fillId="2" borderId="5" xfId="0" applyFont="1" applyFill="1" applyBorder="1" applyAlignment="1">
      <alignment horizontal="right"/>
    </xf>
    <xf numFmtId="172" fontId="9" fillId="2" borderId="5" xfId="0" applyNumberFormat="1" applyFont="1" applyFill="1" applyBorder="1" applyAlignment="1">
      <alignment horizontal="right"/>
    </xf>
    <xf numFmtId="0" fontId="9" fillId="0" borderId="9" xfId="0" applyFont="1" applyBorder="1" applyAlignment="1">
      <alignment horizontal="right" vertical="center"/>
    </xf>
    <xf numFmtId="164" fontId="9" fillId="0" borderId="11" xfId="0" applyNumberFormat="1" applyFont="1" applyBorder="1"/>
    <xf numFmtId="164" fontId="5" fillId="0" borderId="2" xfId="0" applyNumberFormat="1" applyFont="1" applyBorder="1"/>
    <xf numFmtId="0" fontId="9" fillId="2" borderId="8" xfId="10" applyFont="1" applyFill="1" applyBorder="1" applyAlignment="1">
      <alignment horizontal="right" vertical="center" wrapText="1"/>
    </xf>
    <xf numFmtId="168" fontId="11" fillId="2" borderId="9" xfId="2" quotePrefix="1" applyNumberFormat="1" applyFont="1" applyFill="1" applyBorder="1" applyAlignment="1"/>
    <xf numFmtId="0" fontId="33" fillId="2" borderId="0" xfId="0" applyFont="1" applyFill="1" applyAlignment="1">
      <alignment vertical="center" wrapText="1"/>
    </xf>
    <xf numFmtId="0" fontId="9" fillId="2" borderId="8" xfId="0" applyFont="1" applyFill="1" applyBorder="1" applyAlignment="1">
      <alignment horizontal="right" wrapText="1"/>
    </xf>
    <xf numFmtId="0" fontId="9" fillId="2" borderId="15" xfId="0" applyFont="1" applyFill="1" applyBorder="1" applyAlignment="1">
      <alignment horizontal="right" wrapText="1"/>
    </xf>
    <xf numFmtId="172" fontId="11" fillId="2" borderId="2" xfId="0" applyNumberFormat="1" applyFont="1" applyFill="1" applyBorder="1"/>
    <xf numFmtId="172" fontId="11" fillId="2" borderId="17" xfId="0" applyNumberFormat="1" applyFont="1" applyFill="1" applyBorder="1"/>
    <xf numFmtId="172" fontId="11" fillId="2" borderId="16" xfId="0" applyNumberFormat="1" applyFont="1" applyFill="1" applyBorder="1"/>
    <xf numFmtId="172" fontId="11" fillId="2" borderId="17" xfId="0" applyNumberFormat="1" applyFont="1" applyFill="1" applyBorder="1" applyAlignment="1">
      <alignment horizontal="right"/>
    </xf>
    <xf numFmtId="172" fontId="11" fillId="2" borderId="16" xfId="0" applyNumberFormat="1" applyFont="1" applyFill="1" applyBorder="1" applyAlignment="1">
      <alignment horizontal="right"/>
    </xf>
    <xf numFmtId="172" fontId="10" fillId="2" borderId="17" xfId="0" applyNumberFormat="1" applyFont="1" applyFill="1" applyBorder="1"/>
    <xf numFmtId="172" fontId="10" fillId="2" borderId="16" xfId="0" applyNumberFormat="1" applyFont="1" applyFill="1" applyBorder="1"/>
    <xf numFmtId="0" fontId="25" fillId="0" borderId="4" xfId="0" applyFont="1" applyBorder="1"/>
    <xf numFmtId="0" fontId="25" fillId="0" borderId="1" xfId="0" applyFont="1" applyBorder="1" applyAlignment="1">
      <alignment wrapText="1"/>
    </xf>
    <xf numFmtId="0" fontId="44" fillId="0" borderId="0" xfId="0" applyFont="1"/>
    <xf numFmtId="172" fontId="11" fillId="2" borderId="1" xfId="0" applyNumberFormat="1" applyFont="1" applyFill="1" applyBorder="1" applyAlignment="1">
      <alignment horizontal="right"/>
    </xf>
    <xf numFmtId="0" fontId="3" fillId="0" borderId="0" xfId="3" applyAlignment="1" applyProtection="1"/>
    <xf numFmtId="0" fontId="8" fillId="0" borderId="0" xfId="11" applyFont="1" applyFill="1" applyAlignment="1">
      <alignment horizontal="left" vertical="center" wrapText="1"/>
    </xf>
    <xf numFmtId="0" fontId="5" fillId="0" borderId="2" xfId="5" applyFont="1" applyBorder="1" applyAlignment="1">
      <alignment horizontal="left"/>
    </xf>
    <xf numFmtId="0" fontId="22" fillId="2" borderId="1" xfId="0" applyFont="1" applyFill="1" applyBorder="1" applyAlignment="1">
      <alignment horizontal="right"/>
    </xf>
    <xf numFmtId="0" fontId="25" fillId="0" borderId="1" xfId="0" applyFont="1" applyBorder="1" applyAlignment="1">
      <alignment horizontal="center" wrapText="1"/>
    </xf>
    <xf numFmtId="0" fontId="9" fillId="2" borderId="0" xfId="7" applyFont="1" applyFill="1" applyAlignment="1">
      <alignment horizontal="center" wrapText="1"/>
    </xf>
    <xf numFmtId="0" fontId="5" fillId="2" borderId="3" xfId="0" quotePrefix="1" applyFont="1" applyFill="1" applyBorder="1" applyAlignment="1">
      <alignment horizontal="right"/>
    </xf>
    <xf numFmtId="0" fontId="9" fillId="2" borderId="3" xfId="0" applyFont="1" applyFill="1" applyBorder="1"/>
    <xf numFmtId="0" fontId="14" fillId="0" borderId="1" xfId="5" applyFont="1" applyBorder="1" applyAlignment="1">
      <alignment horizontal="left" wrapText="1"/>
    </xf>
    <xf numFmtId="14" fontId="9" fillId="0" borderId="5" xfId="0" applyNumberFormat="1" applyFont="1" applyBorder="1" applyAlignment="1">
      <alignment horizontal="right" wrapText="1"/>
    </xf>
    <xf numFmtId="0" fontId="10" fillId="0" borderId="1" xfId="0" applyFont="1" applyBorder="1" applyProtection="1">
      <protection locked="0"/>
    </xf>
    <xf numFmtId="14" fontId="9" fillId="0" borderId="8" xfId="0" applyNumberFormat="1" applyFont="1" applyBorder="1" applyAlignment="1">
      <alignment horizontal="right" wrapText="1"/>
    </xf>
    <xf numFmtId="9" fontId="11" fillId="0" borderId="9" xfId="22" applyFont="1" applyFill="1" applyBorder="1" applyAlignment="1">
      <alignment horizontal="right"/>
    </xf>
    <xf numFmtId="9" fontId="10" fillId="0" borderId="11" xfId="22" applyFont="1" applyFill="1" applyBorder="1" applyAlignment="1">
      <alignment horizontal="right" vertical="center"/>
    </xf>
    <xf numFmtId="0" fontId="26" fillId="0" borderId="0" xfId="0" applyFont="1"/>
    <xf numFmtId="0" fontId="42" fillId="0" borderId="0" xfId="0" applyFont="1" applyAlignment="1">
      <alignment vertical="center"/>
    </xf>
    <xf numFmtId="0" fontId="8" fillId="2" borderId="0" xfId="0" applyFont="1" applyFill="1" applyAlignment="1">
      <alignment vertical="center"/>
    </xf>
    <xf numFmtId="0" fontId="33" fillId="2" borderId="0" xfId="0" applyFont="1" applyFill="1" applyAlignment="1">
      <alignment horizontal="left" vertical="top"/>
    </xf>
    <xf numFmtId="3" fontId="10" fillId="2" borderId="0" xfId="0" applyNumberFormat="1" applyFont="1" applyFill="1"/>
    <xf numFmtId="173" fontId="11" fillId="2" borderId="0" xfId="0" applyNumberFormat="1" applyFont="1" applyFill="1"/>
    <xf numFmtId="0" fontId="0" fillId="0" borderId="1" xfId="0" applyBorder="1" applyAlignment="1">
      <alignment wrapText="1"/>
    </xf>
    <xf numFmtId="0" fontId="0" fillId="0" borderId="8" xfId="0" applyBorder="1" applyAlignment="1">
      <alignment wrapText="1"/>
    </xf>
    <xf numFmtId="0" fontId="0" fillId="0" borderId="5" xfId="0" applyBorder="1" applyAlignment="1">
      <alignment wrapText="1"/>
    </xf>
    <xf numFmtId="0" fontId="0" fillId="0" borderId="10" xfId="0" applyBorder="1" applyAlignment="1">
      <alignment wrapText="1"/>
    </xf>
    <xf numFmtId="0" fontId="8" fillId="0" borderId="0" xfId="11" applyFont="1" applyFill="1" applyAlignment="1">
      <alignment vertical="center"/>
    </xf>
    <xf numFmtId="0" fontId="45" fillId="0" borderId="0" xfId="0" applyFont="1"/>
    <xf numFmtId="0" fontId="25" fillId="0" borderId="3" xfId="0" applyFont="1" applyBorder="1"/>
    <xf numFmtId="0" fontId="25" fillId="0" borderId="1" xfId="0" applyFont="1" applyBorder="1"/>
    <xf numFmtId="0" fontId="25" fillId="0" borderId="1" xfId="0" applyFont="1" applyBorder="1" applyAlignment="1">
      <alignment horizontal="center"/>
    </xf>
    <xf numFmtId="0" fontId="25" fillId="0" borderId="0" xfId="0" applyFont="1" applyAlignment="1">
      <alignment horizontal="center"/>
    </xf>
    <xf numFmtId="0" fontId="45" fillId="0" borderId="0" xfId="0" applyFont="1" applyAlignment="1">
      <alignment horizontal="center"/>
    </xf>
    <xf numFmtId="3" fontId="9" fillId="0" borderId="18" xfId="0" applyNumberFormat="1" applyFont="1" applyBorder="1" applyAlignment="1">
      <alignment horizontal="right" wrapText="1"/>
    </xf>
    <xf numFmtId="3" fontId="9" fillId="0" borderId="8" xfId="0" applyNumberFormat="1" applyFont="1" applyBorder="1" applyAlignment="1">
      <alignment horizontal="right" wrapText="1"/>
    </xf>
    <xf numFmtId="3" fontId="9" fillId="0" borderId="22" xfId="0" applyNumberFormat="1" applyFont="1" applyBorder="1" applyAlignment="1">
      <alignment horizontal="right" wrapText="1"/>
    </xf>
    <xf numFmtId="3" fontId="9" fillId="0" borderId="10" xfId="0" applyNumberFormat="1" applyFont="1" applyBorder="1" applyAlignment="1">
      <alignment horizontal="right" wrapText="1"/>
    </xf>
    <xf numFmtId="164" fontId="5" fillId="4" borderId="9" xfId="0" applyNumberFormat="1" applyFont="1" applyFill="1" applyBorder="1" applyAlignment="1">
      <alignment horizontal="right"/>
    </xf>
    <xf numFmtId="4" fontId="5" fillId="2" borderId="9" xfId="0" applyNumberFormat="1" applyFont="1" applyFill="1" applyBorder="1"/>
    <xf numFmtId="0" fontId="14" fillId="0" borderId="10" xfId="0" applyFont="1" applyBorder="1" applyAlignment="1">
      <alignment horizontal="right"/>
    </xf>
    <xf numFmtId="3" fontId="9" fillId="0" borderId="9" xfId="0" applyNumberFormat="1" applyFont="1" applyBorder="1" applyAlignment="1">
      <alignment horizontal="right" wrapText="1"/>
    </xf>
    <xf numFmtId="3" fontId="9" fillId="0" borderId="19" xfId="0" applyNumberFormat="1" applyFont="1" applyBorder="1" applyAlignment="1">
      <alignment horizontal="right" wrapText="1"/>
    </xf>
    <xf numFmtId="0" fontId="14" fillId="0" borderId="3" xfId="0" applyFont="1" applyBorder="1" applyAlignment="1">
      <alignment horizontal="left" vertical="center"/>
    </xf>
    <xf numFmtId="0" fontId="25" fillId="0" borderId="0" xfId="0" applyFont="1" applyAlignment="1">
      <alignment horizontal="left"/>
    </xf>
    <xf numFmtId="0" fontId="25" fillId="0" borderId="1" xfId="0" applyFont="1" applyBorder="1" applyAlignment="1">
      <alignment horizontal="left"/>
    </xf>
    <xf numFmtId="0" fontId="9" fillId="0" borderId="8" xfId="4" applyFont="1" applyBorder="1" applyAlignment="1">
      <alignment horizontal="center" wrapText="1"/>
    </xf>
    <xf numFmtId="172" fontId="11" fillId="0" borderId="13" xfId="0" quotePrefix="1" applyNumberFormat="1" applyFont="1" applyBorder="1" applyAlignment="1">
      <alignment horizontal="right"/>
    </xf>
    <xf numFmtId="172" fontId="9" fillId="0" borderId="23" xfId="22" applyNumberFormat="1" applyFont="1" applyFill="1" applyBorder="1" applyAlignment="1">
      <alignment vertical="center"/>
    </xf>
    <xf numFmtId="0" fontId="9" fillId="0" borderId="10" xfId="19" applyFont="1" applyBorder="1" applyAlignment="1">
      <alignment horizontal="right"/>
    </xf>
    <xf numFmtId="166" fontId="9" fillId="0" borderId="11" xfId="17" applyNumberFormat="1" applyFont="1" applyFill="1" applyBorder="1" applyAlignment="1">
      <alignment vertical="center"/>
    </xf>
    <xf numFmtId="0" fontId="9" fillId="0" borderId="1" xfId="4" applyFont="1" applyBorder="1"/>
    <xf numFmtId="0" fontId="10" fillId="0" borderId="25" xfId="4" applyFont="1" applyBorder="1" applyAlignment="1">
      <alignment horizontal="center" wrapText="1"/>
    </xf>
    <xf numFmtId="0" fontId="9" fillId="0" borderId="26" xfId="4" applyFont="1" applyBorder="1" applyAlignment="1">
      <alignment horizontal="center" wrapText="1"/>
    </xf>
    <xf numFmtId="0" fontId="14" fillId="2" borderId="0" xfId="0" applyFont="1" applyFill="1" applyAlignment="1">
      <alignment vertical="center"/>
    </xf>
    <xf numFmtId="0" fontId="19" fillId="2" borderId="1" xfId="0" applyFont="1" applyFill="1" applyBorder="1" applyAlignment="1">
      <alignment horizontal="left"/>
    </xf>
    <xf numFmtId="0" fontId="14" fillId="2" borderId="18" xfId="0" applyFont="1" applyFill="1" applyBorder="1" applyAlignment="1">
      <alignment vertical="center"/>
    </xf>
    <xf numFmtId="0" fontId="19" fillId="2" borderId="19" xfId="0" applyFont="1" applyFill="1" applyBorder="1" applyAlignment="1">
      <alignment horizontal="right" wrapText="1"/>
    </xf>
    <xf numFmtId="0" fontId="19" fillId="2" borderId="19" xfId="0" applyFont="1" applyFill="1" applyBorder="1" applyAlignment="1">
      <alignment horizontal="right" vertical="center" wrapText="1"/>
    </xf>
    <xf numFmtId="0" fontId="22" fillId="0" borderId="0" xfId="0" applyFont="1" applyAlignment="1">
      <alignment horizontal="right"/>
    </xf>
    <xf numFmtId="3" fontId="9" fillId="0" borderId="5" xfId="0" applyNumberFormat="1" applyFont="1" applyBorder="1" applyAlignment="1">
      <alignment horizontal="right" wrapText="1"/>
    </xf>
    <xf numFmtId="0" fontId="29" fillId="0" borderId="0" xfId="0" applyFont="1" applyAlignment="1">
      <alignment horizontal="left" vertical="center" wrapText="1"/>
    </xf>
    <xf numFmtId="0" fontId="33" fillId="2" borderId="0" xfId="0" applyFont="1" applyFill="1" applyAlignment="1">
      <alignment horizontal="left" vertical="top" wrapText="1"/>
    </xf>
    <xf numFmtId="0" fontId="33" fillId="2" borderId="0" xfId="0" applyFont="1" applyFill="1" applyAlignment="1">
      <alignment horizontal="left" wrapText="1"/>
    </xf>
    <xf numFmtId="0" fontId="29" fillId="0" borderId="0" xfId="0" applyFont="1" applyAlignment="1">
      <alignment horizontal="left" vertical="center"/>
    </xf>
    <xf numFmtId="0" fontId="43" fillId="0" borderId="0" xfId="0" applyFont="1"/>
    <xf numFmtId="0" fontId="34" fillId="0" borderId="0" xfId="0" quotePrefix="1" applyFont="1" applyAlignment="1">
      <alignment vertical="center"/>
    </xf>
    <xf numFmtId="0" fontId="33" fillId="0" borderId="0" xfId="5" applyFont="1" applyAlignment="1">
      <alignment horizontal="left"/>
    </xf>
    <xf numFmtId="0" fontId="3" fillId="0" borderId="0" xfId="3" applyAlignment="1" applyProtection="1">
      <alignment vertical="center"/>
    </xf>
    <xf numFmtId="0" fontId="30" fillId="0" borderId="0" xfId="0" quotePrefix="1" applyFont="1" applyAlignment="1">
      <alignment horizontal="center"/>
    </xf>
    <xf numFmtId="0" fontId="10" fillId="0" borderId="0" xfId="0" applyFont="1" applyAlignment="1">
      <alignment horizontal="left" wrapText="1"/>
    </xf>
    <xf numFmtId="164" fontId="8" fillId="0" borderId="0" xfId="11" applyNumberFormat="1" applyFont="1" applyFill="1" applyAlignment="1">
      <alignment horizontal="left" vertical="center" wrapText="1"/>
    </xf>
    <xf numFmtId="168" fontId="8" fillId="0" borderId="0" xfId="2" applyNumberFormat="1" applyFont="1" applyFill="1" applyBorder="1" applyAlignment="1">
      <alignment horizontal="left" vertical="center" wrapText="1"/>
    </xf>
    <xf numFmtId="0" fontId="33" fillId="0" borderId="0" xfId="0" applyFont="1" applyAlignment="1" applyProtection="1">
      <alignment horizontal="left" wrapText="1"/>
      <protection locked="0"/>
    </xf>
    <xf numFmtId="0" fontId="0" fillId="2" borderId="0" xfId="0" applyFill="1" applyAlignment="1">
      <alignment horizontal="left" wrapText="1"/>
    </xf>
    <xf numFmtId="0" fontId="33" fillId="0" borderId="0" xfId="0" applyFont="1" applyAlignment="1">
      <alignment horizontal="left" wrapText="1"/>
    </xf>
    <xf numFmtId="0" fontId="46" fillId="0" borderId="0" xfId="0" applyFont="1"/>
    <xf numFmtId="0" fontId="47" fillId="0" borderId="0" xfId="0" applyFont="1"/>
    <xf numFmtId="0" fontId="0" fillId="0" borderId="20" xfId="0" applyBorder="1" applyAlignment="1">
      <alignment wrapText="1"/>
    </xf>
    <xf numFmtId="0" fontId="0" fillId="0" borderId="19" xfId="0" applyBorder="1" applyAlignment="1">
      <alignment wrapText="1"/>
    </xf>
    <xf numFmtId="0" fontId="0" fillId="0" borderId="15" xfId="0" applyBorder="1" applyAlignment="1">
      <alignment wrapText="1"/>
    </xf>
    <xf numFmtId="0" fontId="0" fillId="0" borderId="9" xfId="0" applyBorder="1"/>
    <xf numFmtId="0" fontId="10" fillId="0" borderId="1" xfId="0" applyFont="1" applyBorder="1" applyAlignment="1">
      <alignment horizontal="right"/>
    </xf>
    <xf numFmtId="0" fontId="9" fillId="2" borderId="3" xfId="0" applyFont="1" applyFill="1" applyBorder="1" applyAlignment="1">
      <alignment horizontal="right"/>
    </xf>
    <xf numFmtId="0" fontId="0" fillId="0" borderId="0" xfId="0" applyAlignment="1">
      <alignment horizontal="right"/>
    </xf>
    <xf numFmtId="0" fontId="42" fillId="0" borderId="0" xfId="0" applyFont="1" applyAlignment="1">
      <alignment horizontal="right" vertical="center" wrapText="1"/>
    </xf>
    <xf numFmtId="0" fontId="25" fillId="0" borderId="0" xfId="0" applyFont="1" applyAlignment="1">
      <alignment horizontal="right"/>
    </xf>
    <xf numFmtId="0" fontId="48" fillId="0" borderId="0" xfId="0" applyFont="1"/>
    <xf numFmtId="0" fontId="23" fillId="0" borderId="0" xfId="0" applyFont="1" applyAlignment="1">
      <alignment horizontal="right"/>
    </xf>
    <xf numFmtId="0" fontId="48" fillId="0" borderId="0" xfId="0" applyFont="1" applyAlignment="1">
      <alignment horizontal="right"/>
    </xf>
    <xf numFmtId="0" fontId="48" fillId="0" borderId="20" xfId="0" applyFont="1" applyBorder="1"/>
    <xf numFmtId="0" fontId="48" fillId="0" borderId="8" xfId="0" applyFont="1" applyBorder="1" applyAlignment="1">
      <alignment horizontal="right"/>
    </xf>
    <xf numFmtId="0" fontId="48" fillId="0" borderId="5" xfId="0" applyFont="1" applyBorder="1" applyAlignment="1">
      <alignment horizontal="right"/>
    </xf>
    <xf numFmtId="0" fontId="48" fillId="0" borderId="15" xfId="0" applyFont="1" applyBorder="1" applyAlignment="1">
      <alignment horizontal="right"/>
    </xf>
    <xf numFmtId="0" fontId="25" fillId="0" borderId="19" xfId="0" applyFont="1" applyBorder="1" applyAlignment="1">
      <alignment wrapText="1"/>
    </xf>
    <xf numFmtId="0" fontId="3" fillId="0" borderId="0" xfId="3" applyFill="1" applyAlignment="1" applyProtection="1"/>
    <xf numFmtId="0" fontId="14" fillId="0" borderId="0" xfId="0" applyFont="1" applyAlignment="1">
      <alignment wrapText="1"/>
    </xf>
    <xf numFmtId="0" fontId="33" fillId="0" borderId="0" xfId="0" applyFont="1" applyAlignment="1">
      <alignment wrapText="1"/>
    </xf>
    <xf numFmtId="0" fontId="49" fillId="0" borderId="0" xfId="0" applyFont="1"/>
    <xf numFmtId="0" fontId="16" fillId="0" borderId="0" xfId="0" applyFont="1" applyAlignment="1">
      <alignment horizontal="center" vertical="top" wrapText="1"/>
    </xf>
    <xf numFmtId="0" fontId="25" fillId="2" borderId="0" xfId="0" applyFont="1" applyFill="1"/>
    <xf numFmtId="3" fontId="9" fillId="2" borderId="0" xfId="0" applyNumberFormat="1" applyFont="1" applyFill="1"/>
    <xf numFmtId="0" fontId="0" fillId="4" borderId="0" xfId="0" applyFill="1"/>
    <xf numFmtId="0" fontId="25" fillId="2" borderId="1" xfId="0" applyFont="1" applyFill="1" applyBorder="1" applyAlignment="1">
      <alignment wrapText="1"/>
    </xf>
    <xf numFmtId="3" fontId="5" fillId="0" borderId="2" xfId="16" applyNumberFormat="1" applyBorder="1"/>
    <xf numFmtId="0" fontId="25" fillId="0" borderId="20" xfId="0" applyFont="1" applyBorder="1"/>
    <xf numFmtId="41" fontId="0" fillId="0" borderId="0" xfId="0" applyNumberFormat="1"/>
    <xf numFmtId="41" fontId="25" fillId="0" borderId="0" xfId="0" applyNumberFormat="1" applyFont="1"/>
    <xf numFmtId="0" fontId="9" fillId="0" borderId="5" xfId="19" applyFont="1" applyBorder="1" applyAlignment="1">
      <alignment horizontal="right"/>
    </xf>
    <xf numFmtId="0" fontId="9" fillId="0" borderId="5" xfId="19" applyFont="1" applyBorder="1" applyAlignment="1">
      <alignment horizontal="right" wrapText="1"/>
    </xf>
    <xf numFmtId="0" fontId="9" fillId="0" borderId="15" xfId="19" applyFont="1" applyBorder="1" applyAlignment="1">
      <alignment horizontal="right"/>
    </xf>
    <xf numFmtId="41" fontId="0" fillId="0" borderId="3" xfId="0" applyNumberFormat="1" applyBorder="1"/>
    <xf numFmtId="41" fontId="0" fillId="0" borderId="16" xfId="0" applyNumberFormat="1" applyBorder="1"/>
    <xf numFmtId="172" fontId="13" fillId="0" borderId="9" xfId="0" applyNumberFormat="1" applyFont="1" applyBorder="1"/>
    <xf numFmtId="41" fontId="0" fillId="0" borderId="0" xfId="0" applyNumberFormat="1" applyAlignment="1">
      <alignment horizontal="right"/>
    </xf>
    <xf numFmtId="41" fontId="25" fillId="0" borderId="0" xfId="0" applyNumberFormat="1" applyFont="1" applyAlignment="1">
      <alignment horizontal="right"/>
    </xf>
    <xf numFmtId="0" fontId="9" fillId="2" borderId="0" xfId="7" applyFont="1" applyFill="1" applyAlignment="1">
      <alignment vertical="center" wrapText="1"/>
    </xf>
    <xf numFmtId="168" fontId="10" fillId="2" borderId="0" xfId="2" quotePrefix="1" applyNumberFormat="1" applyFont="1" applyFill="1" applyBorder="1" applyAlignment="1">
      <alignment horizontal="right" vertical="center"/>
    </xf>
    <xf numFmtId="0" fontId="9" fillId="2" borderId="1" xfId="7" applyFont="1" applyFill="1" applyBorder="1" applyAlignment="1">
      <alignment vertical="center" wrapText="1"/>
    </xf>
    <xf numFmtId="3" fontId="9" fillId="2" borderId="1" xfId="7" applyNumberFormat="1" applyFont="1" applyFill="1" applyBorder="1" applyAlignment="1">
      <alignment horizontal="right" vertical="center"/>
    </xf>
    <xf numFmtId="168" fontId="10" fillId="2" borderId="1" xfId="2" quotePrefix="1" applyNumberFormat="1" applyFont="1" applyFill="1" applyBorder="1" applyAlignment="1">
      <alignment horizontal="right" vertical="center"/>
    </xf>
    <xf numFmtId="0" fontId="9" fillId="2" borderId="5" xfId="7" applyFont="1" applyFill="1" applyBorder="1" applyAlignment="1">
      <alignment vertical="center" wrapText="1"/>
    </xf>
    <xf numFmtId="3" fontId="5" fillId="2" borderId="5" xfId="7" applyNumberFormat="1" applyFont="1" applyFill="1" applyBorder="1" applyAlignment="1">
      <alignment horizontal="right" vertical="center"/>
    </xf>
    <xf numFmtId="168" fontId="11" fillId="2" borderId="5" xfId="2" quotePrefix="1" applyNumberFormat="1" applyFont="1" applyFill="1" applyBorder="1" applyAlignment="1">
      <alignment horizontal="right"/>
    </xf>
    <xf numFmtId="168" fontId="10" fillId="2" borderId="4" xfId="2" quotePrefix="1" applyNumberFormat="1" applyFont="1" applyFill="1" applyBorder="1" applyAlignment="1">
      <alignment horizontal="right"/>
    </xf>
    <xf numFmtId="0" fontId="9" fillId="0" borderId="21" xfId="0" applyFont="1" applyBorder="1" applyAlignment="1">
      <alignment horizontal="right" vertical="center"/>
    </xf>
    <xf numFmtId="0" fontId="5" fillId="0" borderId="0" xfId="0" applyFont="1" applyAlignment="1">
      <alignment horizontal="right" vertical="center" wrapText="1"/>
    </xf>
    <xf numFmtId="164" fontId="9" fillId="0" borderId="3" xfId="0" applyNumberFormat="1" applyFont="1" applyBorder="1" applyAlignment="1">
      <alignment horizontal="right" vertical="center"/>
    </xf>
    <xf numFmtId="0" fontId="9" fillId="0" borderId="3" xfId="5" applyFont="1" applyBorder="1" applyAlignment="1">
      <alignment horizontal="left" vertical="center"/>
    </xf>
    <xf numFmtId="170" fontId="5" fillId="0" borderId="1" xfId="6" applyNumberFormat="1" applyBorder="1"/>
    <xf numFmtId="0" fontId="14" fillId="0" borderId="1" xfId="5" applyFont="1" applyBorder="1" applyAlignment="1">
      <alignment horizontal="left" vertical="center" wrapText="1"/>
    </xf>
    <xf numFmtId="0" fontId="9" fillId="0" borderId="3" xfId="5" applyFont="1" applyBorder="1" applyAlignment="1">
      <alignment horizontal="left" vertical="center" wrapText="1"/>
    </xf>
    <xf numFmtId="49" fontId="9" fillId="0" borderId="1" xfId="5" applyNumberFormat="1" applyFont="1" applyBorder="1" applyAlignment="1">
      <alignment horizontal="left" vertical="center" wrapText="1"/>
    </xf>
    <xf numFmtId="41" fontId="0" fillId="0" borderId="1" xfId="0" applyNumberFormat="1" applyBorder="1"/>
    <xf numFmtId="164" fontId="9" fillId="2" borderId="4" xfId="0" applyNumberFormat="1" applyFont="1" applyFill="1" applyBorder="1" applyAlignment="1">
      <alignment horizontal="right" vertical="center"/>
    </xf>
    <xf numFmtId="3" fontId="8" fillId="0" borderId="28" xfId="0" applyNumberFormat="1" applyFont="1" applyBorder="1"/>
    <xf numFmtId="164" fontId="9" fillId="2" borderId="4" xfId="9" applyNumberFormat="1" applyFont="1" applyFill="1" applyBorder="1" applyAlignment="1">
      <alignment horizontal="right" wrapText="1"/>
    </xf>
    <xf numFmtId="164" fontId="9" fillId="2" borderId="0" xfId="9" applyNumberFormat="1" applyFont="1" applyFill="1" applyAlignment="1">
      <alignment horizontal="right" wrapText="1"/>
    </xf>
    <xf numFmtId="0" fontId="9" fillId="2" borderId="18" xfId="0" applyFont="1" applyFill="1" applyBorder="1" applyAlignment="1">
      <alignment horizontal="right" wrapText="1"/>
    </xf>
    <xf numFmtId="0" fontId="9" fillId="2" borderId="2" xfId="0" applyFont="1" applyFill="1" applyBorder="1" applyAlignment="1">
      <alignment horizontal="right" wrapText="1"/>
    </xf>
    <xf numFmtId="0" fontId="9" fillId="2" borderId="17" xfId="0" applyFont="1" applyFill="1" applyBorder="1" applyAlignment="1">
      <alignment horizontal="right" wrapText="1"/>
    </xf>
    <xf numFmtId="0" fontId="9" fillId="2" borderId="17" xfId="0" applyFont="1" applyFill="1" applyBorder="1" applyAlignment="1">
      <alignment horizontal="left"/>
    </xf>
    <xf numFmtId="0" fontId="9" fillId="2" borderId="16" xfId="0" applyFont="1" applyFill="1" applyBorder="1" applyAlignment="1">
      <alignment horizontal="left"/>
    </xf>
    <xf numFmtId="172" fontId="11" fillId="2" borderId="2" xfId="22" applyNumberFormat="1" applyFont="1" applyFill="1" applyBorder="1"/>
    <xf numFmtId="172" fontId="11" fillId="2" borderId="17" xfId="22" applyNumberFormat="1" applyFont="1" applyFill="1" applyBorder="1"/>
    <xf numFmtId="172" fontId="11" fillId="2" borderId="0" xfId="22" applyNumberFormat="1" applyFont="1" applyFill="1" applyBorder="1"/>
    <xf numFmtId="172" fontId="11" fillId="2" borderId="16" xfId="22" applyNumberFormat="1" applyFont="1" applyFill="1" applyBorder="1"/>
    <xf numFmtId="0" fontId="19" fillId="2" borderId="20" xfId="0" applyFont="1" applyFill="1" applyBorder="1" applyAlignment="1">
      <alignment horizontal="right" wrapText="1"/>
    </xf>
    <xf numFmtId="0" fontId="25" fillId="0" borderId="1" xfId="0" applyFont="1" applyBorder="1" applyAlignment="1">
      <alignment horizontal="right" wrapText="1"/>
    </xf>
    <xf numFmtId="0" fontId="25" fillId="6" borderId="30" xfId="0" applyFont="1" applyFill="1" applyBorder="1"/>
    <xf numFmtId="0" fontId="25" fillId="6" borderId="0" xfId="0" applyFont="1" applyFill="1"/>
    <xf numFmtId="164" fontId="9" fillId="0" borderId="0" xfId="13" applyNumberFormat="1" applyFont="1" applyAlignment="1">
      <alignment horizontal="left"/>
    </xf>
    <xf numFmtId="0" fontId="25" fillId="0" borderId="1" xfId="0" applyFont="1" applyBorder="1" applyAlignment="1">
      <alignment horizontal="right"/>
    </xf>
    <xf numFmtId="0" fontId="0" fillId="0" borderId="0" xfId="0" applyAlignment="1">
      <alignment horizontal="left" vertical="center" wrapText="1"/>
    </xf>
    <xf numFmtId="0" fontId="10" fillId="0" borderId="1" xfId="0" applyFont="1" applyBorder="1" applyAlignment="1">
      <alignment horizontal="left" wrapText="1"/>
    </xf>
    <xf numFmtId="41" fontId="5" fillId="2" borderId="0" xfId="0" applyNumberFormat="1" applyFont="1" applyFill="1" applyAlignment="1">
      <alignment horizontal="right"/>
    </xf>
    <xf numFmtId="41" fontId="9" fillId="2" borderId="9" xfId="0" applyNumberFormat="1" applyFont="1" applyFill="1" applyBorder="1"/>
    <xf numFmtId="41" fontId="9" fillId="0" borderId="9" xfId="0" applyNumberFormat="1" applyFont="1" applyBorder="1"/>
    <xf numFmtId="41" fontId="5" fillId="0" borderId="3" xfId="0" applyNumberFormat="1" applyFont="1" applyBorder="1" applyAlignment="1">
      <alignment horizontal="right"/>
    </xf>
    <xf numFmtId="41" fontId="5" fillId="2" borderId="3" xfId="0" applyNumberFormat="1" applyFont="1" applyFill="1" applyBorder="1" applyAlignment="1">
      <alignment horizontal="right"/>
    </xf>
    <xf numFmtId="41" fontId="5" fillId="0" borderId="0" xfId="0" applyNumberFormat="1" applyFont="1" applyAlignment="1">
      <alignment horizontal="right"/>
    </xf>
    <xf numFmtId="41" fontId="9" fillId="0" borderId="0" xfId="0" applyNumberFormat="1" applyFont="1"/>
    <xf numFmtId="1" fontId="10" fillId="2" borderId="0" xfId="0" applyNumberFormat="1" applyFont="1" applyFill="1" applyAlignment="1">
      <alignment horizontal="right"/>
    </xf>
    <xf numFmtId="0" fontId="9" fillId="2" borderId="3" xfId="0" applyFont="1" applyFill="1" applyBorder="1" applyAlignment="1">
      <alignment wrapText="1"/>
    </xf>
    <xf numFmtId="176" fontId="33" fillId="0" borderId="0" xfId="0" applyNumberFormat="1" applyFont="1" applyAlignment="1">
      <alignment vertical="center"/>
    </xf>
    <xf numFmtId="0" fontId="9" fillId="2" borderId="0" xfId="0" applyFont="1" applyFill="1" applyAlignment="1">
      <alignment vertical="center" wrapText="1"/>
    </xf>
    <xf numFmtId="0" fontId="0" fillId="0" borderId="19" xfId="0" applyBorder="1"/>
    <xf numFmtId="0" fontId="25" fillId="0" borderId="5" xfId="0" applyFont="1" applyBorder="1"/>
    <xf numFmtId="0" fontId="0" fillId="0" borderId="5" xfId="0" applyBorder="1"/>
    <xf numFmtId="0" fontId="25" fillId="0" borderId="5" xfId="0" applyFont="1" applyBorder="1" applyAlignment="1">
      <alignment wrapText="1"/>
    </xf>
    <xf numFmtId="0" fontId="9" fillId="0" borderId="0" xfId="5" applyFont="1" applyAlignment="1">
      <alignment horizontal="left" wrapText="1"/>
    </xf>
    <xf numFmtId="0" fontId="9" fillId="0" borderId="0" xfId="5" applyFont="1" applyAlignment="1">
      <alignment horizontal="left" vertical="center" wrapText="1"/>
    </xf>
    <xf numFmtId="170" fontId="5" fillId="0" borderId="0" xfId="6" applyNumberFormat="1" applyAlignment="1">
      <alignment horizontal="right"/>
    </xf>
    <xf numFmtId="164" fontId="9" fillId="0" borderId="2" xfId="0" applyNumberFormat="1" applyFont="1" applyBorder="1" applyAlignment="1">
      <alignment horizontal="right" vertical="center"/>
    </xf>
    <xf numFmtId="0" fontId="9" fillId="0" borderId="2" xfId="5" applyFont="1" applyBorder="1" applyAlignment="1">
      <alignment horizontal="left" wrapText="1"/>
    </xf>
    <xf numFmtId="164" fontId="5" fillId="0" borderId="0" xfId="6" applyNumberFormat="1" applyAlignment="1">
      <alignment horizontal="right"/>
    </xf>
    <xf numFmtId="0" fontId="5" fillId="0" borderId="0" xfId="5" applyFont="1" applyAlignment="1">
      <alignment horizontal="left" wrapText="1"/>
    </xf>
    <xf numFmtId="164" fontId="5" fillId="0" borderId="2" xfId="6" applyNumberFormat="1" applyBorder="1" applyAlignment="1">
      <alignment horizontal="right"/>
    </xf>
    <xf numFmtId="169" fontId="5" fillId="0" borderId="0" xfId="5" applyNumberFormat="1" applyFont="1" applyAlignment="1">
      <alignment horizontal="right" wrapText="1"/>
    </xf>
    <xf numFmtId="169" fontId="5" fillId="4" borderId="0" xfId="5" applyNumberFormat="1" applyFont="1" applyFill="1" applyAlignment="1">
      <alignment horizontal="right" wrapText="1"/>
    </xf>
    <xf numFmtId="170" fontId="5" fillId="5" borderId="0" xfId="6" applyNumberFormat="1" applyFill="1" applyAlignment="1">
      <alignment horizontal="right"/>
    </xf>
    <xf numFmtId="0" fontId="51" fillId="0" borderId="0" xfId="0" applyFont="1"/>
    <xf numFmtId="170" fontId="5" fillId="5" borderId="2" xfId="6" applyNumberFormat="1" applyFill="1" applyBorder="1" applyAlignment="1">
      <alignment horizontal="right"/>
    </xf>
    <xf numFmtId="41" fontId="25" fillId="0" borderId="4" xfId="0" applyNumberFormat="1" applyFont="1" applyBorder="1"/>
    <xf numFmtId="0" fontId="9" fillId="2" borderId="16" xfId="0" applyFont="1" applyFill="1" applyBorder="1"/>
    <xf numFmtId="172" fontId="10" fillId="2" borderId="16" xfId="0" applyNumberFormat="1" applyFont="1" applyFill="1" applyBorder="1" applyAlignment="1">
      <alignment horizontal="right"/>
    </xf>
    <xf numFmtId="41" fontId="9" fillId="0" borderId="0" xfId="7" applyNumberFormat="1" applyFont="1" applyAlignment="1">
      <alignment horizontal="left"/>
    </xf>
    <xf numFmtId="41" fontId="9" fillId="0" borderId="0" xfId="7" applyNumberFormat="1" applyFont="1" applyAlignment="1">
      <alignment horizontal="left" wrapText="1"/>
    </xf>
    <xf numFmtId="164" fontId="9" fillId="0" borderId="4" xfId="0" applyNumberFormat="1" applyFont="1" applyBorder="1" applyAlignment="1">
      <alignment vertical="center"/>
    </xf>
    <xf numFmtId="0" fontId="9" fillId="2" borderId="3" xfId="0" applyFont="1" applyFill="1" applyBorder="1" applyAlignment="1">
      <alignment horizontal="left" wrapText="1"/>
    </xf>
    <xf numFmtId="164" fontId="5" fillId="4" borderId="21" xfId="0" applyNumberFormat="1" applyFont="1" applyFill="1" applyBorder="1" applyAlignment="1">
      <alignment horizontal="right"/>
    </xf>
    <xf numFmtId="4" fontId="5" fillId="2" borderId="13" xfId="0" applyNumberFormat="1" applyFont="1" applyFill="1" applyBorder="1"/>
    <xf numFmtId="4" fontId="5" fillId="4" borderId="0" xfId="0" applyNumberFormat="1" applyFont="1" applyFill="1" applyAlignment="1">
      <alignment horizontal="right"/>
    </xf>
    <xf numFmtId="0" fontId="25" fillId="0" borderId="8" xfId="0" applyFont="1" applyBorder="1" applyAlignment="1">
      <alignment wrapText="1"/>
    </xf>
    <xf numFmtId="168" fontId="43" fillId="0" borderId="16" xfId="0" applyNumberFormat="1" applyFont="1" applyBorder="1"/>
    <xf numFmtId="168" fontId="43" fillId="0" borderId="29" xfId="0" applyNumberFormat="1" applyFont="1" applyBorder="1"/>
    <xf numFmtId="0" fontId="25" fillId="0" borderId="19" xfId="0" applyFont="1" applyBorder="1"/>
    <xf numFmtId="0" fontId="25" fillId="0" borderId="15" xfId="0" applyFont="1" applyBorder="1"/>
    <xf numFmtId="168" fontId="43" fillId="0" borderId="0" xfId="0" applyNumberFormat="1" applyFont="1"/>
    <xf numFmtId="168" fontId="43" fillId="4" borderId="0" xfId="0" applyNumberFormat="1" applyFont="1" applyFill="1"/>
    <xf numFmtId="168" fontId="43" fillId="4" borderId="17" xfId="0" applyNumberFormat="1" applyFont="1" applyFill="1" applyBorder="1"/>
    <xf numFmtId="168" fontId="43" fillId="4" borderId="16" xfId="0" applyNumberFormat="1" applyFont="1" applyFill="1" applyBorder="1"/>
    <xf numFmtId="168" fontId="43" fillId="0" borderId="3" xfId="0" applyNumberFormat="1" applyFont="1" applyBorder="1"/>
    <xf numFmtId="0" fontId="33" fillId="0" borderId="0" xfId="3" applyFont="1" applyAlignment="1" applyProtection="1">
      <alignment vertical="center"/>
    </xf>
    <xf numFmtId="173" fontId="11" fillId="2" borderId="0" xfId="0" applyNumberFormat="1" applyFont="1" applyFill="1" applyAlignment="1">
      <alignment horizontal="right"/>
    </xf>
    <xf numFmtId="41" fontId="9" fillId="0" borderId="4" xfId="0" applyNumberFormat="1" applyFont="1" applyBorder="1" applyAlignment="1">
      <alignment vertical="center"/>
    </xf>
    <xf numFmtId="41" fontId="0" fillId="4" borderId="0" xfId="0" applyNumberFormat="1" applyFill="1"/>
    <xf numFmtId="41" fontId="9" fillId="0" borderId="0" xfId="21" applyNumberFormat="1" applyFont="1" applyFill="1" applyBorder="1" applyAlignment="1">
      <alignment horizontal="right" wrapText="1"/>
    </xf>
    <xf numFmtId="41" fontId="9" fillId="0" borderId="0" xfId="21" applyNumberFormat="1" applyFont="1" applyFill="1" applyBorder="1" applyAlignment="1">
      <alignment horizontal="right" vertical="center" wrapText="1"/>
    </xf>
    <xf numFmtId="41" fontId="9" fillId="0" borderId="0" xfId="22" applyNumberFormat="1" applyFont="1" applyFill="1" applyBorder="1" applyAlignment="1">
      <alignment horizontal="right" vertical="center" wrapText="1"/>
    </xf>
    <xf numFmtId="41" fontId="9" fillId="0" borderId="3" xfId="22" applyNumberFormat="1" applyFont="1" applyFill="1" applyBorder="1" applyAlignment="1">
      <alignment horizontal="right" vertical="center" wrapText="1"/>
    </xf>
    <xf numFmtId="41" fontId="5" fillId="2" borderId="0" xfId="0" applyNumberFormat="1" applyFont="1" applyFill="1"/>
    <xf numFmtId="41" fontId="5" fillId="2" borderId="17" xfId="0" applyNumberFormat="1" applyFont="1" applyFill="1" applyBorder="1"/>
    <xf numFmtId="41" fontId="0" fillId="3" borderId="21" xfId="0" applyNumberFormat="1" applyFill="1" applyBorder="1"/>
    <xf numFmtId="41" fontId="5" fillId="4" borderId="21" xfId="0" applyNumberFormat="1" applyFont="1" applyFill="1" applyBorder="1"/>
    <xf numFmtId="41" fontId="5" fillId="2" borderId="16" xfId="0" applyNumberFormat="1" applyFont="1" applyFill="1" applyBorder="1"/>
    <xf numFmtId="41" fontId="5" fillId="4" borderId="13" xfId="0" applyNumberFormat="1" applyFont="1" applyFill="1" applyBorder="1"/>
    <xf numFmtId="41" fontId="0" fillId="3" borderId="13" xfId="0" applyNumberFormat="1" applyFill="1" applyBorder="1"/>
    <xf numFmtId="41" fontId="5" fillId="4" borderId="16" xfId="0" applyNumberFormat="1" applyFont="1" applyFill="1" applyBorder="1"/>
    <xf numFmtId="41" fontId="5" fillId="2" borderId="3" xfId="0" applyNumberFormat="1" applyFont="1" applyFill="1" applyBorder="1"/>
    <xf numFmtId="41" fontId="5" fillId="2" borderId="29" xfId="0" applyNumberFormat="1" applyFont="1" applyFill="1" applyBorder="1"/>
    <xf numFmtId="41" fontId="0" fillId="4" borderId="0" xfId="0" applyNumberFormat="1" applyFill="1" applyAlignment="1">
      <alignment horizontal="right"/>
    </xf>
    <xf numFmtId="0" fontId="9" fillId="0" borderId="4" xfId="0" applyFont="1" applyBorder="1" applyAlignment="1">
      <alignment horizontal="left"/>
    </xf>
    <xf numFmtId="166" fontId="9" fillId="0" borderId="4" xfId="21" applyNumberFormat="1" applyFont="1" applyFill="1" applyBorder="1" applyAlignment="1">
      <alignment horizontal="right" wrapText="1"/>
    </xf>
    <xf numFmtId="168" fontId="11" fillId="2" borderId="11" xfId="2" quotePrefix="1" applyNumberFormat="1" applyFont="1" applyFill="1" applyBorder="1" applyAlignment="1">
      <alignment horizontal="right" vertical="center"/>
    </xf>
    <xf numFmtId="0" fontId="25" fillId="0" borderId="16" xfId="0" applyFont="1" applyBorder="1"/>
    <xf numFmtId="0" fontId="14" fillId="0" borderId="29" xfId="0" applyFont="1" applyBorder="1" applyAlignment="1">
      <alignment horizontal="left" vertical="center"/>
    </xf>
    <xf numFmtId="172" fontId="9" fillId="2" borderId="1" xfId="7" applyNumberFormat="1" applyFont="1" applyFill="1" applyBorder="1" applyAlignment="1">
      <alignment horizontal="center" wrapText="1"/>
    </xf>
    <xf numFmtId="172" fontId="43" fillId="0" borderId="0" xfId="0" applyNumberFormat="1" applyFont="1" applyAlignment="1">
      <alignment horizontal="right"/>
    </xf>
    <xf numFmtId="172" fontId="43" fillId="0" borderId="1" xfId="0" applyNumberFormat="1" applyFont="1" applyBorder="1" applyAlignment="1">
      <alignment horizontal="right"/>
    </xf>
    <xf numFmtId="172" fontId="0" fillId="0" borderId="9" xfId="0" applyNumberFormat="1" applyBorder="1" applyAlignment="1">
      <alignment horizontal="right"/>
    </xf>
    <xf numFmtId="172" fontId="5" fillId="0" borderId="0" xfId="0" applyNumberFormat="1" applyFont="1" applyAlignment="1">
      <alignment horizontal="right" vertical="center" wrapText="1"/>
    </xf>
    <xf numFmtId="172" fontId="0" fillId="0" borderId="10" xfId="0" applyNumberFormat="1" applyBorder="1" applyAlignment="1">
      <alignment horizontal="right"/>
    </xf>
    <xf numFmtId="164" fontId="9" fillId="0" borderId="3" xfId="0" applyNumberFormat="1" applyFont="1" applyBorder="1"/>
    <xf numFmtId="164" fontId="9" fillId="0" borderId="0" xfId="5" applyNumberFormat="1" applyFont="1" applyAlignment="1">
      <alignment horizontal="right" wrapText="1"/>
    </xf>
    <xf numFmtId="164" fontId="9" fillId="0" borderId="1" xfId="5" applyNumberFormat="1" applyFont="1" applyBorder="1" applyAlignment="1">
      <alignment horizontal="right" wrapText="1"/>
    </xf>
    <xf numFmtId="164" fontId="9" fillId="0" borderId="0" xfId="21" applyNumberFormat="1" applyFont="1" applyFill="1" applyBorder="1" applyAlignment="1">
      <alignment horizontal="right" wrapText="1"/>
    </xf>
    <xf numFmtId="168" fontId="10" fillId="2" borderId="0" xfId="2" quotePrefix="1" applyNumberFormat="1" applyFont="1" applyFill="1" applyBorder="1" applyAlignment="1">
      <alignment horizontal="right"/>
    </xf>
    <xf numFmtId="164" fontId="9" fillId="2" borderId="0" xfId="9" quotePrefix="1" applyNumberFormat="1" applyFont="1" applyFill="1" applyAlignment="1">
      <alignment horizontal="right" wrapText="1"/>
    </xf>
    <xf numFmtId="164" fontId="9" fillId="2" borderId="4" xfId="7" applyNumberFormat="1" applyFont="1" applyFill="1" applyBorder="1" applyAlignment="1">
      <alignment horizontal="right" vertical="center"/>
    </xf>
    <xf numFmtId="164" fontId="5" fillId="2" borderId="0" xfId="7" applyNumberFormat="1" applyFont="1" applyFill="1" applyAlignment="1">
      <alignment horizontal="right"/>
    </xf>
    <xf numFmtId="164" fontId="9" fillId="2" borderId="0" xfId="1" applyNumberFormat="1" applyFont="1" applyFill="1" applyBorder="1" applyAlignment="1">
      <alignment horizontal="right"/>
    </xf>
    <xf numFmtId="164" fontId="9" fillId="2" borderId="0" xfId="7" applyNumberFormat="1" applyFont="1" applyFill="1" applyAlignment="1">
      <alignment horizontal="right"/>
    </xf>
    <xf numFmtId="164" fontId="5" fillId="2" borderId="2" xfId="0" applyNumberFormat="1" applyFont="1" applyFill="1" applyBorder="1" applyAlignment="1">
      <alignment horizontal="right"/>
    </xf>
    <xf numFmtId="164" fontId="9" fillId="2" borderId="2" xfId="1" applyNumberFormat="1" applyFont="1" applyFill="1" applyBorder="1" applyAlignment="1">
      <alignment horizontal="right" wrapText="1"/>
    </xf>
    <xf numFmtId="164" fontId="5" fillId="2" borderId="0" xfId="0" applyNumberFormat="1" applyFont="1" applyFill="1" applyAlignment="1">
      <alignment horizontal="right"/>
    </xf>
    <xf numFmtId="164" fontId="9" fillId="2" borderId="0" xfId="1" applyNumberFormat="1" applyFont="1" applyFill="1" applyBorder="1" applyAlignment="1">
      <alignment horizontal="right" wrapText="1"/>
    </xf>
    <xf numFmtId="164" fontId="9" fillId="2" borderId="1" xfId="1" applyNumberFormat="1" applyFont="1" applyFill="1" applyBorder="1" applyAlignment="1">
      <alignment horizontal="right" wrapText="1"/>
    </xf>
    <xf numFmtId="164" fontId="9" fillId="2" borderId="0" xfId="7" applyNumberFormat="1" applyFont="1" applyFill="1" applyAlignment="1">
      <alignment horizontal="right" vertical="center"/>
    </xf>
    <xf numFmtId="164" fontId="9" fillId="2" borderId="1" xfId="7" applyNumberFormat="1" applyFont="1" applyFill="1" applyBorder="1" applyAlignment="1">
      <alignment horizontal="right" vertical="center"/>
    </xf>
    <xf numFmtId="164" fontId="5" fillId="2" borderId="0" xfId="7" applyNumberFormat="1" applyFont="1" applyFill="1" applyAlignment="1">
      <alignment horizontal="right" vertical="center"/>
    </xf>
    <xf numFmtId="164" fontId="9" fillId="2" borderId="0" xfId="0" applyNumberFormat="1" applyFont="1" applyFill="1" applyAlignment="1">
      <alignment horizontal="right"/>
    </xf>
    <xf numFmtId="41" fontId="5" fillId="2" borderId="16" xfId="0" applyNumberFormat="1" applyFont="1" applyFill="1" applyBorder="1" applyAlignment="1">
      <alignment horizontal="right"/>
    </xf>
    <xf numFmtId="1" fontId="11" fillId="2" borderId="16" xfId="0" applyNumberFormat="1" applyFont="1" applyFill="1" applyBorder="1" applyAlignment="1">
      <alignment horizontal="right"/>
    </xf>
    <xf numFmtId="41" fontId="9" fillId="2" borderId="13" xfId="0" applyNumberFormat="1" applyFont="1" applyFill="1" applyBorder="1"/>
    <xf numFmtId="41" fontId="9" fillId="2" borderId="24" xfId="0" applyNumberFormat="1" applyFont="1" applyFill="1" applyBorder="1"/>
    <xf numFmtId="164" fontId="25" fillId="0" borderId="0" xfId="0" applyNumberFormat="1" applyFont="1"/>
    <xf numFmtId="0" fontId="14" fillId="2" borderId="0" xfId="0" applyFont="1" applyFill="1" applyAlignment="1">
      <alignment horizontal="left" vertical="center" wrapText="1"/>
    </xf>
    <xf numFmtId="172" fontId="43" fillId="0" borderId="0" xfId="0" applyNumberFormat="1" applyFont="1"/>
    <xf numFmtId="172" fontId="52" fillId="0" borderId="0" xfId="0" applyNumberFormat="1" applyFont="1"/>
    <xf numFmtId="172" fontId="43" fillId="0" borderId="3" xfId="0" applyNumberFormat="1" applyFont="1" applyBorder="1"/>
    <xf numFmtId="172" fontId="52" fillId="0" borderId="3" xfId="0" applyNumberFormat="1" applyFont="1" applyBorder="1"/>
    <xf numFmtId="164" fontId="0" fillId="0" borderId="3" xfId="0" applyNumberFormat="1" applyBorder="1"/>
    <xf numFmtId="173" fontId="11" fillId="0" borderId="0" xfId="0" applyNumberFormat="1" applyFont="1" applyAlignment="1">
      <alignment horizontal="right" vertical="center"/>
    </xf>
    <xf numFmtId="172" fontId="11" fillId="0" borderId="2" xfId="0" applyNumberFormat="1" applyFont="1" applyBorder="1" applyAlignment="1">
      <alignment horizontal="right"/>
    </xf>
    <xf numFmtId="172" fontId="11" fillId="0" borderId="21" xfId="0" applyNumberFormat="1" applyFont="1" applyBorder="1" applyAlignment="1">
      <alignment horizontal="right"/>
    </xf>
    <xf numFmtId="172" fontId="11" fillId="0" borderId="0" xfId="0" applyNumberFormat="1" applyFont="1" applyAlignment="1">
      <alignment horizontal="right"/>
    </xf>
    <xf numFmtId="172" fontId="11" fillId="0" borderId="13" xfId="0" applyNumberFormat="1" applyFont="1" applyBorder="1" applyAlignment="1">
      <alignment horizontal="right"/>
    </xf>
    <xf numFmtId="172" fontId="10" fillId="0" borderId="4" xfId="0" applyNumberFormat="1" applyFont="1" applyBorder="1" applyAlignment="1">
      <alignment horizontal="right"/>
    </xf>
    <xf numFmtId="164" fontId="9" fillId="0" borderId="9" xfId="0" applyNumberFormat="1" applyFont="1" applyBorder="1"/>
    <xf numFmtId="172" fontId="11" fillId="0" borderId="27" xfId="22" applyNumberFormat="1" applyFont="1" applyFill="1" applyBorder="1" applyAlignment="1">
      <alignment horizontal="right"/>
    </xf>
    <xf numFmtId="172" fontId="11" fillId="0" borderId="13" xfId="22" applyNumberFormat="1" applyFont="1" applyFill="1" applyBorder="1" applyAlignment="1">
      <alignment horizontal="right"/>
    </xf>
    <xf numFmtId="172" fontId="10" fillId="0" borderId="23" xfId="22" applyNumberFormat="1" applyFont="1" applyFill="1" applyBorder="1" applyAlignment="1">
      <alignment horizontal="right"/>
    </xf>
    <xf numFmtId="1" fontId="11" fillId="0" borderId="0" xfId="22" quotePrefix="1" applyNumberFormat="1" applyFont="1" applyFill="1" applyBorder="1" applyAlignment="1">
      <alignment horizontal="right"/>
    </xf>
    <xf numFmtId="1" fontId="10" fillId="0" borderId="0" xfId="22" applyNumberFormat="1" applyFont="1" applyFill="1" applyBorder="1"/>
    <xf numFmtId="1" fontId="10" fillId="2" borderId="4" xfId="22" applyNumberFormat="1" applyFont="1" applyFill="1" applyBorder="1" applyAlignment="1">
      <alignment vertical="center"/>
    </xf>
    <xf numFmtId="1" fontId="10" fillId="0" borderId="4" xfId="22" quotePrefix="1" applyNumberFormat="1" applyFont="1" applyFill="1" applyBorder="1" applyAlignment="1">
      <alignment horizontal="right"/>
    </xf>
    <xf numFmtId="1" fontId="10" fillId="0" borderId="4" xfId="22" applyNumberFormat="1" applyFont="1" applyFill="1" applyBorder="1" applyAlignment="1">
      <alignment vertical="center"/>
    </xf>
    <xf numFmtId="0" fontId="10" fillId="2" borderId="0" xfId="0" applyFont="1" applyFill="1" applyAlignment="1">
      <alignment horizontal="left" wrapText="1"/>
    </xf>
    <xf numFmtId="4" fontId="5" fillId="4" borderId="0" xfId="0" applyNumberFormat="1" applyFont="1" applyFill="1"/>
    <xf numFmtId="4" fontId="5" fillId="4" borderId="13" xfId="0" applyNumberFormat="1" applyFont="1" applyFill="1" applyBorder="1"/>
    <xf numFmtId="4" fontId="9" fillId="4" borderId="0" xfId="0" applyNumberFormat="1" applyFont="1" applyFill="1" applyAlignment="1">
      <alignment horizontal="right"/>
    </xf>
    <xf numFmtId="4" fontId="5" fillId="0" borderId="0" xfId="0" applyNumberFormat="1" applyFont="1" applyAlignment="1">
      <alignment horizontal="right"/>
    </xf>
    <xf numFmtId="4" fontId="9" fillId="0" borderId="0" xfId="0" applyNumberFormat="1" applyFont="1" applyAlignment="1">
      <alignment horizontal="right"/>
    </xf>
    <xf numFmtId="172" fontId="13" fillId="0" borderId="10" xfId="0" applyNumberFormat="1" applyFont="1" applyBorder="1"/>
    <xf numFmtId="172" fontId="13" fillId="0" borderId="1" xfId="0" applyNumberFormat="1" applyFont="1" applyBorder="1"/>
    <xf numFmtId="0" fontId="14" fillId="2" borderId="15" xfId="0" applyFont="1" applyFill="1" applyBorder="1" applyAlignment="1">
      <alignment vertical="center"/>
    </xf>
    <xf numFmtId="0" fontId="27" fillId="2" borderId="0" xfId="0" applyFont="1" applyFill="1" applyAlignment="1">
      <alignment horizontal="center" wrapText="1"/>
    </xf>
    <xf numFmtId="0" fontId="27" fillId="2" borderId="10" xfId="0" applyFont="1" applyFill="1" applyBorder="1" applyAlignment="1">
      <alignment horizontal="center" wrapText="1"/>
    </xf>
    <xf numFmtId="41" fontId="9" fillId="0" borderId="3" xfId="21" applyNumberFormat="1" applyFont="1" applyFill="1" applyBorder="1" applyAlignment="1">
      <alignment horizontal="right" wrapText="1"/>
    </xf>
    <xf numFmtId="0" fontId="25" fillId="0" borderId="29" xfId="0" applyFont="1" applyBorder="1"/>
    <xf numFmtId="0" fontId="25" fillId="0" borderId="3" xfId="0" applyFont="1" applyBorder="1" applyAlignment="1">
      <alignment wrapText="1"/>
    </xf>
    <xf numFmtId="0" fontId="25" fillId="0" borderId="2" xfId="0" applyFont="1" applyBorder="1"/>
    <xf numFmtId="41" fontId="8" fillId="0" borderId="0" xfId="11" applyNumberFormat="1" applyFont="1" applyFill="1" applyAlignment="1">
      <alignment horizontal="left" vertical="center" wrapText="1"/>
    </xf>
    <xf numFmtId="41" fontId="16" fillId="0" borderId="0" xfId="11" applyNumberFormat="1" applyFont="1" applyFill="1" applyAlignment="1">
      <alignment horizontal="right" vertical="center" wrapText="1"/>
    </xf>
    <xf numFmtId="41" fontId="33" fillId="0" borderId="0" xfId="11" applyNumberFormat="1" applyFont="1" applyFill="1" applyAlignment="1">
      <alignment horizontal="right" vertical="center" wrapText="1"/>
    </xf>
    <xf numFmtId="41" fontId="16" fillId="0" borderId="3" xfId="11" applyNumberFormat="1" applyFont="1" applyFill="1" applyBorder="1" applyAlignment="1">
      <alignment horizontal="right" vertical="center" wrapText="1"/>
    </xf>
    <xf numFmtId="0" fontId="33" fillId="2" borderId="0" xfId="0" applyFont="1" applyFill="1" applyAlignment="1">
      <alignment wrapText="1"/>
    </xf>
    <xf numFmtId="0" fontId="3" fillId="2" borderId="0" xfId="3" applyFill="1" applyAlignment="1" applyProtection="1"/>
    <xf numFmtId="0" fontId="38" fillId="2" borderId="0" xfId="0" applyFont="1" applyFill="1" applyAlignment="1">
      <alignment vertical="center"/>
    </xf>
    <xf numFmtId="168" fontId="5" fillId="0" borderId="0" xfId="2" applyNumberFormat="1" applyFont="1" applyFill="1" applyBorder="1" applyAlignment="1">
      <alignment horizontal="right"/>
    </xf>
    <xf numFmtId="41" fontId="9" fillId="0" borderId="0" xfId="2" applyNumberFormat="1" applyFont="1" applyFill="1" applyBorder="1" applyAlignment="1">
      <alignment horizontal="left"/>
    </xf>
    <xf numFmtId="41" fontId="5" fillId="0" borderId="0" xfId="0" applyNumberFormat="1" applyFont="1" applyAlignment="1">
      <alignment horizontal="right" vertical="center"/>
    </xf>
    <xf numFmtId="41" fontId="9" fillId="0" borderId="21" xfId="0" applyNumberFormat="1" applyFont="1" applyBorder="1" applyAlignment="1">
      <alignment horizontal="right" vertical="center"/>
    </xf>
    <xf numFmtId="41" fontId="5" fillId="0" borderId="21" xfId="0" applyNumberFormat="1" applyFont="1" applyBorder="1" applyAlignment="1">
      <alignment horizontal="right" vertical="center"/>
    </xf>
    <xf numFmtId="0" fontId="9" fillId="0" borderId="15" xfId="4" applyFont="1" applyBorder="1" applyAlignment="1">
      <alignment horizontal="center" wrapText="1"/>
    </xf>
    <xf numFmtId="172" fontId="13" fillId="0" borderId="17" xfId="0" applyNumberFormat="1" applyFont="1" applyBorder="1"/>
    <xf numFmtId="172" fontId="13" fillId="0" borderId="16" xfId="0" applyNumberFormat="1" applyFont="1" applyBorder="1"/>
    <xf numFmtId="172" fontId="13" fillId="0" borderId="20" xfId="0" applyNumberFormat="1" applyFont="1" applyBorder="1"/>
    <xf numFmtId="41" fontId="5" fillId="4" borderId="0" xfId="0" applyNumberFormat="1" applyFont="1" applyFill="1"/>
    <xf numFmtId="41" fontId="5" fillId="0" borderId="13" xfId="0" applyNumberFormat="1" applyFont="1" applyBorder="1"/>
    <xf numFmtId="41" fontId="5" fillId="0" borderId="24" xfId="0" applyNumberFormat="1" applyFont="1" applyBorder="1"/>
    <xf numFmtId="41" fontId="9" fillId="2" borderId="21" xfId="0" applyNumberFormat="1" applyFont="1" applyFill="1" applyBorder="1"/>
    <xf numFmtId="41" fontId="0" fillId="0" borderId="3" xfId="0" applyNumberFormat="1" applyBorder="1" applyAlignment="1">
      <alignment horizontal="right"/>
    </xf>
    <xf numFmtId="0" fontId="16" fillId="0" borderId="3" xfId="0" applyFont="1" applyBorder="1" applyAlignment="1">
      <alignment horizontal="left" vertical="center"/>
    </xf>
    <xf numFmtId="41" fontId="5" fillId="0" borderId="3" xfId="0" applyNumberFormat="1" applyFont="1" applyBorder="1" applyAlignment="1">
      <alignment horizontal="right" vertical="center" wrapText="1"/>
    </xf>
    <xf numFmtId="41" fontId="9" fillId="0" borderId="3" xfId="0" applyNumberFormat="1" applyFont="1" applyBorder="1" applyAlignment="1">
      <alignment horizontal="right" vertical="center" wrapText="1"/>
    </xf>
    <xf numFmtId="0" fontId="16" fillId="0" borderId="0" xfId="0" applyFont="1" applyAlignment="1">
      <alignment horizontal="left" wrapText="1"/>
    </xf>
    <xf numFmtId="172" fontId="13" fillId="0" borderId="0" xfId="0" applyNumberFormat="1" applyFont="1"/>
    <xf numFmtId="0" fontId="10" fillId="0" borderId="8" xfId="4" applyFont="1" applyBorder="1" applyAlignment="1">
      <alignment horizontal="center" wrapText="1"/>
    </xf>
    <xf numFmtId="172" fontId="50" fillId="0" borderId="0" xfId="0" quotePrefix="1" applyNumberFormat="1" applyFont="1" applyAlignment="1">
      <alignment horizontal="right"/>
    </xf>
    <xf numFmtId="41" fontId="0" fillId="4" borderId="16" xfId="0" applyNumberFormat="1" applyFill="1" applyBorder="1"/>
    <xf numFmtId="0" fontId="33" fillId="4" borderId="0" xfId="0" applyFont="1" applyFill="1"/>
    <xf numFmtId="0" fontId="0" fillId="0" borderId="0" xfId="0" applyAlignment="1">
      <alignment vertical="center"/>
    </xf>
    <xf numFmtId="0" fontId="25" fillId="0" borderId="5" xfId="0" applyFont="1" applyBorder="1" applyAlignment="1">
      <alignment horizontal="center" vertical="center"/>
    </xf>
    <xf numFmtId="0" fontId="25" fillId="0" borderId="10" xfId="0" applyFont="1" applyBorder="1" applyAlignment="1">
      <alignment horizontal="right"/>
    </xf>
    <xf numFmtId="0" fontId="25" fillId="0" borderId="20" xfId="0" applyFont="1" applyBorder="1" applyAlignment="1">
      <alignment horizontal="right"/>
    </xf>
    <xf numFmtId="0" fontId="25" fillId="0" borderId="9" xfId="0" applyFont="1" applyBorder="1" applyAlignment="1">
      <alignment horizontal="right"/>
    </xf>
    <xf numFmtId="0" fontId="25" fillId="0" borderId="16" xfId="0" applyFont="1" applyBorder="1" applyAlignment="1">
      <alignment horizontal="right"/>
    </xf>
    <xf numFmtId="41" fontId="25" fillId="0" borderId="9" xfId="0" applyNumberFormat="1" applyFont="1" applyBorder="1" applyAlignment="1">
      <alignment horizontal="right"/>
    </xf>
    <xf numFmtId="41" fontId="0" fillId="0" borderId="1" xfId="0" applyNumberFormat="1" applyBorder="1" applyAlignment="1">
      <alignment horizontal="right"/>
    </xf>
    <xf numFmtId="41" fontId="25" fillId="0" borderId="10" xfId="0" applyNumberFormat="1" applyFont="1" applyBorder="1" applyAlignment="1">
      <alignment horizontal="right"/>
    </xf>
    <xf numFmtId="172" fontId="11" fillId="2" borderId="0" xfId="0" applyNumberFormat="1" applyFont="1" applyFill="1"/>
    <xf numFmtId="172" fontId="10" fillId="2" borderId="2" xfId="0" applyNumberFormat="1" applyFont="1" applyFill="1" applyBorder="1" applyAlignment="1">
      <alignment horizontal="right"/>
    </xf>
    <xf numFmtId="172" fontId="10" fillId="2" borderId="2" xfId="0" applyNumberFormat="1" applyFont="1" applyFill="1" applyBorder="1"/>
    <xf numFmtId="172" fontId="10" fillId="2" borderId="17" xfId="0" applyNumberFormat="1" applyFont="1" applyFill="1" applyBorder="1" applyAlignment="1">
      <alignment horizontal="right"/>
    </xf>
    <xf numFmtId="0" fontId="10" fillId="2" borderId="0" xfId="0" applyFont="1" applyFill="1" applyAlignment="1">
      <alignment horizontal="right" vertical="center" wrapText="1"/>
    </xf>
    <xf numFmtId="0" fontId="25" fillId="0" borderId="5" xfId="0" applyFont="1" applyBorder="1" applyAlignment="1">
      <alignment horizontal="right" wrapText="1"/>
    </xf>
    <xf numFmtId="0" fontId="25" fillId="0" borderId="15" xfId="0" applyFont="1" applyBorder="1" applyAlignment="1">
      <alignment horizontal="right"/>
    </xf>
    <xf numFmtId="0" fontId="25" fillId="0" borderId="13" xfId="0" applyFont="1" applyBorder="1"/>
    <xf numFmtId="0" fontId="25" fillId="0" borderId="14" xfId="0" applyFont="1" applyBorder="1"/>
    <xf numFmtId="41" fontId="25" fillId="0" borderId="16" xfId="0" applyNumberFormat="1" applyFont="1" applyBorder="1" applyAlignment="1">
      <alignment horizontal="right"/>
    </xf>
    <xf numFmtId="41" fontId="25" fillId="0" borderId="20" xfId="0" applyNumberFormat="1" applyFont="1" applyBorder="1" applyAlignment="1">
      <alignment horizontal="right"/>
    </xf>
    <xf numFmtId="0" fontId="9" fillId="0" borderId="2" xfId="0" applyFont="1" applyBorder="1" applyAlignment="1">
      <alignment wrapText="1"/>
    </xf>
    <xf numFmtId="0" fontId="9" fillId="2" borderId="20" xfId="0" applyFont="1" applyFill="1" applyBorder="1"/>
    <xf numFmtId="172" fontId="11" fillId="2" borderId="1" xfId="22" applyNumberFormat="1" applyFont="1" applyFill="1" applyBorder="1"/>
    <xf numFmtId="172" fontId="11" fillId="2" borderId="20" xfId="22" applyNumberFormat="1" applyFont="1" applyFill="1" applyBorder="1"/>
    <xf numFmtId="172" fontId="11" fillId="2" borderId="1" xfId="0" applyNumberFormat="1" applyFont="1" applyFill="1" applyBorder="1"/>
    <xf numFmtId="172" fontId="11" fillId="2" borderId="20" xfId="0" applyNumberFormat="1" applyFont="1" applyFill="1" applyBorder="1"/>
    <xf numFmtId="172" fontId="11" fillId="2" borderId="20" xfId="0" applyNumberFormat="1" applyFont="1" applyFill="1" applyBorder="1" applyAlignment="1">
      <alignment horizontal="right"/>
    </xf>
    <xf numFmtId="172" fontId="10" fillId="2" borderId="1" xfId="0" applyNumberFormat="1" applyFont="1" applyFill="1" applyBorder="1" applyAlignment="1">
      <alignment horizontal="right"/>
    </xf>
    <xf numFmtId="172" fontId="10" fillId="2" borderId="20" xfId="0" applyNumberFormat="1" applyFont="1" applyFill="1" applyBorder="1" applyAlignment="1">
      <alignment horizontal="right"/>
    </xf>
    <xf numFmtId="172" fontId="10" fillId="2" borderId="1" xfId="0" applyNumberFormat="1" applyFont="1" applyFill="1" applyBorder="1"/>
    <xf numFmtId="172" fontId="10" fillId="2" borderId="20" xfId="0" applyNumberFormat="1" applyFont="1" applyFill="1" applyBorder="1"/>
    <xf numFmtId="0" fontId="16" fillId="2" borderId="3" xfId="0" applyFont="1" applyFill="1" applyBorder="1"/>
    <xf numFmtId="0" fontId="9" fillId="2" borderId="3" xfId="0" applyFont="1" applyFill="1" applyBorder="1" applyAlignment="1">
      <alignment horizontal="left" vertical="center"/>
    </xf>
    <xf numFmtId="172" fontId="11" fillId="2" borderId="3" xfId="0" applyNumberFormat="1" applyFont="1" applyFill="1" applyBorder="1" applyAlignment="1">
      <alignment vertical="center"/>
    </xf>
    <xf numFmtId="172" fontId="10" fillId="2" borderId="3" xfId="0" applyNumberFormat="1" applyFont="1" applyFill="1" applyBorder="1" applyAlignment="1">
      <alignment vertical="center"/>
    </xf>
    <xf numFmtId="166" fontId="9" fillId="0" borderId="3" xfId="21" applyNumberFormat="1" applyFont="1" applyFill="1" applyBorder="1" applyAlignment="1">
      <alignment horizontal="right" vertical="center" wrapText="1"/>
    </xf>
    <xf numFmtId="164" fontId="5" fillId="2" borderId="1" xfId="7" applyNumberFormat="1" applyFont="1" applyFill="1" applyBorder="1" applyAlignment="1">
      <alignment horizontal="right" vertical="center"/>
    </xf>
    <xf numFmtId="164" fontId="0" fillId="0" borderId="0" xfId="0" applyNumberFormat="1" applyAlignment="1">
      <alignment horizontal="right"/>
    </xf>
    <xf numFmtId="164" fontId="25" fillId="0" borderId="4" xfId="0" applyNumberFormat="1" applyFont="1" applyBorder="1"/>
    <xf numFmtId="3" fontId="9" fillId="2" borderId="0" xfId="0" quotePrefix="1" applyNumberFormat="1" applyFont="1" applyFill="1" applyAlignment="1">
      <alignment horizontal="right"/>
    </xf>
    <xf numFmtId="1" fontId="0" fillId="2" borderId="5" xfId="0" applyNumberFormat="1" applyFill="1" applyBorder="1" applyAlignment="1">
      <alignment horizontal="right"/>
    </xf>
    <xf numFmtId="164" fontId="0" fillId="2" borderId="5" xfId="0" applyNumberFormat="1" applyFill="1" applyBorder="1" applyAlignment="1">
      <alignment horizontal="right"/>
    </xf>
    <xf numFmtId="1" fontId="25" fillId="2" borderId="0" xfId="0" applyNumberFormat="1" applyFont="1" applyFill="1" applyAlignment="1">
      <alignment horizontal="right"/>
    </xf>
    <xf numFmtId="0" fontId="16" fillId="2" borderId="0" xfId="0" applyFont="1" applyFill="1" applyAlignment="1">
      <alignment horizontal="left"/>
    </xf>
    <xf numFmtId="3" fontId="5" fillId="2" borderId="2" xfId="0" applyNumberFormat="1" applyFont="1" applyFill="1" applyBorder="1" applyAlignment="1">
      <alignment vertical="center"/>
    </xf>
    <xf numFmtId="168" fontId="11" fillId="2" borderId="3" xfId="22" applyNumberFormat="1" applyFont="1" applyFill="1" applyBorder="1" applyAlignment="1">
      <alignment vertical="center"/>
    </xf>
    <xf numFmtId="0" fontId="0" fillId="2" borderId="2" xfId="0" applyFill="1" applyBorder="1"/>
    <xf numFmtId="0" fontId="0" fillId="2" borderId="3" xfId="0" applyFill="1" applyBorder="1"/>
    <xf numFmtId="4" fontId="5" fillId="2" borderId="24" xfId="0" applyNumberFormat="1" applyFont="1" applyFill="1" applyBorder="1"/>
    <xf numFmtId="4" fontId="5" fillId="2" borderId="29" xfId="0" applyNumberFormat="1" applyFont="1" applyFill="1" applyBorder="1"/>
    <xf numFmtId="4" fontId="5" fillId="2" borderId="3" xfId="0" applyNumberFormat="1" applyFont="1" applyFill="1" applyBorder="1" applyAlignment="1">
      <alignment horizontal="right"/>
    </xf>
    <xf numFmtId="4" fontId="9" fillId="2" borderId="3" xfId="0" applyNumberFormat="1" applyFont="1" applyFill="1" applyBorder="1" applyAlignment="1">
      <alignment horizontal="right"/>
    </xf>
    <xf numFmtId="0" fontId="0" fillId="0" borderId="2" xfId="0" applyBorder="1"/>
    <xf numFmtId="164" fontId="0" fillId="4" borderId="0" xfId="0" applyNumberFormat="1" applyFill="1"/>
    <xf numFmtId="173" fontId="11" fillId="2" borderId="3" xfId="0" applyNumberFormat="1" applyFont="1" applyFill="1" applyBorder="1" applyAlignment="1">
      <alignment horizontal="right"/>
    </xf>
    <xf numFmtId="173" fontId="11" fillId="4" borderId="0" xfId="0" applyNumberFormat="1" applyFont="1" applyFill="1" applyAlignment="1">
      <alignment horizontal="right"/>
    </xf>
    <xf numFmtId="3" fontId="9" fillId="0" borderId="4" xfId="16" applyNumberFormat="1" applyFont="1" applyBorder="1" applyAlignment="1">
      <alignment vertical="center"/>
    </xf>
    <xf numFmtId="172" fontId="11" fillId="0" borderId="4" xfId="0" applyNumberFormat="1" applyFont="1" applyBorder="1" applyAlignment="1">
      <alignment horizontal="right"/>
    </xf>
    <xf numFmtId="172" fontId="11" fillId="0" borderId="23" xfId="0" applyNumberFormat="1" applyFont="1" applyBorder="1" applyAlignment="1">
      <alignment horizontal="right"/>
    </xf>
    <xf numFmtId="0" fontId="25" fillId="0" borderId="5" xfId="0" applyFont="1" applyBorder="1" applyAlignment="1">
      <alignment horizontal="right"/>
    </xf>
    <xf numFmtId="0" fontId="16" fillId="0" borderId="5" xfId="11" applyFont="1" applyFill="1" applyBorder="1" applyAlignment="1">
      <alignment horizontal="right" wrapText="1"/>
    </xf>
    <xf numFmtId="41" fontId="33" fillId="0" borderId="3" xfId="11" applyNumberFormat="1" applyFont="1" applyFill="1" applyBorder="1" applyAlignment="1">
      <alignment horizontal="right" vertical="center" wrapText="1"/>
    </xf>
    <xf numFmtId="0" fontId="16" fillId="0" borderId="3" xfId="18" applyFont="1" applyBorder="1" applyAlignment="1">
      <alignment horizontal="left" vertical="center" wrapText="1"/>
    </xf>
    <xf numFmtId="0" fontId="10" fillId="0" borderId="19" xfId="4" applyFont="1" applyBorder="1" applyAlignment="1">
      <alignment horizontal="center" wrapText="1"/>
    </xf>
    <xf numFmtId="175" fontId="9" fillId="0" borderId="11" xfId="17" applyNumberFormat="1" applyFont="1" applyFill="1" applyBorder="1" applyAlignment="1">
      <alignment horizontal="right"/>
    </xf>
    <xf numFmtId="175" fontId="9" fillId="0" borderId="4" xfId="17" applyNumberFormat="1" applyFont="1" applyFill="1" applyBorder="1" applyAlignment="1">
      <alignment horizontal="right"/>
    </xf>
    <xf numFmtId="175" fontId="11" fillId="0" borderId="9" xfId="17" applyNumberFormat="1" applyFont="1" applyFill="1" applyBorder="1" applyAlignment="1">
      <alignment horizontal="right"/>
    </xf>
    <xf numFmtId="175" fontId="11" fillId="0" borderId="0" xfId="17" applyNumberFormat="1" applyFont="1" applyFill="1" applyBorder="1" applyAlignment="1">
      <alignment horizontal="right"/>
    </xf>
    <xf numFmtId="172" fontId="43" fillId="4" borderId="0" xfId="0" applyNumberFormat="1" applyFont="1" applyFill="1"/>
    <xf numFmtId="164" fontId="25" fillId="0" borderId="3" xfId="0" applyNumberFormat="1" applyFont="1" applyBorder="1"/>
    <xf numFmtId="0" fontId="43" fillId="0" borderId="3" xfId="0" applyFont="1" applyBorder="1"/>
    <xf numFmtId="0" fontId="52" fillId="0" borderId="0" xfId="0" applyFont="1"/>
    <xf numFmtId="0" fontId="52" fillId="0" borderId="3" xfId="0" applyFont="1" applyBorder="1"/>
    <xf numFmtId="164" fontId="25" fillId="4" borderId="0" xfId="0" applyNumberFormat="1" applyFont="1" applyFill="1"/>
    <xf numFmtId="177" fontId="43" fillId="0" borderId="0" xfId="0" applyNumberFormat="1" applyFont="1"/>
    <xf numFmtId="164" fontId="43" fillId="4" borderId="0" xfId="0" applyNumberFormat="1" applyFont="1" applyFill="1"/>
    <xf numFmtId="177" fontId="43" fillId="0" borderId="3" xfId="0" applyNumberFormat="1" applyFont="1" applyBorder="1"/>
    <xf numFmtId="177" fontId="52" fillId="0" borderId="0" xfId="0" applyNumberFormat="1" applyFont="1"/>
    <xf numFmtId="164" fontId="52" fillId="4" borderId="0" xfId="0" applyNumberFormat="1" applyFont="1" applyFill="1"/>
    <xf numFmtId="177" fontId="52" fillId="0" borderId="3" xfId="0" applyNumberFormat="1" applyFont="1" applyBorder="1"/>
    <xf numFmtId="41" fontId="25" fillId="0" borderId="3" xfId="0" applyNumberFormat="1" applyFont="1" applyBorder="1"/>
    <xf numFmtId="0" fontId="43" fillId="0" borderId="0" xfId="0" applyFont="1" applyAlignment="1">
      <alignment horizontal="right"/>
    </xf>
    <xf numFmtId="177" fontId="43" fillId="0" borderId="0" xfId="0" applyNumberFormat="1" applyFont="1" applyAlignment="1">
      <alignment horizontal="right"/>
    </xf>
    <xf numFmtId="0" fontId="52" fillId="0" borderId="0" xfId="0" applyFont="1" applyAlignment="1">
      <alignment horizontal="right"/>
    </xf>
    <xf numFmtId="177" fontId="52" fillId="0" borderId="0" xfId="0" applyNumberFormat="1" applyFont="1" applyAlignment="1">
      <alignment horizontal="right"/>
    </xf>
    <xf numFmtId="173" fontId="10" fillId="0" borderId="4" xfId="0" applyNumberFormat="1" applyFont="1" applyBorder="1" applyAlignment="1">
      <alignment horizontal="right" vertical="center"/>
    </xf>
    <xf numFmtId="173" fontId="10" fillId="0" borderId="31" xfId="0" applyNumberFormat="1" applyFont="1" applyBorder="1" applyAlignment="1">
      <alignment horizontal="right" vertical="center"/>
    </xf>
    <xf numFmtId="172" fontId="25" fillId="0" borderId="12" xfId="0" applyNumberFormat="1" applyFont="1" applyBorder="1" applyAlignment="1">
      <alignment horizontal="right"/>
    </xf>
    <xf numFmtId="172" fontId="9" fillId="0" borderId="4" xfId="0" applyNumberFormat="1" applyFont="1" applyBorder="1" applyAlignment="1">
      <alignment horizontal="right" vertical="center" wrapText="1"/>
    </xf>
    <xf numFmtId="164" fontId="33" fillId="0" borderId="0" xfId="11" applyNumberFormat="1" applyFont="1" applyFill="1" applyAlignment="1">
      <alignment horizontal="right" vertical="center" wrapText="1"/>
    </xf>
    <xf numFmtId="164" fontId="8" fillId="4" borderId="0" xfId="11" applyNumberFormat="1" applyFont="1" applyFill="1" applyAlignment="1">
      <alignment horizontal="left" vertical="center" wrapText="1"/>
    </xf>
    <xf numFmtId="164" fontId="33" fillId="0" borderId="3" xfId="11" applyNumberFormat="1" applyFont="1" applyFill="1" applyBorder="1" applyAlignment="1">
      <alignment horizontal="right" vertical="center" wrapText="1"/>
    </xf>
    <xf numFmtId="0" fontId="16" fillId="0" borderId="15" xfId="11" applyFont="1" applyFill="1" applyBorder="1" applyAlignment="1">
      <alignment horizontal="left" vertical="center" wrapText="1"/>
    </xf>
    <xf numFmtId="0" fontId="16" fillId="0" borderId="19" xfId="11" applyFont="1" applyFill="1" applyBorder="1" applyAlignment="1">
      <alignment horizontal="left" vertical="center" wrapText="1"/>
    </xf>
    <xf numFmtId="164" fontId="8" fillId="4" borderId="17" xfId="11" applyNumberFormat="1" applyFont="1" applyFill="1" applyBorder="1" applyAlignment="1">
      <alignment horizontal="left" vertical="center" wrapText="1"/>
    </xf>
    <xf numFmtId="164" fontId="8" fillId="4" borderId="16" xfId="11" applyNumberFormat="1" applyFont="1" applyFill="1" applyBorder="1" applyAlignment="1">
      <alignment horizontal="left" vertical="center" wrapText="1"/>
    </xf>
    <xf numFmtId="164" fontId="33" fillId="0" borderId="16" xfId="11" applyNumberFormat="1" applyFont="1" applyFill="1" applyBorder="1" applyAlignment="1">
      <alignment horizontal="right" vertical="center" wrapText="1"/>
    </xf>
    <xf numFmtId="164" fontId="33" fillId="0" borderId="29" xfId="11" applyNumberFormat="1" applyFont="1" applyFill="1" applyBorder="1" applyAlignment="1">
      <alignment horizontal="right" vertical="center" wrapText="1"/>
    </xf>
    <xf numFmtId="0" fontId="25" fillId="0" borderId="17" xfId="0" applyFont="1" applyBorder="1"/>
    <xf numFmtId="0" fontId="8" fillId="4" borderId="0" xfId="11" applyFont="1" applyFill="1" applyAlignment="1">
      <alignment horizontal="left" vertical="center" wrapText="1"/>
    </xf>
    <xf numFmtId="168" fontId="37" fillId="0" borderId="16" xfId="11" applyNumberFormat="1" applyFont="1" applyFill="1" applyBorder="1" applyAlignment="1">
      <alignment horizontal="right" vertical="center" wrapText="1"/>
    </xf>
    <xf numFmtId="166" fontId="33" fillId="0" borderId="0" xfId="11" applyNumberFormat="1" applyFont="1" applyFill="1" applyAlignment="1">
      <alignment horizontal="right" vertical="center" wrapText="1"/>
    </xf>
    <xf numFmtId="0" fontId="8" fillId="4" borderId="17" xfId="11" applyFont="1" applyFill="1" applyBorder="1" applyAlignment="1">
      <alignment horizontal="left" vertical="center" wrapText="1"/>
    </xf>
    <xf numFmtId="0" fontId="8" fillId="4" borderId="16" xfId="11" applyFont="1" applyFill="1" applyBorder="1" applyAlignment="1">
      <alignment horizontal="left" vertical="center" wrapText="1"/>
    </xf>
    <xf numFmtId="168" fontId="37" fillId="0" borderId="29" xfId="11" applyNumberFormat="1" applyFont="1" applyFill="1" applyBorder="1" applyAlignment="1">
      <alignment horizontal="right" vertical="center" wrapText="1"/>
    </xf>
    <xf numFmtId="173" fontId="11" fillId="4" borderId="16" xfId="0" applyNumberFormat="1" applyFont="1" applyFill="1" applyBorder="1" applyAlignment="1">
      <alignment horizontal="right"/>
    </xf>
    <xf numFmtId="173" fontId="11" fillId="2" borderId="29" xfId="0" applyNumberFormat="1" applyFont="1" applyFill="1" applyBorder="1" applyAlignment="1">
      <alignment horizontal="right"/>
    </xf>
    <xf numFmtId="41" fontId="0" fillId="2" borderId="0" xfId="0" applyNumberFormat="1" applyFill="1"/>
    <xf numFmtId="41" fontId="0" fillId="2" borderId="3" xfId="0" applyNumberFormat="1" applyFill="1" applyBorder="1"/>
    <xf numFmtId="41" fontId="11" fillId="0" borderId="0" xfId="22" applyNumberFormat="1" applyFont="1" applyFill="1" applyBorder="1"/>
    <xf numFmtId="41" fontId="10" fillId="0" borderId="0" xfId="22" applyNumberFormat="1" applyFont="1" applyFill="1" applyBorder="1"/>
    <xf numFmtId="164" fontId="5" fillId="0" borderId="0" xfId="9" quotePrefix="1" applyNumberFormat="1" applyFont="1" applyAlignment="1">
      <alignment horizontal="right" wrapText="1"/>
    </xf>
    <xf numFmtId="41" fontId="5" fillId="0" borderId="1" xfId="7" applyNumberFormat="1" applyFont="1" applyBorder="1" applyAlignment="1">
      <alignment horizontal="right" vertical="center"/>
    </xf>
    <xf numFmtId="3" fontId="5" fillId="0" borderId="1" xfId="7" applyNumberFormat="1" applyFont="1" applyBorder="1" applyAlignment="1">
      <alignment horizontal="right" vertical="center"/>
    </xf>
    <xf numFmtId="164" fontId="5" fillId="0" borderId="0" xfId="9" applyNumberFormat="1" applyFont="1" applyAlignment="1">
      <alignment horizontal="right" wrapText="1"/>
    </xf>
    <xf numFmtId="3" fontId="5" fillId="0" borderId="2" xfId="0" applyNumberFormat="1" applyFont="1" applyBorder="1" applyAlignment="1">
      <alignment horizontal="right"/>
    </xf>
    <xf numFmtId="3" fontId="5" fillId="0" borderId="0" xfId="7" applyNumberFormat="1" applyFont="1" applyAlignment="1">
      <alignment horizontal="right"/>
    </xf>
    <xf numFmtId="164" fontId="9" fillId="0" borderId="0" xfId="7" applyNumberFormat="1" applyFont="1" applyAlignment="1">
      <alignment horizontal="right" vertical="center"/>
    </xf>
    <xf numFmtId="164" fontId="5" fillId="0" borderId="0" xfId="7" applyNumberFormat="1" applyFont="1" applyAlignment="1">
      <alignment horizontal="right" vertical="center"/>
    </xf>
    <xf numFmtId="164" fontId="5" fillId="0" borderId="2" xfId="9" applyNumberFormat="1" applyFont="1" applyBorder="1" applyAlignment="1">
      <alignment horizontal="right" wrapText="1"/>
    </xf>
    <xf numFmtId="41" fontId="5" fillId="2" borderId="13" xfId="0" applyNumberFormat="1" applyFont="1" applyFill="1" applyBorder="1"/>
    <xf numFmtId="41" fontId="5" fillId="2" borderId="24" xfId="0" applyNumberFormat="1" applyFont="1" applyFill="1" applyBorder="1"/>
    <xf numFmtId="3" fontId="5" fillId="0" borderId="2" xfId="0" applyNumberFormat="1" applyFont="1" applyBorder="1" applyAlignment="1">
      <alignment vertical="center"/>
    </xf>
    <xf numFmtId="168" fontId="11" fillId="0" borderId="3" xfId="22" applyNumberFormat="1" applyFont="1" applyFill="1" applyBorder="1" applyAlignment="1">
      <alignment vertical="center"/>
    </xf>
    <xf numFmtId="173" fontId="11" fillId="2" borderId="16" xfId="0" applyNumberFormat="1" applyFont="1" applyFill="1" applyBorder="1" applyAlignment="1">
      <alignment horizontal="right"/>
    </xf>
    <xf numFmtId="4" fontId="5" fillId="2" borderId="16" xfId="0" applyNumberFormat="1" applyFont="1" applyFill="1" applyBorder="1"/>
    <xf numFmtId="4" fontId="5" fillId="0" borderId="0" xfId="0" applyNumberFormat="1" applyFont="1"/>
    <xf numFmtId="172" fontId="43" fillId="0" borderId="1" xfId="0" applyNumberFormat="1" applyFont="1" applyBorder="1"/>
    <xf numFmtId="3" fontId="5" fillId="0" borderId="0" xfId="16" applyNumberFormat="1"/>
    <xf numFmtId="0" fontId="16" fillId="0" borderId="16" xfId="0" applyFont="1" applyBorder="1"/>
    <xf numFmtId="0" fontId="16" fillId="0" borderId="32" xfId="0" applyFont="1" applyBorder="1"/>
    <xf numFmtId="0" fontId="25" fillId="0" borderId="33" xfId="0" applyFont="1" applyBorder="1"/>
    <xf numFmtId="0" fontId="16" fillId="0" borderId="34" xfId="0" applyFont="1" applyBorder="1"/>
    <xf numFmtId="0" fontId="16" fillId="0" borderId="35" xfId="0" applyFont="1" applyBorder="1"/>
    <xf numFmtId="0" fontId="25" fillId="0" borderId="34" xfId="0" applyFont="1" applyBorder="1"/>
    <xf numFmtId="41" fontId="0" fillId="0" borderId="36" xfId="0" applyNumberFormat="1" applyBorder="1"/>
    <xf numFmtId="41" fontId="25" fillId="0" borderId="16" xfId="0" applyNumberFormat="1" applyFont="1" applyBorder="1"/>
    <xf numFmtId="41" fontId="25" fillId="0" borderId="20" xfId="0" applyNumberFormat="1" applyFont="1" applyBorder="1"/>
    <xf numFmtId="0" fontId="54" fillId="0" borderId="3" xfId="0" applyFont="1" applyBorder="1"/>
    <xf numFmtId="0" fontId="54" fillId="0" borderId="3" xfId="0" applyFont="1" applyBorder="1" applyAlignment="1">
      <alignment horizontal="right"/>
    </xf>
    <xf numFmtId="41" fontId="0" fillId="7" borderId="0" xfId="0" applyNumberFormat="1" applyFill="1"/>
    <xf numFmtId="0" fontId="0" fillId="7" borderId="0" xfId="0" applyFill="1"/>
    <xf numFmtId="174" fontId="9" fillId="7" borderId="4" xfId="0" applyNumberFormat="1" applyFont="1" applyFill="1" applyBorder="1" applyAlignment="1">
      <alignment vertical="center"/>
    </xf>
    <xf numFmtId="3" fontId="9" fillId="7" borderId="0" xfId="0" applyNumberFormat="1" applyFont="1" applyFill="1" applyAlignment="1">
      <alignment horizontal="right"/>
    </xf>
    <xf numFmtId="166" fontId="5" fillId="7" borderId="4" xfId="17" applyNumberFormat="1" applyFont="1" applyFill="1" applyBorder="1" applyAlignment="1">
      <alignment horizontal="right"/>
    </xf>
    <xf numFmtId="0" fontId="9" fillId="8" borderId="4" xfId="0" applyFont="1" applyFill="1" applyBorder="1" applyAlignment="1">
      <alignment horizontal="left" vertical="center" wrapText="1"/>
    </xf>
    <xf numFmtId="0" fontId="55" fillId="0" borderId="1" xfId="0" applyFont="1" applyBorder="1"/>
    <xf numFmtId="0" fontId="5" fillId="0" borderId="0" xfId="0" applyFont="1" applyAlignment="1">
      <alignment horizontal="right"/>
    </xf>
    <xf numFmtId="0" fontId="54" fillId="0" borderId="0" xfId="0" applyFont="1"/>
    <xf numFmtId="172" fontId="50" fillId="0" borderId="1" xfId="0" quotePrefix="1" applyNumberFormat="1" applyFont="1" applyBorder="1" applyAlignment="1">
      <alignment horizontal="right"/>
    </xf>
    <xf numFmtId="172" fontId="13" fillId="0" borderId="9" xfId="0" applyNumberFormat="1" applyFont="1" applyBorder="1" applyAlignment="1">
      <alignment horizontal="right"/>
    </xf>
    <xf numFmtId="172" fontId="13" fillId="0" borderId="0" xfId="0" applyNumberFormat="1" applyFont="1" applyAlignment="1">
      <alignment horizontal="right"/>
    </xf>
    <xf numFmtId="172" fontId="13" fillId="0" borderId="16" xfId="0" applyNumberFormat="1" applyFont="1" applyBorder="1" applyAlignment="1">
      <alignment horizontal="right"/>
    </xf>
    <xf numFmtId="0" fontId="16" fillId="0" borderId="1" xfId="19" applyFont="1" applyBorder="1"/>
    <xf numFmtId="164" fontId="0" fillId="0" borderId="17" xfId="0" applyNumberFormat="1" applyBorder="1"/>
    <xf numFmtId="164" fontId="0" fillId="0" borderId="16" xfId="0" applyNumberFormat="1" applyBorder="1"/>
    <xf numFmtId="164" fontId="0" fillId="0" borderId="1" xfId="0" applyNumberFormat="1" applyBorder="1"/>
    <xf numFmtId="164" fontId="0" fillId="0" borderId="20" xfId="0" applyNumberFormat="1" applyBorder="1"/>
    <xf numFmtId="169" fontId="5" fillId="0" borderId="2" xfId="17" applyNumberFormat="1" applyFont="1" applyFill="1" applyBorder="1" applyAlignment="1">
      <alignment horizontal="right"/>
    </xf>
    <xf numFmtId="166" fontId="9" fillId="0" borderId="17" xfId="17" applyNumberFormat="1" applyFont="1" applyFill="1" applyBorder="1" applyAlignment="1">
      <alignment horizontal="right"/>
    </xf>
    <xf numFmtId="166" fontId="9" fillId="0" borderId="16" xfId="17" applyNumberFormat="1" applyFont="1" applyFill="1" applyBorder="1" applyAlignment="1">
      <alignment horizontal="right"/>
    </xf>
    <xf numFmtId="166" fontId="9" fillId="0" borderId="16" xfId="17" applyNumberFormat="1" applyFont="1" applyFill="1" applyBorder="1" applyAlignment="1"/>
    <xf numFmtId="166" fontId="9" fillId="0" borderId="20" xfId="17" applyNumberFormat="1" applyFont="1" applyFill="1" applyBorder="1" applyAlignment="1"/>
    <xf numFmtId="0" fontId="16" fillId="0" borderId="0" xfId="18" applyFont="1" applyAlignment="1">
      <alignment horizontal="left" vertical="center" wrapText="1"/>
    </xf>
    <xf numFmtId="41" fontId="5" fillId="0" borderId="0" xfId="0" applyNumberFormat="1" applyFont="1" applyAlignment="1">
      <alignment horizontal="right" vertical="center" wrapText="1"/>
    </xf>
    <xf numFmtId="41" fontId="9" fillId="0" borderId="0" xfId="0" applyNumberFormat="1" applyFont="1" applyAlignment="1">
      <alignment horizontal="right" vertical="center" wrapText="1"/>
    </xf>
    <xf numFmtId="166" fontId="33" fillId="0" borderId="3" xfId="11" applyNumberFormat="1" applyFont="1" applyFill="1" applyBorder="1" applyAlignment="1">
      <alignment horizontal="right" vertical="center" wrapText="1"/>
    </xf>
    <xf numFmtId="0" fontId="0" fillId="4" borderId="29" xfId="0" applyFill="1" applyBorder="1"/>
    <xf numFmtId="41" fontId="5" fillId="2" borderId="29" xfId="0" applyNumberFormat="1" applyFont="1" applyFill="1" applyBorder="1" applyAlignment="1">
      <alignment horizontal="right"/>
    </xf>
    <xf numFmtId="41" fontId="9" fillId="0" borderId="3" xfId="0" applyNumberFormat="1" applyFont="1" applyBorder="1"/>
    <xf numFmtId="1" fontId="10" fillId="2" borderId="3" xfId="0" applyNumberFormat="1" applyFont="1" applyFill="1" applyBorder="1" applyAlignment="1">
      <alignment horizontal="right"/>
    </xf>
    <xf numFmtId="1" fontId="11" fillId="2" borderId="29" xfId="0" applyNumberFormat="1" applyFont="1" applyFill="1" applyBorder="1" applyAlignment="1">
      <alignment horizontal="right"/>
    </xf>
    <xf numFmtId="41" fontId="0" fillId="0" borderId="16" xfId="0" applyNumberFormat="1" applyBorder="1" applyAlignment="1">
      <alignment horizontal="right"/>
    </xf>
    <xf numFmtId="172" fontId="11" fillId="2" borderId="10" xfId="22" applyNumberFormat="1" applyFont="1" applyFill="1" applyBorder="1"/>
    <xf numFmtId="172" fontId="11" fillId="2" borderId="0" xfId="0" applyNumberFormat="1" applyFont="1" applyFill="1" applyAlignment="1">
      <alignment vertical="center"/>
    </xf>
    <xf numFmtId="172" fontId="10" fillId="2" borderId="0" xfId="0" applyNumberFormat="1" applyFont="1" applyFill="1" applyAlignment="1">
      <alignment vertical="center"/>
    </xf>
    <xf numFmtId="166" fontId="5" fillId="0" borderId="4" xfId="21" applyNumberFormat="1" applyFont="1" applyFill="1" applyBorder="1" applyAlignment="1">
      <alignment vertical="center"/>
    </xf>
    <xf numFmtId="41" fontId="9" fillId="0" borderId="13" xfId="0" applyNumberFormat="1" applyFont="1" applyBorder="1" applyAlignment="1">
      <alignment horizontal="right" vertical="center"/>
    </xf>
    <xf numFmtId="41" fontId="5" fillId="0" borderId="13" xfId="0" applyNumberFormat="1" applyFont="1" applyBorder="1" applyAlignment="1">
      <alignment horizontal="right" vertical="center"/>
    </xf>
    <xf numFmtId="41" fontId="9" fillId="0" borderId="14" xfId="0" applyNumberFormat="1" applyFont="1" applyBorder="1" applyAlignment="1">
      <alignment horizontal="right" vertical="center"/>
    </xf>
    <xf numFmtId="41" fontId="5" fillId="0" borderId="14" xfId="0" applyNumberFormat="1" applyFont="1" applyBorder="1" applyAlignment="1">
      <alignment horizontal="right" vertical="center"/>
    </xf>
    <xf numFmtId="0" fontId="16" fillId="2" borderId="1" xfId="0" applyFont="1" applyFill="1" applyBorder="1"/>
    <xf numFmtId="0" fontId="25" fillId="2" borderId="3" xfId="0" applyFont="1" applyFill="1" applyBorder="1"/>
    <xf numFmtId="41" fontId="0" fillId="4" borderId="3" xfId="0" applyNumberFormat="1" applyFill="1" applyBorder="1"/>
    <xf numFmtId="41" fontId="0" fillId="9" borderId="0" xfId="0" applyNumberFormat="1" applyFill="1" applyAlignment="1">
      <alignment horizontal="right"/>
    </xf>
    <xf numFmtId="41" fontId="0" fillId="9" borderId="0" xfId="0" applyNumberFormat="1" applyFill="1"/>
    <xf numFmtId="0" fontId="0" fillId="4" borderId="3" xfId="0" applyFill="1" applyBorder="1"/>
    <xf numFmtId="41" fontId="9" fillId="0" borderId="23" xfId="0" applyNumberFormat="1" applyFont="1" applyBorder="1" applyAlignment="1">
      <alignment vertical="center"/>
    </xf>
    <xf numFmtId="0" fontId="29" fillId="0" borderId="0" xfId="0" applyFont="1" applyAlignment="1">
      <alignment horizontal="left" vertical="center" wrapText="1"/>
    </xf>
    <xf numFmtId="0" fontId="24" fillId="0" borderId="0" xfId="0" applyFont="1" applyAlignment="1">
      <alignment horizontal="left"/>
    </xf>
    <xf numFmtId="0" fontId="29" fillId="0" borderId="0" xfId="0" applyFont="1" applyAlignment="1">
      <alignment horizontal="left" wrapText="1"/>
    </xf>
    <xf numFmtId="0" fontId="0" fillId="0" borderId="0" xfId="0" applyAlignment="1">
      <alignment horizontal="left" wrapText="1"/>
    </xf>
    <xf numFmtId="0" fontId="42" fillId="0" borderId="0" xfId="0" applyFont="1" applyAlignment="1">
      <alignment horizontal="left" vertical="center" wrapText="1"/>
    </xf>
    <xf numFmtId="0" fontId="8" fillId="2" borderId="0" xfId="0" applyFont="1" applyFill="1" applyAlignment="1">
      <alignment horizontal="left" vertical="center" wrapText="1"/>
    </xf>
    <xf numFmtId="0" fontId="33" fillId="0" borderId="0" xfId="0" applyFont="1" applyAlignment="1" applyProtection="1">
      <alignment horizontal="left" wrapText="1"/>
      <protection locked="0"/>
    </xf>
    <xf numFmtId="0" fontId="33" fillId="2" borderId="0" xfId="0" applyFont="1" applyFill="1" applyAlignment="1">
      <alignment horizontal="left" wrapText="1"/>
    </xf>
    <xf numFmtId="0" fontId="25" fillId="0" borderId="17" xfId="0" applyFont="1" applyBorder="1" applyAlignment="1">
      <alignment horizontal="center"/>
    </xf>
    <xf numFmtId="0" fontId="25" fillId="0" borderId="20" xfId="0" applyFont="1"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15" xfId="0" applyBorder="1" applyAlignment="1">
      <alignment horizontal="center"/>
    </xf>
    <xf numFmtId="0" fontId="33" fillId="0" borderId="0" xfId="0" applyFont="1" applyAlignment="1">
      <alignment horizontal="left" wrapText="1"/>
    </xf>
    <xf numFmtId="0" fontId="8" fillId="0" borderId="0" xfId="0" applyFont="1" applyAlignment="1">
      <alignment horizontal="left" vertical="center" wrapText="1"/>
    </xf>
    <xf numFmtId="0" fontId="0" fillId="0" borderId="0" xfId="0" applyAlignment="1">
      <alignment horizontal="left" vertical="center" wrapText="1"/>
    </xf>
    <xf numFmtId="0" fontId="0" fillId="2" borderId="0" xfId="0" quotePrefix="1" applyFill="1" applyAlignment="1">
      <alignment horizontal="left" wrapText="1"/>
    </xf>
    <xf numFmtId="0" fontId="0" fillId="2" borderId="0" xfId="0" applyFill="1" applyAlignment="1">
      <alignment horizontal="left" vertical="center" wrapText="1"/>
    </xf>
    <xf numFmtId="0" fontId="42" fillId="2" borderId="0" xfId="0" applyFont="1" applyFill="1" applyAlignment="1">
      <alignment horizontal="left" wrapText="1"/>
    </xf>
    <xf numFmtId="0" fontId="8" fillId="2" borderId="0" xfId="0" applyFont="1" applyFill="1" applyAlignment="1">
      <alignment horizontal="left" wrapText="1"/>
    </xf>
    <xf numFmtId="0" fontId="34" fillId="0" borderId="0" xfId="0" applyFont="1" applyAlignment="1">
      <alignment horizontal="left" vertical="center" wrapText="1"/>
    </xf>
    <xf numFmtId="0" fontId="33" fillId="0" borderId="0" xfId="0" applyFont="1" applyAlignment="1">
      <alignment horizontal="left" vertical="center" wrapText="1"/>
    </xf>
    <xf numFmtId="0" fontId="10" fillId="0" borderId="1" xfId="0" applyFont="1" applyBorder="1" applyAlignment="1">
      <alignment horizontal="left" wrapText="1"/>
    </xf>
    <xf numFmtId="0" fontId="10" fillId="0" borderId="0" xfId="0" applyFont="1" applyAlignment="1">
      <alignment horizontal="left" wrapText="1"/>
    </xf>
    <xf numFmtId="0" fontId="9" fillId="0" borderId="19" xfId="0" applyFont="1" applyBorder="1" applyAlignment="1">
      <alignment horizontal="center" vertical="center" wrapText="1"/>
    </xf>
    <xf numFmtId="0" fontId="9" fillId="0" borderId="19" xfId="7" applyFont="1" applyBorder="1" applyAlignment="1">
      <alignment horizontal="center" vertical="center" wrapText="1"/>
    </xf>
    <xf numFmtId="0" fontId="25" fillId="0" borderId="8"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wrapText="1"/>
    </xf>
    <xf numFmtId="0" fontId="25" fillId="0" borderId="15"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0" xfId="0" applyFont="1" applyAlignment="1">
      <alignment horizontal="left" vertical="center"/>
    </xf>
    <xf numFmtId="0" fontId="9" fillId="0" borderId="8" xfId="7" applyFont="1" applyBorder="1" applyAlignment="1">
      <alignment horizontal="center" vertical="center" wrapText="1"/>
    </xf>
    <xf numFmtId="0" fontId="9" fillId="0" borderId="15" xfId="7" applyFont="1" applyBorder="1" applyAlignment="1">
      <alignment horizontal="center" vertical="center" wrapText="1"/>
    </xf>
    <xf numFmtId="0" fontId="8" fillId="2" borderId="0" xfId="0" applyFont="1" applyFill="1" applyAlignment="1">
      <alignment horizontal="left" vertical="top" wrapText="1"/>
    </xf>
    <xf numFmtId="0" fontId="8" fillId="2" borderId="0" xfId="8" applyFont="1" applyFill="1" applyAlignment="1">
      <alignment horizontal="left" vertical="top" wrapText="1"/>
    </xf>
    <xf numFmtId="0" fontId="33" fillId="2" borderId="0" xfId="0" applyFont="1" applyFill="1" applyAlignment="1">
      <alignment horizontal="left" vertical="top" wrapText="1"/>
    </xf>
    <xf numFmtId="0" fontId="33" fillId="2" borderId="0" xfId="0" applyFont="1" applyFill="1" applyAlignment="1">
      <alignment horizontal="left" vertical="center" wrapText="1"/>
    </xf>
    <xf numFmtId="0" fontId="0" fillId="0" borderId="0" xfId="0" applyAlignment="1">
      <alignment wrapText="1"/>
    </xf>
    <xf numFmtId="0" fontId="8" fillId="2" borderId="0" xfId="0" applyFont="1" applyFill="1" applyAlignment="1">
      <alignment horizontal="left" vertical="center"/>
    </xf>
    <xf numFmtId="0" fontId="9" fillId="2" borderId="19" xfId="0" applyFont="1" applyFill="1" applyBorder="1" applyAlignment="1">
      <alignment horizontal="center" wrapText="1"/>
    </xf>
    <xf numFmtId="0" fontId="9" fillId="0" borderId="19" xfId="0" applyFont="1" applyBorder="1" applyAlignment="1">
      <alignment horizontal="center" wrapText="1"/>
    </xf>
    <xf numFmtId="0" fontId="0" fillId="2" borderId="0" xfId="0" applyFill="1" applyAlignment="1">
      <alignment horizontal="left" wrapText="1"/>
    </xf>
    <xf numFmtId="0" fontId="8" fillId="0" borderId="0" xfId="11" applyFont="1" applyFill="1" applyAlignment="1">
      <alignment horizontal="left" vertical="center" wrapText="1"/>
    </xf>
    <xf numFmtId="0" fontId="9" fillId="0" borderId="0" xfId="0" applyFont="1" applyAlignment="1">
      <alignment horizontal="left"/>
    </xf>
    <xf numFmtId="0" fontId="8" fillId="0" borderId="0" xfId="11" applyFont="1" applyFill="1" applyAlignment="1">
      <alignment horizontal="left" wrapText="1"/>
    </xf>
    <xf numFmtId="0" fontId="9" fillId="2" borderId="0" xfId="0" applyFont="1" applyFill="1" applyAlignment="1">
      <alignment horizontal="left"/>
    </xf>
    <xf numFmtId="0" fontId="0" fillId="3" borderId="0" xfId="0" applyFill="1" applyAlignment="1">
      <alignment horizontal="left" wrapText="1"/>
    </xf>
    <xf numFmtId="0" fontId="33" fillId="9" borderId="0" xfId="0" applyFont="1" applyFill="1" applyAlignment="1">
      <alignment horizontal="left" wrapText="1"/>
    </xf>
    <xf numFmtId="0" fontId="8" fillId="0" borderId="0" xfId="0" applyFont="1" applyAlignment="1">
      <alignment horizontal="left" vertical="top" wrapText="1"/>
    </xf>
    <xf numFmtId="0" fontId="16" fillId="0" borderId="0" xfId="11" applyFont="1" applyFill="1" applyAlignment="1">
      <alignment horizontal="center" vertical="center" wrapText="1"/>
    </xf>
    <xf numFmtId="0" fontId="22" fillId="0" borderId="1" xfId="0" applyFont="1" applyBorder="1" applyAlignment="1">
      <alignment horizontal="right" wrapText="1"/>
    </xf>
    <xf numFmtId="0" fontId="16" fillId="0" borderId="0" xfId="18" applyFont="1" applyAlignment="1">
      <alignment horizontal="left" vertical="top" wrapText="1"/>
    </xf>
    <xf numFmtId="0" fontId="9" fillId="0" borderId="1" xfId="0" applyFont="1" applyBorder="1" applyAlignment="1">
      <alignment horizontal="center" wrapText="1"/>
    </xf>
    <xf numFmtId="0" fontId="9" fillId="0" borderId="1" xfId="4" applyFont="1" applyBorder="1" applyAlignment="1">
      <alignment horizontal="right"/>
    </xf>
    <xf numFmtId="0" fontId="9" fillId="0" borderId="1" xfId="0" applyFont="1" applyBorder="1" applyAlignment="1">
      <alignment horizontal="center"/>
    </xf>
    <xf numFmtId="0" fontId="33" fillId="0" borderId="0" xfId="0" applyFont="1" applyAlignment="1">
      <alignment horizontal="left" vertical="top" wrapText="1"/>
    </xf>
    <xf numFmtId="0" fontId="9" fillId="0" borderId="10" xfId="0" applyFont="1" applyBorder="1" applyAlignment="1">
      <alignment horizontal="center"/>
    </xf>
  </cellXfs>
  <cellStyles count="23">
    <cellStyle name="Comma" xfId="1" builtinId="3"/>
    <cellStyle name="Comma 2" xfId="21" xr:uid="{00000000-0005-0000-0000-000001000000}"/>
    <cellStyle name="Comma 2 3" xfId="17" xr:uid="{00000000-0005-0000-0000-000002000000}"/>
    <cellStyle name="Heading 1 2" xfId="11" xr:uid="{00000000-0005-0000-0000-000003000000}"/>
    <cellStyle name="Heading 2 2" xfId="14" xr:uid="{00000000-0005-0000-0000-000004000000}"/>
    <cellStyle name="Hyperlink" xfId="3" builtinId="8"/>
    <cellStyle name="Normal" xfId="0" builtinId="0"/>
    <cellStyle name="Normal 16" xfId="18" xr:uid="{00000000-0005-0000-0000-000007000000}"/>
    <cellStyle name="Normal 2" xfId="20" xr:uid="{00000000-0005-0000-0000-000008000000}"/>
    <cellStyle name="Normal 2 2 3" xfId="4" xr:uid="{00000000-0005-0000-0000-000009000000}"/>
    <cellStyle name="Normal 3 2" xfId="16" xr:uid="{00000000-0005-0000-0000-00000A000000}"/>
    <cellStyle name="Normal 4" xfId="6" xr:uid="{00000000-0005-0000-0000-00000B000000}"/>
    <cellStyle name="Normal_Attacks Scotland" xfId="13" xr:uid="{00000000-0005-0000-0000-00000C000000}"/>
    <cellStyle name="Normal_Ethnicity" xfId="10" xr:uid="{00000000-0005-0000-0000-00000D000000}"/>
    <cellStyle name="Normal_new attacks" xfId="12" xr:uid="{00000000-0005-0000-0000-00000E000000}"/>
    <cellStyle name="Normal_Sheet1" xfId="5" xr:uid="{00000000-0005-0000-0000-00000F000000}"/>
    <cellStyle name="Normal_Sheet2" xfId="7" xr:uid="{00000000-0005-0000-0000-000010000000}"/>
    <cellStyle name="Normal_Sheet7" xfId="19" xr:uid="{00000000-0005-0000-0000-000011000000}"/>
    <cellStyle name="Normal_Table 2a" xfId="9" xr:uid="{00000000-0005-0000-0000-000012000000}"/>
    <cellStyle name="Per cent" xfId="2" builtinId="5"/>
    <cellStyle name="Percent 2" xfId="15" xr:uid="{00000000-0005-0000-0000-000014000000}"/>
    <cellStyle name="Percent 3" xfId="22" xr:uid="{00000000-0005-0000-0000-000015000000}"/>
    <cellStyle name="Title 2" xfId="8" xr:uid="{00000000-0005-0000-0000-000016000000}"/>
  </cellStyles>
  <dxfs count="248">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dxf>
    <dxf>
      <numFmt numFmtId="33" formatCode="_-* #,##0_-;\-* #,##0_-;_-* &quot;-&quot;_-;_-@_-"/>
      <alignment horizontal="right" vertical="bottom" textRotation="0" wrapText="0" indent="0" justifyLastLine="0" shrinkToFit="0" readingOrder="0"/>
    </dxf>
    <dxf>
      <numFmt numFmtId="33" formatCode="_-* #,##0_-;\-* #,##0_-;_-* &quot;-&quot;_-;_-@_-"/>
    </dxf>
    <dxf>
      <font>
        <b/>
      </font>
      <numFmt numFmtId="33" formatCode="_-* #,##0_-;\-* #,##0_-;_-* &quot;-&quot;_-;_-@_-"/>
    </dxf>
    <dxf>
      <numFmt numFmtId="33" formatCode="_-* #,##0_-;\-* #,##0_-;_-* &quot;-&quot;_-;_-@_-"/>
    </dxf>
    <dxf>
      <numFmt numFmtId="33" formatCode="_-* #,##0_-;\-* #,##0_-;_-* &quot;-&quot;_-;_-@_-"/>
    </dxf>
    <dxf>
      <font>
        <b/>
      </font>
      <fill>
        <patternFill patternType="solid">
          <fgColor indexed="64"/>
          <bgColor theme="0"/>
        </patternFill>
      </fill>
    </dxf>
    <dxf>
      <border outline="0">
        <bottom style="thin">
          <color indexed="64"/>
        </bottom>
      </border>
    </dxf>
    <dxf>
      <border>
        <bottom style="thin">
          <color indexed="64"/>
        </bottom>
      </border>
    </dxf>
    <dxf>
      <font>
        <b/>
      </font>
      <alignmen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font>
      <numFmt numFmtId="172" formatCode="0.0"/>
      <border diagonalUp="0" diagonalDown="0" outline="0">
        <left/>
        <right/>
        <top/>
        <bottom style="thin">
          <color indexed="64"/>
        </bottom>
      </border>
    </dxf>
    <dxf>
      <font>
        <b/>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b/>
      </font>
    </dxf>
    <dxf>
      <border>
        <bottom style="thin">
          <color indexed="64"/>
        </bottom>
      </border>
    </dxf>
    <dxf>
      <font>
        <b/>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font>
        <b/>
      </font>
      <numFmt numFmtId="0" formatCode="General"/>
      <fill>
        <patternFill patternType="solid">
          <fgColor indexed="64"/>
          <bgColor theme="0"/>
        </patternFill>
      </fill>
    </dxf>
    <dxf>
      <fill>
        <patternFill patternType="solid">
          <fgColor indexed="64"/>
          <bgColor theme="0"/>
        </patternFill>
      </fill>
    </dxf>
    <dxf>
      <border>
        <bottom style="thin">
          <color indexed="64"/>
        </bottom>
      </border>
    </dxf>
    <dxf>
      <font>
        <b/>
        <strike val="0"/>
        <outline val="0"/>
        <shadow val="0"/>
        <u val="none"/>
        <vertAlign val="baseline"/>
        <sz val="11"/>
        <color auto="1"/>
        <name val="Calibri"/>
        <family val="2"/>
        <scheme val="minor"/>
      </font>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font>
        <b/>
      </font>
      <numFmt numFmtId="0" formatCode="General"/>
      <fill>
        <patternFill patternType="solid">
          <fgColor indexed="64"/>
          <bgColor theme="0"/>
        </patternFill>
      </fill>
    </dxf>
    <dxf>
      <fill>
        <patternFill patternType="solid">
          <fgColor indexed="64"/>
          <bgColor theme="0"/>
        </patternFill>
      </fill>
    </dxf>
    <dxf>
      <border>
        <bottom style="thin">
          <color indexed="64"/>
        </bottom>
      </border>
    </dxf>
    <dxf>
      <font>
        <b/>
        <strike val="0"/>
        <outline val="0"/>
        <shadow val="0"/>
        <u val="none"/>
        <vertAlign val="baseline"/>
        <sz val="11"/>
        <color auto="1"/>
        <name val="Calibri"/>
        <family val="2"/>
        <scheme val="minor"/>
      </font>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font>
        <b/>
      </font>
      <numFmt numFmtId="0" formatCode="General"/>
      <border diagonalUp="0" diagonalDown="0">
        <left/>
        <right/>
        <top/>
        <bottom style="thin">
          <color indexed="64"/>
        </bottom>
        <vertical/>
        <horizontal/>
      </border>
    </dxf>
    <dxf>
      <border>
        <bottom style="thin">
          <color indexed="64"/>
        </bottom>
      </border>
    </dxf>
    <dxf>
      <font>
        <b/>
      </font>
    </dxf>
    <dxf>
      <numFmt numFmtId="0" formatCode="General"/>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font>
        <b/>
      </font>
      <numFmt numFmtId="0" formatCode="General"/>
      <border diagonalUp="0" diagonalDown="0">
        <left/>
        <right/>
        <top/>
        <bottom style="medium">
          <color indexed="64"/>
        </bottom>
        <vertical/>
        <horizontal/>
      </border>
    </dxf>
    <dxf>
      <border>
        <bottom style="thin">
          <color indexed="64"/>
        </bottom>
      </border>
    </dxf>
    <dxf>
      <font>
        <b/>
      </font>
    </dxf>
    <dxf>
      <font>
        <b/>
      </font>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font>
        <b/>
      </font>
      <numFmt numFmtId="0" formatCode="General"/>
      <border diagonalUp="0" diagonalDown="0">
        <left/>
        <right/>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font>
      <numFmt numFmtId="0" formatCode="General"/>
    </dxf>
    <dxf>
      <border>
        <bottom style="thin">
          <color indexed="64"/>
        </bottom>
      </border>
    </dxf>
    <dxf>
      <font>
        <b/>
      </font>
    </dxf>
  </dxfs>
  <tableStyles count="0" defaultTableStyle="TableStyleMedium2" defaultPivotStyle="PivotStyleLight16"/>
  <colors>
    <mruColors>
      <color rgb="FF86C45C"/>
      <color rgb="FFD06800"/>
      <color rgb="FFEE9F00"/>
      <color rgb="FF74B943"/>
      <color rgb="FF81C1B0"/>
      <color rgb="FF4E7AB0"/>
      <color rgb="FF8486B4"/>
      <color rgb="FF99252E"/>
      <color rgb="FFFFAFF0"/>
      <color rgb="FFCF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sharedStrings" Target="sharedStrings.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pivotCacheDefinition" Target="pivotCache/pivotCacheDefinition34.xml"/><Relationship Id="rId268" Type="http://schemas.microsoft.com/office/2007/relationships/slicerCache" Target="slicerCaches/slicerCache9.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pivotCacheDefinition" Target="pivotCache/pivotCacheDefinition45.xml"/><Relationship Id="rId279" Type="http://schemas.microsoft.com/office/2007/relationships/slicerCache" Target="slicerCaches/slicerCache20.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microsoft.com/office/2007/relationships/slicerCache" Target="slicerCaches/slicerCache31.xml"/><Relationship Id="rId304" Type="http://schemas.openxmlformats.org/officeDocument/2006/relationships/customXml" Target="../customXml/item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pivotCacheDefinition" Target="pivotCache/pivotCacheDefinition14.xml"/><Relationship Id="rId248" Type="http://schemas.openxmlformats.org/officeDocument/2006/relationships/pivotCacheDefinition" Target="pivotCache/pivotCacheDefinition56.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pivotCacheDefinition" Target="pivotCache/pivotCacheDefinition25.xml"/><Relationship Id="rId259" Type="http://schemas.openxmlformats.org/officeDocument/2006/relationships/pivotCacheDefinition" Target="pivotCache/pivotCacheDefinition67.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microsoft.com/office/2007/relationships/slicerCache" Target="slicerCaches/slicerCache11.xml"/><Relationship Id="rId291" Type="http://schemas.microsoft.com/office/2007/relationships/slicerCache" Target="slicerCaches/slicerCache32.xml"/><Relationship Id="rId305" Type="http://schemas.openxmlformats.org/officeDocument/2006/relationships/customXml" Target="../customXml/item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pivotCacheDefinition" Target="pivotCache/pivotCacheDefinition1.xml"/><Relationship Id="rId207" Type="http://schemas.openxmlformats.org/officeDocument/2006/relationships/pivotCacheDefinition" Target="pivotCache/pivotCacheDefinition15.xml"/><Relationship Id="rId228" Type="http://schemas.openxmlformats.org/officeDocument/2006/relationships/pivotCacheDefinition" Target="pivotCache/pivotCacheDefinition36.xml"/><Relationship Id="rId249" Type="http://schemas.openxmlformats.org/officeDocument/2006/relationships/pivotCacheDefinition" Target="pivotCache/pivotCacheDefinition57.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microsoft.com/office/2007/relationships/slicerCache" Target="slicerCaches/slicerCache1.xml"/><Relationship Id="rId281" Type="http://schemas.microsoft.com/office/2007/relationships/slicerCache" Target="slicerCaches/slicerCache2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pivotCacheDefinition" Target="pivotCache/pivotCacheDefinition26.xml"/><Relationship Id="rId239" Type="http://schemas.openxmlformats.org/officeDocument/2006/relationships/pivotCacheDefinition" Target="pivotCache/pivotCacheDefinition47.xml"/><Relationship Id="rId250" Type="http://schemas.openxmlformats.org/officeDocument/2006/relationships/pivotCacheDefinition" Target="pivotCache/pivotCacheDefinition58.xml"/><Relationship Id="rId271" Type="http://schemas.microsoft.com/office/2007/relationships/slicerCache" Target="slicerCaches/slicerCache12.xml"/><Relationship Id="rId292" Type="http://schemas.microsoft.com/office/2007/relationships/slicerCache" Target="slicerCaches/slicerCache3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pivotCacheDefinition" Target="pivotCache/pivotCacheDefinition2.xml"/><Relationship Id="rId208" Type="http://schemas.openxmlformats.org/officeDocument/2006/relationships/pivotCacheDefinition" Target="pivotCache/pivotCacheDefinition16.xml"/><Relationship Id="rId229" Type="http://schemas.openxmlformats.org/officeDocument/2006/relationships/pivotCacheDefinition" Target="pivotCache/pivotCacheDefinition37.xml"/><Relationship Id="rId240" Type="http://schemas.openxmlformats.org/officeDocument/2006/relationships/pivotCacheDefinition" Target="pivotCache/pivotCacheDefinition48.xml"/><Relationship Id="rId261" Type="http://schemas.microsoft.com/office/2007/relationships/slicerCache" Target="slicerCaches/slicerCache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microsoft.com/office/2007/relationships/slicerCache" Target="slicerCaches/slicerCache23.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pivotCacheDefinition" Target="pivotCache/pivotCacheDefinition27.xml"/><Relationship Id="rId230" Type="http://schemas.openxmlformats.org/officeDocument/2006/relationships/pivotCacheDefinition" Target="pivotCache/pivotCacheDefinition38.xml"/><Relationship Id="rId251" Type="http://schemas.openxmlformats.org/officeDocument/2006/relationships/pivotCacheDefinition" Target="pivotCache/pivotCacheDefinition5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07/relationships/slicerCache" Target="slicerCaches/slicerCache13.xml"/><Relationship Id="rId293" Type="http://schemas.microsoft.com/office/2007/relationships/slicerCache" Target="slicerCaches/slicerCache34.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pivotCacheDefinition" Target="pivotCache/pivotCacheDefinition3.xml"/><Relationship Id="rId209" Type="http://schemas.openxmlformats.org/officeDocument/2006/relationships/pivotCacheDefinition" Target="pivotCache/pivotCacheDefinition17.xml"/><Relationship Id="rId220" Type="http://schemas.openxmlformats.org/officeDocument/2006/relationships/pivotCacheDefinition" Target="pivotCache/pivotCacheDefinition28.xml"/><Relationship Id="rId241" Type="http://schemas.openxmlformats.org/officeDocument/2006/relationships/pivotCacheDefinition" Target="pivotCache/pivotCacheDefinition4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microsoft.com/office/2007/relationships/slicerCache" Target="slicerCaches/slicerCache3.xml"/><Relationship Id="rId283" Type="http://schemas.microsoft.com/office/2007/relationships/slicerCache" Target="slicerCaches/slicerCache24.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pivotCacheDefinition" Target="pivotCache/pivotCacheDefinition18.xml"/><Relationship Id="rId26" Type="http://schemas.openxmlformats.org/officeDocument/2006/relationships/worksheet" Target="worksheets/sheet26.xml"/><Relationship Id="rId231" Type="http://schemas.openxmlformats.org/officeDocument/2006/relationships/pivotCacheDefinition" Target="pivotCache/pivotCacheDefinition39.xml"/><Relationship Id="rId252" Type="http://schemas.openxmlformats.org/officeDocument/2006/relationships/pivotCacheDefinition" Target="pivotCache/pivotCacheDefinition60.xml"/><Relationship Id="rId273" Type="http://schemas.microsoft.com/office/2007/relationships/slicerCache" Target="slicerCaches/slicerCache14.xml"/><Relationship Id="rId294" Type="http://schemas.microsoft.com/office/2007/relationships/slicerCache" Target="slicerCaches/slicerCache3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pivotCacheDefinition" Target="pivotCache/pivotCacheDefinition4.xml"/><Relationship Id="rId200" Type="http://schemas.openxmlformats.org/officeDocument/2006/relationships/pivotCacheDefinition" Target="pivotCache/pivotCacheDefinition8.xml"/><Relationship Id="rId16" Type="http://schemas.openxmlformats.org/officeDocument/2006/relationships/worksheet" Target="worksheets/sheet16.xml"/><Relationship Id="rId221" Type="http://schemas.openxmlformats.org/officeDocument/2006/relationships/pivotCacheDefinition" Target="pivotCache/pivotCacheDefinition29.xml"/><Relationship Id="rId242" Type="http://schemas.openxmlformats.org/officeDocument/2006/relationships/pivotCacheDefinition" Target="pivotCache/pivotCacheDefinition50.xml"/><Relationship Id="rId263" Type="http://schemas.microsoft.com/office/2007/relationships/slicerCache" Target="slicerCaches/slicerCache4.xml"/><Relationship Id="rId284" Type="http://schemas.microsoft.com/office/2007/relationships/slicerCache" Target="slicerCaches/slicerCache2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pivotCacheDefinition" Target="pivotCache/pivotCacheDefinition19.xml"/><Relationship Id="rId232" Type="http://schemas.openxmlformats.org/officeDocument/2006/relationships/pivotCacheDefinition" Target="pivotCache/pivotCacheDefinition40.xml"/><Relationship Id="rId253" Type="http://schemas.openxmlformats.org/officeDocument/2006/relationships/pivotCacheDefinition" Target="pivotCache/pivotCacheDefinition61.xml"/><Relationship Id="rId274" Type="http://schemas.microsoft.com/office/2007/relationships/slicerCache" Target="slicerCaches/slicerCache15.xml"/><Relationship Id="rId295" Type="http://schemas.microsoft.com/office/2007/relationships/slicerCache" Target="slicerCaches/slicerCache3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pivotCacheDefinition" Target="pivotCache/pivotCacheDefinition5.xml"/><Relationship Id="rId201" Type="http://schemas.openxmlformats.org/officeDocument/2006/relationships/pivotCacheDefinition" Target="pivotCache/pivotCacheDefinition9.xml"/><Relationship Id="rId222" Type="http://schemas.openxmlformats.org/officeDocument/2006/relationships/pivotCacheDefinition" Target="pivotCache/pivotCacheDefinition30.xml"/><Relationship Id="rId243" Type="http://schemas.openxmlformats.org/officeDocument/2006/relationships/pivotCacheDefinition" Target="pivotCache/pivotCacheDefinition51.xml"/><Relationship Id="rId264" Type="http://schemas.microsoft.com/office/2007/relationships/slicerCache" Target="slicerCaches/slicerCache5.xml"/><Relationship Id="rId285" Type="http://schemas.microsoft.com/office/2007/relationships/slicerCache" Target="slicerCaches/slicerCache2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pivotCacheDefinition" Target="pivotCache/pivotCacheDefinition20.xml"/><Relationship Id="rId233" Type="http://schemas.openxmlformats.org/officeDocument/2006/relationships/pivotCacheDefinition" Target="pivotCache/pivotCacheDefinition41.xml"/><Relationship Id="rId254" Type="http://schemas.openxmlformats.org/officeDocument/2006/relationships/pivotCacheDefinition" Target="pivotCache/pivotCacheDefinition6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microsoft.com/office/2007/relationships/slicerCache" Target="slicerCaches/slicerCache16.xml"/><Relationship Id="rId296" Type="http://schemas.openxmlformats.org/officeDocument/2006/relationships/theme" Target="theme/theme1.xml"/><Relationship Id="rId300" Type="http://schemas.openxmlformats.org/officeDocument/2006/relationships/calcChain" Target="calcChain.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pivotCacheDefinition" Target="pivotCache/pivotCacheDefinition6.xml"/><Relationship Id="rId202" Type="http://schemas.openxmlformats.org/officeDocument/2006/relationships/pivotCacheDefinition" Target="pivotCache/pivotCacheDefinition10.xml"/><Relationship Id="rId223" Type="http://schemas.openxmlformats.org/officeDocument/2006/relationships/pivotCacheDefinition" Target="pivotCache/pivotCacheDefinition31.xml"/><Relationship Id="rId244" Type="http://schemas.openxmlformats.org/officeDocument/2006/relationships/pivotCacheDefinition" Target="pivotCache/pivotCacheDefinition5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microsoft.com/office/2007/relationships/slicerCache" Target="slicerCaches/slicerCache6.xml"/><Relationship Id="rId286" Type="http://schemas.microsoft.com/office/2007/relationships/slicerCache" Target="slicerCaches/slicerCache27.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pivotCacheDefinition" Target="pivotCache/pivotCacheDefinition21.xml"/><Relationship Id="rId234" Type="http://schemas.openxmlformats.org/officeDocument/2006/relationships/pivotCacheDefinition" Target="pivotCache/pivotCacheDefinition4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63.xml"/><Relationship Id="rId276" Type="http://schemas.microsoft.com/office/2007/relationships/slicerCache" Target="slicerCaches/slicerCache17.xml"/><Relationship Id="rId297" Type="http://schemas.openxmlformats.org/officeDocument/2006/relationships/connections" Target="connection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pivotCacheDefinition" Target="pivotCache/pivotCacheDefinition7.xml"/><Relationship Id="rId203" Type="http://schemas.openxmlformats.org/officeDocument/2006/relationships/pivotCacheDefinition" Target="pivotCache/pivotCacheDefinition11.xml"/><Relationship Id="rId19" Type="http://schemas.openxmlformats.org/officeDocument/2006/relationships/worksheet" Target="worksheets/sheet19.xml"/><Relationship Id="rId224" Type="http://schemas.openxmlformats.org/officeDocument/2006/relationships/pivotCacheDefinition" Target="pivotCache/pivotCacheDefinition32.xml"/><Relationship Id="rId245" Type="http://schemas.openxmlformats.org/officeDocument/2006/relationships/pivotCacheDefinition" Target="pivotCache/pivotCacheDefinition53.xml"/><Relationship Id="rId266" Type="http://schemas.microsoft.com/office/2007/relationships/slicerCache" Target="slicerCaches/slicerCache7.xml"/><Relationship Id="rId287" Type="http://schemas.microsoft.com/office/2007/relationships/slicerCache" Target="slicerCaches/slicerCache28.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pivotCacheDefinition" Target="pivotCache/pivotCacheDefinition22.xml"/><Relationship Id="rId235" Type="http://schemas.openxmlformats.org/officeDocument/2006/relationships/pivotCacheDefinition" Target="pivotCache/pivotCacheDefinition43.xml"/><Relationship Id="rId256" Type="http://schemas.openxmlformats.org/officeDocument/2006/relationships/pivotCacheDefinition" Target="pivotCache/pivotCacheDefinition64.xml"/><Relationship Id="rId277" Type="http://schemas.microsoft.com/office/2007/relationships/slicerCache" Target="slicerCaches/slicerCache18.xml"/><Relationship Id="rId298"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pivotCacheDefinition" Target="pivotCache/pivotCacheDefinition12.xml"/><Relationship Id="rId225" Type="http://schemas.openxmlformats.org/officeDocument/2006/relationships/pivotCacheDefinition" Target="pivotCache/pivotCacheDefinition33.xml"/><Relationship Id="rId246" Type="http://schemas.openxmlformats.org/officeDocument/2006/relationships/pivotCacheDefinition" Target="pivotCache/pivotCacheDefinition54.xml"/><Relationship Id="rId267" Type="http://schemas.microsoft.com/office/2007/relationships/slicerCache" Target="slicerCaches/slicerCache8.xml"/><Relationship Id="rId288" Type="http://schemas.microsoft.com/office/2007/relationships/slicerCache" Target="slicerCaches/slicerCache29.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pivotCacheDefinition" Target="pivotCache/pivotCacheDefinition23.xml"/><Relationship Id="rId236" Type="http://schemas.openxmlformats.org/officeDocument/2006/relationships/pivotCacheDefinition" Target="pivotCache/pivotCacheDefinition44.xml"/><Relationship Id="rId257" Type="http://schemas.openxmlformats.org/officeDocument/2006/relationships/pivotCacheDefinition" Target="pivotCache/pivotCacheDefinition65.xml"/><Relationship Id="rId278" Type="http://schemas.microsoft.com/office/2007/relationships/slicerCache" Target="slicerCaches/slicerCache19.xml"/><Relationship Id="rId303" Type="http://schemas.openxmlformats.org/officeDocument/2006/relationships/customXml" Target="../customXml/item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pivotCacheDefinition" Target="pivotCache/pivotCacheDefinition13.xml"/><Relationship Id="rId247" Type="http://schemas.openxmlformats.org/officeDocument/2006/relationships/pivotCacheDefinition" Target="pivotCache/pivotCacheDefinition55.xml"/><Relationship Id="rId107" Type="http://schemas.openxmlformats.org/officeDocument/2006/relationships/worksheet" Target="worksheets/sheet107.xml"/><Relationship Id="rId289" Type="http://schemas.microsoft.com/office/2007/relationships/slicerCache" Target="slicerCaches/slicerCache30.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pivotCacheDefinition" Target="pivotCache/pivotCacheDefinition24.xml"/><Relationship Id="rId258" Type="http://schemas.openxmlformats.org/officeDocument/2006/relationships/pivotCacheDefinition" Target="pivotCache/pivotCacheDefinition66.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pivotCacheDefinition" Target="pivotCache/pivotCacheDefinition35.xml"/><Relationship Id="rId269" Type="http://schemas.microsoft.com/office/2007/relationships/slicerCache" Target="slicerCaches/slicerCache10.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microsoft.com/office/2007/relationships/slicerCache" Target="slicerCaches/slicerCache2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pivotCacheDefinition" Target="pivotCache/pivotCacheDefinition4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6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7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7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7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8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absolute">
    <xdr:from>
      <xdr:col>3</xdr:col>
      <xdr:colOff>617713</xdr:colOff>
      <xdr:row>2</xdr:row>
      <xdr:rowOff>87312</xdr:rowOff>
    </xdr:from>
    <xdr:to>
      <xdr:col>5</xdr:col>
      <xdr:colOff>931333</xdr:colOff>
      <xdr:row>4</xdr:row>
      <xdr:rowOff>146050</xdr:rowOff>
    </xdr:to>
    <mc:AlternateContent xmlns:mc="http://schemas.openxmlformats.org/markup-compatibility/2006" xmlns:sle15="http://schemas.microsoft.com/office/drawing/2012/slicer">
      <mc:Choice Requires="sle15">
        <xdr:graphicFrame macro="">
          <xdr:nvGraphicFramePr>
            <xdr:cNvPr id="3" name="FisYr 16">
              <a:extLst>
                <a:ext uri="{FF2B5EF4-FFF2-40B4-BE49-F238E27FC236}">
                  <a16:creationId xmlns:a16="http://schemas.microsoft.com/office/drawing/2014/main" id="{27CA9CFA-6B65-45A8-8A64-5B4327D76BB1}"/>
                </a:ext>
              </a:extLst>
            </xdr:cNvPr>
            <xdr:cNvGraphicFramePr/>
          </xdr:nvGraphicFramePr>
          <xdr:xfrm>
            <a:off x="0" y="0"/>
            <a:ext cx="0" cy="0"/>
          </xdr:xfrm>
          <a:graphic>
            <a:graphicData uri="http://schemas.microsoft.com/office/drawing/2010/slicer">
              <sle:slicer xmlns:sle="http://schemas.microsoft.com/office/drawing/2010/slicer" name="FisYr 16"/>
            </a:graphicData>
          </a:graphic>
        </xdr:graphicFrame>
      </mc:Choice>
      <mc:Fallback xmlns="">
        <xdr:sp macro="" textlink="">
          <xdr:nvSpPr>
            <xdr:cNvPr id="0" name=""/>
            <xdr:cNvSpPr>
              <a:spLocks noTextEdit="1"/>
            </xdr:cNvSpPr>
          </xdr:nvSpPr>
          <xdr:spPr>
            <a:xfrm>
              <a:off x="4151841" y="461962"/>
              <a:ext cx="3543476" cy="48171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266700</xdr:colOff>
      <xdr:row>3</xdr:row>
      <xdr:rowOff>63500</xdr:rowOff>
    </xdr:from>
    <xdr:to>
      <xdr:col>8</xdr:col>
      <xdr:colOff>485774</xdr:colOff>
      <xdr:row>5</xdr:row>
      <xdr:rowOff>133350</xdr:rowOff>
    </xdr:to>
    <mc:AlternateContent xmlns:mc="http://schemas.openxmlformats.org/markup-compatibility/2006" xmlns:a14="http://schemas.microsoft.com/office/drawing/2010/main">
      <mc:Choice Requires="a14">
        <xdr:graphicFrame macro="">
          <xdr:nvGraphicFramePr>
            <xdr:cNvPr id="5" name="Year 62">
              <a:extLst>
                <a:ext uri="{FF2B5EF4-FFF2-40B4-BE49-F238E27FC236}">
                  <a16:creationId xmlns:a16="http://schemas.microsoft.com/office/drawing/2014/main" id="{D667FAEB-EE5F-4368-A4DD-95E874F1B8C0}"/>
                </a:ext>
              </a:extLst>
            </xdr:cNvPr>
            <xdr:cNvGraphicFramePr/>
          </xdr:nvGraphicFramePr>
          <xdr:xfrm>
            <a:off x="0" y="0"/>
            <a:ext cx="0" cy="0"/>
          </xdr:xfrm>
          <a:graphic>
            <a:graphicData uri="http://schemas.microsoft.com/office/drawing/2010/slicer">
              <sle:slicer xmlns:sle="http://schemas.microsoft.com/office/drawing/2010/slicer" name="Year 62"/>
            </a:graphicData>
          </a:graphic>
        </xdr:graphicFrame>
      </mc:Choice>
      <mc:Fallback xmlns="">
        <xdr:sp macro="" textlink="">
          <xdr:nvSpPr>
            <xdr:cNvPr id="0" name=""/>
            <xdr:cNvSpPr>
              <a:spLocks noTextEdit="1"/>
            </xdr:cNvSpPr>
          </xdr:nvSpPr>
          <xdr:spPr>
            <a:xfrm>
              <a:off x="4559300" y="704850"/>
              <a:ext cx="2997200" cy="69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3892550</xdr:colOff>
      <xdr:row>7</xdr:row>
      <xdr:rowOff>50801</xdr:rowOff>
    </xdr:from>
    <xdr:to>
      <xdr:col>2</xdr:col>
      <xdr:colOff>996950</xdr:colOff>
      <xdr:row>11</xdr:row>
      <xdr:rowOff>44450</xdr:rowOff>
    </xdr:to>
    <mc:AlternateContent xmlns:mc="http://schemas.openxmlformats.org/markup-compatibility/2006" xmlns:a14="http://schemas.microsoft.com/office/drawing/2010/main">
      <mc:Choice Requires="a14">
        <xdr:graphicFrame macro="">
          <xdr:nvGraphicFramePr>
            <xdr:cNvPr id="2" name="Year 25">
              <a:extLst>
                <a:ext uri="{FF2B5EF4-FFF2-40B4-BE49-F238E27FC236}">
                  <a16:creationId xmlns:a16="http://schemas.microsoft.com/office/drawing/2014/main" id="{B78E8EFF-9C9D-4ADC-BAB5-FD3E7AEDFE86}"/>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3892550" y="1339851"/>
              <a:ext cx="3028950" cy="736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2082800</xdr:colOff>
      <xdr:row>0</xdr:row>
      <xdr:rowOff>82551</xdr:rowOff>
    </xdr:from>
    <xdr:to>
      <xdr:col>5</xdr:col>
      <xdr:colOff>584200</xdr:colOff>
      <xdr:row>1</xdr:row>
      <xdr:rowOff>123825</xdr:rowOff>
    </xdr:to>
    <mc:AlternateContent xmlns:mc="http://schemas.openxmlformats.org/markup-compatibility/2006" xmlns:a14="http://schemas.microsoft.com/office/drawing/2010/main">
      <mc:Choice Requires="a14">
        <xdr:graphicFrame macro="">
          <xdr:nvGraphicFramePr>
            <xdr:cNvPr id="3" name="Year 26">
              <a:extLst>
                <a:ext uri="{FF2B5EF4-FFF2-40B4-BE49-F238E27FC236}">
                  <a16:creationId xmlns:a16="http://schemas.microsoft.com/office/drawing/2014/main" id="{31E336FB-4C37-4BAE-9AF8-497FCEE5DEFF}"/>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3282950" y="82551"/>
              <a:ext cx="3467100" cy="4190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absoluteAnchor>
    <xdr:pos x="4185445" y="613569"/>
    <xdr:ext cx="5407025" cy="415924"/>
    <mc:AlternateContent xmlns:mc="http://schemas.openxmlformats.org/markup-compatibility/2006" xmlns:sle15="http://schemas.microsoft.com/office/drawing/2012/slicer">
      <mc:Choice Requires="sle15">
        <xdr:graphicFrame macro="">
          <xdr:nvGraphicFramePr>
            <xdr:cNvPr id="2" name="Year">
              <a:extLst>
                <a:ext uri="{FF2B5EF4-FFF2-40B4-BE49-F238E27FC236}">
                  <a16:creationId xmlns:a16="http://schemas.microsoft.com/office/drawing/2014/main" id="{30843E9A-54C6-6622-D0B7-0931252C420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4185445" y="613569"/>
              <a:ext cx="5407025" cy="41592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absoluteAnchor>
  <xdr:twoCellAnchor editAs="absolute">
    <xdr:from>
      <xdr:col>1</xdr:col>
      <xdr:colOff>3284764</xdr:colOff>
      <xdr:row>131</xdr:row>
      <xdr:rowOff>199571</xdr:rowOff>
    </xdr:from>
    <xdr:to>
      <xdr:col>4</xdr:col>
      <xdr:colOff>136071</xdr:colOff>
      <xdr:row>134</xdr:row>
      <xdr:rowOff>122465</xdr:rowOff>
    </xdr:to>
    <mc:AlternateContent xmlns:mc="http://schemas.openxmlformats.org/markup-compatibility/2006" xmlns:sle15="http://schemas.microsoft.com/office/drawing/2012/slicer">
      <mc:Choice Requires="sle15">
        <xdr:graphicFrame macro="">
          <xdr:nvGraphicFramePr>
            <xdr:cNvPr id="7" name="Year 13">
              <a:extLst>
                <a:ext uri="{FF2B5EF4-FFF2-40B4-BE49-F238E27FC236}">
                  <a16:creationId xmlns:a16="http://schemas.microsoft.com/office/drawing/2014/main" id="{E9916EC9-2154-68B6-64CD-CB1E6CF2F7B9}"/>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4326164" y="6657521"/>
              <a:ext cx="6315982" cy="48804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1466850</xdr:colOff>
      <xdr:row>11</xdr:row>
      <xdr:rowOff>12701</xdr:rowOff>
    </xdr:from>
    <xdr:to>
      <xdr:col>8</xdr:col>
      <xdr:colOff>225425</xdr:colOff>
      <xdr:row>14</xdr:row>
      <xdr:rowOff>139700</xdr:rowOff>
    </xdr:to>
    <mc:AlternateContent xmlns:mc="http://schemas.openxmlformats.org/markup-compatibility/2006" xmlns:a14="http://schemas.microsoft.com/office/drawing/2010/main">
      <mc:Choice Requires="a14">
        <xdr:graphicFrame macro="">
          <xdr:nvGraphicFramePr>
            <xdr:cNvPr id="2" name="Year 27">
              <a:extLst>
                <a:ext uri="{FF2B5EF4-FFF2-40B4-BE49-F238E27FC236}">
                  <a16:creationId xmlns:a16="http://schemas.microsoft.com/office/drawing/2014/main" id="{0256CCD3-4E2B-42DF-ADE8-6AC2220426F1}"/>
                </a:ext>
              </a:extLst>
            </xdr:cNvPr>
            <xdr:cNvGraphicFramePr/>
          </xdr:nvGraphicFramePr>
          <xdr:xfrm>
            <a:off x="0" y="0"/>
            <a:ext cx="0" cy="0"/>
          </xdr:xfrm>
          <a:graphic>
            <a:graphicData uri="http://schemas.microsoft.com/office/drawing/2010/slicer">
              <sle:slicer xmlns:sle="http://schemas.microsoft.com/office/drawing/2010/slicer" name="Year 27"/>
            </a:graphicData>
          </a:graphic>
        </xdr:graphicFrame>
      </mc:Choice>
      <mc:Fallback xmlns="">
        <xdr:sp macro="" textlink="">
          <xdr:nvSpPr>
            <xdr:cNvPr id="0" name=""/>
            <xdr:cNvSpPr>
              <a:spLocks noTextEdit="1"/>
            </xdr:cNvSpPr>
          </xdr:nvSpPr>
          <xdr:spPr>
            <a:xfrm>
              <a:off x="2330450" y="2038351"/>
              <a:ext cx="6419850" cy="6857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530225</xdr:colOff>
      <xdr:row>3</xdr:row>
      <xdr:rowOff>438151</xdr:rowOff>
    </xdr:from>
    <xdr:to>
      <xdr:col>16</xdr:col>
      <xdr:colOff>285751</xdr:colOff>
      <xdr:row>6</xdr:row>
      <xdr:rowOff>28574</xdr:rowOff>
    </xdr:to>
    <mc:AlternateContent xmlns:mc="http://schemas.openxmlformats.org/markup-compatibility/2006" xmlns:a14="http://schemas.microsoft.com/office/drawing/2010/main">
      <mc:Choice Requires="a14">
        <xdr:graphicFrame macro="">
          <xdr:nvGraphicFramePr>
            <xdr:cNvPr id="3" name="Year 28">
              <a:extLst>
                <a:ext uri="{FF2B5EF4-FFF2-40B4-BE49-F238E27FC236}">
                  <a16:creationId xmlns:a16="http://schemas.microsoft.com/office/drawing/2014/main" id="{218F95D5-927D-4497-8D22-81B7AEEC770E}"/>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4606925" y="1076326"/>
              <a:ext cx="8032751" cy="4508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848784</xdr:colOff>
      <xdr:row>9</xdr:row>
      <xdr:rowOff>73025</xdr:rowOff>
    </xdr:from>
    <xdr:to>
      <xdr:col>4</xdr:col>
      <xdr:colOff>441323</xdr:colOff>
      <xdr:row>23</xdr:row>
      <xdr:rowOff>29634</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956EC97D-C43B-4B90-B3F9-03A2EAAE3DF7}"/>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5936192" y="1692275"/>
              <a:ext cx="1835502" cy="247226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1363658</xdr:colOff>
      <xdr:row>0</xdr:row>
      <xdr:rowOff>134938</xdr:rowOff>
    </xdr:from>
    <xdr:to>
      <xdr:col>7</xdr:col>
      <xdr:colOff>257175</xdr:colOff>
      <xdr:row>1</xdr:row>
      <xdr:rowOff>257174</xdr:rowOff>
    </xdr:to>
    <mc:AlternateContent xmlns:mc="http://schemas.openxmlformats.org/markup-compatibility/2006" xmlns:a14="http://schemas.microsoft.com/office/drawing/2010/main">
      <mc:Choice Requires="a14">
        <xdr:graphicFrame macro="">
          <xdr:nvGraphicFramePr>
            <xdr:cNvPr id="4" name="Year 3">
              <a:extLst>
                <a:ext uri="{FF2B5EF4-FFF2-40B4-BE49-F238E27FC236}">
                  <a16:creationId xmlns:a16="http://schemas.microsoft.com/office/drawing/2014/main" id="{7954B893-2E36-47AC-B515-2846839472DD}"/>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555873" y="134938"/>
              <a:ext cx="6731001"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7</xdr:col>
      <xdr:colOff>1029495</xdr:colOff>
      <xdr:row>15</xdr:row>
      <xdr:rowOff>9526</xdr:rowOff>
    </xdr:to>
    <mc:AlternateContent xmlns:mc="http://schemas.openxmlformats.org/markup-compatibility/2006" xmlns:a14="http://schemas.microsoft.com/office/drawing/2010/main">
      <mc:Choice Requires="a14">
        <xdr:graphicFrame macro="">
          <xdr:nvGraphicFramePr>
            <xdr:cNvPr id="2" name="Year 1">
              <a:extLst>
                <a:ext uri="{FF2B5EF4-FFF2-40B4-BE49-F238E27FC236}">
                  <a16:creationId xmlns:a16="http://schemas.microsoft.com/office/drawing/2014/main" id="{662A27CC-4AAF-44D7-BE3F-FE7C3D0D08F7}"/>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3117850" y="2038351"/>
              <a:ext cx="7677150" cy="730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177800</xdr:colOff>
      <xdr:row>2</xdr:row>
      <xdr:rowOff>101600</xdr:rowOff>
    </xdr:from>
    <xdr:to>
      <xdr:col>13</xdr:col>
      <xdr:colOff>152400</xdr:colOff>
      <xdr:row>3</xdr:row>
      <xdr:rowOff>314325</xdr:rowOff>
    </xdr:to>
    <mc:AlternateContent xmlns:mc="http://schemas.openxmlformats.org/markup-compatibility/2006" xmlns:a14="http://schemas.microsoft.com/office/drawing/2010/main">
      <mc:Choice Requires="a14">
        <xdr:graphicFrame macro="">
          <xdr:nvGraphicFramePr>
            <xdr:cNvPr id="3" name="Year 29">
              <a:extLst>
                <a:ext uri="{FF2B5EF4-FFF2-40B4-BE49-F238E27FC236}">
                  <a16:creationId xmlns:a16="http://schemas.microsoft.com/office/drawing/2014/main" id="{87616990-656F-4BE7-9FCB-436389F5B6E1}"/>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3232150" y="520700"/>
              <a:ext cx="7677150" cy="730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457200</xdr:colOff>
      <xdr:row>3</xdr:row>
      <xdr:rowOff>142875</xdr:rowOff>
    </xdr:from>
    <xdr:to>
      <xdr:col>10</xdr:col>
      <xdr:colOff>88900</xdr:colOff>
      <xdr:row>5</xdr:row>
      <xdr:rowOff>180269</xdr:rowOff>
    </xdr:to>
    <mc:AlternateContent xmlns:mc="http://schemas.openxmlformats.org/markup-compatibility/2006" xmlns:a14="http://schemas.microsoft.com/office/drawing/2010/main">
      <mc:Choice Requires="a14">
        <xdr:graphicFrame macro="">
          <xdr:nvGraphicFramePr>
            <xdr:cNvPr id="4" name="Year 59">
              <a:extLst>
                <a:ext uri="{FF2B5EF4-FFF2-40B4-BE49-F238E27FC236}">
                  <a16:creationId xmlns:a16="http://schemas.microsoft.com/office/drawing/2014/main" id="{7A79FE86-2504-45BC-AC8B-58702A8E4ACF}"/>
                </a:ext>
              </a:extLst>
            </xdr:cNvPr>
            <xdr:cNvGraphicFramePr/>
          </xdr:nvGraphicFramePr>
          <xdr:xfrm>
            <a:off x="0" y="0"/>
            <a:ext cx="0" cy="0"/>
          </xdr:xfrm>
          <a:graphic>
            <a:graphicData uri="http://schemas.microsoft.com/office/drawing/2010/slicer">
              <sle:slicer xmlns:sle="http://schemas.microsoft.com/office/drawing/2010/slicer" name="Year 59"/>
            </a:graphicData>
          </a:graphic>
        </xdr:graphicFrame>
      </mc:Choice>
      <mc:Fallback xmlns="">
        <xdr:sp macro="" textlink="">
          <xdr:nvSpPr>
            <xdr:cNvPr id="0" name=""/>
            <xdr:cNvSpPr>
              <a:spLocks noTextEdit="1"/>
            </xdr:cNvSpPr>
          </xdr:nvSpPr>
          <xdr:spPr>
            <a:xfrm>
              <a:off x="4438650" y="736600"/>
              <a:ext cx="3187700" cy="635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1454150</xdr:colOff>
      <xdr:row>11</xdr:row>
      <xdr:rowOff>12701</xdr:rowOff>
    </xdr:from>
    <xdr:to>
      <xdr:col>3</xdr:col>
      <xdr:colOff>977900</xdr:colOff>
      <xdr:row>15</xdr:row>
      <xdr:rowOff>19050</xdr:rowOff>
    </xdr:to>
    <mc:AlternateContent xmlns:mc="http://schemas.openxmlformats.org/markup-compatibility/2006" xmlns:a14="http://schemas.microsoft.com/office/drawing/2010/main">
      <mc:Choice Requires="a14">
        <xdr:graphicFrame macro="">
          <xdr:nvGraphicFramePr>
            <xdr:cNvPr id="2" name="Year 30">
              <a:extLst>
                <a:ext uri="{FF2B5EF4-FFF2-40B4-BE49-F238E27FC236}">
                  <a16:creationId xmlns:a16="http://schemas.microsoft.com/office/drawing/2014/main" id="{D85BBCD5-6AF6-4176-8D1D-F8B66ECCCDA8}"/>
                </a:ext>
              </a:extLst>
            </xdr:cNvPr>
            <xdr:cNvGraphicFramePr/>
          </xdr:nvGraphicFramePr>
          <xdr:xfrm>
            <a:off x="0" y="0"/>
            <a:ext cx="0" cy="0"/>
          </xdr:xfrm>
          <a:graphic>
            <a:graphicData uri="http://schemas.microsoft.com/office/drawing/2010/slicer">
              <sle:slicer xmlns:sle="http://schemas.microsoft.com/office/drawing/2010/slicer" name="Year 30"/>
            </a:graphicData>
          </a:graphic>
        </xdr:graphicFrame>
      </mc:Choice>
      <mc:Fallback xmlns="">
        <xdr:sp macro="" textlink="">
          <xdr:nvSpPr>
            <xdr:cNvPr id="0" name=""/>
            <xdr:cNvSpPr>
              <a:spLocks noTextEdit="1"/>
            </xdr:cNvSpPr>
          </xdr:nvSpPr>
          <xdr:spPr>
            <a:xfrm>
              <a:off x="3117850" y="2038351"/>
              <a:ext cx="2857500"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695325</xdr:colOff>
      <xdr:row>5</xdr:row>
      <xdr:rowOff>9525</xdr:rowOff>
    </xdr:from>
    <xdr:to>
      <xdr:col>9</xdr:col>
      <xdr:colOff>539750</xdr:colOff>
      <xdr:row>7</xdr:row>
      <xdr:rowOff>85725</xdr:rowOff>
    </xdr:to>
    <mc:AlternateContent xmlns:mc="http://schemas.openxmlformats.org/markup-compatibility/2006" xmlns:a14="http://schemas.microsoft.com/office/drawing/2010/main">
      <mc:Choice Requires="a14">
        <xdr:graphicFrame macro="">
          <xdr:nvGraphicFramePr>
            <xdr:cNvPr id="3" name="Year 31">
              <a:extLst>
                <a:ext uri="{FF2B5EF4-FFF2-40B4-BE49-F238E27FC236}">
                  <a16:creationId xmlns:a16="http://schemas.microsoft.com/office/drawing/2014/main" id="{8D17241F-0E8A-4607-9CE7-E6997F8EE932}"/>
                </a:ext>
              </a:extLst>
            </xdr:cNvPr>
            <xdr:cNvGraphicFramePr/>
          </xdr:nvGraphicFramePr>
          <xdr:xfrm>
            <a:off x="0" y="0"/>
            <a:ext cx="0" cy="0"/>
          </xdr:xfrm>
          <a:graphic>
            <a:graphicData uri="http://schemas.microsoft.com/office/drawing/2010/slicer">
              <sle:slicer xmlns:sle="http://schemas.microsoft.com/office/drawing/2010/slicer" name="Year 31"/>
            </a:graphicData>
          </a:graphic>
        </xdr:graphicFrame>
      </mc:Choice>
      <mc:Fallback xmlns="">
        <xdr:sp macro="" textlink="">
          <xdr:nvSpPr>
            <xdr:cNvPr id="0" name=""/>
            <xdr:cNvSpPr>
              <a:spLocks noTextEdit="1"/>
            </xdr:cNvSpPr>
          </xdr:nvSpPr>
          <xdr:spPr>
            <a:xfrm>
              <a:off x="4311650" y="987425"/>
              <a:ext cx="45180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6</xdr:col>
      <xdr:colOff>723900</xdr:colOff>
      <xdr:row>15</xdr:row>
      <xdr:rowOff>0</xdr:rowOff>
    </xdr:to>
    <mc:AlternateContent xmlns:mc="http://schemas.openxmlformats.org/markup-compatibility/2006" xmlns:a14="http://schemas.microsoft.com/office/drawing/2010/main">
      <mc:Choice Requires="a14">
        <xdr:graphicFrame macro="">
          <xdr:nvGraphicFramePr>
            <xdr:cNvPr id="2" name="Year 32">
              <a:extLst>
                <a:ext uri="{FF2B5EF4-FFF2-40B4-BE49-F238E27FC236}">
                  <a16:creationId xmlns:a16="http://schemas.microsoft.com/office/drawing/2014/main" id="{7E682724-E8CC-4D7F-A806-28589E9F347B}"/>
                </a:ext>
              </a:extLst>
            </xdr:cNvPr>
            <xdr:cNvGraphicFramePr/>
          </xdr:nvGraphicFramePr>
          <xdr:xfrm>
            <a:off x="0" y="0"/>
            <a:ext cx="0" cy="0"/>
          </xdr:xfrm>
          <a:graphic>
            <a:graphicData uri="http://schemas.microsoft.com/office/drawing/2010/slicer">
              <sle:slicer xmlns:sle="http://schemas.microsoft.com/office/drawing/2010/slicer" name="Year 32"/>
            </a:graphicData>
          </a:graphic>
        </xdr:graphicFrame>
      </mc:Choice>
      <mc:Fallback xmlns="">
        <xdr:sp macro="" textlink="">
          <xdr:nvSpPr>
            <xdr:cNvPr id="0" name=""/>
            <xdr:cNvSpPr>
              <a:spLocks noTextEdit="1"/>
            </xdr:cNvSpPr>
          </xdr:nvSpPr>
          <xdr:spPr>
            <a:xfrm>
              <a:off x="3117850" y="2038351"/>
              <a:ext cx="5753100" cy="7238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4</xdr:row>
      <xdr:rowOff>57151</xdr:rowOff>
    </xdr:from>
    <xdr:to>
      <xdr:col>14</xdr:col>
      <xdr:colOff>190500</xdr:colOff>
      <xdr:row>6</xdr:row>
      <xdr:rowOff>104776</xdr:rowOff>
    </xdr:to>
    <mc:AlternateContent xmlns:mc="http://schemas.openxmlformats.org/markup-compatibility/2006" xmlns:a14="http://schemas.microsoft.com/office/drawing/2010/main">
      <mc:Choice Requires="a14">
        <xdr:graphicFrame macro="">
          <xdr:nvGraphicFramePr>
            <xdr:cNvPr id="4" name="Year 33">
              <a:extLst>
                <a:ext uri="{FF2B5EF4-FFF2-40B4-BE49-F238E27FC236}">
                  <a16:creationId xmlns:a16="http://schemas.microsoft.com/office/drawing/2014/main" id="{F12ECBC4-4F8A-42DB-AE61-7383098A335B}"/>
                </a:ext>
              </a:extLst>
            </xdr:cNvPr>
            <xdr:cNvGraphicFramePr/>
          </xdr:nvGraphicFramePr>
          <xdr:xfrm>
            <a:off x="0" y="0"/>
            <a:ext cx="0" cy="0"/>
          </xdr:xfrm>
          <a:graphic>
            <a:graphicData uri="http://schemas.microsoft.com/office/drawing/2010/slicer">
              <sle:slicer xmlns:sle="http://schemas.microsoft.com/office/drawing/2010/slicer" name="Year 33"/>
            </a:graphicData>
          </a:graphic>
        </xdr:graphicFrame>
      </mc:Choice>
      <mc:Fallback xmlns="">
        <xdr:sp macro="" textlink="">
          <xdr:nvSpPr>
            <xdr:cNvPr id="0" name=""/>
            <xdr:cNvSpPr>
              <a:spLocks noTextEdit="1"/>
            </xdr:cNvSpPr>
          </xdr:nvSpPr>
          <xdr:spPr>
            <a:xfrm>
              <a:off x="3816350" y="1079501"/>
              <a:ext cx="5753100"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3003550</xdr:colOff>
      <xdr:row>11</xdr:row>
      <xdr:rowOff>19051</xdr:rowOff>
    </xdr:from>
    <xdr:to>
      <xdr:col>3</xdr:col>
      <xdr:colOff>1450522</xdr:colOff>
      <xdr:row>15</xdr:row>
      <xdr:rowOff>104776</xdr:rowOff>
    </xdr:to>
    <mc:AlternateContent xmlns:mc="http://schemas.openxmlformats.org/markup-compatibility/2006" xmlns:a14="http://schemas.microsoft.com/office/drawing/2010/main">
      <mc:Choice Requires="a14">
        <xdr:graphicFrame macro="">
          <xdr:nvGraphicFramePr>
            <xdr:cNvPr id="2" name="Year 34">
              <a:extLst>
                <a:ext uri="{FF2B5EF4-FFF2-40B4-BE49-F238E27FC236}">
                  <a16:creationId xmlns:a16="http://schemas.microsoft.com/office/drawing/2014/main" id="{63C52D16-3F82-4935-AF89-A554DD3B899F}"/>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3003550" y="2044701"/>
              <a:ext cx="6553200" cy="825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2650332</xdr:colOff>
      <xdr:row>0</xdr:row>
      <xdr:rowOff>59533</xdr:rowOff>
    </xdr:from>
    <xdr:to>
      <xdr:col>9</xdr:col>
      <xdr:colOff>865981</xdr:colOff>
      <xdr:row>1</xdr:row>
      <xdr:rowOff>130969</xdr:rowOff>
    </xdr:to>
    <mc:AlternateContent xmlns:mc="http://schemas.openxmlformats.org/markup-compatibility/2006" xmlns:a14="http://schemas.microsoft.com/office/drawing/2010/main">
      <mc:Choice Requires="a14">
        <xdr:graphicFrame macro="">
          <xdr:nvGraphicFramePr>
            <xdr:cNvPr id="3" name="Year 35">
              <a:extLst>
                <a:ext uri="{FF2B5EF4-FFF2-40B4-BE49-F238E27FC236}">
                  <a16:creationId xmlns:a16="http://schemas.microsoft.com/office/drawing/2014/main" id="{6C011A85-534A-465C-84B4-00BB6B6A6909}"/>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3849361" y="59533"/>
              <a:ext cx="6913475" cy="41881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1206500</xdr:colOff>
      <xdr:row>11</xdr:row>
      <xdr:rowOff>12701</xdr:rowOff>
    </xdr:from>
    <xdr:to>
      <xdr:col>10</xdr:col>
      <xdr:colOff>28575</xdr:colOff>
      <xdr:row>15</xdr:row>
      <xdr:rowOff>28575</xdr:rowOff>
    </xdr:to>
    <mc:AlternateContent xmlns:mc="http://schemas.openxmlformats.org/markup-compatibility/2006" xmlns:a14="http://schemas.microsoft.com/office/drawing/2010/main">
      <mc:Choice Requires="a14">
        <xdr:graphicFrame macro="">
          <xdr:nvGraphicFramePr>
            <xdr:cNvPr id="2" name="Year 36">
              <a:extLst>
                <a:ext uri="{FF2B5EF4-FFF2-40B4-BE49-F238E27FC236}">
                  <a16:creationId xmlns:a16="http://schemas.microsoft.com/office/drawing/2014/main" id="{C525BA9A-F0CE-453E-9CAA-2FF00CFF2782}"/>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565400" y="2038351"/>
              <a:ext cx="6477000" cy="7556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1914524</xdr:colOff>
      <xdr:row>0</xdr:row>
      <xdr:rowOff>38101</xdr:rowOff>
    </xdr:from>
    <xdr:to>
      <xdr:col>12</xdr:col>
      <xdr:colOff>504824</xdr:colOff>
      <xdr:row>1</xdr:row>
      <xdr:rowOff>190500</xdr:rowOff>
    </xdr:to>
    <mc:AlternateContent xmlns:mc="http://schemas.openxmlformats.org/markup-compatibility/2006" xmlns:a14="http://schemas.microsoft.com/office/drawing/2010/main">
      <mc:Choice Requires="a14">
        <xdr:graphicFrame macro="">
          <xdr:nvGraphicFramePr>
            <xdr:cNvPr id="4" name="Year 37">
              <a:extLst>
                <a:ext uri="{FF2B5EF4-FFF2-40B4-BE49-F238E27FC236}">
                  <a16:creationId xmlns:a16="http://schemas.microsoft.com/office/drawing/2014/main" id="{FB22520B-003E-4F61-833E-DE81C3B263EB}"/>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3098800" y="38101"/>
              <a:ext cx="6477000" cy="406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1117600</xdr:colOff>
      <xdr:row>11</xdr:row>
      <xdr:rowOff>12701</xdr:rowOff>
    </xdr:from>
    <xdr:to>
      <xdr:col>7</xdr:col>
      <xdr:colOff>323850</xdr:colOff>
      <xdr:row>13</xdr:row>
      <xdr:rowOff>120650</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27B5E207-9A79-4FF9-A9B5-DB43B5FFC589}"/>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3448050" y="2038351"/>
              <a:ext cx="6559550" cy="482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304800</xdr:colOff>
      <xdr:row>12</xdr:row>
      <xdr:rowOff>171451</xdr:rowOff>
    </xdr:from>
    <xdr:to>
      <xdr:col>6</xdr:col>
      <xdr:colOff>1285875</xdr:colOff>
      <xdr:row>16</xdr:row>
      <xdr:rowOff>139701</xdr:rowOff>
    </xdr:to>
    <mc:AlternateContent xmlns:mc="http://schemas.openxmlformats.org/markup-compatibility/2006" xmlns:a14="http://schemas.microsoft.com/office/drawing/2010/main">
      <mc:Choice Requires="a14">
        <xdr:graphicFrame macro="">
          <xdr:nvGraphicFramePr>
            <xdr:cNvPr id="2" name="Year 56">
              <a:extLst>
                <a:ext uri="{FF2B5EF4-FFF2-40B4-BE49-F238E27FC236}">
                  <a16:creationId xmlns:a16="http://schemas.microsoft.com/office/drawing/2014/main" id="{3FB36FFD-6EA0-4BA5-9450-F04DD010A6A2}"/>
                </a:ext>
              </a:extLst>
            </xdr:cNvPr>
            <xdr:cNvGraphicFramePr/>
          </xdr:nvGraphicFramePr>
          <xdr:xfrm>
            <a:off x="0" y="0"/>
            <a:ext cx="0" cy="0"/>
          </xdr:xfrm>
          <a:graphic>
            <a:graphicData uri="http://schemas.microsoft.com/office/drawing/2010/slicer">
              <sle:slicer xmlns:sle="http://schemas.microsoft.com/office/drawing/2010/slicer" name="Year 56"/>
            </a:graphicData>
          </a:graphic>
        </xdr:graphicFrame>
      </mc:Choice>
      <mc:Fallback xmlns="">
        <xdr:sp macro="" textlink="">
          <xdr:nvSpPr>
            <xdr:cNvPr id="0" name=""/>
            <xdr:cNvSpPr>
              <a:spLocks noTextEdit="1"/>
            </xdr:cNvSpPr>
          </xdr:nvSpPr>
          <xdr:spPr>
            <a:xfrm>
              <a:off x="2279650" y="2381251"/>
              <a:ext cx="6673850" cy="711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355600</xdr:colOff>
      <xdr:row>11</xdr:row>
      <xdr:rowOff>12701</xdr:rowOff>
    </xdr:from>
    <xdr:to>
      <xdr:col>5</xdr:col>
      <xdr:colOff>768350</xdr:colOff>
      <xdr:row>15</xdr:row>
      <xdr:rowOff>19051</xdr:rowOff>
    </xdr:to>
    <mc:AlternateContent xmlns:mc="http://schemas.openxmlformats.org/markup-compatibility/2006" xmlns:a14="http://schemas.microsoft.com/office/drawing/2010/main">
      <mc:Choice Requires="a14">
        <xdr:graphicFrame macro="">
          <xdr:nvGraphicFramePr>
            <xdr:cNvPr id="2" name="Year 58">
              <a:extLst>
                <a:ext uri="{FF2B5EF4-FFF2-40B4-BE49-F238E27FC236}">
                  <a16:creationId xmlns:a16="http://schemas.microsoft.com/office/drawing/2014/main" id="{41D05978-8FCE-43FC-A13F-B19FE6F5AB66}"/>
                </a:ext>
              </a:extLst>
            </xdr:cNvPr>
            <xdr:cNvGraphicFramePr/>
          </xdr:nvGraphicFramePr>
          <xdr:xfrm>
            <a:off x="0" y="0"/>
            <a:ext cx="0" cy="0"/>
          </xdr:xfrm>
          <a:graphic>
            <a:graphicData uri="http://schemas.microsoft.com/office/drawing/2010/slicer">
              <sle:slicer xmlns:sle="http://schemas.microsoft.com/office/drawing/2010/slicer" name="Year 58"/>
            </a:graphicData>
          </a:graphic>
        </xdr:graphicFrame>
      </mc:Choice>
      <mc:Fallback xmlns="">
        <xdr:sp macro="" textlink="">
          <xdr:nvSpPr>
            <xdr:cNvPr id="0" name=""/>
            <xdr:cNvSpPr>
              <a:spLocks noTextEdit="1"/>
            </xdr:cNvSpPr>
          </xdr:nvSpPr>
          <xdr:spPr>
            <a:xfrm>
              <a:off x="4902200" y="2038351"/>
              <a:ext cx="3187700" cy="742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53976</xdr:colOff>
      <xdr:row>19</xdr:row>
      <xdr:rowOff>104775</xdr:rowOff>
    </xdr:from>
    <xdr:to>
      <xdr:col>11</xdr:col>
      <xdr:colOff>161926</xdr:colOff>
      <xdr:row>21</xdr:row>
      <xdr:rowOff>152400</xdr:rowOff>
    </xdr:to>
    <mc:AlternateContent xmlns:mc="http://schemas.openxmlformats.org/markup-compatibility/2006" xmlns:a14="http://schemas.microsoft.com/office/drawing/2010/main">
      <mc:Choice Requires="a14">
        <xdr:graphicFrame macro="">
          <xdr:nvGraphicFramePr>
            <xdr:cNvPr id="5" name="Year 57">
              <a:extLst>
                <a:ext uri="{FF2B5EF4-FFF2-40B4-BE49-F238E27FC236}">
                  <a16:creationId xmlns:a16="http://schemas.microsoft.com/office/drawing/2014/main" id="{1A153471-4BA5-46D6-A558-5A85628F0EFB}"/>
                </a:ext>
              </a:extLst>
            </xdr:cNvPr>
            <xdr:cNvGraphicFramePr/>
          </xdr:nvGraphicFramePr>
          <xdr:xfrm>
            <a:off x="0" y="0"/>
            <a:ext cx="0" cy="0"/>
          </xdr:xfrm>
          <a:graphic>
            <a:graphicData uri="http://schemas.microsoft.com/office/drawing/2010/slicer">
              <sle:slicer xmlns:sle="http://schemas.microsoft.com/office/drawing/2010/slicer" name="Year 57"/>
            </a:graphicData>
          </a:graphic>
        </xdr:graphicFrame>
      </mc:Choice>
      <mc:Fallback xmlns="">
        <xdr:sp macro="" textlink="">
          <xdr:nvSpPr>
            <xdr:cNvPr id="0" name=""/>
            <xdr:cNvSpPr>
              <a:spLocks noTextEdit="1"/>
            </xdr:cNvSpPr>
          </xdr:nvSpPr>
          <xdr:spPr>
            <a:xfrm>
              <a:off x="3616326" y="4740275"/>
              <a:ext cx="7981950" cy="431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2066925</xdr:colOff>
      <xdr:row>5</xdr:row>
      <xdr:rowOff>1</xdr:rowOff>
    </xdr:from>
    <xdr:to>
      <xdr:col>10</xdr:col>
      <xdr:colOff>361950</xdr:colOff>
      <xdr:row>7</xdr:row>
      <xdr:rowOff>38101</xdr:rowOff>
    </xdr:to>
    <mc:AlternateContent xmlns:mc="http://schemas.openxmlformats.org/markup-compatibility/2006" xmlns:a14="http://schemas.microsoft.com/office/drawing/2010/main">
      <mc:Choice Requires="a14">
        <xdr:graphicFrame macro="">
          <xdr:nvGraphicFramePr>
            <xdr:cNvPr id="6" name="Year 5">
              <a:extLst>
                <a:ext uri="{FF2B5EF4-FFF2-40B4-BE49-F238E27FC236}">
                  <a16:creationId xmlns:a16="http://schemas.microsoft.com/office/drawing/2014/main" id="{FD5B96D9-EA84-4720-98C5-8A6D5888ABFE}"/>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3562350" y="1168401"/>
              <a:ext cx="6559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1111250</xdr:colOff>
      <xdr:row>13</xdr:row>
      <xdr:rowOff>101601</xdr:rowOff>
    </xdr:from>
    <xdr:to>
      <xdr:col>10</xdr:col>
      <xdr:colOff>120650</xdr:colOff>
      <xdr:row>15</xdr:row>
      <xdr:rowOff>139700</xdr:rowOff>
    </xdr:to>
    <mc:AlternateContent xmlns:mc="http://schemas.openxmlformats.org/markup-compatibility/2006" xmlns:a14="http://schemas.microsoft.com/office/drawing/2010/main">
      <mc:Choice Requires="a14">
        <xdr:graphicFrame macro="">
          <xdr:nvGraphicFramePr>
            <xdr:cNvPr id="2" name="Year 41">
              <a:extLst>
                <a:ext uri="{FF2B5EF4-FFF2-40B4-BE49-F238E27FC236}">
                  <a16:creationId xmlns:a16="http://schemas.microsoft.com/office/drawing/2014/main" id="{05BCB831-4435-4564-82DB-C66717B843B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2806700" y="2495551"/>
              <a:ext cx="6667500" cy="679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142875</xdr:colOff>
      <xdr:row>3</xdr:row>
      <xdr:rowOff>47625</xdr:rowOff>
    </xdr:from>
    <xdr:to>
      <xdr:col>17</xdr:col>
      <xdr:colOff>152400</xdr:colOff>
      <xdr:row>3</xdr:row>
      <xdr:rowOff>457199</xdr:rowOff>
    </xdr:to>
    <mc:AlternateContent xmlns:mc="http://schemas.openxmlformats.org/markup-compatibility/2006" xmlns:a14="http://schemas.microsoft.com/office/drawing/2010/main">
      <mc:Choice Requires="a14">
        <xdr:graphicFrame macro="">
          <xdr:nvGraphicFramePr>
            <xdr:cNvPr id="5" name="Year 42">
              <a:extLst>
                <a:ext uri="{FF2B5EF4-FFF2-40B4-BE49-F238E27FC236}">
                  <a16:creationId xmlns:a16="http://schemas.microsoft.com/office/drawing/2014/main" id="{79BAA8B9-70E6-4999-8AD7-5C44A6E7434E}"/>
                </a:ext>
              </a:extLst>
            </xdr:cNvPr>
            <xdr:cNvGraphicFramePr/>
          </xdr:nvGraphicFramePr>
          <xdr:xfrm>
            <a:off x="0" y="0"/>
            <a:ext cx="0" cy="0"/>
          </xdr:xfrm>
          <a:graphic>
            <a:graphicData uri="http://schemas.microsoft.com/office/drawing/2010/slicer">
              <sle:slicer xmlns:sle="http://schemas.microsoft.com/office/drawing/2010/slicer" name="Year 42"/>
            </a:graphicData>
          </a:graphic>
        </xdr:graphicFrame>
      </mc:Choice>
      <mc:Fallback xmlns="">
        <xdr:sp macro="" textlink="">
          <xdr:nvSpPr>
            <xdr:cNvPr id="0" name=""/>
            <xdr:cNvSpPr>
              <a:spLocks noTextEdit="1"/>
            </xdr:cNvSpPr>
          </xdr:nvSpPr>
          <xdr:spPr>
            <a:xfrm>
              <a:off x="4260850" y="635000"/>
              <a:ext cx="666750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395287</xdr:colOff>
      <xdr:row>26</xdr:row>
      <xdr:rowOff>150019</xdr:rowOff>
    </xdr:from>
    <xdr:to>
      <xdr:col>5</xdr:col>
      <xdr:colOff>390472</xdr:colOff>
      <xdr:row>31</xdr:row>
      <xdr:rowOff>63501</xdr:rowOff>
    </xdr:to>
    <mc:AlternateContent xmlns:mc="http://schemas.openxmlformats.org/markup-compatibility/2006" xmlns:a14="http://schemas.microsoft.com/office/drawing/2010/main">
      <mc:Choice Requires="a14">
        <xdr:graphicFrame macro="">
          <xdr:nvGraphicFramePr>
            <xdr:cNvPr id="2" name="Year 43">
              <a:extLst>
                <a:ext uri="{FF2B5EF4-FFF2-40B4-BE49-F238E27FC236}">
                  <a16:creationId xmlns:a16="http://schemas.microsoft.com/office/drawing/2014/main" id="{35B9EABD-28CD-4999-A927-A3E4AC833B77}"/>
                </a:ext>
              </a:extLst>
            </xdr:cNvPr>
            <xdr:cNvGraphicFramePr/>
          </xdr:nvGraphicFramePr>
          <xdr:xfrm>
            <a:off x="0" y="0"/>
            <a:ext cx="0" cy="0"/>
          </xdr:xfrm>
          <a:graphic>
            <a:graphicData uri="http://schemas.microsoft.com/office/drawing/2010/slicer">
              <sle:slicer xmlns:sle="http://schemas.microsoft.com/office/drawing/2010/slicer" name="Year 43"/>
            </a:graphicData>
          </a:graphic>
        </xdr:graphicFrame>
      </mc:Choice>
      <mc:Fallback xmlns="">
        <xdr:sp macro="" textlink="">
          <xdr:nvSpPr>
            <xdr:cNvPr id="0" name=""/>
            <xdr:cNvSpPr>
              <a:spLocks noTextEdit="1"/>
            </xdr:cNvSpPr>
          </xdr:nvSpPr>
          <xdr:spPr>
            <a:xfrm>
              <a:off x="6760255" y="4749233"/>
              <a:ext cx="5638976" cy="8011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1360488</xdr:colOff>
      <xdr:row>0</xdr:row>
      <xdr:rowOff>58738</xdr:rowOff>
    </xdr:from>
    <xdr:to>
      <xdr:col>7</xdr:col>
      <xdr:colOff>827088</xdr:colOff>
      <xdr:row>1</xdr:row>
      <xdr:rowOff>288924</xdr:rowOff>
    </xdr:to>
    <mc:AlternateContent xmlns:mc="http://schemas.openxmlformats.org/markup-compatibility/2006" xmlns:a14="http://schemas.microsoft.com/office/drawing/2010/main">
      <mc:Choice Requires="a14">
        <xdr:graphicFrame macro="">
          <xdr:nvGraphicFramePr>
            <xdr:cNvPr id="4" name="Year 45">
              <a:extLst>
                <a:ext uri="{FF2B5EF4-FFF2-40B4-BE49-F238E27FC236}">
                  <a16:creationId xmlns:a16="http://schemas.microsoft.com/office/drawing/2014/main" id="{AE3A807D-DEBA-4175-883D-CEE7052EDF0A}"/>
                </a:ext>
              </a:extLst>
            </xdr:cNvPr>
            <xdr:cNvGraphicFramePr/>
          </xdr:nvGraphicFramePr>
          <xdr:xfrm>
            <a:off x="0" y="0"/>
            <a:ext cx="0" cy="0"/>
          </xdr:xfrm>
          <a:graphic>
            <a:graphicData uri="http://schemas.microsoft.com/office/drawing/2010/slicer">
              <sle:slicer xmlns:sle="http://schemas.microsoft.com/office/drawing/2010/slicer" name="Year 45"/>
            </a:graphicData>
          </a:graphic>
        </xdr:graphicFrame>
      </mc:Choice>
      <mc:Fallback xmlns="">
        <xdr:sp macro="" textlink="">
          <xdr:nvSpPr>
            <xdr:cNvPr id="0" name=""/>
            <xdr:cNvSpPr>
              <a:spLocks noTextEdit="1"/>
            </xdr:cNvSpPr>
          </xdr:nvSpPr>
          <xdr:spPr>
            <a:xfrm>
              <a:off x="2547938" y="58738"/>
              <a:ext cx="8318500" cy="42703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501650</xdr:colOff>
      <xdr:row>2</xdr:row>
      <xdr:rowOff>88901</xdr:rowOff>
    </xdr:from>
    <xdr:to>
      <xdr:col>13</xdr:col>
      <xdr:colOff>228952</xdr:colOff>
      <xdr:row>4</xdr:row>
      <xdr:rowOff>142875</xdr:rowOff>
    </xdr:to>
    <mc:AlternateContent xmlns:mc="http://schemas.openxmlformats.org/markup-compatibility/2006" xmlns:a14="http://schemas.microsoft.com/office/drawing/2010/main">
      <mc:Choice Requires="a14">
        <xdr:graphicFrame macro="">
          <xdr:nvGraphicFramePr>
            <xdr:cNvPr id="2" name="Year 46">
              <a:extLst>
                <a:ext uri="{FF2B5EF4-FFF2-40B4-BE49-F238E27FC236}">
                  <a16:creationId xmlns:a16="http://schemas.microsoft.com/office/drawing/2014/main" id="{199B7E4A-6B40-4DDB-BB0F-A2FF475E539F}"/>
                </a:ext>
              </a:extLst>
            </xdr:cNvPr>
            <xdr:cNvGraphicFramePr/>
          </xdr:nvGraphicFramePr>
          <xdr:xfrm>
            <a:off x="0" y="0"/>
            <a:ext cx="0" cy="0"/>
          </xdr:xfrm>
          <a:graphic>
            <a:graphicData uri="http://schemas.microsoft.com/office/drawing/2010/slicer">
              <sle:slicer xmlns:sle="http://schemas.microsoft.com/office/drawing/2010/slicer" name="Year 46"/>
            </a:graphicData>
          </a:graphic>
        </xdr:graphicFrame>
      </mc:Choice>
      <mc:Fallback xmlns="">
        <xdr:sp macro="" textlink="">
          <xdr:nvSpPr>
            <xdr:cNvPr id="0" name=""/>
            <xdr:cNvSpPr>
              <a:spLocks noTextEdit="1"/>
            </xdr:cNvSpPr>
          </xdr:nvSpPr>
          <xdr:spPr>
            <a:xfrm>
              <a:off x="4927600" y="457201"/>
              <a:ext cx="6350000" cy="679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571500</xdr:colOff>
      <xdr:row>3</xdr:row>
      <xdr:rowOff>0</xdr:rowOff>
    </xdr:from>
    <xdr:to>
      <xdr:col>16</xdr:col>
      <xdr:colOff>171450</xdr:colOff>
      <xdr:row>3</xdr:row>
      <xdr:rowOff>431799</xdr:rowOff>
    </xdr:to>
    <mc:AlternateContent xmlns:mc="http://schemas.openxmlformats.org/markup-compatibility/2006" xmlns:a14="http://schemas.microsoft.com/office/drawing/2010/main">
      <mc:Choice Requires="a14">
        <xdr:graphicFrame macro="">
          <xdr:nvGraphicFramePr>
            <xdr:cNvPr id="4" name="Year 47">
              <a:extLst>
                <a:ext uri="{FF2B5EF4-FFF2-40B4-BE49-F238E27FC236}">
                  <a16:creationId xmlns:a16="http://schemas.microsoft.com/office/drawing/2014/main" id="{4EF24160-560B-4F54-8895-D66D16FDE6E7}"/>
                </a:ext>
              </a:extLst>
            </xdr:cNvPr>
            <xdr:cNvGraphicFramePr/>
          </xdr:nvGraphicFramePr>
          <xdr:xfrm>
            <a:off x="0" y="0"/>
            <a:ext cx="0" cy="0"/>
          </xdr:xfrm>
          <a:graphic>
            <a:graphicData uri="http://schemas.microsoft.com/office/drawing/2010/slicer">
              <sle:slicer xmlns:sle="http://schemas.microsoft.com/office/drawing/2010/slicer" name="Year 47"/>
            </a:graphicData>
          </a:graphic>
        </xdr:graphicFrame>
      </mc:Choice>
      <mc:Fallback xmlns="">
        <xdr:sp macro="" textlink="">
          <xdr:nvSpPr>
            <xdr:cNvPr id="0" name=""/>
            <xdr:cNvSpPr>
              <a:spLocks noTextEdit="1"/>
            </xdr:cNvSpPr>
          </xdr:nvSpPr>
          <xdr:spPr>
            <a:xfrm>
              <a:off x="5090583" y="603250"/>
              <a:ext cx="6381750" cy="425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704850</xdr:colOff>
      <xdr:row>7</xdr:row>
      <xdr:rowOff>38101</xdr:rowOff>
    </xdr:from>
    <xdr:to>
      <xdr:col>6</xdr:col>
      <xdr:colOff>1339850</xdr:colOff>
      <xdr:row>11</xdr:row>
      <xdr:rowOff>82551</xdr:rowOff>
    </xdr:to>
    <mc:AlternateContent xmlns:mc="http://schemas.openxmlformats.org/markup-compatibility/2006" xmlns:a14="http://schemas.microsoft.com/office/drawing/2010/main">
      <mc:Choice Requires="a14">
        <xdr:graphicFrame macro="">
          <xdr:nvGraphicFramePr>
            <xdr:cNvPr id="2" name="Year 48">
              <a:extLst>
                <a:ext uri="{FF2B5EF4-FFF2-40B4-BE49-F238E27FC236}">
                  <a16:creationId xmlns:a16="http://schemas.microsoft.com/office/drawing/2014/main" id="{6FD6F244-B41D-4D02-8AD4-FD356866E130}"/>
                </a:ext>
              </a:extLst>
            </xdr:cNvPr>
            <xdr:cNvGraphicFramePr/>
          </xdr:nvGraphicFramePr>
          <xdr:xfrm>
            <a:off x="0" y="0"/>
            <a:ext cx="0" cy="0"/>
          </xdr:xfrm>
          <a:graphic>
            <a:graphicData uri="http://schemas.microsoft.com/office/drawing/2010/slicer">
              <sle:slicer xmlns:sle="http://schemas.microsoft.com/office/drawing/2010/slicer" name="Year 48"/>
            </a:graphicData>
          </a:graphic>
        </xdr:graphicFrame>
      </mc:Choice>
      <mc:Fallback xmlns="">
        <xdr:sp macro="" textlink="">
          <xdr:nvSpPr>
            <xdr:cNvPr id="0" name=""/>
            <xdr:cNvSpPr>
              <a:spLocks noTextEdit="1"/>
            </xdr:cNvSpPr>
          </xdr:nvSpPr>
          <xdr:spPr>
            <a:xfrm>
              <a:off x="2901950" y="1327151"/>
              <a:ext cx="6470650" cy="787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444500</xdr:colOff>
      <xdr:row>11</xdr:row>
      <xdr:rowOff>1</xdr:rowOff>
    </xdr:from>
    <xdr:to>
      <xdr:col>9</xdr:col>
      <xdr:colOff>381000</xdr:colOff>
      <xdr:row>13</xdr:row>
      <xdr:rowOff>82550</xdr:rowOff>
    </xdr:to>
    <mc:AlternateContent xmlns:mc="http://schemas.openxmlformats.org/markup-compatibility/2006" xmlns:a14="http://schemas.microsoft.com/office/drawing/2010/main">
      <mc:Choice Requires="a14">
        <xdr:graphicFrame macro="">
          <xdr:nvGraphicFramePr>
            <xdr:cNvPr id="2" name="Year 39">
              <a:extLst>
                <a:ext uri="{FF2B5EF4-FFF2-40B4-BE49-F238E27FC236}">
                  <a16:creationId xmlns:a16="http://schemas.microsoft.com/office/drawing/2014/main" id="{CF457E4C-A085-40B1-A1B4-E3568DCBA6FB}"/>
                </a:ext>
              </a:extLst>
            </xdr:cNvPr>
            <xdr:cNvGraphicFramePr/>
          </xdr:nvGraphicFramePr>
          <xdr:xfrm>
            <a:off x="0" y="0"/>
            <a:ext cx="0" cy="0"/>
          </xdr:xfrm>
          <a:graphic>
            <a:graphicData uri="http://schemas.microsoft.com/office/drawing/2010/slicer">
              <sle:slicer xmlns:sle="http://schemas.microsoft.com/office/drawing/2010/slicer" name="Year 39"/>
            </a:graphicData>
          </a:graphic>
        </xdr:graphicFrame>
      </mc:Choice>
      <mc:Fallback xmlns="">
        <xdr:sp macro="" textlink="">
          <xdr:nvSpPr>
            <xdr:cNvPr id="0" name=""/>
            <xdr:cNvSpPr>
              <a:spLocks noTextEdit="1"/>
            </xdr:cNvSpPr>
          </xdr:nvSpPr>
          <xdr:spPr>
            <a:xfrm>
              <a:off x="5016500" y="2025651"/>
              <a:ext cx="6362700" cy="450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44451</xdr:colOff>
      <xdr:row>3</xdr:row>
      <xdr:rowOff>12699</xdr:rowOff>
    </xdr:from>
    <xdr:to>
      <xdr:col>12</xdr:col>
      <xdr:colOff>241301</xdr:colOff>
      <xdr:row>4</xdr:row>
      <xdr:rowOff>39686</xdr:rowOff>
    </xdr:to>
    <mc:AlternateContent xmlns:mc="http://schemas.openxmlformats.org/markup-compatibility/2006" xmlns:a14="http://schemas.microsoft.com/office/drawing/2010/main">
      <mc:Choice Requires="a14">
        <xdr:graphicFrame macro="">
          <xdr:nvGraphicFramePr>
            <xdr:cNvPr id="6" name="Year 49">
              <a:extLst>
                <a:ext uri="{FF2B5EF4-FFF2-40B4-BE49-F238E27FC236}">
                  <a16:creationId xmlns:a16="http://schemas.microsoft.com/office/drawing/2014/main" id="{B3E1A4FD-1DD6-4A34-8604-F5CBDCDB98BA}"/>
                </a:ext>
              </a:extLst>
            </xdr:cNvPr>
            <xdr:cNvGraphicFramePr/>
          </xdr:nvGraphicFramePr>
          <xdr:xfrm>
            <a:off x="0" y="0"/>
            <a:ext cx="0" cy="0"/>
          </xdr:xfrm>
          <a:graphic>
            <a:graphicData uri="http://schemas.microsoft.com/office/drawing/2010/slicer">
              <sle:slicer xmlns:sle="http://schemas.microsoft.com/office/drawing/2010/slicer" name="Year 49"/>
            </a:graphicData>
          </a:graphic>
        </xdr:graphicFrame>
      </mc:Choice>
      <mc:Fallback xmlns="">
        <xdr:sp macro="" textlink="">
          <xdr:nvSpPr>
            <xdr:cNvPr id="0" name=""/>
            <xdr:cNvSpPr>
              <a:spLocks noTextEdit="1"/>
            </xdr:cNvSpPr>
          </xdr:nvSpPr>
          <xdr:spPr>
            <a:xfrm>
              <a:off x="5353051" y="603249"/>
              <a:ext cx="8528050" cy="42703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142876</xdr:colOff>
      <xdr:row>16</xdr:row>
      <xdr:rowOff>304800</xdr:rowOff>
    </xdr:from>
    <xdr:to>
      <xdr:col>12</xdr:col>
      <xdr:colOff>206376</xdr:colOff>
      <xdr:row>18</xdr:row>
      <xdr:rowOff>85724</xdr:rowOff>
    </xdr:to>
    <mc:AlternateContent xmlns:mc="http://schemas.openxmlformats.org/markup-compatibility/2006" xmlns:a14="http://schemas.microsoft.com/office/drawing/2010/main">
      <mc:Choice Requires="a14">
        <xdr:graphicFrame macro="">
          <xdr:nvGraphicFramePr>
            <xdr:cNvPr id="7" name="Year 40">
              <a:extLst>
                <a:ext uri="{FF2B5EF4-FFF2-40B4-BE49-F238E27FC236}">
                  <a16:creationId xmlns:a16="http://schemas.microsoft.com/office/drawing/2014/main" id="{F43B91DE-E02B-49D9-B6FF-043F3F2FD482}"/>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5454651" y="3914775"/>
              <a:ext cx="8372475" cy="450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127000</xdr:colOff>
      <xdr:row>11</xdr:row>
      <xdr:rowOff>12701</xdr:rowOff>
    </xdr:from>
    <xdr:to>
      <xdr:col>12</xdr:col>
      <xdr:colOff>571500</xdr:colOff>
      <xdr:row>14</xdr:row>
      <xdr:rowOff>120651</xdr:rowOff>
    </xdr:to>
    <mc:AlternateContent xmlns:mc="http://schemas.openxmlformats.org/markup-compatibility/2006" xmlns:a14="http://schemas.microsoft.com/office/drawing/2010/main">
      <mc:Choice Requires="a14">
        <xdr:graphicFrame macro="">
          <xdr:nvGraphicFramePr>
            <xdr:cNvPr id="2" name="Year 60">
              <a:extLst>
                <a:ext uri="{FF2B5EF4-FFF2-40B4-BE49-F238E27FC236}">
                  <a16:creationId xmlns:a16="http://schemas.microsoft.com/office/drawing/2014/main" id="{B075734F-5102-4DED-AB48-7561DC9CE111}"/>
                </a:ext>
              </a:extLst>
            </xdr:cNvPr>
            <xdr:cNvGraphicFramePr/>
          </xdr:nvGraphicFramePr>
          <xdr:xfrm>
            <a:off x="0" y="0"/>
            <a:ext cx="0" cy="0"/>
          </xdr:xfrm>
          <a:graphic>
            <a:graphicData uri="http://schemas.microsoft.com/office/drawing/2010/slicer">
              <sle:slicer xmlns:sle="http://schemas.microsoft.com/office/drawing/2010/slicer" name="Year 60"/>
            </a:graphicData>
          </a:graphic>
        </xdr:graphicFrame>
      </mc:Choice>
      <mc:Fallback xmlns="">
        <xdr:sp macro="" textlink="">
          <xdr:nvSpPr>
            <xdr:cNvPr id="0" name=""/>
            <xdr:cNvSpPr>
              <a:spLocks noTextEdit="1"/>
            </xdr:cNvSpPr>
          </xdr:nvSpPr>
          <xdr:spPr>
            <a:xfrm>
              <a:off x="3721100" y="2038351"/>
              <a:ext cx="6642100" cy="660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330200</xdr:colOff>
      <xdr:row>5</xdr:row>
      <xdr:rowOff>120651</xdr:rowOff>
    </xdr:from>
    <xdr:to>
      <xdr:col>15</xdr:col>
      <xdr:colOff>104775</xdr:colOff>
      <xdr:row>9</xdr:row>
      <xdr:rowOff>161926</xdr:rowOff>
    </xdr:to>
    <mc:AlternateContent xmlns:mc="http://schemas.openxmlformats.org/markup-compatibility/2006" xmlns:a14="http://schemas.microsoft.com/office/drawing/2010/main">
      <mc:Choice Requires="a14">
        <xdr:graphicFrame macro="">
          <xdr:nvGraphicFramePr>
            <xdr:cNvPr id="2" name="Year 50">
              <a:extLst>
                <a:ext uri="{FF2B5EF4-FFF2-40B4-BE49-F238E27FC236}">
                  <a16:creationId xmlns:a16="http://schemas.microsoft.com/office/drawing/2014/main" id="{4EAAECBA-B54F-4B92-91CF-3FDB006B9537}"/>
                </a:ext>
              </a:extLst>
            </xdr:cNvPr>
            <xdr:cNvGraphicFramePr/>
          </xdr:nvGraphicFramePr>
          <xdr:xfrm>
            <a:off x="0" y="0"/>
            <a:ext cx="0" cy="0"/>
          </xdr:xfrm>
          <a:graphic>
            <a:graphicData uri="http://schemas.microsoft.com/office/drawing/2010/slicer">
              <sle:slicer xmlns:sle="http://schemas.microsoft.com/office/drawing/2010/slicer" name="Year 50"/>
            </a:graphicData>
          </a:graphic>
        </xdr:graphicFrame>
      </mc:Choice>
      <mc:Fallback xmlns="">
        <xdr:sp macro="" textlink="">
          <xdr:nvSpPr>
            <xdr:cNvPr id="0" name=""/>
            <xdr:cNvSpPr>
              <a:spLocks noTextEdit="1"/>
            </xdr:cNvSpPr>
          </xdr:nvSpPr>
          <xdr:spPr>
            <a:xfrm>
              <a:off x="4305300" y="1041401"/>
              <a:ext cx="5873750" cy="774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457198</xdr:colOff>
      <xdr:row>3</xdr:row>
      <xdr:rowOff>95250</xdr:rowOff>
    </xdr:from>
    <xdr:to>
      <xdr:col>16</xdr:col>
      <xdr:colOff>539750</xdr:colOff>
      <xdr:row>5</xdr:row>
      <xdr:rowOff>57150</xdr:rowOff>
    </xdr:to>
    <mc:AlternateContent xmlns:mc="http://schemas.openxmlformats.org/markup-compatibility/2006" xmlns:a14="http://schemas.microsoft.com/office/drawing/2010/main">
      <mc:Choice Requires="a14">
        <xdr:graphicFrame macro="">
          <xdr:nvGraphicFramePr>
            <xdr:cNvPr id="3" name="Year 51">
              <a:extLst>
                <a:ext uri="{FF2B5EF4-FFF2-40B4-BE49-F238E27FC236}">
                  <a16:creationId xmlns:a16="http://schemas.microsoft.com/office/drawing/2014/main" id="{025F8395-81A8-41C1-9902-A2309D2487CD}"/>
                </a:ext>
              </a:extLst>
            </xdr:cNvPr>
            <xdr:cNvGraphicFramePr/>
          </xdr:nvGraphicFramePr>
          <xdr:xfrm>
            <a:off x="0" y="0"/>
            <a:ext cx="0" cy="0"/>
          </xdr:xfrm>
          <a:graphic>
            <a:graphicData uri="http://schemas.microsoft.com/office/drawing/2010/slicer">
              <sle:slicer xmlns:sle="http://schemas.microsoft.com/office/drawing/2010/slicer" name="Year 51"/>
            </a:graphicData>
          </a:graphic>
        </xdr:graphicFrame>
      </mc:Choice>
      <mc:Fallback xmlns="">
        <xdr:sp macro="" textlink="">
          <xdr:nvSpPr>
            <xdr:cNvPr id="0" name=""/>
            <xdr:cNvSpPr>
              <a:spLocks noTextEdit="1"/>
            </xdr:cNvSpPr>
          </xdr:nvSpPr>
          <xdr:spPr>
            <a:xfrm>
              <a:off x="3286123" y="828675"/>
              <a:ext cx="7813676"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146050</xdr:colOff>
      <xdr:row>2</xdr:row>
      <xdr:rowOff>101601</xdr:rowOff>
    </xdr:from>
    <xdr:to>
      <xdr:col>15</xdr:col>
      <xdr:colOff>19050</xdr:colOff>
      <xdr:row>7</xdr:row>
      <xdr:rowOff>9525</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D410767B-75CE-494B-94C5-2778FB52B385}"/>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4089400" y="469901"/>
              <a:ext cx="6578600" cy="831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76198</xdr:colOff>
      <xdr:row>0</xdr:row>
      <xdr:rowOff>47626</xdr:rowOff>
    </xdr:from>
    <xdr:to>
      <xdr:col>12</xdr:col>
      <xdr:colOff>219075</xdr:colOff>
      <xdr:row>1</xdr:row>
      <xdr:rowOff>152400</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41C55B36-1B6E-4346-A6A2-B8DD64FDE121}"/>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2647950" y="44451"/>
              <a:ext cx="6854825"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295275</xdr:colOff>
      <xdr:row>11</xdr:row>
      <xdr:rowOff>1</xdr:rowOff>
    </xdr:from>
    <xdr:to>
      <xdr:col>13</xdr:col>
      <xdr:colOff>511175</xdr:colOff>
      <xdr:row>15</xdr:row>
      <xdr:rowOff>19050</xdr:rowOff>
    </xdr:to>
    <mc:AlternateContent xmlns:mc="http://schemas.openxmlformats.org/markup-compatibility/2006" xmlns:a14="http://schemas.microsoft.com/office/drawing/2010/main">
      <mc:Choice Requires="a14">
        <xdr:graphicFrame macro="">
          <xdr:nvGraphicFramePr>
            <xdr:cNvPr id="2" name="Year 52">
              <a:extLst>
                <a:ext uri="{FF2B5EF4-FFF2-40B4-BE49-F238E27FC236}">
                  <a16:creationId xmlns:a16="http://schemas.microsoft.com/office/drawing/2014/main" id="{0D7A215C-90FE-41EA-B0CD-69B88B227C16}"/>
                </a:ext>
              </a:extLst>
            </xdr:cNvPr>
            <xdr:cNvGraphicFramePr/>
          </xdr:nvGraphicFramePr>
          <xdr:xfrm>
            <a:off x="0" y="0"/>
            <a:ext cx="0" cy="0"/>
          </xdr:xfrm>
          <a:graphic>
            <a:graphicData uri="http://schemas.microsoft.com/office/drawing/2010/slicer">
              <sle:slicer xmlns:sle="http://schemas.microsoft.com/office/drawing/2010/slicer" name="Year 52"/>
            </a:graphicData>
          </a:graphic>
        </xdr:graphicFrame>
      </mc:Choice>
      <mc:Fallback xmlns="">
        <xdr:sp macro="" textlink="">
          <xdr:nvSpPr>
            <xdr:cNvPr id="0" name=""/>
            <xdr:cNvSpPr>
              <a:spLocks noTextEdit="1"/>
            </xdr:cNvSpPr>
          </xdr:nvSpPr>
          <xdr:spPr>
            <a:xfrm>
              <a:off x="4387850" y="1990726"/>
              <a:ext cx="5705475"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190500</xdr:colOff>
      <xdr:row>0</xdr:row>
      <xdr:rowOff>85725</xdr:rowOff>
    </xdr:from>
    <xdr:to>
      <xdr:col>12</xdr:col>
      <xdr:colOff>447675</xdr:colOff>
      <xdr:row>1</xdr:row>
      <xdr:rowOff>142875</xdr:rowOff>
    </xdr:to>
    <mc:AlternateContent xmlns:mc="http://schemas.openxmlformats.org/markup-compatibility/2006" xmlns:a14="http://schemas.microsoft.com/office/drawing/2010/main">
      <mc:Choice Requires="a14">
        <xdr:graphicFrame macro="">
          <xdr:nvGraphicFramePr>
            <xdr:cNvPr id="4" name="Year 53">
              <a:extLst>
                <a:ext uri="{FF2B5EF4-FFF2-40B4-BE49-F238E27FC236}">
                  <a16:creationId xmlns:a16="http://schemas.microsoft.com/office/drawing/2014/main" id="{CB8E0EF0-92A1-40FE-A555-65AD48DDE3F2}"/>
                </a:ext>
              </a:extLst>
            </xdr:cNvPr>
            <xdr:cNvGraphicFramePr/>
          </xdr:nvGraphicFramePr>
          <xdr:xfrm>
            <a:off x="0" y="0"/>
            <a:ext cx="0" cy="0"/>
          </xdr:xfrm>
          <a:graphic>
            <a:graphicData uri="http://schemas.microsoft.com/office/drawing/2010/slicer">
              <sle:slicer xmlns:sle="http://schemas.microsoft.com/office/drawing/2010/slicer" name="Year 53"/>
            </a:graphicData>
          </a:graphic>
        </xdr:graphicFrame>
      </mc:Choice>
      <mc:Fallback xmlns="">
        <xdr:sp macro="" textlink="">
          <xdr:nvSpPr>
            <xdr:cNvPr id="0" name=""/>
            <xdr:cNvSpPr>
              <a:spLocks noTextEdit="1"/>
            </xdr:cNvSpPr>
          </xdr:nvSpPr>
          <xdr:spPr>
            <a:xfrm>
              <a:off x="2794000" y="82550"/>
              <a:ext cx="6527800" cy="406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523875</xdr:colOff>
      <xdr:row>18</xdr:row>
      <xdr:rowOff>152400</xdr:rowOff>
    </xdr:from>
    <xdr:to>
      <xdr:col>8</xdr:col>
      <xdr:colOff>3175</xdr:colOff>
      <xdr:row>22</xdr:row>
      <xdr:rowOff>126999</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81F9E2F1-F184-4DA3-BBB7-D53986241087}"/>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5197475" y="3409950"/>
              <a:ext cx="6575425" cy="6953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330200</xdr:colOff>
      <xdr:row>3</xdr:row>
      <xdr:rowOff>158751</xdr:rowOff>
    </xdr:from>
    <xdr:to>
      <xdr:col>14</xdr:col>
      <xdr:colOff>184150</xdr:colOff>
      <xdr:row>5</xdr:row>
      <xdr:rowOff>158751</xdr:rowOff>
    </xdr:to>
    <mc:AlternateContent xmlns:mc="http://schemas.openxmlformats.org/markup-compatibility/2006" xmlns:a14="http://schemas.microsoft.com/office/drawing/2010/main">
      <mc:Choice Requires="a14">
        <xdr:graphicFrame macro="">
          <xdr:nvGraphicFramePr>
            <xdr:cNvPr id="7" name="Year 19">
              <a:extLst>
                <a:ext uri="{FF2B5EF4-FFF2-40B4-BE49-F238E27FC236}">
                  <a16:creationId xmlns:a16="http://schemas.microsoft.com/office/drawing/2014/main" id="{7F2C7AE3-5AE1-4D4E-B332-08916CD0710E}"/>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4362450" y="723901"/>
              <a:ext cx="6597650"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25400</xdr:colOff>
      <xdr:row>30</xdr:row>
      <xdr:rowOff>76201</xdr:rowOff>
    </xdr:from>
    <xdr:to>
      <xdr:col>15</xdr:col>
      <xdr:colOff>95250</xdr:colOff>
      <xdr:row>32</xdr:row>
      <xdr:rowOff>101601</xdr:rowOff>
    </xdr:to>
    <mc:AlternateContent xmlns:mc="http://schemas.openxmlformats.org/markup-compatibility/2006" xmlns:a14="http://schemas.microsoft.com/office/drawing/2010/main">
      <mc:Choice Requires="a14">
        <xdr:graphicFrame macro="">
          <xdr:nvGraphicFramePr>
            <xdr:cNvPr id="4" name="Year 20">
              <a:extLst>
                <a:ext uri="{FF2B5EF4-FFF2-40B4-BE49-F238E27FC236}">
                  <a16:creationId xmlns:a16="http://schemas.microsoft.com/office/drawing/2014/main" id="{13650BF6-AE74-4752-8F2B-2C3527ABE785}"/>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4025900" y="5842001"/>
              <a:ext cx="65976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1295400</xdr:colOff>
      <xdr:row>0</xdr:row>
      <xdr:rowOff>114301</xdr:rowOff>
    </xdr:from>
    <xdr:to>
      <xdr:col>8</xdr:col>
      <xdr:colOff>257175</xdr:colOff>
      <xdr:row>5</xdr:row>
      <xdr:rowOff>1</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93CE68C0-1CE0-4C85-B210-D981FE64079C}"/>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5861050" y="114301"/>
              <a:ext cx="3905250" cy="800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692150</xdr:colOff>
      <xdr:row>2</xdr:row>
      <xdr:rowOff>133350</xdr:rowOff>
    </xdr:from>
    <xdr:to>
      <xdr:col>10</xdr:col>
      <xdr:colOff>514350</xdr:colOff>
      <xdr:row>4</xdr:row>
      <xdr:rowOff>120650</xdr:rowOff>
    </xdr:to>
    <mc:AlternateContent xmlns:mc="http://schemas.openxmlformats.org/markup-compatibility/2006" xmlns:a14="http://schemas.microsoft.com/office/drawing/2010/main">
      <mc:Choice Requires="a14">
        <xdr:graphicFrame macro="">
          <xdr:nvGraphicFramePr>
            <xdr:cNvPr id="4" name="Year 17">
              <a:extLst>
                <a:ext uri="{FF2B5EF4-FFF2-40B4-BE49-F238E27FC236}">
                  <a16:creationId xmlns:a16="http://schemas.microsoft.com/office/drawing/2014/main" id="{EBAD7D76-1CF5-40CD-B7D4-8D49D092954E}"/>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3327400" y="514350"/>
              <a:ext cx="3905250"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965199</xdr:colOff>
      <xdr:row>24</xdr:row>
      <xdr:rowOff>0</xdr:rowOff>
    </xdr:from>
    <xdr:to>
      <xdr:col>11</xdr:col>
      <xdr:colOff>0</xdr:colOff>
      <xdr:row>26</xdr:row>
      <xdr:rowOff>0</xdr:rowOff>
    </xdr:to>
    <mc:AlternateContent xmlns:mc="http://schemas.openxmlformats.org/markup-compatibility/2006" xmlns:a14="http://schemas.microsoft.com/office/drawing/2010/main">
      <mc:Choice Requires="a14">
        <xdr:graphicFrame macro="">
          <xdr:nvGraphicFramePr>
            <xdr:cNvPr id="5" name="Year 21">
              <a:extLst>
                <a:ext uri="{FF2B5EF4-FFF2-40B4-BE49-F238E27FC236}">
                  <a16:creationId xmlns:a16="http://schemas.microsoft.com/office/drawing/2014/main" id="{7A2C612E-6603-4157-A676-C19579CE6FC8}"/>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3594100" y="5410200"/>
              <a:ext cx="3905250" cy="800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457202</xdr:colOff>
      <xdr:row>2</xdr:row>
      <xdr:rowOff>161925</xdr:rowOff>
    </xdr:from>
    <xdr:to>
      <xdr:col>12</xdr:col>
      <xdr:colOff>561976</xdr:colOff>
      <xdr:row>5</xdr:row>
      <xdr:rowOff>19050</xdr:rowOff>
    </xdr:to>
    <mc:AlternateContent xmlns:mc="http://schemas.openxmlformats.org/markup-compatibility/2006" xmlns:a14="http://schemas.microsoft.com/office/drawing/2010/main">
      <mc:Choice Requires="a14">
        <xdr:graphicFrame macro="">
          <xdr:nvGraphicFramePr>
            <xdr:cNvPr id="3" name="Year 61">
              <a:extLst>
                <a:ext uri="{FF2B5EF4-FFF2-40B4-BE49-F238E27FC236}">
                  <a16:creationId xmlns:a16="http://schemas.microsoft.com/office/drawing/2014/main" id="{C2472086-0C89-4F44-9297-7A0AD452F20F}"/>
                </a:ext>
              </a:extLst>
            </xdr:cNvPr>
            <xdr:cNvGraphicFramePr/>
          </xdr:nvGraphicFramePr>
          <xdr:xfrm>
            <a:off x="0" y="0"/>
            <a:ext cx="0" cy="0"/>
          </xdr:xfrm>
          <a:graphic>
            <a:graphicData uri="http://schemas.microsoft.com/office/drawing/2010/slicer">
              <sle:slicer xmlns:sle="http://schemas.microsoft.com/office/drawing/2010/slicer" name="Year 61"/>
            </a:graphicData>
          </a:graphic>
        </xdr:graphicFrame>
      </mc:Choice>
      <mc:Fallback xmlns="">
        <xdr:sp macro="" textlink="">
          <xdr:nvSpPr>
            <xdr:cNvPr id="0" name=""/>
            <xdr:cNvSpPr>
              <a:spLocks noTextEdit="1"/>
            </xdr:cNvSpPr>
          </xdr:nvSpPr>
          <xdr:spPr>
            <a:xfrm>
              <a:off x="4641850" y="558800"/>
              <a:ext cx="6642100" cy="660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1457325</xdr:colOff>
      <xdr:row>17</xdr:row>
      <xdr:rowOff>123826</xdr:rowOff>
    </xdr:from>
    <xdr:to>
      <xdr:col>6</xdr:col>
      <xdr:colOff>123825</xdr:colOff>
      <xdr:row>21</xdr:row>
      <xdr:rowOff>38100</xdr:rowOff>
    </xdr:to>
    <mc:AlternateContent xmlns:mc="http://schemas.openxmlformats.org/markup-compatibility/2006" xmlns:a14="http://schemas.microsoft.com/office/drawing/2010/main">
      <mc:Choice Requires="a14">
        <xdr:graphicFrame macro="">
          <xdr:nvGraphicFramePr>
            <xdr:cNvPr id="2" name="Year 22">
              <a:extLst>
                <a:ext uri="{FF2B5EF4-FFF2-40B4-BE49-F238E27FC236}">
                  <a16:creationId xmlns:a16="http://schemas.microsoft.com/office/drawing/2014/main" id="{DF98AC2A-7E14-46C0-BCF1-7B15F80FA17E}"/>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5473700" y="3197226"/>
              <a:ext cx="4133850" cy="6413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647700</xdr:colOff>
      <xdr:row>4</xdr:row>
      <xdr:rowOff>38101</xdr:rowOff>
    </xdr:from>
    <xdr:to>
      <xdr:col>10</xdr:col>
      <xdr:colOff>387350</xdr:colOff>
      <xdr:row>6</xdr:row>
      <xdr:rowOff>57151</xdr:rowOff>
    </xdr:to>
    <mc:AlternateContent xmlns:mc="http://schemas.openxmlformats.org/markup-compatibility/2006" xmlns:a14="http://schemas.microsoft.com/office/drawing/2010/main">
      <mc:Choice Requires="a14">
        <xdr:graphicFrame macro="">
          <xdr:nvGraphicFramePr>
            <xdr:cNvPr id="3" name="Year 24">
              <a:extLst>
                <a:ext uri="{FF2B5EF4-FFF2-40B4-BE49-F238E27FC236}">
                  <a16:creationId xmlns:a16="http://schemas.microsoft.com/office/drawing/2014/main" id="{3A82CA62-FE4C-4043-87CC-DA36504603AF}"/>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4984750" y="812801"/>
              <a:ext cx="5765800"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2.xml><?xml version="1.0" encoding="utf-8"?>
<xdr:wsDr xmlns:xdr="http://schemas.openxmlformats.org/drawingml/2006/spreadsheetDrawing" xmlns:a="http://schemas.openxmlformats.org/drawingml/2006/main">
  <xdr:twoCellAnchor editAs="oneCell">
    <xdr:from>
      <xdr:col>8</xdr:col>
      <xdr:colOff>50800</xdr:colOff>
      <xdr:row>1</xdr:row>
      <xdr:rowOff>107950</xdr:rowOff>
    </xdr:from>
    <xdr:to>
      <xdr:col>11</xdr:col>
      <xdr:colOff>47625</xdr:colOff>
      <xdr:row>15</xdr:row>
      <xdr:rowOff>53975</xdr:rowOff>
    </xdr:to>
    <mc:AlternateContent xmlns:mc="http://schemas.openxmlformats.org/markup-compatibility/2006" xmlns:a14="http://schemas.microsoft.com/office/drawing/2010/main">
      <mc:Choice Requires="a14">
        <xdr:graphicFrame macro="">
          <xdr:nvGraphicFramePr>
            <xdr:cNvPr id="2" name="Year 55">
              <a:extLst>
                <a:ext uri="{FF2B5EF4-FFF2-40B4-BE49-F238E27FC236}">
                  <a16:creationId xmlns:a16="http://schemas.microsoft.com/office/drawing/2014/main" id="{D1C2F553-22FD-429C-AFAF-9FC3BB976185}"/>
                </a:ext>
              </a:extLst>
            </xdr:cNvPr>
            <xdr:cNvGraphicFramePr/>
          </xdr:nvGraphicFramePr>
          <xdr:xfrm>
            <a:off x="0" y="0"/>
            <a:ext cx="0" cy="0"/>
          </xdr:xfrm>
          <a:graphic>
            <a:graphicData uri="http://schemas.microsoft.com/office/drawing/2010/slicer">
              <sle:slicer xmlns:sle="http://schemas.microsoft.com/office/drawing/2010/slicer" name="Year 55"/>
            </a:graphicData>
          </a:graphic>
        </xdr:graphicFrame>
      </mc:Choice>
      <mc:Fallback xmlns="">
        <xdr:sp macro="" textlink="">
          <xdr:nvSpPr>
            <xdr:cNvPr id="0" name=""/>
            <xdr:cNvSpPr>
              <a:spLocks noTextEdit="1"/>
            </xdr:cNvSpPr>
          </xdr:nvSpPr>
          <xdr:spPr>
            <a:xfrm>
              <a:off x="9074150" y="292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635000</xdr:colOff>
      <xdr:row>14</xdr:row>
      <xdr:rowOff>171450</xdr:rowOff>
    </xdr:from>
    <xdr:to>
      <xdr:col>9</xdr:col>
      <xdr:colOff>438150</xdr:colOff>
      <xdr:row>28</xdr:row>
      <xdr:rowOff>120650</xdr:rowOff>
    </xdr:to>
    <mc:AlternateContent xmlns:mc="http://schemas.openxmlformats.org/markup-compatibility/2006" xmlns:a14="http://schemas.microsoft.com/office/drawing/2010/main">
      <mc:Choice Requires="a14">
        <xdr:graphicFrame macro="">
          <xdr:nvGraphicFramePr>
            <xdr:cNvPr id="3" name="Year 64">
              <a:extLst>
                <a:ext uri="{FF2B5EF4-FFF2-40B4-BE49-F238E27FC236}">
                  <a16:creationId xmlns:a16="http://schemas.microsoft.com/office/drawing/2014/main" id="{0FCE1E41-F664-4C54-B1FB-0D54ACEC65EA}"/>
                </a:ext>
              </a:extLst>
            </xdr:cNvPr>
            <xdr:cNvGraphicFramePr/>
          </xdr:nvGraphicFramePr>
          <xdr:xfrm>
            <a:off x="0" y="0"/>
            <a:ext cx="0" cy="0"/>
          </xdr:xfrm>
          <a:graphic>
            <a:graphicData uri="http://schemas.microsoft.com/office/drawing/2010/slicer">
              <sle:slicer xmlns:sle="http://schemas.microsoft.com/office/drawing/2010/slicer" name="Year 64"/>
            </a:graphicData>
          </a:graphic>
        </xdr:graphicFrame>
      </mc:Choice>
      <mc:Fallback xmlns="">
        <xdr:sp macro="" textlink="">
          <xdr:nvSpPr>
            <xdr:cNvPr id="0" name=""/>
            <xdr:cNvSpPr>
              <a:spLocks noTextEdit="1"/>
            </xdr:cNvSpPr>
          </xdr:nvSpPr>
          <xdr:spPr>
            <a:xfrm>
              <a:off x="8255000" y="27495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800099</xdr:colOff>
      <xdr:row>30</xdr:row>
      <xdr:rowOff>123826</xdr:rowOff>
    </xdr:from>
    <xdr:to>
      <xdr:col>13</xdr:col>
      <xdr:colOff>69849</xdr:colOff>
      <xdr:row>33</xdr:row>
      <xdr:rowOff>76201</xdr:rowOff>
    </xdr:to>
    <mc:AlternateContent xmlns:mc="http://schemas.openxmlformats.org/markup-compatibility/2006" xmlns:a14="http://schemas.microsoft.com/office/drawing/2010/main">
      <mc:Choice Requires="a14">
        <xdr:graphicFrame macro="">
          <xdr:nvGraphicFramePr>
            <xdr:cNvPr id="6" name="FiscalYr">
              <a:extLst>
                <a:ext uri="{FF2B5EF4-FFF2-40B4-BE49-F238E27FC236}">
                  <a16:creationId xmlns:a16="http://schemas.microsoft.com/office/drawing/2014/main" id="{1C0C4792-F49B-30A0-B466-F55A4179312F}"/>
                </a:ext>
              </a:extLst>
            </xdr:cNvPr>
            <xdr:cNvGraphicFramePr/>
          </xdr:nvGraphicFramePr>
          <xdr:xfrm>
            <a:off x="0" y="0"/>
            <a:ext cx="0" cy="0"/>
          </xdr:xfrm>
          <a:graphic>
            <a:graphicData uri="http://schemas.microsoft.com/office/drawing/2010/slicer">
              <sle:slicer xmlns:sle="http://schemas.microsoft.com/office/drawing/2010/slicer" name="FiscalYr"/>
            </a:graphicData>
          </a:graphic>
        </xdr:graphicFrame>
      </mc:Choice>
      <mc:Fallback xmlns="">
        <xdr:sp macro="" textlink="">
          <xdr:nvSpPr>
            <xdr:cNvPr id="0" name=""/>
            <xdr:cNvSpPr>
              <a:spLocks noTextEdit="1"/>
            </xdr:cNvSpPr>
          </xdr:nvSpPr>
          <xdr:spPr>
            <a:xfrm>
              <a:off x="5981699" y="5549901"/>
              <a:ext cx="3686175" cy="4984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34925</xdr:colOff>
      <xdr:row>44</xdr:row>
      <xdr:rowOff>9525</xdr:rowOff>
    </xdr:from>
    <xdr:to>
      <xdr:col>11</xdr:col>
      <xdr:colOff>282575</xdr:colOff>
      <xdr:row>46</xdr:row>
      <xdr:rowOff>104775</xdr:rowOff>
    </xdr:to>
    <mc:AlternateContent xmlns:mc="http://schemas.openxmlformats.org/markup-compatibility/2006" xmlns:a14="http://schemas.microsoft.com/office/drawing/2010/main">
      <mc:Choice Requires="a14">
        <xdr:graphicFrame macro="">
          <xdr:nvGraphicFramePr>
            <xdr:cNvPr id="7" name="FiscalYr 2">
              <a:extLst>
                <a:ext uri="{FF2B5EF4-FFF2-40B4-BE49-F238E27FC236}">
                  <a16:creationId xmlns:a16="http://schemas.microsoft.com/office/drawing/2014/main" id="{1AA200B8-C67D-DDAD-DA30-CA0F30DF6235}"/>
                </a:ext>
              </a:extLst>
            </xdr:cNvPr>
            <xdr:cNvGraphicFramePr/>
          </xdr:nvGraphicFramePr>
          <xdr:xfrm>
            <a:off x="0" y="0"/>
            <a:ext cx="0" cy="0"/>
          </xdr:xfrm>
          <a:graphic>
            <a:graphicData uri="http://schemas.microsoft.com/office/drawing/2010/slicer">
              <sle:slicer xmlns:sle="http://schemas.microsoft.com/office/drawing/2010/slicer" name="FiscalYr 2"/>
            </a:graphicData>
          </a:graphic>
        </xdr:graphicFrame>
      </mc:Choice>
      <mc:Fallback xmlns="">
        <xdr:sp macro="" textlink="">
          <xdr:nvSpPr>
            <xdr:cNvPr id="0" name=""/>
            <xdr:cNvSpPr>
              <a:spLocks noTextEdit="1"/>
            </xdr:cNvSpPr>
          </xdr:nvSpPr>
          <xdr:spPr>
            <a:xfrm>
              <a:off x="4511675" y="7969250"/>
              <a:ext cx="466725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1247775</xdr:colOff>
      <xdr:row>30</xdr:row>
      <xdr:rowOff>47626</xdr:rowOff>
    </xdr:from>
    <xdr:to>
      <xdr:col>8</xdr:col>
      <xdr:colOff>0</xdr:colOff>
      <xdr:row>32</xdr:row>
      <xdr:rowOff>123825</xdr:rowOff>
    </xdr:to>
    <mc:AlternateContent xmlns:mc="http://schemas.openxmlformats.org/markup-compatibility/2006" xmlns:a14="http://schemas.microsoft.com/office/drawing/2010/main">
      <mc:Choice Requires="a14">
        <xdr:graphicFrame macro="">
          <xdr:nvGraphicFramePr>
            <xdr:cNvPr id="19" name="Year 63">
              <a:extLst>
                <a:ext uri="{FF2B5EF4-FFF2-40B4-BE49-F238E27FC236}">
                  <a16:creationId xmlns:a16="http://schemas.microsoft.com/office/drawing/2014/main" id="{861D1B09-F106-41D1-8769-106F7E9D2727}"/>
                </a:ext>
              </a:extLst>
            </xdr:cNvPr>
            <xdr:cNvGraphicFramePr/>
          </xdr:nvGraphicFramePr>
          <xdr:xfrm>
            <a:off x="0" y="0"/>
            <a:ext cx="0" cy="0"/>
          </xdr:xfrm>
          <a:graphic>
            <a:graphicData uri="http://schemas.microsoft.com/office/drawing/2010/slicer">
              <sle:slicer xmlns:sle="http://schemas.microsoft.com/office/drawing/2010/slicer" name="Year 63"/>
            </a:graphicData>
          </a:graphic>
        </xdr:graphicFrame>
      </mc:Choice>
      <mc:Fallback xmlns="">
        <xdr:sp macro="" textlink="">
          <xdr:nvSpPr>
            <xdr:cNvPr id="0" name=""/>
            <xdr:cNvSpPr>
              <a:spLocks noTextEdit="1"/>
            </xdr:cNvSpPr>
          </xdr:nvSpPr>
          <xdr:spPr>
            <a:xfrm>
              <a:off x="3302000" y="6451601"/>
              <a:ext cx="4895850" cy="5079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857249</xdr:colOff>
      <xdr:row>4</xdr:row>
      <xdr:rowOff>0</xdr:rowOff>
    </xdr:from>
    <xdr:to>
      <xdr:col>8</xdr:col>
      <xdr:colOff>1327149</xdr:colOff>
      <xdr:row>6</xdr:row>
      <xdr:rowOff>31749</xdr:rowOff>
    </xdr:to>
    <mc:AlternateContent xmlns:mc="http://schemas.openxmlformats.org/markup-compatibility/2006" xmlns:a14="http://schemas.microsoft.com/office/drawing/2010/main">
      <mc:Choice Requires="a14">
        <xdr:graphicFrame macro="">
          <xdr:nvGraphicFramePr>
            <xdr:cNvPr id="20" name="Year 65">
              <a:extLst>
                <a:ext uri="{FF2B5EF4-FFF2-40B4-BE49-F238E27FC236}">
                  <a16:creationId xmlns:a16="http://schemas.microsoft.com/office/drawing/2014/main" id="{ED136CB0-C2CC-48EC-B912-9F5903E4E2DC}"/>
                </a:ext>
              </a:extLst>
            </xdr:cNvPr>
            <xdr:cNvGraphicFramePr/>
          </xdr:nvGraphicFramePr>
          <xdr:xfrm>
            <a:off x="0" y="0"/>
            <a:ext cx="0" cy="0"/>
          </xdr:xfrm>
          <a:graphic>
            <a:graphicData uri="http://schemas.microsoft.com/office/drawing/2010/slicer">
              <sle:slicer xmlns:sle="http://schemas.microsoft.com/office/drawing/2010/slicer" name="Year 65"/>
            </a:graphicData>
          </a:graphic>
        </xdr:graphicFrame>
      </mc:Choice>
      <mc:Fallback xmlns="">
        <xdr:sp macro="" textlink="">
          <xdr:nvSpPr>
            <xdr:cNvPr id="0" name=""/>
            <xdr:cNvSpPr>
              <a:spLocks noTextEdit="1"/>
            </xdr:cNvSpPr>
          </xdr:nvSpPr>
          <xdr:spPr>
            <a:xfrm>
              <a:off x="4514850" y="831851"/>
              <a:ext cx="4470400" cy="4317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904875</xdr:colOff>
      <xdr:row>46</xdr:row>
      <xdr:rowOff>1</xdr:rowOff>
    </xdr:from>
    <xdr:to>
      <xdr:col>8</xdr:col>
      <xdr:colOff>1495425</xdr:colOff>
      <xdr:row>48</xdr:row>
      <xdr:rowOff>76201</xdr:rowOff>
    </xdr:to>
    <mc:AlternateContent xmlns:mc="http://schemas.openxmlformats.org/markup-compatibility/2006" xmlns:a14="http://schemas.microsoft.com/office/drawing/2010/main">
      <mc:Choice Requires="a14">
        <xdr:graphicFrame macro="">
          <xdr:nvGraphicFramePr>
            <xdr:cNvPr id="2" name="FiscalYr 1">
              <a:extLst>
                <a:ext uri="{FF2B5EF4-FFF2-40B4-BE49-F238E27FC236}">
                  <a16:creationId xmlns:a16="http://schemas.microsoft.com/office/drawing/2014/main" id="{F0F16C47-B9F6-4C5B-9F30-EF918304FB2E}"/>
                </a:ext>
              </a:extLst>
            </xdr:cNvPr>
            <xdr:cNvGraphicFramePr/>
          </xdr:nvGraphicFramePr>
          <xdr:xfrm>
            <a:off x="0" y="0"/>
            <a:ext cx="0" cy="0"/>
          </xdr:xfrm>
          <a:graphic>
            <a:graphicData uri="http://schemas.microsoft.com/office/drawing/2010/slicer">
              <sle:slicer xmlns:sle="http://schemas.microsoft.com/office/drawing/2010/slicer" name="FiscalYr 1"/>
            </a:graphicData>
          </a:graphic>
        </xdr:graphicFrame>
      </mc:Choice>
      <mc:Fallback xmlns="">
        <xdr:sp macro="" textlink="">
          <xdr:nvSpPr>
            <xdr:cNvPr id="0" name=""/>
            <xdr:cNvSpPr>
              <a:spLocks noTextEdit="1"/>
            </xdr:cNvSpPr>
          </xdr:nvSpPr>
          <xdr:spPr>
            <a:xfrm>
              <a:off x="4752975" y="10420351"/>
              <a:ext cx="46069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762000</xdr:colOff>
      <xdr:row>60</xdr:row>
      <xdr:rowOff>171451</xdr:rowOff>
    </xdr:from>
    <xdr:to>
      <xdr:col>8</xdr:col>
      <xdr:colOff>1238250</xdr:colOff>
      <xdr:row>63</xdr:row>
      <xdr:rowOff>28576</xdr:rowOff>
    </xdr:to>
    <mc:AlternateContent xmlns:mc="http://schemas.openxmlformats.org/markup-compatibility/2006" xmlns:a14="http://schemas.microsoft.com/office/drawing/2010/main">
      <mc:Choice Requires="a14">
        <xdr:graphicFrame macro="">
          <xdr:nvGraphicFramePr>
            <xdr:cNvPr id="3" name="FiscalYr 3">
              <a:extLst>
                <a:ext uri="{FF2B5EF4-FFF2-40B4-BE49-F238E27FC236}">
                  <a16:creationId xmlns:a16="http://schemas.microsoft.com/office/drawing/2014/main" id="{4498A251-A1D9-43E3-ADDE-4A0CECB850B7}"/>
                </a:ext>
              </a:extLst>
            </xdr:cNvPr>
            <xdr:cNvGraphicFramePr/>
          </xdr:nvGraphicFramePr>
          <xdr:xfrm>
            <a:off x="0" y="0"/>
            <a:ext cx="0" cy="0"/>
          </xdr:xfrm>
          <a:graphic>
            <a:graphicData uri="http://schemas.microsoft.com/office/drawing/2010/slicer">
              <sle:slicer xmlns:sle="http://schemas.microsoft.com/office/drawing/2010/slicer" name="FiscalYr 3"/>
            </a:graphicData>
          </a:graphic>
        </xdr:graphicFrame>
      </mc:Choice>
      <mc:Fallback xmlns="">
        <xdr:sp macro="" textlink="">
          <xdr:nvSpPr>
            <xdr:cNvPr id="0" name=""/>
            <xdr:cNvSpPr>
              <a:spLocks noTextEdit="1"/>
            </xdr:cNvSpPr>
          </xdr:nvSpPr>
          <xdr:spPr>
            <a:xfrm>
              <a:off x="5276850" y="12611101"/>
              <a:ext cx="5143500" cy="434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306844</xdr:colOff>
      <xdr:row>6</xdr:row>
      <xdr:rowOff>76199</xdr:rowOff>
    </xdr:from>
    <xdr:to>
      <xdr:col>6</xdr:col>
      <xdr:colOff>235362</xdr:colOff>
      <xdr:row>20</xdr:row>
      <xdr:rowOff>158750</xdr:rowOff>
    </xdr:to>
    <xdr:pic>
      <xdr:nvPicPr>
        <xdr:cNvPr id="4" name="Picture 3">
          <a:extLst>
            <a:ext uri="{FF2B5EF4-FFF2-40B4-BE49-F238E27FC236}">
              <a16:creationId xmlns:a16="http://schemas.microsoft.com/office/drawing/2014/main" id="{8E7008B7-8267-CEB1-80D4-77D6CF65A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6444" y="1219199"/>
          <a:ext cx="2976518" cy="2616201"/>
        </a:xfrm>
        <a:prstGeom prst="rect">
          <a:avLst/>
        </a:prstGeom>
      </xdr:spPr>
    </xdr:pic>
    <xdr:clientData/>
  </xdr:twoCellAnchor>
  <xdr:twoCellAnchor editAs="oneCell">
    <xdr:from>
      <xdr:col>6</xdr:col>
      <xdr:colOff>323494</xdr:colOff>
      <xdr:row>6</xdr:row>
      <xdr:rowOff>9222</xdr:rowOff>
    </xdr:from>
    <xdr:to>
      <xdr:col>11</xdr:col>
      <xdr:colOff>371475</xdr:colOff>
      <xdr:row>21</xdr:row>
      <xdr:rowOff>21418</xdr:rowOff>
    </xdr:to>
    <xdr:pic>
      <xdr:nvPicPr>
        <xdr:cNvPr id="6" name="Picture 5">
          <a:extLst>
            <a:ext uri="{FF2B5EF4-FFF2-40B4-BE49-F238E27FC236}">
              <a16:creationId xmlns:a16="http://schemas.microsoft.com/office/drawing/2014/main" id="{AA657299-30B6-9598-FBA5-2FD142E08C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1094" y="1152222"/>
          <a:ext cx="3095981" cy="2726821"/>
        </a:xfrm>
        <a:prstGeom prst="rect">
          <a:avLst/>
        </a:prstGeom>
      </xdr:spPr>
    </xdr:pic>
    <xdr:clientData/>
  </xdr:twoCellAnchor>
  <xdr:twoCellAnchor editAs="oneCell">
    <xdr:from>
      <xdr:col>12</xdr:col>
      <xdr:colOff>19050</xdr:colOff>
      <xdr:row>5</xdr:row>
      <xdr:rowOff>172743</xdr:rowOff>
    </xdr:from>
    <xdr:to>
      <xdr:col>17</xdr:col>
      <xdr:colOff>47350</xdr:colOff>
      <xdr:row>20</xdr:row>
      <xdr:rowOff>151864</xdr:rowOff>
    </xdr:to>
    <xdr:pic>
      <xdr:nvPicPr>
        <xdr:cNvPr id="10" name="Picture 9">
          <a:extLst>
            <a:ext uri="{FF2B5EF4-FFF2-40B4-BE49-F238E27FC236}">
              <a16:creationId xmlns:a16="http://schemas.microsoft.com/office/drawing/2014/main" id="{3827A193-BB84-BBD9-3F5A-0C31AF88CB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1134768"/>
          <a:ext cx="3076300" cy="2693746"/>
        </a:xfrm>
        <a:prstGeom prst="rect">
          <a:avLst/>
        </a:prstGeom>
      </xdr:spPr>
    </xdr:pic>
    <xdr:clientData/>
  </xdr:twoCellAnchor>
  <xdr:twoCellAnchor editAs="oneCell">
    <xdr:from>
      <xdr:col>1</xdr:col>
      <xdr:colOff>164669</xdr:colOff>
      <xdr:row>22</xdr:row>
      <xdr:rowOff>85484</xdr:rowOff>
    </xdr:from>
    <xdr:to>
      <xdr:col>6</xdr:col>
      <xdr:colOff>411892</xdr:colOff>
      <xdr:row>38</xdr:row>
      <xdr:rowOff>95250</xdr:rowOff>
    </xdr:to>
    <xdr:pic>
      <xdr:nvPicPr>
        <xdr:cNvPr id="14" name="Picture 13">
          <a:extLst>
            <a:ext uri="{FF2B5EF4-FFF2-40B4-BE49-F238E27FC236}">
              <a16:creationId xmlns:a16="http://schemas.microsoft.com/office/drawing/2014/main" id="{634812F9-5564-8754-28D1-E774477CF4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4269" y="4124084"/>
          <a:ext cx="3295223" cy="2905366"/>
        </a:xfrm>
        <a:prstGeom prst="rect">
          <a:avLst/>
        </a:prstGeom>
      </xdr:spPr>
    </xdr:pic>
    <xdr:clientData/>
  </xdr:twoCellAnchor>
  <xdr:twoCellAnchor editAs="oneCell">
    <xdr:from>
      <xdr:col>6</xdr:col>
      <xdr:colOff>590826</xdr:colOff>
      <xdr:row>22</xdr:row>
      <xdr:rowOff>57732</xdr:rowOff>
    </xdr:from>
    <xdr:to>
      <xdr:col>12</xdr:col>
      <xdr:colOff>257174</xdr:colOff>
      <xdr:row>38</xdr:row>
      <xdr:rowOff>86039</xdr:rowOff>
    </xdr:to>
    <xdr:pic>
      <xdr:nvPicPr>
        <xdr:cNvPr id="16" name="Picture 15">
          <a:extLst>
            <a:ext uri="{FF2B5EF4-FFF2-40B4-BE49-F238E27FC236}">
              <a16:creationId xmlns:a16="http://schemas.microsoft.com/office/drawing/2014/main" id="{848BFE54-9BA7-7543-F086-136C4C51BE1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48426" y="4096332"/>
          <a:ext cx="3323948" cy="2923907"/>
        </a:xfrm>
        <a:prstGeom prst="rect">
          <a:avLst/>
        </a:prstGeom>
      </xdr:spPr>
    </xdr:pic>
    <xdr:clientData/>
  </xdr:twoCellAnchor>
  <xdr:twoCellAnchor editAs="oneCell">
    <xdr:from>
      <xdr:col>12</xdr:col>
      <xdr:colOff>283626</xdr:colOff>
      <xdr:row>22</xdr:row>
      <xdr:rowOff>69849</xdr:rowOff>
    </xdr:from>
    <xdr:to>
      <xdr:col>17</xdr:col>
      <xdr:colOff>562749</xdr:colOff>
      <xdr:row>38</xdr:row>
      <xdr:rowOff>96338</xdr:rowOff>
    </xdr:to>
    <xdr:pic>
      <xdr:nvPicPr>
        <xdr:cNvPr id="18" name="Picture 17">
          <a:extLst>
            <a:ext uri="{FF2B5EF4-FFF2-40B4-BE49-F238E27FC236}">
              <a16:creationId xmlns:a16="http://schemas.microsoft.com/office/drawing/2014/main" id="{5521B626-5B27-DFB0-90F5-6EA1E6815F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98826" y="4108449"/>
          <a:ext cx="3327123" cy="292208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511340</xdr:colOff>
      <xdr:row>5</xdr:row>
      <xdr:rowOff>36249</xdr:rowOff>
    </xdr:from>
    <xdr:to>
      <xdr:col>7</xdr:col>
      <xdr:colOff>209549</xdr:colOff>
      <xdr:row>21</xdr:row>
      <xdr:rowOff>89066</xdr:rowOff>
    </xdr:to>
    <xdr:pic>
      <xdr:nvPicPr>
        <xdr:cNvPr id="4" name="Picture 3">
          <a:extLst>
            <a:ext uri="{FF2B5EF4-FFF2-40B4-BE49-F238E27FC236}">
              <a16:creationId xmlns:a16="http://schemas.microsoft.com/office/drawing/2014/main" id="{3722786D-63AF-E64A-C3DD-E4E046482E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940" y="998274"/>
          <a:ext cx="3355809" cy="2948417"/>
        </a:xfrm>
        <a:prstGeom prst="rect">
          <a:avLst/>
        </a:prstGeom>
      </xdr:spPr>
    </xdr:pic>
    <xdr:clientData/>
  </xdr:twoCellAnchor>
  <xdr:twoCellAnchor editAs="oneCell">
    <xdr:from>
      <xdr:col>7</xdr:col>
      <xdr:colOff>302483</xdr:colOff>
      <xdr:row>5</xdr:row>
      <xdr:rowOff>86574</xdr:rowOff>
    </xdr:from>
    <xdr:to>
      <xdr:col>12</xdr:col>
      <xdr:colOff>521911</xdr:colOff>
      <xdr:row>21</xdr:row>
      <xdr:rowOff>73025</xdr:rowOff>
    </xdr:to>
    <xdr:pic>
      <xdr:nvPicPr>
        <xdr:cNvPr id="6" name="Picture 5">
          <a:extLst>
            <a:ext uri="{FF2B5EF4-FFF2-40B4-BE49-F238E27FC236}">
              <a16:creationId xmlns:a16="http://schemas.microsoft.com/office/drawing/2014/main" id="{CEE3AE13-6F03-41EC-1326-69883EB95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9683" y="1048599"/>
          <a:ext cx="3267428" cy="2882051"/>
        </a:xfrm>
        <a:prstGeom prst="rect">
          <a:avLst/>
        </a:prstGeom>
      </xdr:spPr>
    </xdr:pic>
    <xdr:clientData/>
  </xdr:twoCellAnchor>
  <xdr:twoCellAnchor editAs="oneCell">
    <xdr:from>
      <xdr:col>1</xdr:col>
      <xdr:colOff>602743</xdr:colOff>
      <xdr:row>21</xdr:row>
      <xdr:rowOff>179424</xdr:rowOff>
    </xdr:from>
    <xdr:to>
      <xdr:col>7</xdr:col>
      <xdr:colOff>428625</xdr:colOff>
      <xdr:row>39</xdr:row>
      <xdr:rowOff>755</xdr:rowOff>
    </xdr:to>
    <xdr:pic>
      <xdr:nvPicPr>
        <xdr:cNvPr id="8" name="Picture 7">
          <a:extLst>
            <a:ext uri="{FF2B5EF4-FFF2-40B4-BE49-F238E27FC236}">
              <a16:creationId xmlns:a16="http://schemas.microsoft.com/office/drawing/2014/main" id="{F1F613AB-39C4-38A8-6D29-7D1063E103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2343" y="4037049"/>
          <a:ext cx="3483482" cy="3078881"/>
        </a:xfrm>
        <a:prstGeom prst="rect">
          <a:avLst/>
        </a:prstGeom>
      </xdr:spPr>
    </xdr:pic>
    <xdr:clientData/>
  </xdr:twoCellAnchor>
  <xdr:twoCellAnchor editAs="oneCell">
    <xdr:from>
      <xdr:col>12</xdr:col>
      <xdr:colOff>607644</xdr:colOff>
      <xdr:row>5</xdr:row>
      <xdr:rowOff>11924</xdr:rowOff>
    </xdr:from>
    <xdr:to>
      <xdr:col>18</xdr:col>
      <xdr:colOff>334304</xdr:colOff>
      <xdr:row>21</xdr:row>
      <xdr:rowOff>82550</xdr:rowOff>
    </xdr:to>
    <xdr:pic>
      <xdr:nvPicPr>
        <xdr:cNvPr id="10" name="Picture 9">
          <a:extLst>
            <a:ext uri="{FF2B5EF4-FFF2-40B4-BE49-F238E27FC236}">
              <a16:creationId xmlns:a16="http://schemas.microsoft.com/office/drawing/2014/main" id="{C8735E9D-32DB-36E7-4289-953AB87EC0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22844" y="973949"/>
          <a:ext cx="3384260" cy="2966226"/>
        </a:xfrm>
        <a:prstGeom prst="rect">
          <a:avLst/>
        </a:prstGeom>
      </xdr:spPr>
    </xdr:pic>
    <xdr:clientData/>
  </xdr:twoCellAnchor>
  <xdr:twoCellAnchor editAs="oneCell">
    <xdr:from>
      <xdr:col>7</xdr:col>
      <xdr:colOff>476116</xdr:colOff>
      <xdr:row>22</xdr:row>
      <xdr:rowOff>76201</xdr:rowOff>
    </xdr:from>
    <xdr:to>
      <xdr:col>13</xdr:col>
      <xdr:colOff>218368</xdr:colOff>
      <xdr:row>38</xdr:row>
      <xdr:rowOff>158751</xdr:rowOff>
    </xdr:to>
    <xdr:pic>
      <xdr:nvPicPr>
        <xdr:cNvPr id="12" name="Picture 11">
          <a:extLst>
            <a:ext uri="{FF2B5EF4-FFF2-40B4-BE49-F238E27FC236}">
              <a16:creationId xmlns:a16="http://schemas.microsoft.com/office/drawing/2014/main" id="{40ECD3D7-84D7-3332-BE6D-6D643E4782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43316" y="4114801"/>
          <a:ext cx="3399852" cy="29781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419100</xdr:colOff>
      <xdr:row>27</xdr:row>
      <xdr:rowOff>160845</xdr:rowOff>
    </xdr:to>
    <xdr:pic>
      <xdr:nvPicPr>
        <xdr:cNvPr id="3" name="Picture 2">
          <a:extLst>
            <a:ext uri="{FF2B5EF4-FFF2-40B4-BE49-F238E27FC236}">
              <a16:creationId xmlns:a16="http://schemas.microsoft.com/office/drawing/2014/main" id="{391D726F-7E70-4A88-32EE-CAFF3DD13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62025"/>
          <a:ext cx="5295900" cy="414229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539750</xdr:colOff>
      <xdr:row>6</xdr:row>
      <xdr:rowOff>571</xdr:rowOff>
    </xdr:from>
    <xdr:to>
      <xdr:col>12</xdr:col>
      <xdr:colOff>454743</xdr:colOff>
      <xdr:row>35</xdr:row>
      <xdr:rowOff>38100</xdr:rowOff>
    </xdr:to>
    <xdr:pic>
      <xdr:nvPicPr>
        <xdr:cNvPr id="3" name="Picture 2">
          <a:extLst>
            <a:ext uri="{FF2B5EF4-FFF2-40B4-BE49-F238E27FC236}">
              <a16:creationId xmlns:a16="http://schemas.microsoft.com/office/drawing/2014/main" id="{F3D0490E-4F4A-8AD2-439F-E163C89F7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 y="1143571"/>
          <a:ext cx="6620593" cy="528580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154803</xdr:colOff>
      <xdr:row>4</xdr:row>
      <xdr:rowOff>146049</xdr:rowOff>
    </xdr:from>
    <xdr:to>
      <xdr:col>13</xdr:col>
      <xdr:colOff>113171</xdr:colOff>
      <xdr:row>34</xdr:row>
      <xdr:rowOff>44587</xdr:rowOff>
    </xdr:to>
    <xdr:pic>
      <xdr:nvPicPr>
        <xdr:cNvPr id="3" name="Picture 2">
          <a:extLst>
            <a:ext uri="{FF2B5EF4-FFF2-40B4-BE49-F238E27FC236}">
              <a16:creationId xmlns:a16="http://schemas.microsoft.com/office/drawing/2014/main" id="{54FE66B2-B12E-25D2-2242-802613F511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4003" y="927099"/>
          <a:ext cx="6663968" cy="53277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11259</xdr:colOff>
      <xdr:row>4</xdr:row>
      <xdr:rowOff>149225</xdr:rowOff>
    </xdr:from>
    <xdr:to>
      <xdr:col>7</xdr:col>
      <xdr:colOff>15940</xdr:colOff>
      <xdr:row>19</xdr:row>
      <xdr:rowOff>123825</xdr:rowOff>
    </xdr:to>
    <xdr:pic>
      <xdr:nvPicPr>
        <xdr:cNvPr id="3" name="Picture 2">
          <a:extLst>
            <a:ext uri="{FF2B5EF4-FFF2-40B4-BE49-F238E27FC236}">
              <a16:creationId xmlns:a16="http://schemas.microsoft.com/office/drawing/2014/main" id="{1368FF5D-A5D4-9049-C9AF-6AAA4900F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459" y="930275"/>
          <a:ext cx="3052681" cy="2689225"/>
        </a:xfrm>
        <a:prstGeom prst="rect">
          <a:avLst/>
        </a:prstGeom>
      </xdr:spPr>
    </xdr:pic>
    <xdr:clientData/>
  </xdr:twoCellAnchor>
  <xdr:twoCellAnchor editAs="oneCell">
    <xdr:from>
      <xdr:col>7</xdr:col>
      <xdr:colOff>228913</xdr:colOff>
      <xdr:row>21</xdr:row>
      <xdr:rowOff>9524</xdr:rowOff>
    </xdr:from>
    <xdr:to>
      <xdr:col>12</xdr:col>
      <xdr:colOff>396875</xdr:colOff>
      <xdr:row>36</xdr:row>
      <xdr:rowOff>122331</xdr:rowOff>
    </xdr:to>
    <xdr:pic>
      <xdr:nvPicPr>
        <xdr:cNvPr id="5" name="Picture 4">
          <a:extLst>
            <a:ext uri="{FF2B5EF4-FFF2-40B4-BE49-F238E27FC236}">
              <a16:creationId xmlns:a16="http://schemas.microsoft.com/office/drawing/2014/main" id="{D68889AE-D401-E434-6342-BCB8D7935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96113" y="3867149"/>
          <a:ext cx="3215962" cy="2827432"/>
        </a:xfrm>
        <a:prstGeom prst="rect">
          <a:avLst/>
        </a:prstGeom>
      </xdr:spPr>
    </xdr:pic>
    <xdr:clientData/>
  </xdr:twoCellAnchor>
  <xdr:twoCellAnchor editAs="oneCell">
    <xdr:from>
      <xdr:col>1</xdr:col>
      <xdr:colOff>561396</xdr:colOff>
      <xdr:row>20</xdr:row>
      <xdr:rowOff>171450</xdr:rowOff>
    </xdr:from>
    <xdr:to>
      <xdr:col>7</xdr:col>
      <xdr:colOff>125784</xdr:colOff>
      <xdr:row>36</xdr:row>
      <xdr:rowOff>112988</xdr:rowOff>
    </xdr:to>
    <xdr:pic>
      <xdr:nvPicPr>
        <xdr:cNvPr id="7" name="Picture 6">
          <a:extLst>
            <a:ext uri="{FF2B5EF4-FFF2-40B4-BE49-F238E27FC236}">
              <a16:creationId xmlns:a16="http://schemas.microsoft.com/office/drawing/2014/main" id="{322F01B3-6AFD-BA2F-338E-109127D384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0996" y="3848100"/>
          <a:ext cx="3221988" cy="2837138"/>
        </a:xfrm>
        <a:prstGeom prst="rect">
          <a:avLst/>
        </a:prstGeom>
      </xdr:spPr>
    </xdr:pic>
    <xdr:clientData/>
  </xdr:twoCellAnchor>
  <xdr:twoCellAnchor editAs="oneCell">
    <xdr:from>
      <xdr:col>7</xdr:col>
      <xdr:colOff>174559</xdr:colOff>
      <xdr:row>4</xdr:row>
      <xdr:rowOff>123824</xdr:rowOff>
    </xdr:from>
    <xdr:to>
      <xdr:col>12</xdr:col>
      <xdr:colOff>200026</xdr:colOff>
      <xdr:row>19</xdr:row>
      <xdr:rowOff>116202</xdr:rowOff>
    </xdr:to>
    <xdr:pic>
      <xdr:nvPicPr>
        <xdr:cNvPr id="9" name="Picture 8">
          <a:extLst>
            <a:ext uri="{FF2B5EF4-FFF2-40B4-BE49-F238E27FC236}">
              <a16:creationId xmlns:a16="http://schemas.microsoft.com/office/drawing/2014/main" id="{E4FFC50B-29B5-B3FC-C58C-F4BBCBA85F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1759" y="904874"/>
          <a:ext cx="3073467" cy="2707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298627</xdr:colOff>
      <xdr:row>23</xdr:row>
      <xdr:rowOff>38100</xdr:rowOff>
    </xdr:to>
    <xdr:pic>
      <xdr:nvPicPr>
        <xdr:cNvPr id="3" name="Picture 2">
          <a:extLst>
            <a:ext uri="{FF2B5EF4-FFF2-40B4-BE49-F238E27FC236}">
              <a16:creationId xmlns:a16="http://schemas.microsoft.com/office/drawing/2014/main" id="{0B7BCDD8-6221-3B9E-7817-9271374C7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350" y="971550"/>
          <a:ext cx="5023027" cy="33655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446049</xdr:colOff>
      <xdr:row>4</xdr:row>
      <xdr:rowOff>77760</xdr:rowOff>
    </xdr:from>
    <xdr:to>
      <xdr:col>7</xdr:col>
      <xdr:colOff>431798</xdr:colOff>
      <xdr:row>22</xdr:row>
      <xdr:rowOff>16188</xdr:rowOff>
    </xdr:to>
    <xdr:pic>
      <xdr:nvPicPr>
        <xdr:cNvPr id="3" name="Picture 2">
          <a:extLst>
            <a:ext uri="{FF2B5EF4-FFF2-40B4-BE49-F238E27FC236}">
              <a16:creationId xmlns:a16="http://schemas.microsoft.com/office/drawing/2014/main" id="{0014346A-0019-F668-602D-5296189955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649" y="858810"/>
          <a:ext cx="3643349" cy="3195978"/>
        </a:xfrm>
        <a:prstGeom prst="rect">
          <a:avLst/>
        </a:prstGeom>
      </xdr:spPr>
    </xdr:pic>
    <xdr:clientData/>
  </xdr:twoCellAnchor>
  <xdr:twoCellAnchor editAs="oneCell">
    <xdr:from>
      <xdr:col>7</xdr:col>
      <xdr:colOff>513499</xdr:colOff>
      <xdr:row>23</xdr:row>
      <xdr:rowOff>2479</xdr:rowOff>
    </xdr:from>
    <xdr:to>
      <xdr:col>13</xdr:col>
      <xdr:colOff>492898</xdr:colOff>
      <xdr:row>40</xdr:row>
      <xdr:rowOff>124914</xdr:rowOff>
    </xdr:to>
    <xdr:pic>
      <xdr:nvPicPr>
        <xdr:cNvPr id="5" name="Picture 4">
          <a:extLst>
            <a:ext uri="{FF2B5EF4-FFF2-40B4-BE49-F238E27FC236}">
              <a16:creationId xmlns:a16="http://schemas.microsoft.com/office/drawing/2014/main" id="{DF0A085D-4F3D-4777-3B78-948D406CC4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0699" y="4222054"/>
          <a:ext cx="3636999" cy="3199010"/>
        </a:xfrm>
        <a:prstGeom prst="rect">
          <a:avLst/>
        </a:prstGeom>
      </xdr:spPr>
    </xdr:pic>
    <xdr:clientData/>
  </xdr:twoCellAnchor>
  <xdr:twoCellAnchor editAs="oneCell">
    <xdr:from>
      <xdr:col>1</xdr:col>
      <xdr:colOff>454804</xdr:colOff>
      <xdr:row>23</xdr:row>
      <xdr:rowOff>11151</xdr:rowOff>
    </xdr:from>
    <xdr:to>
      <xdr:col>7</xdr:col>
      <xdr:colOff>430174</xdr:colOff>
      <xdr:row>40</xdr:row>
      <xdr:rowOff>132039</xdr:rowOff>
    </xdr:to>
    <xdr:pic>
      <xdr:nvPicPr>
        <xdr:cNvPr id="7" name="Picture 6">
          <a:extLst>
            <a:ext uri="{FF2B5EF4-FFF2-40B4-BE49-F238E27FC236}">
              <a16:creationId xmlns:a16="http://schemas.microsoft.com/office/drawing/2014/main" id="{1C3F9BEC-0646-BDB9-489A-78633106F9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404" y="4230726"/>
          <a:ext cx="3632970" cy="3197463"/>
        </a:xfrm>
        <a:prstGeom prst="rect">
          <a:avLst/>
        </a:prstGeom>
      </xdr:spPr>
    </xdr:pic>
    <xdr:clientData/>
  </xdr:twoCellAnchor>
  <xdr:twoCellAnchor editAs="oneCell">
    <xdr:from>
      <xdr:col>7</xdr:col>
      <xdr:colOff>485702</xdr:colOff>
      <xdr:row>4</xdr:row>
      <xdr:rowOff>76199</xdr:rowOff>
    </xdr:from>
    <xdr:to>
      <xdr:col>13</xdr:col>
      <xdr:colOff>469049</xdr:colOff>
      <xdr:row>22</xdr:row>
      <xdr:rowOff>18513</xdr:rowOff>
    </xdr:to>
    <xdr:pic>
      <xdr:nvPicPr>
        <xdr:cNvPr id="9" name="Picture 8">
          <a:extLst>
            <a:ext uri="{FF2B5EF4-FFF2-40B4-BE49-F238E27FC236}">
              <a16:creationId xmlns:a16="http://schemas.microsoft.com/office/drawing/2014/main" id="{ECBECC43-F5F6-9963-BFDA-9AB471ACD0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52902" y="857249"/>
          <a:ext cx="3640947" cy="319986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5</xdr:col>
      <xdr:colOff>558800</xdr:colOff>
      <xdr:row>6</xdr:row>
      <xdr:rowOff>133350</xdr:rowOff>
    </xdr:from>
    <xdr:to>
      <xdr:col>10</xdr:col>
      <xdr:colOff>420291</xdr:colOff>
      <xdr:row>26</xdr:row>
      <xdr:rowOff>104910</xdr:rowOff>
    </xdr:to>
    <xdr:pic>
      <xdr:nvPicPr>
        <xdr:cNvPr id="3" name="Picture 2">
          <a:extLst>
            <a:ext uri="{FF2B5EF4-FFF2-40B4-BE49-F238E27FC236}">
              <a16:creationId xmlns:a16="http://schemas.microsoft.com/office/drawing/2014/main" id="{E69EB281-4406-33FB-7CD4-19EEFFCF3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6800" y="1276350"/>
          <a:ext cx="2909491" cy="3591060"/>
        </a:xfrm>
        <a:prstGeom prst="rect">
          <a:avLst/>
        </a:prstGeom>
      </xdr:spPr>
    </xdr:pic>
    <xdr:clientData/>
  </xdr:twoCellAnchor>
  <xdr:twoCellAnchor editAs="oneCell">
    <xdr:from>
      <xdr:col>1</xdr:col>
      <xdr:colOff>607200</xdr:colOff>
      <xdr:row>5</xdr:row>
      <xdr:rowOff>171630</xdr:rowOff>
    </xdr:from>
    <xdr:to>
      <xdr:col>5</xdr:col>
      <xdr:colOff>447675</xdr:colOff>
      <xdr:row>25</xdr:row>
      <xdr:rowOff>131085</xdr:rowOff>
    </xdr:to>
    <xdr:pic>
      <xdr:nvPicPr>
        <xdr:cNvPr id="5" name="Picture 4">
          <a:extLst>
            <a:ext uri="{FF2B5EF4-FFF2-40B4-BE49-F238E27FC236}">
              <a16:creationId xmlns:a16="http://schemas.microsoft.com/office/drawing/2014/main" id="{026DB63D-C33E-B017-DECD-67C56AE8B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6800" y="1133655"/>
          <a:ext cx="2278875" cy="357895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1809750</xdr:colOff>
      <xdr:row>5</xdr:row>
      <xdr:rowOff>60779</xdr:rowOff>
    </xdr:from>
    <xdr:to>
      <xdr:col>7</xdr:col>
      <xdr:colOff>789215</xdr:colOff>
      <xdr:row>8</xdr:row>
      <xdr:rowOff>64861</xdr:rowOff>
    </xdr:to>
    <mc:AlternateContent xmlns:mc="http://schemas.openxmlformats.org/markup-compatibility/2006" xmlns:a14="http://schemas.microsoft.com/office/drawing/2010/main">
      <mc:Choice Requires="a14">
        <xdr:graphicFrame macro="">
          <xdr:nvGraphicFramePr>
            <xdr:cNvPr id="2" name="Year 23">
              <a:extLst>
                <a:ext uri="{FF2B5EF4-FFF2-40B4-BE49-F238E27FC236}">
                  <a16:creationId xmlns:a16="http://schemas.microsoft.com/office/drawing/2014/main" id="{0933518C-512B-7F87-F411-0B46B0D8B436}"/>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3950607" y="967922"/>
              <a:ext cx="9429751" cy="54836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1454150</xdr:colOff>
      <xdr:row>0</xdr:row>
      <xdr:rowOff>76200</xdr:rowOff>
    </xdr:from>
    <xdr:to>
      <xdr:col>14</xdr:col>
      <xdr:colOff>477157</xdr:colOff>
      <xdr:row>1</xdr:row>
      <xdr:rowOff>44450</xdr:rowOff>
    </xdr:to>
    <mc:AlternateContent xmlns:mc="http://schemas.openxmlformats.org/markup-compatibility/2006" xmlns:a14="http://schemas.microsoft.com/office/drawing/2010/main">
      <mc:Choice Requires="a14">
        <xdr:graphicFrame macro="">
          <xdr:nvGraphicFramePr>
            <xdr:cNvPr id="2" name="Year 38">
              <a:extLst>
                <a:ext uri="{FF2B5EF4-FFF2-40B4-BE49-F238E27FC236}">
                  <a16:creationId xmlns:a16="http://schemas.microsoft.com/office/drawing/2014/main" id="{87CF4ECD-0C5C-4115-9717-21F6F9B6DF33}"/>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2743200" y="76200"/>
              <a:ext cx="9437007"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1485900</xdr:colOff>
      <xdr:row>0</xdr:row>
      <xdr:rowOff>38101</xdr:rowOff>
    </xdr:from>
    <xdr:to>
      <xdr:col>14</xdr:col>
      <xdr:colOff>531132</xdr:colOff>
      <xdr:row>1</xdr:row>
      <xdr:rowOff>85726</xdr:rowOff>
    </xdr:to>
    <mc:AlternateContent xmlns:mc="http://schemas.openxmlformats.org/markup-compatibility/2006" xmlns:a14="http://schemas.microsoft.com/office/drawing/2010/main">
      <mc:Choice Requires="a14">
        <xdr:graphicFrame macro="">
          <xdr:nvGraphicFramePr>
            <xdr:cNvPr id="2" name="Year 44">
              <a:extLst>
                <a:ext uri="{FF2B5EF4-FFF2-40B4-BE49-F238E27FC236}">
                  <a16:creationId xmlns:a16="http://schemas.microsoft.com/office/drawing/2014/main" id="{507B233A-9031-4775-B0DE-7353D03E18AA}"/>
                </a:ext>
              </a:extLst>
            </xdr:cNvPr>
            <xdr:cNvGraphicFramePr/>
          </xdr:nvGraphicFramePr>
          <xdr:xfrm>
            <a:off x="0" y="0"/>
            <a:ext cx="0" cy="0"/>
          </xdr:xfrm>
          <a:graphic>
            <a:graphicData uri="http://schemas.microsoft.com/office/drawing/2010/slicer">
              <sle:slicer xmlns:sle="http://schemas.microsoft.com/office/drawing/2010/slicer" name="Year 44"/>
            </a:graphicData>
          </a:graphic>
        </xdr:graphicFrame>
      </mc:Choice>
      <mc:Fallback xmlns="">
        <xdr:sp macro="" textlink="">
          <xdr:nvSpPr>
            <xdr:cNvPr id="0" name=""/>
            <xdr:cNvSpPr>
              <a:spLocks noTextEdit="1"/>
            </xdr:cNvSpPr>
          </xdr:nvSpPr>
          <xdr:spPr>
            <a:xfrm>
              <a:off x="2692400" y="38101"/>
              <a:ext cx="9459232" cy="4222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1476375</xdr:colOff>
      <xdr:row>0</xdr:row>
      <xdr:rowOff>85725</xdr:rowOff>
    </xdr:from>
    <xdr:to>
      <xdr:col>15</xdr:col>
      <xdr:colOff>293007</xdr:colOff>
      <xdr:row>1</xdr:row>
      <xdr:rowOff>98424</xdr:rowOff>
    </xdr:to>
    <mc:AlternateContent xmlns:mc="http://schemas.openxmlformats.org/markup-compatibility/2006" xmlns:a14="http://schemas.microsoft.com/office/drawing/2010/main">
      <mc:Choice Requires="a14">
        <xdr:graphicFrame macro="">
          <xdr:nvGraphicFramePr>
            <xdr:cNvPr id="2" name="Year 66">
              <a:extLst>
                <a:ext uri="{FF2B5EF4-FFF2-40B4-BE49-F238E27FC236}">
                  <a16:creationId xmlns:a16="http://schemas.microsoft.com/office/drawing/2014/main" id="{08ECC467-1B71-4163-BF2C-CC365FB4ED21}"/>
                </a:ext>
              </a:extLst>
            </xdr:cNvPr>
            <xdr:cNvGraphicFramePr/>
          </xdr:nvGraphicFramePr>
          <xdr:xfrm>
            <a:off x="0" y="0"/>
            <a:ext cx="0" cy="0"/>
          </xdr:xfrm>
          <a:graphic>
            <a:graphicData uri="http://schemas.microsoft.com/office/drawing/2010/slicer">
              <sle:slicer xmlns:sle="http://schemas.microsoft.com/office/drawing/2010/slicer" name="Year 66"/>
            </a:graphicData>
          </a:graphic>
        </xdr:graphicFrame>
      </mc:Choice>
      <mc:Fallback xmlns="">
        <xdr:sp macro="" textlink="">
          <xdr:nvSpPr>
            <xdr:cNvPr id="0" name=""/>
            <xdr:cNvSpPr>
              <a:spLocks noTextEdit="1"/>
            </xdr:cNvSpPr>
          </xdr:nvSpPr>
          <xdr:spPr>
            <a:xfrm>
              <a:off x="2841625" y="85725"/>
              <a:ext cx="9452882"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457200</xdr:colOff>
      <xdr:row>26</xdr:row>
      <xdr:rowOff>85039</xdr:rowOff>
    </xdr:to>
    <xdr:pic>
      <xdr:nvPicPr>
        <xdr:cNvPr id="3" name="Picture 2">
          <a:extLst>
            <a:ext uri="{FF2B5EF4-FFF2-40B4-BE49-F238E27FC236}">
              <a16:creationId xmlns:a16="http://schemas.microsoft.com/office/drawing/2014/main" id="{71551C26-58C1-253A-FC4F-ED034E91B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62025"/>
          <a:ext cx="7772400" cy="388551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14</xdr:col>
      <xdr:colOff>457200</xdr:colOff>
      <xdr:row>27</xdr:row>
      <xdr:rowOff>85039</xdr:rowOff>
    </xdr:to>
    <xdr:pic>
      <xdr:nvPicPr>
        <xdr:cNvPr id="6" name="Picture 5">
          <a:extLst>
            <a:ext uri="{FF2B5EF4-FFF2-40B4-BE49-F238E27FC236}">
              <a16:creationId xmlns:a16="http://schemas.microsoft.com/office/drawing/2014/main" id="{17BF562A-9726-8D8D-3B81-0CE066162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43000"/>
          <a:ext cx="7772400" cy="388551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11</xdr:col>
      <xdr:colOff>272808</xdr:colOff>
      <xdr:row>28</xdr:row>
      <xdr:rowOff>156600</xdr:rowOff>
    </xdr:to>
    <xdr:pic>
      <xdr:nvPicPr>
        <xdr:cNvPr id="3" name="Picture 2">
          <a:extLst>
            <a:ext uri="{FF2B5EF4-FFF2-40B4-BE49-F238E27FC236}">
              <a16:creationId xmlns:a16="http://schemas.microsoft.com/office/drawing/2014/main" id="{6E591B6B-0213-AF49-0649-AA52F29D53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62025"/>
          <a:ext cx="5759208" cy="43190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5</xdr:row>
      <xdr:rowOff>1</xdr:rowOff>
    </xdr:from>
    <xdr:to>
      <xdr:col>10</xdr:col>
      <xdr:colOff>581025</xdr:colOff>
      <xdr:row>35</xdr:row>
      <xdr:rowOff>18897</xdr:rowOff>
    </xdr:to>
    <xdr:pic>
      <xdr:nvPicPr>
        <xdr:cNvPr id="3" name="Picture 2">
          <a:extLst>
            <a:ext uri="{FF2B5EF4-FFF2-40B4-BE49-F238E27FC236}">
              <a16:creationId xmlns:a16="http://schemas.microsoft.com/office/drawing/2014/main" id="{B751630A-1BFD-86C0-E05F-32327F18A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962026"/>
          <a:ext cx="5686425" cy="5448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555663</xdr:colOff>
      <xdr:row>4</xdr:row>
      <xdr:rowOff>95250</xdr:rowOff>
    </xdr:from>
    <xdr:to>
      <xdr:col>11</xdr:col>
      <xdr:colOff>47885</xdr:colOff>
      <xdr:row>28</xdr:row>
      <xdr:rowOff>146050</xdr:rowOff>
    </xdr:to>
    <xdr:pic>
      <xdr:nvPicPr>
        <xdr:cNvPr id="3" name="Picture 2">
          <a:extLst>
            <a:ext uri="{FF2B5EF4-FFF2-40B4-BE49-F238E27FC236}">
              <a16:creationId xmlns:a16="http://schemas.microsoft.com/office/drawing/2014/main" id="{8FD4FA0B-6F1C-90EB-5CCD-DC59352251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263" y="869950"/>
          <a:ext cx="5588222" cy="44704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350908</xdr:colOff>
      <xdr:row>5</xdr:row>
      <xdr:rowOff>47625</xdr:rowOff>
    </xdr:from>
    <xdr:to>
      <xdr:col>10</xdr:col>
      <xdr:colOff>240700</xdr:colOff>
      <xdr:row>34</xdr:row>
      <xdr:rowOff>142007</xdr:rowOff>
    </xdr:to>
    <xdr:pic>
      <xdr:nvPicPr>
        <xdr:cNvPr id="3" name="Picture 2">
          <a:extLst>
            <a:ext uri="{FF2B5EF4-FFF2-40B4-BE49-F238E27FC236}">
              <a16:creationId xmlns:a16="http://schemas.microsoft.com/office/drawing/2014/main" id="{B5216285-A186-91F9-B646-63666594BB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083" y="1009650"/>
          <a:ext cx="5633367" cy="534265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558800</xdr:colOff>
      <xdr:row>5</xdr:row>
      <xdr:rowOff>47299</xdr:rowOff>
    </xdr:from>
    <xdr:to>
      <xdr:col>10</xdr:col>
      <xdr:colOff>525326</xdr:colOff>
      <xdr:row>32</xdr:row>
      <xdr:rowOff>29600</xdr:rowOff>
    </xdr:to>
    <xdr:pic>
      <xdr:nvPicPr>
        <xdr:cNvPr id="3" name="Picture 2">
          <a:extLst>
            <a:ext uri="{FF2B5EF4-FFF2-40B4-BE49-F238E27FC236}">
              <a16:creationId xmlns:a16="http://schemas.microsoft.com/office/drawing/2014/main" id="{7591562D-08B7-ED25-39B8-F444F8AEFD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975" y="1009324"/>
          <a:ext cx="5710101" cy="486862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11087</xdr:colOff>
      <xdr:row>5</xdr:row>
      <xdr:rowOff>19050</xdr:rowOff>
    </xdr:from>
    <xdr:to>
      <xdr:col>10</xdr:col>
      <xdr:colOff>124102</xdr:colOff>
      <xdr:row>31</xdr:row>
      <xdr:rowOff>152657</xdr:rowOff>
    </xdr:to>
    <xdr:pic>
      <xdr:nvPicPr>
        <xdr:cNvPr id="3" name="Picture 2">
          <a:extLst>
            <a:ext uri="{FF2B5EF4-FFF2-40B4-BE49-F238E27FC236}">
              <a16:creationId xmlns:a16="http://schemas.microsoft.com/office/drawing/2014/main" id="{7339B3E7-CAC1-EA32-F052-1DFB4F7AF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7437" y="981075"/>
          <a:ext cx="5218415" cy="483895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6</xdr:col>
      <xdr:colOff>368814</xdr:colOff>
      <xdr:row>13</xdr:row>
      <xdr:rowOff>141735</xdr:rowOff>
    </xdr:to>
    <xdr:pic>
      <xdr:nvPicPr>
        <xdr:cNvPr id="3" name="Picture 2">
          <a:extLst>
            <a:ext uri="{FF2B5EF4-FFF2-40B4-BE49-F238E27FC236}">
              <a16:creationId xmlns:a16="http://schemas.microsoft.com/office/drawing/2014/main" id="{D6FE6667-9B17-5247-3E5D-191C9347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962025"/>
          <a:ext cx="2921514" cy="1589535"/>
        </a:xfrm>
        <a:prstGeom prst="rect">
          <a:avLst/>
        </a:prstGeom>
      </xdr:spPr>
    </xdr:pic>
    <xdr:clientData/>
  </xdr:twoCellAnchor>
  <xdr:twoCellAnchor editAs="oneCell">
    <xdr:from>
      <xdr:col>6</xdr:col>
      <xdr:colOff>581800</xdr:colOff>
      <xdr:row>4</xdr:row>
      <xdr:rowOff>121425</xdr:rowOff>
    </xdr:from>
    <xdr:to>
      <xdr:col>11</xdr:col>
      <xdr:colOff>312439</xdr:colOff>
      <xdr:row>13</xdr:row>
      <xdr:rowOff>152162</xdr:rowOff>
    </xdr:to>
    <xdr:pic>
      <xdr:nvPicPr>
        <xdr:cNvPr id="5" name="Picture 4">
          <a:extLst>
            <a:ext uri="{FF2B5EF4-FFF2-40B4-BE49-F238E27FC236}">
              <a16:creationId xmlns:a16="http://schemas.microsoft.com/office/drawing/2014/main" id="{05963403-5A92-0204-2D2F-8F846296F2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850" y="902475"/>
          <a:ext cx="2921514" cy="1659512"/>
        </a:xfrm>
        <a:prstGeom prst="rect">
          <a:avLst/>
        </a:prstGeom>
      </xdr:spPr>
    </xdr:pic>
    <xdr:clientData/>
  </xdr:twoCellAnchor>
  <xdr:twoCellAnchor editAs="oneCell">
    <xdr:from>
      <xdr:col>11</xdr:col>
      <xdr:colOff>534950</xdr:colOff>
      <xdr:row>4</xdr:row>
      <xdr:rowOff>106325</xdr:rowOff>
    </xdr:from>
    <xdr:to>
      <xdr:col>16</xdr:col>
      <xdr:colOff>268764</xdr:colOff>
      <xdr:row>13</xdr:row>
      <xdr:rowOff>170590</xdr:rowOff>
    </xdr:to>
    <xdr:pic>
      <xdr:nvPicPr>
        <xdr:cNvPr id="7" name="Picture 6">
          <a:extLst>
            <a:ext uri="{FF2B5EF4-FFF2-40B4-BE49-F238E27FC236}">
              <a16:creationId xmlns:a16="http://schemas.microsoft.com/office/drawing/2014/main" id="{C4BA21FA-0F0D-9173-9D31-B4362B24AC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54875" y="887375"/>
          <a:ext cx="2924689" cy="1693040"/>
        </a:xfrm>
        <a:prstGeom prst="rect">
          <a:avLst/>
        </a:prstGeom>
      </xdr:spPr>
    </xdr:pic>
    <xdr:clientData/>
  </xdr:twoCellAnchor>
  <xdr:twoCellAnchor editAs="oneCell">
    <xdr:from>
      <xdr:col>1</xdr:col>
      <xdr:colOff>599225</xdr:colOff>
      <xdr:row>16</xdr:row>
      <xdr:rowOff>170600</xdr:rowOff>
    </xdr:from>
    <xdr:to>
      <xdr:col>6</xdr:col>
      <xdr:colOff>336214</xdr:colOff>
      <xdr:row>27</xdr:row>
      <xdr:rowOff>132377</xdr:rowOff>
    </xdr:to>
    <xdr:pic>
      <xdr:nvPicPr>
        <xdr:cNvPr id="9" name="Picture 8">
          <a:extLst>
            <a:ext uri="{FF2B5EF4-FFF2-40B4-BE49-F238E27FC236}">
              <a16:creationId xmlns:a16="http://schemas.microsoft.com/office/drawing/2014/main" id="{D5CB6C72-39B9-9AE6-C596-5266823D01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7400" y="3123350"/>
          <a:ext cx="2927864" cy="1952502"/>
        </a:xfrm>
        <a:prstGeom prst="rect">
          <a:avLst/>
        </a:prstGeom>
      </xdr:spPr>
    </xdr:pic>
    <xdr:clientData/>
  </xdr:twoCellAnchor>
  <xdr:twoCellAnchor editAs="oneCell">
    <xdr:from>
      <xdr:col>6</xdr:col>
      <xdr:colOff>479423</xdr:colOff>
      <xdr:row>16</xdr:row>
      <xdr:rowOff>59159</xdr:rowOff>
    </xdr:from>
    <xdr:to>
      <xdr:col>11</xdr:col>
      <xdr:colOff>532024</xdr:colOff>
      <xdr:row>28</xdr:row>
      <xdr:rowOff>9524</xdr:rowOff>
    </xdr:to>
    <xdr:pic>
      <xdr:nvPicPr>
        <xdr:cNvPr id="4" name="Picture 3">
          <a:extLst>
            <a:ext uri="{FF2B5EF4-FFF2-40B4-BE49-F238E27FC236}">
              <a16:creationId xmlns:a16="http://schemas.microsoft.com/office/drawing/2014/main" id="{2B100A57-8121-0131-B4D6-0051CC65EFF0}"/>
            </a:ext>
          </a:extLst>
        </xdr:cNvPr>
        <xdr:cNvPicPr>
          <a:picLocks noChangeAspect="1"/>
        </xdr:cNvPicPr>
      </xdr:nvPicPr>
      <xdr:blipFill>
        <a:blip xmlns:r="http://schemas.openxmlformats.org/officeDocument/2006/relationships" r:embed="rId5"/>
        <a:stretch>
          <a:fillRect/>
        </a:stretch>
      </xdr:blipFill>
      <xdr:spPr>
        <a:xfrm>
          <a:off x="4308473" y="3011909"/>
          <a:ext cx="3243476" cy="212206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84182</xdr:colOff>
      <xdr:row>5</xdr:row>
      <xdr:rowOff>79374</xdr:rowOff>
    </xdr:from>
    <xdr:to>
      <xdr:col>10</xdr:col>
      <xdr:colOff>355358</xdr:colOff>
      <xdr:row>30</xdr:row>
      <xdr:rowOff>48777</xdr:rowOff>
    </xdr:to>
    <xdr:pic>
      <xdr:nvPicPr>
        <xdr:cNvPr id="3" name="Picture 2">
          <a:extLst>
            <a:ext uri="{FF2B5EF4-FFF2-40B4-BE49-F238E27FC236}">
              <a16:creationId xmlns:a16="http://schemas.microsoft.com/office/drawing/2014/main" id="{07A9476A-151F-B48D-92B0-ABF0D58DC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382" y="1041399"/>
          <a:ext cx="5147976" cy="449377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13</xdr:col>
      <xdr:colOff>38100</xdr:colOff>
      <xdr:row>36</xdr:row>
      <xdr:rowOff>169102</xdr:rowOff>
    </xdr:to>
    <xdr:pic>
      <xdr:nvPicPr>
        <xdr:cNvPr id="4" name="Picture 3">
          <a:extLst>
            <a:ext uri="{FF2B5EF4-FFF2-40B4-BE49-F238E27FC236}">
              <a16:creationId xmlns:a16="http://schemas.microsoft.com/office/drawing/2014/main" id="{5B0AA524-178E-311C-6F8C-508CD85D4C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62025"/>
          <a:ext cx="6743700" cy="577932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333375</xdr:colOff>
      <xdr:row>6</xdr:row>
      <xdr:rowOff>28575</xdr:rowOff>
    </xdr:from>
    <xdr:to>
      <xdr:col>10</xdr:col>
      <xdr:colOff>488830</xdr:colOff>
      <xdr:row>28</xdr:row>
      <xdr:rowOff>9660</xdr:rowOff>
    </xdr:to>
    <xdr:pic>
      <xdr:nvPicPr>
        <xdr:cNvPr id="3" name="Picture 2">
          <a:extLst>
            <a:ext uri="{FF2B5EF4-FFF2-40B4-BE49-F238E27FC236}">
              <a16:creationId xmlns:a16="http://schemas.microsoft.com/office/drawing/2014/main" id="{65A9C8FA-D4F7-1620-20FC-B9E71E5AA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1375" y="1171575"/>
          <a:ext cx="3203455" cy="3962535"/>
        </a:xfrm>
        <a:prstGeom prst="rect">
          <a:avLst/>
        </a:prstGeom>
      </xdr:spPr>
    </xdr:pic>
    <xdr:clientData/>
  </xdr:twoCellAnchor>
  <xdr:twoCellAnchor editAs="oneCell">
    <xdr:from>
      <xdr:col>1</xdr:col>
      <xdr:colOff>264300</xdr:colOff>
      <xdr:row>5</xdr:row>
      <xdr:rowOff>102375</xdr:rowOff>
    </xdr:from>
    <xdr:to>
      <xdr:col>5</xdr:col>
      <xdr:colOff>345077</xdr:colOff>
      <xdr:row>27</xdr:row>
      <xdr:rowOff>77110</xdr:rowOff>
    </xdr:to>
    <xdr:pic>
      <xdr:nvPicPr>
        <xdr:cNvPr id="5" name="Picture 4">
          <a:extLst>
            <a:ext uri="{FF2B5EF4-FFF2-40B4-BE49-F238E27FC236}">
              <a16:creationId xmlns:a16="http://schemas.microsoft.com/office/drawing/2014/main" id="{967F3D6E-2929-9A95-5175-FB5445E159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900" y="1064400"/>
          <a:ext cx="2519177" cy="395618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85725</xdr:colOff>
      <xdr:row>4</xdr:row>
      <xdr:rowOff>38100</xdr:rowOff>
    </xdr:from>
    <xdr:to>
      <xdr:col>5</xdr:col>
      <xdr:colOff>172852</xdr:colOff>
      <xdr:row>26</xdr:row>
      <xdr:rowOff>19185</xdr:rowOff>
    </xdr:to>
    <xdr:pic>
      <xdr:nvPicPr>
        <xdr:cNvPr id="3" name="Picture 2">
          <a:extLst>
            <a:ext uri="{FF2B5EF4-FFF2-40B4-BE49-F238E27FC236}">
              <a16:creationId xmlns:a16="http://schemas.microsoft.com/office/drawing/2014/main" id="{0B783ECA-535F-E9C6-03AD-63088EA6A3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819150"/>
          <a:ext cx="2525527" cy="3962535"/>
        </a:xfrm>
        <a:prstGeom prst="rect">
          <a:avLst/>
        </a:prstGeom>
      </xdr:spPr>
    </xdr:pic>
    <xdr:clientData/>
  </xdr:twoCellAnchor>
  <xdr:twoCellAnchor editAs="oneCell">
    <xdr:from>
      <xdr:col>5</xdr:col>
      <xdr:colOff>19825</xdr:colOff>
      <xdr:row>6</xdr:row>
      <xdr:rowOff>172225</xdr:rowOff>
    </xdr:from>
    <xdr:to>
      <xdr:col>10</xdr:col>
      <xdr:colOff>168930</xdr:colOff>
      <xdr:row>28</xdr:row>
      <xdr:rowOff>143785</xdr:rowOff>
    </xdr:to>
    <xdr:pic>
      <xdr:nvPicPr>
        <xdr:cNvPr id="5" name="Picture 4">
          <a:extLst>
            <a:ext uri="{FF2B5EF4-FFF2-40B4-BE49-F238E27FC236}">
              <a16:creationId xmlns:a16="http://schemas.microsoft.com/office/drawing/2014/main" id="{FC294861-1245-7975-8C97-9527DCE9A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7825" y="1315225"/>
          <a:ext cx="3197105" cy="395301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5</xdr:col>
      <xdr:colOff>390525</xdr:colOff>
      <xdr:row>5</xdr:row>
      <xdr:rowOff>76200</xdr:rowOff>
    </xdr:from>
    <xdr:to>
      <xdr:col>10</xdr:col>
      <xdr:colOff>545980</xdr:colOff>
      <xdr:row>27</xdr:row>
      <xdr:rowOff>57285</xdr:rowOff>
    </xdr:to>
    <xdr:pic>
      <xdr:nvPicPr>
        <xdr:cNvPr id="3" name="Picture 2">
          <a:extLst>
            <a:ext uri="{FF2B5EF4-FFF2-40B4-BE49-F238E27FC236}">
              <a16:creationId xmlns:a16="http://schemas.microsoft.com/office/drawing/2014/main" id="{F5F114AC-F48D-38CD-F72F-7519255B17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525" y="1038225"/>
          <a:ext cx="3203455" cy="3962535"/>
        </a:xfrm>
        <a:prstGeom prst="rect">
          <a:avLst/>
        </a:prstGeom>
      </xdr:spPr>
    </xdr:pic>
    <xdr:clientData/>
  </xdr:twoCellAnchor>
  <xdr:twoCellAnchor editAs="oneCell">
    <xdr:from>
      <xdr:col>1</xdr:col>
      <xdr:colOff>531000</xdr:colOff>
      <xdr:row>4</xdr:row>
      <xdr:rowOff>115075</xdr:rowOff>
    </xdr:from>
    <xdr:to>
      <xdr:col>6</xdr:col>
      <xdr:colOff>2177</xdr:colOff>
      <xdr:row>26</xdr:row>
      <xdr:rowOff>86635</xdr:rowOff>
    </xdr:to>
    <xdr:pic>
      <xdr:nvPicPr>
        <xdr:cNvPr id="5" name="Picture 4">
          <a:extLst>
            <a:ext uri="{FF2B5EF4-FFF2-40B4-BE49-F238E27FC236}">
              <a16:creationId xmlns:a16="http://schemas.microsoft.com/office/drawing/2014/main" id="{AF534690-0FE8-4D25-3BA3-FE9BB9EA9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0600" y="896125"/>
          <a:ext cx="2519177" cy="395301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342900</xdr:colOff>
      <xdr:row>0</xdr:row>
      <xdr:rowOff>66675</xdr:rowOff>
    </xdr:from>
    <xdr:to>
      <xdr:col>15</xdr:col>
      <xdr:colOff>438150</xdr:colOff>
      <xdr:row>1</xdr:row>
      <xdr:rowOff>76200</xdr:rowOff>
    </xdr:to>
    <mc:AlternateContent xmlns:mc="http://schemas.openxmlformats.org/markup-compatibility/2006" xmlns:a14="http://schemas.microsoft.com/office/drawing/2010/main">
      <mc:Choice Requires="a14">
        <xdr:graphicFrame macro="">
          <xdr:nvGraphicFramePr>
            <xdr:cNvPr id="3" name="Year 7">
              <a:extLst>
                <a:ext uri="{FF2B5EF4-FFF2-40B4-BE49-F238E27FC236}">
                  <a16:creationId xmlns:a16="http://schemas.microsoft.com/office/drawing/2014/main" id="{3A63AE33-A2AA-47CB-9C7D-7F69695D96FA}"/>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3016250" y="66675"/>
              <a:ext cx="8750300" cy="4222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5</xdr:row>
      <xdr:rowOff>158750</xdr:rowOff>
    </xdr:from>
    <xdr:to>
      <xdr:col>12</xdr:col>
      <xdr:colOff>171450</xdr:colOff>
      <xdr:row>22</xdr:row>
      <xdr:rowOff>133350</xdr:rowOff>
    </xdr:to>
    <xdr:pic>
      <xdr:nvPicPr>
        <xdr:cNvPr id="3" name="Picture 2">
          <a:extLst>
            <a:ext uri="{FF2B5EF4-FFF2-40B4-BE49-F238E27FC236}">
              <a16:creationId xmlns:a16="http://schemas.microsoft.com/office/drawing/2014/main" id="{D38846FF-42BC-8726-96AC-B2C4BB94F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1117600"/>
          <a:ext cx="6210300" cy="310515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361950</xdr:colOff>
      <xdr:row>9</xdr:row>
      <xdr:rowOff>44450</xdr:rowOff>
    </xdr:from>
    <xdr:to>
      <xdr:col>9</xdr:col>
      <xdr:colOff>361950</xdr:colOff>
      <xdr:row>11</xdr:row>
      <xdr:rowOff>101600</xdr:rowOff>
    </xdr:to>
    <mc:AlternateContent xmlns:mc="http://schemas.openxmlformats.org/markup-compatibility/2006" xmlns:a14="http://schemas.microsoft.com/office/drawing/2010/main">
      <mc:Choice Requires="a14">
        <xdr:graphicFrame macro="">
          <xdr:nvGraphicFramePr>
            <xdr:cNvPr id="3" name="Year 6">
              <a:extLst>
                <a:ext uri="{FF2B5EF4-FFF2-40B4-BE49-F238E27FC236}">
                  <a16:creationId xmlns:a16="http://schemas.microsoft.com/office/drawing/2014/main" id="{9260456F-082B-8B89-99D7-C125233BCB46}"/>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2425700" y="1701800"/>
              <a:ext cx="874077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19050</xdr:colOff>
      <xdr:row>22</xdr:row>
      <xdr:rowOff>47627</xdr:rowOff>
    </xdr:from>
    <xdr:to>
      <xdr:col>7</xdr:col>
      <xdr:colOff>558800</xdr:colOff>
      <xdr:row>24</xdr:row>
      <xdr:rowOff>114301</xdr:rowOff>
    </xdr:to>
    <mc:AlternateContent xmlns:mc="http://schemas.openxmlformats.org/markup-compatibility/2006" xmlns:a14="http://schemas.microsoft.com/office/drawing/2010/main">
      <mc:Choice Requires="a14">
        <xdr:graphicFrame macro="">
          <xdr:nvGraphicFramePr>
            <xdr:cNvPr id="2" name="FisYr 4">
              <a:extLst>
                <a:ext uri="{FF2B5EF4-FFF2-40B4-BE49-F238E27FC236}">
                  <a16:creationId xmlns:a16="http://schemas.microsoft.com/office/drawing/2014/main" id="{E99E2E8C-70B4-2828-6C1A-C5820EFA4B6A}"/>
                </a:ext>
              </a:extLst>
            </xdr:cNvPr>
            <xdr:cNvGraphicFramePr/>
          </xdr:nvGraphicFramePr>
          <xdr:xfrm>
            <a:off x="0" y="0"/>
            <a:ext cx="0" cy="0"/>
          </xdr:xfrm>
          <a:graphic>
            <a:graphicData uri="http://schemas.microsoft.com/office/drawing/2010/slicer">
              <sle:slicer xmlns:sle="http://schemas.microsoft.com/office/drawing/2010/slicer" name="FisYr 4"/>
            </a:graphicData>
          </a:graphic>
        </xdr:graphicFrame>
      </mc:Choice>
      <mc:Fallback xmlns="">
        <xdr:sp macro="" textlink="">
          <xdr:nvSpPr>
            <xdr:cNvPr id="0" name=""/>
            <xdr:cNvSpPr>
              <a:spLocks noTextEdit="1"/>
            </xdr:cNvSpPr>
          </xdr:nvSpPr>
          <xdr:spPr>
            <a:xfrm>
              <a:off x="1606550" y="4098927"/>
              <a:ext cx="8045450" cy="4349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95250</xdr:colOff>
      <xdr:row>35</xdr:row>
      <xdr:rowOff>142875</xdr:rowOff>
    </xdr:from>
    <xdr:to>
      <xdr:col>12</xdr:col>
      <xdr:colOff>114300</xdr:colOff>
      <xdr:row>37</xdr:row>
      <xdr:rowOff>174624</xdr:rowOff>
    </xdr:to>
    <mc:AlternateContent xmlns:mc="http://schemas.openxmlformats.org/markup-compatibility/2006" xmlns:a14="http://schemas.microsoft.com/office/drawing/2010/main">
      <mc:Choice Requires="a14">
        <xdr:graphicFrame macro="">
          <xdr:nvGraphicFramePr>
            <xdr:cNvPr id="2" name="FisYr 5">
              <a:extLst>
                <a:ext uri="{FF2B5EF4-FFF2-40B4-BE49-F238E27FC236}">
                  <a16:creationId xmlns:a16="http://schemas.microsoft.com/office/drawing/2014/main" id="{ECEC196E-C69E-42BE-B4D4-3AF2FCC0D125}"/>
                </a:ext>
              </a:extLst>
            </xdr:cNvPr>
            <xdr:cNvGraphicFramePr/>
          </xdr:nvGraphicFramePr>
          <xdr:xfrm>
            <a:off x="0" y="0"/>
            <a:ext cx="0" cy="0"/>
          </xdr:xfrm>
          <a:graphic>
            <a:graphicData uri="http://schemas.microsoft.com/office/drawing/2010/slicer">
              <sle:slicer xmlns:sle="http://schemas.microsoft.com/office/drawing/2010/slicer" name="FisYr 5"/>
            </a:graphicData>
          </a:graphic>
        </xdr:graphicFrame>
      </mc:Choice>
      <mc:Fallback xmlns="">
        <xdr:sp macro="" textlink="">
          <xdr:nvSpPr>
            <xdr:cNvPr id="0" name=""/>
            <xdr:cNvSpPr>
              <a:spLocks noTextEdit="1"/>
            </xdr:cNvSpPr>
          </xdr:nvSpPr>
          <xdr:spPr>
            <a:xfrm>
              <a:off x="3657600" y="7712075"/>
              <a:ext cx="8058150" cy="425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450850</xdr:colOff>
      <xdr:row>6</xdr:row>
      <xdr:rowOff>1</xdr:rowOff>
    </xdr:from>
    <xdr:to>
      <xdr:col>7</xdr:col>
      <xdr:colOff>406400</xdr:colOff>
      <xdr:row>10</xdr:row>
      <xdr:rowOff>38100</xdr:rowOff>
    </xdr:to>
    <mc:AlternateContent xmlns:mc="http://schemas.openxmlformats.org/markup-compatibility/2006" xmlns:a14="http://schemas.microsoft.com/office/drawing/2010/main">
      <mc:Choice Requires="a14">
        <xdr:graphicFrame macro="">
          <xdr:nvGraphicFramePr>
            <xdr:cNvPr id="3" name="Year 8">
              <a:extLst>
                <a:ext uri="{FF2B5EF4-FFF2-40B4-BE49-F238E27FC236}">
                  <a16:creationId xmlns:a16="http://schemas.microsoft.com/office/drawing/2014/main" id="{5877EC43-9B6E-4311-8171-74AF5CA388F6}"/>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3797300" y="1104901"/>
              <a:ext cx="5232400" cy="774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133350</xdr:colOff>
      <xdr:row>4</xdr:row>
      <xdr:rowOff>114301</xdr:rowOff>
    </xdr:from>
    <xdr:to>
      <xdr:col>13</xdr:col>
      <xdr:colOff>638175</xdr:colOff>
      <xdr:row>6</xdr:row>
      <xdr:rowOff>154214</xdr:rowOff>
    </xdr:to>
    <mc:AlternateContent xmlns:mc="http://schemas.openxmlformats.org/markup-compatibility/2006" xmlns:a14="http://schemas.microsoft.com/office/drawing/2010/main">
      <mc:Choice Requires="a14">
        <xdr:graphicFrame macro="">
          <xdr:nvGraphicFramePr>
            <xdr:cNvPr id="3" name="Year 9">
              <a:extLst>
                <a:ext uri="{FF2B5EF4-FFF2-40B4-BE49-F238E27FC236}">
                  <a16:creationId xmlns:a16="http://schemas.microsoft.com/office/drawing/2014/main" id="{18073988-7265-4461-B47E-C2FEA69580DC}"/>
                </a:ext>
              </a:extLst>
            </xdr:cNvPr>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4349750" y="876300"/>
              <a:ext cx="5232400" cy="774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85725</xdr:colOff>
      <xdr:row>9</xdr:row>
      <xdr:rowOff>114301</xdr:rowOff>
    </xdr:from>
    <xdr:to>
      <xdr:col>10</xdr:col>
      <xdr:colOff>9525</xdr:colOff>
      <xdr:row>12</xdr:row>
      <xdr:rowOff>9525</xdr:rowOff>
    </xdr:to>
    <mc:AlternateContent xmlns:mc="http://schemas.openxmlformats.org/markup-compatibility/2006" xmlns:a14="http://schemas.microsoft.com/office/drawing/2010/main">
      <mc:Choice Requires="a14">
        <xdr:graphicFrame macro="">
          <xdr:nvGraphicFramePr>
            <xdr:cNvPr id="3" name="Year 10">
              <a:extLst>
                <a:ext uri="{FF2B5EF4-FFF2-40B4-BE49-F238E27FC236}">
                  <a16:creationId xmlns:a16="http://schemas.microsoft.com/office/drawing/2014/main" id="{0DD70168-188A-C360-B179-09647C1B5197}"/>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695325" y="1771651"/>
              <a:ext cx="764857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609600</xdr:colOff>
      <xdr:row>0</xdr:row>
      <xdr:rowOff>28573</xdr:rowOff>
    </xdr:from>
    <xdr:to>
      <xdr:col>11</xdr:col>
      <xdr:colOff>285750</xdr:colOff>
      <xdr:row>1</xdr:row>
      <xdr:rowOff>171450</xdr:rowOff>
    </xdr:to>
    <mc:AlternateContent xmlns:mc="http://schemas.openxmlformats.org/markup-compatibility/2006" xmlns:a14="http://schemas.microsoft.com/office/drawing/2010/main">
      <mc:Choice Requires="a14">
        <xdr:graphicFrame macro="">
          <xdr:nvGraphicFramePr>
            <xdr:cNvPr id="2" name="Year 11">
              <a:extLst>
                <a:ext uri="{FF2B5EF4-FFF2-40B4-BE49-F238E27FC236}">
                  <a16:creationId xmlns:a16="http://schemas.microsoft.com/office/drawing/2014/main" id="{BA5C3895-16AF-496F-B7C3-547792666037}"/>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2755900" y="28573"/>
              <a:ext cx="7639050" cy="40957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28</xdr:row>
      <xdr:rowOff>0</xdr:rowOff>
    </xdr:from>
    <xdr:to>
      <xdr:col>15</xdr:col>
      <xdr:colOff>6350</xdr:colOff>
      <xdr:row>30</xdr:row>
      <xdr:rowOff>28577</xdr:rowOff>
    </xdr:to>
    <mc:AlternateContent xmlns:mc="http://schemas.openxmlformats.org/markup-compatibility/2006" xmlns:a14="http://schemas.microsoft.com/office/drawing/2010/main">
      <mc:Choice Requires="a14">
        <xdr:graphicFrame macro="">
          <xdr:nvGraphicFramePr>
            <xdr:cNvPr id="3" name="Year 12">
              <a:extLst>
                <a:ext uri="{FF2B5EF4-FFF2-40B4-BE49-F238E27FC236}">
                  <a16:creationId xmlns:a16="http://schemas.microsoft.com/office/drawing/2014/main" id="{5E16A48C-329B-44DB-B28F-3722EB70FE5E}"/>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4914900" y="5505450"/>
              <a:ext cx="7658100" cy="40640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560376</xdr:colOff>
      <xdr:row>6</xdr:row>
      <xdr:rowOff>66048</xdr:rowOff>
    </xdr:from>
    <xdr:to>
      <xdr:col>7</xdr:col>
      <xdr:colOff>304275</xdr:colOff>
      <xdr:row>22</xdr:row>
      <xdr:rowOff>162238</xdr:rowOff>
    </xdr:to>
    <xdr:pic>
      <xdr:nvPicPr>
        <xdr:cNvPr id="3" name="Picture 2">
          <a:extLst>
            <a:ext uri="{FF2B5EF4-FFF2-40B4-BE49-F238E27FC236}">
              <a16:creationId xmlns:a16="http://schemas.microsoft.com/office/drawing/2014/main" id="{2AD7D0DC-F441-CF01-2760-92068C8A4E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9976" y="1209048"/>
          <a:ext cx="3401499" cy="2991790"/>
        </a:xfrm>
        <a:prstGeom prst="rect">
          <a:avLst/>
        </a:prstGeom>
      </xdr:spPr>
    </xdr:pic>
    <xdr:clientData/>
  </xdr:twoCellAnchor>
  <xdr:twoCellAnchor editAs="oneCell">
    <xdr:from>
      <xdr:col>7</xdr:col>
      <xdr:colOff>437325</xdr:colOff>
      <xdr:row>6</xdr:row>
      <xdr:rowOff>46850</xdr:rowOff>
    </xdr:from>
    <xdr:to>
      <xdr:col>13</xdr:col>
      <xdr:colOff>190750</xdr:colOff>
      <xdr:row>22</xdr:row>
      <xdr:rowOff>143963</xdr:rowOff>
    </xdr:to>
    <xdr:pic>
      <xdr:nvPicPr>
        <xdr:cNvPr id="5" name="Picture 4">
          <a:extLst>
            <a:ext uri="{FF2B5EF4-FFF2-40B4-BE49-F238E27FC236}">
              <a16:creationId xmlns:a16="http://schemas.microsoft.com/office/drawing/2014/main" id="{EE763A75-92C3-B312-0AF5-5B7A70BE8A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525" y="1189850"/>
          <a:ext cx="3411025" cy="2992713"/>
        </a:xfrm>
        <a:prstGeom prst="rect">
          <a:avLst/>
        </a:prstGeom>
      </xdr:spPr>
    </xdr:pic>
    <xdr:clientData/>
  </xdr:twoCellAnchor>
  <xdr:twoCellAnchor editAs="oneCell">
    <xdr:from>
      <xdr:col>13</xdr:col>
      <xdr:colOff>282992</xdr:colOff>
      <xdr:row>6</xdr:row>
      <xdr:rowOff>25400</xdr:rowOff>
    </xdr:from>
    <xdr:to>
      <xdr:col>19</xdr:col>
      <xdr:colOff>26425</xdr:colOff>
      <xdr:row>22</xdr:row>
      <xdr:rowOff>122513</xdr:rowOff>
    </xdr:to>
    <xdr:pic>
      <xdr:nvPicPr>
        <xdr:cNvPr id="7" name="Picture 6">
          <a:extLst>
            <a:ext uri="{FF2B5EF4-FFF2-40B4-BE49-F238E27FC236}">
              <a16:creationId xmlns:a16="http://schemas.microsoft.com/office/drawing/2014/main" id="{8A4CC233-6C1E-754E-E23F-ACCB456719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07792" y="1168400"/>
          <a:ext cx="3401033" cy="299271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533399</xdr:colOff>
      <xdr:row>5</xdr:row>
      <xdr:rowOff>17839</xdr:rowOff>
    </xdr:from>
    <xdr:to>
      <xdr:col>11</xdr:col>
      <xdr:colOff>506819</xdr:colOff>
      <xdr:row>29</xdr:row>
      <xdr:rowOff>47625</xdr:rowOff>
    </xdr:to>
    <xdr:pic>
      <xdr:nvPicPr>
        <xdr:cNvPr id="3" name="Picture 2">
          <a:extLst>
            <a:ext uri="{FF2B5EF4-FFF2-40B4-BE49-F238E27FC236}">
              <a16:creationId xmlns:a16="http://schemas.microsoft.com/office/drawing/2014/main" id="{26104553-B2FB-7468-504F-52D3F7F369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2999" y="979864"/>
          <a:ext cx="6069420" cy="437318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496009</xdr:colOff>
      <xdr:row>5</xdr:row>
      <xdr:rowOff>57150</xdr:rowOff>
    </xdr:from>
    <xdr:to>
      <xdr:col>11</xdr:col>
      <xdr:colOff>198896</xdr:colOff>
      <xdr:row>34</xdr:row>
      <xdr:rowOff>31255</xdr:rowOff>
    </xdr:to>
    <xdr:pic>
      <xdr:nvPicPr>
        <xdr:cNvPr id="3" name="Picture 2">
          <a:extLst>
            <a:ext uri="{FF2B5EF4-FFF2-40B4-BE49-F238E27FC236}">
              <a16:creationId xmlns:a16="http://schemas.microsoft.com/office/drawing/2014/main" id="{E874DDF1-2C86-4304-3D3B-4D2F2A7EDA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609" y="1019175"/>
          <a:ext cx="5798887" cy="52223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431800</xdr:colOff>
      <xdr:row>7</xdr:row>
      <xdr:rowOff>38101</xdr:rowOff>
    </xdr:from>
    <xdr:to>
      <xdr:col>4</xdr:col>
      <xdr:colOff>1371600</xdr:colOff>
      <xdr:row>11</xdr:row>
      <xdr:rowOff>1</xdr:rowOff>
    </xdr:to>
    <mc:AlternateContent xmlns:mc="http://schemas.openxmlformats.org/markup-compatibility/2006" xmlns:a14="http://schemas.microsoft.com/office/drawing/2010/main">
      <mc:Choice Requires="a14">
        <xdr:graphicFrame macro="">
          <xdr:nvGraphicFramePr>
            <xdr:cNvPr id="2" name="Year 54">
              <a:extLst>
                <a:ext uri="{FF2B5EF4-FFF2-40B4-BE49-F238E27FC236}">
                  <a16:creationId xmlns:a16="http://schemas.microsoft.com/office/drawing/2014/main" id="{D5881F47-47F3-4BC9-87FC-293D095DB497}"/>
                </a:ext>
              </a:extLst>
            </xdr:cNvPr>
            <xdr:cNvGraphicFramePr/>
          </xdr:nvGraphicFramePr>
          <xdr:xfrm>
            <a:off x="0" y="0"/>
            <a:ext cx="0" cy="0"/>
          </xdr:xfrm>
          <a:graphic>
            <a:graphicData uri="http://schemas.microsoft.com/office/drawing/2010/slicer">
              <sle:slicer xmlns:sle="http://schemas.microsoft.com/office/drawing/2010/slicer" name="Year 54"/>
            </a:graphicData>
          </a:graphic>
        </xdr:graphicFrame>
      </mc:Choice>
      <mc:Fallback xmlns="">
        <xdr:sp macro="" textlink="">
          <xdr:nvSpPr>
            <xdr:cNvPr id="0" name=""/>
            <xdr:cNvSpPr>
              <a:spLocks noTextEdit="1"/>
            </xdr:cNvSpPr>
          </xdr:nvSpPr>
          <xdr:spPr>
            <a:xfrm>
              <a:off x="5054600" y="1327151"/>
              <a:ext cx="2997200" cy="69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06.432419675926" createdVersion="8" refreshedVersion="8" minRefreshableVersion="3" recordCount="13" xr:uid="{12CC7B8E-BCF5-4B8F-A81B-DB3B5106738D}">
  <cacheSource type="worksheet">
    <worksheetSource name="fleet_National__2"/>
  </cacheSource>
  <cacheFields count="14">
    <cacheField name="Year" numFmtId="0">
      <sharedItems count="13">
        <s v="2012-13"/>
        <s v="2013-14"/>
        <s v="2014-15"/>
        <s v="2015-16"/>
        <s v="2016-17"/>
        <s v="2017-18"/>
        <s v="2018-19"/>
        <s v="2019-20"/>
        <s v="2020-21"/>
        <s v="2021-22"/>
        <s v="2022-23"/>
        <s v="2023-24"/>
        <s v="2024-25"/>
      </sharedItems>
    </cacheField>
    <cacheField name="Pumping Appliances" numFmtId="0">
      <sharedItems containsSemiMixedTypes="0" containsString="0" containsNumber="1" containsInteger="1" minValue="417" maxValue="465"/>
    </cacheField>
    <cacheField name="Aerial Appliances" numFmtId="0">
      <sharedItems containsSemiMixedTypes="0" containsString="0" containsNumber="1" containsInteger="1" minValue="12" maxValue="31"/>
    </cacheField>
    <cacheField name="Resilience Appliances" numFmtId="0">
      <sharedItems containsSemiMixedTypes="0" containsString="0" containsNumber="1" containsInteger="1" minValue="14" maxValue="43"/>
    </cacheField>
    <cacheField name="Fire Boats" numFmtId="0">
      <sharedItems containsString="0" containsBlank="1" containsNumber="1" containsInteger="1" minValue="22" maxValue="41"/>
    </cacheField>
    <cacheField name="Vehicles for Rescue Work" numFmtId="0">
      <sharedItems containsSemiMixedTypes="0" containsString="0" containsNumber="1" containsInteger="1" minValue="15" maxValue="29"/>
    </cacheField>
    <cacheField name="Small Firefighting Vehicles" numFmtId="0">
      <sharedItems containsSemiMixedTypes="0" containsString="0" containsNumber="1" containsInteger="1" minValue="29" maxValue="41"/>
    </cacheField>
    <cacheField name="Other" numFmtId="0">
      <sharedItems containsSemiMixedTypes="0" containsString="0" containsNumber="1" containsInteger="1" minValue="23" maxValue="89"/>
    </cacheField>
    <cacheField name="Total Appliances" numFmtId="0">
      <sharedItems containsSemiMixedTypes="0" containsString="0" containsNumber="1" containsInteger="1" minValue="577" maxValue="666"/>
    </cacheField>
    <cacheField name="Officer Response Vehicles" numFmtId="0">
      <sharedItems containsString="0" containsBlank="1" containsNumber="1" containsInteger="1" minValue="95" maxValue="335"/>
    </cacheField>
    <cacheField name="Reserve Appliances" numFmtId="0">
      <sharedItems containsSemiMixedTypes="0" containsString="0" containsNumber="1" containsInteger="1" minValue="59" maxValue="109"/>
    </cacheField>
    <cacheField name="Training Appliances" numFmtId="0">
      <sharedItems containsSemiMixedTypes="0" containsString="0" containsNumber="1" containsInteger="1" minValue="27" maxValue="71"/>
    </cacheField>
    <cacheField name="Other Fleet Vehicles (excl Officer Response Vehicles)" numFmtId="0">
      <sharedItems containsSemiMixedTypes="0" containsString="0" containsNumber="1" containsInteger="1" minValue="470" maxValue="875"/>
    </cacheField>
    <cacheField name="Total Vehicles (incl boats)" numFmtId="0">
      <sharedItems containsSemiMixedTypes="0" containsString="0" containsNumber="1" containsInteger="1" minValue="1301" maxValue="1677"/>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576880324072" createdVersion="8" refreshedVersion="8" minRefreshableVersion="3" recordCount="11" xr:uid="{E9D4F793-B992-45AA-B42C-9D86D0C4A925}">
  <cacheSource type="worksheet">
    <worksheetSource name="pp_PPED_Workflows__3"/>
  </cacheSource>
  <cacheFields count="5">
    <cacheField name="Year" numFmtId="0">
      <sharedItems count="11">
        <s v="2014-15"/>
        <s v="2015-16"/>
        <s v="2016-17"/>
        <s v="2017-18"/>
        <s v="2018-19"/>
        <s v="2019-20"/>
        <s v="2020-21"/>
        <s v="2021-22"/>
        <s v="2022-23"/>
        <s v="2023-24"/>
        <s v="2024-25"/>
      </sharedItems>
    </cacheField>
    <cacheField name="Audits" numFmtId="0">
      <sharedItems containsSemiMixedTypes="0" containsString="0" containsNumber="1" containsInteger="1" minValue="3319" maxValue="9834"/>
    </cacheField>
    <cacheField name="Post Fire Short Audits" numFmtId="0">
      <sharedItems containsString="0" containsBlank="1" containsNumber="1" containsInteger="1" minValue="162" maxValue="208"/>
    </cacheField>
    <cacheField name="Site Visits" numFmtId="0">
      <sharedItems containsSemiMixedTypes="0" containsString="0" containsNumber="1" containsInteger="1" minValue="603" maxValue="2592"/>
    </cacheField>
    <cacheField name="Consultations" numFmtId="0">
      <sharedItems containsSemiMixedTypes="0" containsString="0" containsNumber="1" containsInteger="1" minValue="1829" maxValue="350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577269791669" createdVersion="8" refreshedVersion="8" minRefreshableVersion="3" recordCount="6" xr:uid="{BB9380FE-ABA7-474F-BD21-2CA7612FA81C}">
  <cacheSource type="worksheet">
    <worksheetSource name="pp_PPED_Workflow_FireEngineeringConsultations__2"/>
  </cacheSource>
  <cacheFields count="2">
    <cacheField name="Fiscal_Yr" numFmtId="0">
      <sharedItems count="6">
        <s v="2019-20"/>
        <s v="2020-21"/>
        <s v="2021-22"/>
        <s v="2022-23"/>
        <s v="2023-24"/>
        <s v="2024-25"/>
      </sharedItems>
    </cacheField>
    <cacheField name="Count" numFmtId="0">
      <sharedItems containsSemiMixedTypes="0" containsString="0" containsNumber="1" containsInteger="1" minValue="551" maxValue="816"/>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584151504627" createdVersion="8" refreshedVersion="8" minRefreshableVersion="3" recordCount="15" xr:uid="{987A1AC9-C505-4AFF-BD56-732C66F31DA6}">
  <cacheSource type="worksheet">
    <worksheetSource name="pp_PPED_Audits__3"/>
  </cacheSource>
  <cacheFields count="19">
    <cacheField name="FSEC" numFmtId="0">
      <sharedItems/>
    </cacheField>
    <cacheField name="PremisesType" numFmtId="0">
      <sharedItems count="15">
        <s v="Other Workplace"/>
        <s v="Factory or Warehouse"/>
        <s v="Hotel"/>
        <s v="Care Home"/>
        <s v="Other Premises Open to Public"/>
        <s v="Public Building"/>
        <s v="Shop"/>
        <s v="Further Education"/>
        <s v="Hospital / Prison"/>
        <s v="HMO"/>
        <s v="Office"/>
        <s v="Other Sleeping Accommodation"/>
        <s v="Hostel"/>
        <s v="Licensed Premises"/>
        <s v="School"/>
      </sharedItems>
    </cacheField>
    <cacheField name="Total" numFmtId="0">
      <sharedItems containsSemiMixedTypes="0" containsString="0" containsNumber="1" containsInteger="1" minValue="386" maxValue="14823"/>
    </cacheField>
    <cacheField name="2009-10" numFmtId="0">
      <sharedItems containsSemiMixedTypes="0" containsString="0" containsNumber="1" containsInteger="1" minValue="0" maxValue="1117"/>
    </cacheField>
    <cacheField name="2010-11" numFmtId="0">
      <sharedItems containsSemiMixedTypes="0" containsString="0" containsNumber="1" containsInteger="1" minValue="0" maxValue="1212"/>
    </cacheField>
    <cacheField name="2011-12" numFmtId="0">
      <sharedItems containsSemiMixedTypes="0" containsString="0" containsNumber="1" containsInteger="1" minValue="0" maxValue="1619"/>
    </cacheField>
    <cacheField name="2012-13" numFmtId="0">
      <sharedItems containsSemiMixedTypes="0" containsString="0" containsNumber="1" containsInteger="1" minValue="0" maxValue="1761"/>
    </cacheField>
    <cacheField name="2013-14" numFmtId="0">
      <sharedItems containsSemiMixedTypes="0" containsString="0" containsNumber="1" containsInteger="1" minValue="0" maxValue="0"/>
    </cacheField>
    <cacheField name="2014-15" numFmtId="0">
      <sharedItems containsSemiMixedTypes="0" containsString="0" containsNumber="1" containsInteger="1" minValue="28" maxValue="1947"/>
    </cacheField>
    <cacheField name="2015-16" numFmtId="0">
      <sharedItems containsSemiMixedTypes="0" containsString="0" containsNumber="1" containsInteger="1" minValue="36" maxValue="3062"/>
    </cacheField>
    <cacheField name="2016-17" numFmtId="0">
      <sharedItems containsSemiMixedTypes="0" containsString="0" containsNumber="1" containsInteger="1" minValue="21" maxValue="2650"/>
    </cacheField>
    <cacheField name="2017-18" numFmtId="0">
      <sharedItems containsSemiMixedTypes="0" containsString="0" containsNumber="1" containsInteger="1" minValue="37" maxValue="2077"/>
    </cacheField>
    <cacheField name="2018-19" numFmtId="0">
      <sharedItems containsSemiMixedTypes="0" containsString="0" containsNumber="1" containsInteger="1" minValue="31" maxValue="1862"/>
    </cacheField>
    <cacheField name="2019-20" numFmtId="0">
      <sharedItems containsSemiMixedTypes="0" containsString="0" containsNumber="1" containsInteger="1" minValue="25" maxValue="1951"/>
    </cacheField>
    <cacheField name="2020-21" numFmtId="0">
      <sharedItems containsSemiMixedTypes="0" containsString="0" containsNumber="1" containsInteger="1" minValue="6" maxValue="1341"/>
    </cacheField>
    <cacheField name="2021-22" numFmtId="0">
      <sharedItems containsSemiMixedTypes="0" containsString="0" containsNumber="1" containsInteger="1" minValue="10" maxValue="1984"/>
    </cacheField>
    <cacheField name="2022-23" numFmtId="0">
      <sharedItems containsSemiMixedTypes="0" containsString="0" containsNumber="1" containsInteger="1" minValue="20" maxValue="1958"/>
    </cacheField>
    <cacheField name="2023-24" numFmtId="0">
      <sharedItems containsSemiMixedTypes="0" containsString="0" containsNumber="1" containsInteger="1" minValue="11" maxValue="1827"/>
    </cacheField>
    <cacheField name="2024-25" numFmtId="0">
      <sharedItems containsSemiMixedTypes="0" containsString="0" containsNumber="1" containsInteger="1" minValue="21" maxValue="2400"/>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60219247685" createdVersion="8" refreshedVersion="8" minRefreshableVersion="3" recordCount="16" xr:uid="{02DE0269-4B10-4A1C-ADAE-369ACC8E699E}">
  <cacheSource type="worksheet">
    <worksheetSource name="pp_PPED_Audits_Outcome__2"/>
  </cacheSource>
  <cacheFields count="9">
    <cacheField name="FisYr" numFmtId="0">
      <sharedItems count="16">
        <s v="2009-10"/>
        <s v="2010-11"/>
        <s v="2011-12"/>
        <s v="2012-13"/>
        <s v="2013-14"/>
        <s v="2014-15"/>
        <s v="2015-16"/>
        <s v="2016-17"/>
        <s v="2017-18"/>
        <s v="2018-19"/>
        <s v="2019-20"/>
        <s v="2020-21"/>
        <s v="2021-22"/>
        <s v="2022-23"/>
        <s v="2023-24"/>
        <s v="2024-25"/>
      </sharedItems>
    </cacheField>
    <cacheField name="A_Tally" numFmtId="0">
      <sharedItems containsSemiMixedTypes="0" containsString="0" containsNumber="1" containsInteger="1" minValue="0" maxValue="9185"/>
    </cacheField>
    <cacheField name="A_Hours" numFmtId="0">
      <sharedItems containsSemiMixedTypes="0" containsString="0" containsNumber="1" minValue="0" maxValue="47569.5"/>
    </cacheField>
    <cacheField name="B_Tally" numFmtId="0">
      <sharedItems containsSemiMixedTypes="0" containsString="0" containsNumber="1" containsInteger="1" minValue="0" maxValue="2264"/>
    </cacheField>
    <cacheField name="B_Hours" numFmtId="0">
      <sharedItems containsSemiMixedTypes="0" containsString="0" containsNumber="1" minValue="0" maxValue="11747"/>
    </cacheField>
    <cacheField name="Enforcement_Tally" numFmtId="0">
      <sharedItems containsSemiMixedTypes="0" containsString="0" containsNumber="1" containsInteger="1" minValue="0" maxValue="58"/>
    </cacheField>
    <cacheField name="Enforcement_Hours" numFmtId="0">
      <sharedItems containsSemiMixedTypes="0" containsString="0" containsNumber="1" minValue="0" maxValue="612"/>
    </cacheField>
    <cacheField name="Prohibition_Tally" numFmtId="0">
      <sharedItems containsSemiMixedTypes="0" containsString="0" containsNumber="1" containsInteger="1" minValue="0" maxValue="26"/>
    </cacheField>
    <cacheField name="Prohibition_Hours" numFmtId="0">
      <sharedItems containsSemiMixedTypes="0" containsString="0" containsNumber="1" minValue="0" maxValue="290.25"/>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625877199076" createdVersion="8" refreshedVersion="8" minRefreshableVersion="3" recordCount="165" xr:uid="{FE58E30C-76AC-429A-B3B9-6B9CD4F781B0}">
  <cacheSource type="worksheet">
    <worksheetSource name="pp_PPED_Audits_Outcome_Premises"/>
  </cacheSource>
  <cacheFields count="11">
    <cacheField name="FisYr" numFmtId="0">
      <sharedItems count="11">
        <s v="2014-15"/>
        <s v="2015-16"/>
        <s v="2016-17"/>
        <s v="2017-18"/>
        <s v="2018-19"/>
        <s v="2019-20"/>
        <s v="2020-21"/>
        <s v="2023-24"/>
        <s v="2024-25"/>
        <s v="2021-22"/>
        <s v="2022-23"/>
      </sharedItems>
    </cacheField>
    <cacheField name="FSEC" numFmtId="0">
      <sharedItems count="15">
        <s v="E"/>
        <s v="K"/>
        <s v="M"/>
        <s v="B"/>
        <s v="C"/>
        <s v="N"/>
        <s v="T"/>
        <s v="R"/>
        <s v="L"/>
        <s v="H"/>
        <s v="J"/>
        <s v="A"/>
        <s v="F"/>
        <s v="P"/>
        <s v="S"/>
      </sharedItems>
    </cacheField>
    <cacheField name="Type of Premises" numFmtId="0">
      <sharedItems count="15">
        <s v="Hostel"/>
        <s v="Public Building"/>
        <s v="School"/>
        <s v="Care Home"/>
        <s v="HMO"/>
        <s v="Shop"/>
        <s v="Other Workplace"/>
        <s v="Factory or Warehouse"/>
        <s v="Licensed Premises"/>
        <s v="Other Sleeping Accommodation"/>
        <s v="Further Education"/>
        <s v="Hospital / Prison"/>
        <s v="Hotel"/>
        <s v="Other Premises Open to Public"/>
        <s v="Office"/>
      </sharedItems>
    </cacheField>
    <cacheField name="A_Tally" numFmtId="0">
      <sharedItems containsSemiMixedTypes="0" containsString="0" containsNumber="1" containsInteger="1" minValue="6" maxValue="2916"/>
    </cacheField>
    <cacheField name="A_Hours" numFmtId="0">
      <sharedItems containsString="0" containsBlank="1" containsNumber="1" minValue="28" maxValue="10482"/>
    </cacheField>
    <cacheField name="B_Tally" numFmtId="0">
      <sharedItems containsString="0" containsBlank="1" containsNumber="1" containsInteger="1" minValue="1" maxValue="213"/>
    </cacheField>
    <cacheField name="B_Hours" numFmtId="0">
      <sharedItems containsString="0" containsBlank="1" containsNumber="1" minValue="4" maxValue="2008.25"/>
    </cacheField>
    <cacheField name="Enforcement_Tally" numFmtId="0">
      <sharedItems containsString="0" containsBlank="1" containsNumber="1" containsInteger="1" minValue="1" maxValue="14"/>
    </cacheField>
    <cacheField name="Enforcement_Hours" numFmtId="0">
      <sharedItems containsString="0" containsBlank="1" containsNumber="1" minValue="3" maxValue="436.5"/>
    </cacheField>
    <cacheField name="Prohibition_Tally" numFmtId="0">
      <sharedItems containsString="0" containsBlank="1" containsNumber="1" containsInteger="1" minValue="1" maxValue="12"/>
    </cacheField>
    <cacheField name="Prohibition_Hours" numFmtId="0">
      <sharedItems containsString="0" containsBlank="1" containsNumber="1" minValue="2" maxValue="181.25"/>
    </cacheField>
  </cacheFields>
  <extLst>
    <ext xmlns:x14="http://schemas.microsoft.com/office/spreadsheetml/2009/9/main" uri="{725AE2AE-9491-48be-B2B4-4EB974FC3084}">
      <x14:pivotCacheDefinition pivotCacheId="80784578"/>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630825231485" createdVersion="8" refreshedVersion="8" minRefreshableVersion="3" recordCount="11" xr:uid="{8C18765A-D30E-4ED4-A733-BBE9BA7525E1}">
  <cacheSource type="worksheet">
    <worksheetSource name="pp_PPED_Notices__3"/>
  </cacheSource>
  <cacheFields count="4">
    <cacheField name="Year" numFmtId="0">
      <sharedItems count="11">
        <s v="2014-15"/>
        <s v="2015-16"/>
        <s v="2016-17"/>
        <s v="2017-18"/>
        <s v="2018-19"/>
        <s v="2019-20"/>
        <s v="2020-21"/>
        <s v="2021-22"/>
        <s v="2022-23"/>
        <s v="2023-24"/>
        <s v="2024-25"/>
      </sharedItems>
    </cacheField>
    <cacheField name="Enforcement Notice" numFmtId="0">
      <sharedItems containsSemiMixedTypes="0" containsString="0" containsNumber="1" containsInteger="1" minValue="2" maxValue="22"/>
    </cacheField>
    <cacheField name="Prohibition Notice" numFmtId="0">
      <sharedItems containsSemiMixedTypes="0" containsString="0" containsNumber="1" containsInteger="1" minValue="1" maxValue="26"/>
    </cacheField>
    <cacheField name="Alterations Notice" numFmtId="0">
      <sharedItems containsSemiMixedTypes="0" containsString="0"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634507060182" createdVersion="8" refreshedVersion="8" minRefreshableVersion="3" recordCount="165" xr:uid="{CBF2E092-C8F5-4A44-BBB1-2C752440DAA7}">
  <cacheSource type="worksheet">
    <worksheetSource name="pp_PPED_Risk__2"/>
  </cacheSource>
  <cacheFields count="10">
    <cacheField name="Year" numFmtId="0">
      <sharedItems count="11">
        <s v="2014-15"/>
        <s v="2015-16"/>
        <s v="2016-17"/>
        <s v="2017-18"/>
        <s v="2019-20"/>
        <s v="2021-22"/>
        <s v="2022-23"/>
        <s v="2023-24"/>
        <s v="2024-25"/>
        <s v="2018-19"/>
        <s v="2020-21"/>
      </sharedItems>
    </cacheField>
    <cacheField name="FSEC" numFmtId="0">
      <sharedItems/>
    </cacheField>
    <cacheField name="PremisesType" numFmtId="0">
      <sharedItems count="15">
        <s v="Other Sleeping Accommodation"/>
        <s v="Hospital / Prison"/>
        <s v="Further Education"/>
        <s v="Care Home"/>
        <s v="Shop"/>
        <s v="Licensed Premises"/>
        <s v="Other Premises Open to Public"/>
        <s v="School"/>
        <s v="Other Workplace"/>
        <s v="Public Building"/>
        <s v="Office"/>
        <s v="Factory or Warehouse"/>
        <s v="HMO"/>
        <s v="Hostel"/>
        <s v="Hotel"/>
      </sharedItems>
    </cacheField>
    <cacheField name="VL" numFmtId="0">
      <sharedItems containsSemiMixedTypes="0" containsString="0" containsNumber="1" containsInteger="1" minValue="0" maxValue="173"/>
    </cacheField>
    <cacheField name="L" numFmtId="0">
      <sharedItems containsSemiMixedTypes="0" containsString="0" containsNumber="1" containsInteger="1" minValue="0" maxValue="734"/>
    </cacheField>
    <cacheField name="M" numFmtId="0">
      <sharedItems containsSemiMixedTypes="0" containsString="0" containsNumber="1" containsInteger="1" minValue="6" maxValue="2548"/>
    </cacheField>
    <cacheField name="H" numFmtId="0">
      <sharedItems containsSemiMixedTypes="0" containsString="0" containsNumber="1" containsInteger="1" minValue="0" maxValue="487"/>
    </cacheField>
    <cacheField name="VH" numFmtId="0">
      <sharedItems containsSemiMixedTypes="0" containsString="0" containsNumber="1" containsInteger="1" minValue="0" maxValue="86"/>
    </cacheField>
    <cacheField name="Not Known" numFmtId="0">
      <sharedItems containsString="0" containsBlank="1" containsNumber="1" containsInteger="1" minValue="0" maxValue="253"/>
    </cacheField>
    <cacheField name="Total" numFmtId="0">
      <sharedItems containsString="0" containsBlank="1" containsNumber="1" containsInteger="1" minValue="21" maxValue="3062"/>
    </cacheField>
  </cacheFields>
  <extLst>
    <ext xmlns:x14="http://schemas.microsoft.com/office/spreadsheetml/2009/9/main" uri="{725AE2AE-9491-48be-B2B4-4EB974FC3084}">
      <x14:pivotCacheDefinition pivotCacheId="151263400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704763541667" createdVersion="8" refreshedVersion="8" minRefreshableVersion="3" recordCount="15" xr:uid="{A0A15A99-4428-40DE-9C13-096F2AF85391}">
  <cacheSource type="worksheet">
    <worksheetSource name="hrod_HR_StaffingHeadcount__4"/>
  </cacheSource>
  <cacheFields count="7">
    <cacheField name="Year" numFmtId="0">
      <sharedItems count="15">
        <s v="2013-14"/>
        <s v="2017-18"/>
        <s v="2011-12"/>
        <s v="2023-24"/>
        <s v="2018-19"/>
        <s v="2019-20"/>
        <s v="2010-11"/>
        <s v="2021-22"/>
        <s v="2024-25"/>
        <s v="2015-16"/>
        <s v="2016-17"/>
        <s v="2020-21"/>
        <s v="2012-13"/>
        <s v="2014-15"/>
        <s v="2022-23"/>
      </sharedItems>
    </cacheField>
    <cacheField name="WholeTime Operational" numFmtId="0">
      <sharedItems containsSemiMixedTypes="0" containsString="0" containsNumber="1" containsInteger="1" minValue="3422" maxValue="4206"/>
    </cacheField>
    <cacheField name="Retained Duty System" numFmtId="0">
      <sharedItems containsSemiMixedTypes="0" containsString="0" containsNumber="1" containsInteger="1" minValue="2705" maxValue="3076"/>
    </cacheField>
    <cacheField name="RDS Fulltime" numFmtId="0">
      <sharedItems containsString="0" containsBlank="1" containsNumber="1" containsInteger="1" minValue="18" maxValue="60"/>
    </cacheField>
    <cacheField name="Control" numFmtId="0">
      <sharedItems containsSemiMixedTypes="0" containsString="0" containsNumber="1" containsInteger="1" minValue="165" maxValue="234"/>
    </cacheField>
    <cacheField name="Support" numFmtId="0">
      <sharedItems containsSemiMixedTypes="0" containsString="0" containsNumber="1" containsInteger="1" minValue="792" maxValue="1136"/>
    </cacheField>
    <cacheField name="Volunteer" numFmtId="0">
      <sharedItems containsSemiMixedTypes="0" containsString="0" containsNumber="1" containsInteger="1" minValue="266" maxValue="459"/>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706485300929" createdVersion="8" refreshedVersion="8" minRefreshableVersion="3" recordCount="7" xr:uid="{B8C6BBDC-486D-4ECF-8DF1-352E5644A49F}">
  <cacheSource type="worksheet">
    <worksheetSource name="hrod_HR_DutySystem_1"/>
  </cacheSource>
  <cacheFields count="5">
    <cacheField name="Year" numFmtId="0">
      <sharedItems count="7">
        <s v="2018-19"/>
        <s v="2019-20"/>
        <s v="2020-21"/>
        <s v="2021-22"/>
        <s v="2022-23"/>
        <s v="2023-24"/>
        <s v="2024-25"/>
      </sharedItems>
    </cacheField>
    <cacheField name="Operational Crewing" numFmtId="0">
      <sharedItems containsSemiMixedTypes="0" containsString="0" containsNumber="1" containsInteger="1" minValue="2762" maxValue="2966"/>
    </cacheField>
    <cacheField name="Incident Command Officers" numFmtId="0">
      <sharedItems containsSemiMixedTypes="0" containsString="0" containsNumber="1" containsInteger="1" minValue="262" maxValue="273"/>
    </cacheField>
    <cacheField name="Office Duties" numFmtId="0">
      <sharedItems containsSemiMixedTypes="0" containsString="0" containsNumber="1" containsInteger="1" minValue="327" maxValue="358"/>
    </cacheField>
    <cacheField name="Trainees" numFmtId="0">
      <sharedItems containsSemiMixedTypes="0" containsString="0" containsNumber="1" containsInteger="1" minValue="1" maxValue="103"/>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354180671296" createdVersion="6" refreshedVersion="8" minRefreshableVersion="3" recordCount="67" xr:uid="{00000000-000A-0000-FFFF-FFFFC0000000}">
  <cacheSource type="worksheet">
    <worksheetSource name="hrod_HR_Gender"/>
  </cacheSource>
  <cacheFields count="5">
    <cacheField name="Year" numFmtId="0">
      <sharedItems count="12">
        <s v="2014-15"/>
        <s v="2019-20"/>
        <s v="2022-23"/>
        <s v="2023-24"/>
        <s v="2013-14"/>
        <s v="2016-17"/>
        <s v="2018-19"/>
        <s v="2021-22"/>
        <s v="2024-25"/>
        <s v="2015-16"/>
        <s v="2017-18"/>
        <s v="2020-21"/>
      </sharedItems>
    </cacheField>
    <cacheField name="Type" numFmtId="0">
      <sharedItems count="6">
        <s v="Vol"/>
        <s v="RDS"/>
        <s v="RDS Fulltime"/>
        <s v="Support"/>
        <s v="WT"/>
        <s v="Control"/>
      </sharedItems>
    </cacheField>
    <cacheField name="Total" numFmtId="0">
      <sharedItems containsSemiMixedTypes="0" containsString="0" containsNumber="1" containsInteger="1" minValue="18" maxValue="4001"/>
    </cacheField>
    <cacheField name="Female" numFmtId="0">
      <sharedItems containsSemiMixedTypes="0" containsString="0" containsNumber="1" containsInteger="1" minValue="1" maxValue="545"/>
    </cacheField>
    <cacheField name="Male" numFmtId="0">
      <sharedItems containsSemiMixedTypes="0" containsString="0" containsNumber="1" containsInteger="1" minValue="17" maxValue="3842"/>
    </cacheField>
  </cacheFields>
  <extLst>
    <ext xmlns:x14="http://schemas.microsoft.com/office/spreadsheetml/2009/9/main" uri="{725AE2AE-9491-48be-B2B4-4EB974FC3084}">
      <x14:pivotCacheDefinition pivotCacheId="14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06.433889814813" createdVersion="8" refreshedVersion="8" minRefreshableVersion="3" recordCount="224" xr:uid="{C013C21D-AEEA-4A34-A01D-6728E901F424}">
  <cacheSource type="worksheet">
    <worksheetSource name="fleet_LocalAuthority__2"/>
  </cacheSource>
  <cacheFields count="10">
    <cacheField name="Year" numFmtId="0">
      <sharedItems count="7">
        <s v="2019-20"/>
        <s v="2022-23"/>
        <s v="2018-19"/>
        <s v="2021-22"/>
        <s v="2020-21"/>
        <s v="2024-25"/>
        <s v="2023-24"/>
      </sharedItems>
    </cacheField>
    <cacheField name="LA Code" numFmtId="0">
      <sharedItems/>
    </cacheField>
    <cacheField name="Local Authority Area" numFmtId="0">
      <sharedItems count="32">
        <s v="Aberdeenshire"/>
        <s v="Angus"/>
        <s v="East Ayrshire"/>
        <s v="East Lothian"/>
        <s v="East Renfrewshire"/>
        <s v="Midlothian"/>
        <s v="Na h-Eileanan Siar"/>
        <s v="North Ayrshire"/>
        <s v="Scottish Borders"/>
        <s v="West Dunbartonshire"/>
        <s v="Clackmannanshire"/>
        <s v="Dumfries and Galloway"/>
        <s v="Dundee City"/>
        <s v="Glasgow City"/>
        <s v="Highland"/>
        <s v="Inverclyde"/>
        <s v="Renfrewshire"/>
        <s v="Shetland Islands"/>
        <s v="Argyll and Bute"/>
        <s v="East Dunbartonshire"/>
        <s v="Falkirk"/>
        <s v="Moray"/>
        <s v="North Lanarkshire"/>
        <s v="Orkney Islands"/>
        <s v="Perth and Kinross"/>
        <s v="South Ayrshire"/>
        <s v="South Lanarkshire"/>
        <s v="West Lothian"/>
        <s v="Aberdeen City"/>
        <s v="City of Edinburgh"/>
        <s v="Fife"/>
        <s v="Stirling"/>
      </sharedItems>
    </cacheField>
    <cacheField name="Pumping Appliances" numFmtId="0">
      <sharedItems containsSemiMixedTypes="0" containsString="0" containsNumber="1" containsInteger="1" minValue="2" maxValue="68"/>
    </cacheField>
    <cacheField name="Aerial Appliances" numFmtId="0">
      <sharedItems containsSemiMixedTypes="0" containsString="0" containsNumber="1" containsInteger="1" minValue="0" maxValue="4"/>
    </cacheField>
    <cacheField name="Resilience Appliances" numFmtId="0">
      <sharedItems containsSemiMixedTypes="0" containsString="0" containsNumber="1" containsInteger="1" minValue="0" maxValue="8"/>
    </cacheField>
    <cacheField name="Vehicles for Rescue Work" numFmtId="0">
      <sharedItems containsSemiMixedTypes="0" containsString="0" containsNumber="1" containsInteger="1" minValue="0" maxValue="3"/>
    </cacheField>
    <cacheField name="Small Firefighting Vehicles" numFmtId="0">
      <sharedItems containsSemiMixedTypes="0" containsString="0" containsNumber="1" containsInteger="1" minValue="0" maxValue="20"/>
    </cacheField>
    <cacheField name="Other Operational" numFmtId="0">
      <sharedItems containsSemiMixedTypes="0" containsString="0" containsNumber="1" containsInteger="1" minValue="0" maxValue="7"/>
    </cacheField>
    <cacheField name="Total Appliances" numFmtId="0">
      <sharedItems containsSemiMixedTypes="0" containsString="0" containsNumber="1" containsInteger="1" minValue="2" maxValue="88"/>
    </cacheField>
  </cacheFields>
  <extLst>
    <ext xmlns:x14="http://schemas.microsoft.com/office/spreadsheetml/2009/9/main" uri="{725AE2AE-9491-48be-B2B4-4EB974FC3084}">
      <x14:pivotCacheDefinition pivotCacheId="2080512633"/>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370419444444" createdVersion="6" refreshedVersion="8" minRefreshableVersion="3" recordCount="145" xr:uid="{00000000-000A-0000-FFFF-FFFFAC000000}">
  <cacheSource type="worksheet">
    <worksheetSource name="hrod_HR_Age__2"/>
  </cacheSource>
  <cacheFields count="8">
    <cacheField name="Year" numFmtId="0">
      <sharedItems count="12">
        <s v="2014-15"/>
        <s v="2015-16"/>
        <s v="2016-17"/>
        <s v="2018-19"/>
        <s v="2019-20"/>
        <s v="2021-22"/>
        <s v="2022-23"/>
        <s v="2023-24"/>
        <s v="2024-25"/>
        <s v="2017-18"/>
        <s v="2020-21"/>
        <s v="2013-14"/>
      </sharedItems>
    </cacheField>
    <cacheField name="Age Range" numFmtId="0">
      <sharedItems count="18">
        <s v="60-64"/>
        <s v="50-54"/>
        <s v="Under 20"/>
        <s v="20-24"/>
        <s v="40-44"/>
        <s v="30-34"/>
        <s v="65-69"/>
        <s v="25-29"/>
        <s v="35-39"/>
        <s v="55-59"/>
        <s v="45-49"/>
        <s v="70-74"/>
        <s v="Over 75"/>
        <s v="66 and over"/>
        <s v="30-39"/>
        <s v="20-29"/>
        <s v="55-65"/>
        <s v="Not Recorded"/>
      </sharedItems>
    </cacheField>
    <cacheField name="Wholetime Operational" numFmtId="0">
      <sharedItems containsString="0" containsBlank="1" containsNumber="1" containsInteger="1" minValue="1" maxValue="1254"/>
    </cacheField>
    <cacheField name="Retained Duty System" numFmtId="0">
      <sharedItems containsString="0" containsBlank="1" containsNumber="1" containsInteger="1" minValue="1" maxValue="691"/>
    </cacheField>
    <cacheField name="Retained Full-time" numFmtId="0">
      <sharedItems containsString="0" containsBlank="1" containsNumber="1" containsInteger="1" minValue="1" maxValue="19"/>
    </cacheField>
    <cacheField name="Control" numFmtId="0">
      <sharedItems containsString="0" containsBlank="1" containsNumber="1" containsInteger="1" minValue="1" maxValue="52"/>
    </cacheField>
    <cacheField name="Support Staff" numFmtId="0">
      <sharedItems containsString="0" containsBlank="1" containsNumber="1" containsInteger="1" minValue="1" maxValue="248"/>
    </cacheField>
    <cacheField name="Volunteer" numFmtId="0">
      <sharedItems containsString="0" containsBlank="1" containsNumber="1" containsInteger="1" minValue="1" maxValue="89"/>
    </cacheField>
  </cacheFields>
  <extLst>
    <ext xmlns:x14="http://schemas.microsoft.com/office/spreadsheetml/2009/9/main" uri="{725AE2AE-9491-48be-B2B4-4EB974FC3084}">
      <x14:pivotCacheDefinition pivotCacheId="129"/>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376539699071" createdVersion="6" refreshedVersion="8" minRefreshableVersion="3" recordCount="72" xr:uid="{00000000-000A-0000-FFFF-FFFFAA000000}">
  <cacheSource type="worksheet">
    <worksheetSource name="hrod_HR_Service"/>
  </cacheSource>
  <cacheFields count="7">
    <cacheField name="Year" numFmtId="0">
      <sharedItems count="8">
        <s v="2017-18"/>
        <s v="2018-19"/>
        <s v="2019-20"/>
        <s v="2021-22"/>
        <s v="2024-25"/>
        <s v="2020-21"/>
        <s v="2023-24"/>
        <s v="2022-23"/>
      </sharedItems>
    </cacheField>
    <cacheField name="Service Length (Years)" numFmtId="0">
      <sharedItems count="11">
        <s v="10-14"/>
        <s v="20-24"/>
        <s v="5-9"/>
        <s v="35-39"/>
        <s v="30-34"/>
        <s v="Over 40"/>
        <s v="Under 5"/>
        <s v="25-29"/>
        <s v="15-19"/>
        <s v="&gt;40" u="1"/>
        <s v="&lt;5" u="1"/>
      </sharedItems>
    </cacheField>
    <cacheField name="Wholetime Operational" numFmtId="0">
      <sharedItems containsSemiMixedTypes="0" containsString="0" containsNumber="1" containsInteger="1" minValue="1" maxValue="879"/>
    </cacheField>
    <cacheField name="Retained Duty System" numFmtId="0">
      <sharedItems containsSemiMixedTypes="0" containsString="0" containsNumber="1" containsInteger="1" minValue="22" maxValue="801"/>
    </cacheField>
    <cacheField name="Retained Full-time" numFmtId="0">
      <sharedItems containsString="0" containsBlank="1" containsNumber="1" containsInteger="1" minValue="1" maxValue="16"/>
    </cacheField>
    <cacheField name="Control" numFmtId="0">
      <sharedItems containsString="0" containsBlank="1" containsNumber="1" containsInteger="1" minValue="3" maxValue="62"/>
    </cacheField>
    <cacheField name="Volunteer" numFmtId="0">
      <sharedItems containsSemiMixedTypes="0" containsString="0" containsNumber="1" containsInteger="1" minValue="1" maxValue="97"/>
    </cacheField>
  </cacheFields>
  <extLst>
    <ext xmlns:x14="http://schemas.microsoft.com/office/spreadsheetml/2009/9/main" uri="{725AE2AE-9491-48be-B2B4-4EB974FC3084}">
      <x14:pivotCacheDefinition pivotCacheId="130"/>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382131597224" createdVersion="8" refreshedVersion="8" minRefreshableVersion="3" recordCount="56" xr:uid="{8906A88F-6C3D-497D-8C73-EF162421EEA0}">
  <cacheSource type="worksheet">
    <worksheetSource name="hrod_HR_Leavers__2"/>
  </cacheSource>
  <cacheFields count="9">
    <cacheField name="Year" numFmtId="0">
      <sharedItems count="7">
        <s v="2018-19"/>
        <s v="2019-20"/>
        <s v="2020-21"/>
        <s v="2021-22"/>
        <s v="2022-23"/>
        <s v="2023-24"/>
        <s v="2024-25"/>
      </sharedItems>
    </cacheField>
    <cacheField name="Reason for Leaving" numFmtId="0">
      <sharedItems count="12">
        <s v="Dismissal"/>
        <s v="End of contract"/>
        <s v="Other"/>
        <s v="Resignation"/>
        <s v="Retirement - 30 Years Service"/>
        <s v="Retirement - Age"/>
        <s v="Retirement - Early"/>
        <s v="Retirement - Health"/>
        <s v="Transfer - To another F&amp;R Service"/>
        <s v="TUPE Transfer"/>
        <s v="Voluntary Severance"/>
        <s v="Redundancy"/>
      </sharedItems>
    </cacheField>
    <cacheField name="Wholetime Operational" numFmtId="0">
      <sharedItems containsSemiMixedTypes="0" containsString="0" containsNumber="1" containsInteger="1" minValue="0" maxValue="289"/>
    </cacheField>
    <cacheField name="Retained Duty System" numFmtId="0">
      <sharedItems containsSemiMixedTypes="0" containsString="0" containsNumber="1" containsInteger="1" minValue="0" maxValue="175"/>
    </cacheField>
    <cacheField name="Retained Full-time" numFmtId="0">
      <sharedItems containsSemiMixedTypes="0" containsString="0" containsNumber="1" containsInteger="1" minValue="0" maxValue="2"/>
    </cacheField>
    <cacheField name="Control" numFmtId="0">
      <sharedItems containsSemiMixedTypes="0" containsString="0" containsNumber="1" containsInteger="1" minValue="0" maxValue="18"/>
    </cacheField>
    <cacheField name="Support" numFmtId="0">
      <sharedItems containsSemiMixedTypes="0" containsString="0" containsNumber="1" containsInteger="1" minValue="0" maxValue="67"/>
    </cacheField>
    <cacheField name="Volunteers" numFmtId="0">
      <sharedItems containsSemiMixedTypes="0" containsString="0" containsNumber="1" containsInteger="1" minValue="0" maxValue="32"/>
    </cacheField>
    <cacheField name="Total" numFmtId="0">
      <sharedItems containsSemiMixedTypes="0" containsString="0" containsNumber="1" containsInteger="1" minValue="1" maxValue="372"/>
    </cacheField>
  </cacheFields>
  <extLst>
    <ext xmlns:x14="http://schemas.microsoft.com/office/spreadsheetml/2009/9/main" uri="{725AE2AE-9491-48be-B2B4-4EB974FC3084}">
      <x14:pivotCacheDefinition pivotCacheId="1456221594"/>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424807291667" createdVersion="6" refreshedVersion="8" minRefreshableVersion="3" recordCount="28" xr:uid="{00000000-000A-0000-FFFF-FFFFBA000000}">
  <cacheSource type="worksheet">
    <worksheetSource name="hrod_HR_Role_DutySystem"/>
  </cacheSource>
  <cacheFields count="9">
    <cacheField name="Year" numFmtId="0">
      <sharedItems count="7">
        <s v="2018-19"/>
        <s v="2019-20"/>
        <s v="2020-21"/>
        <s v="2021-22"/>
        <s v="2022-23"/>
        <s v="2023-24"/>
        <s v="2024-25"/>
      </sharedItems>
    </cacheField>
    <cacheField name="EmployeeGroup" numFmtId="0">
      <sharedItems count="4">
        <s v="Incident Command Officers"/>
        <s v="Office Duties"/>
        <s v="Operational Crews"/>
        <s v="Trainees"/>
      </sharedItems>
    </cacheField>
    <cacheField name="Brigade Commander" numFmtId="0">
      <sharedItems containsSemiMixedTypes="0" containsString="0" containsNumber="1" containsInteger="1" minValue="0" maxValue="6"/>
    </cacheField>
    <cacheField name="Area Commander" numFmtId="0">
      <sharedItems containsSemiMixedTypes="0" containsString="0" containsNumber="1" containsInteger="1" minValue="0" maxValue="35"/>
    </cacheField>
    <cacheField name="Group Commander" numFmtId="0">
      <sharedItems containsSemiMixedTypes="0" containsString="0" containsNumber="1" containsInteger="1" minValue="0" maxValue="80"/>
    </cacheField>
    <cacheField name="Station Commander" numFmtId="0">
      <sharedItems containsSemiMixedTypes="0" containsString="0" containsNumber="1" containsInteger="1" minValue="0" maxValue="160"/>
    </cacheField>
    <cacheField name="Watch Commander" numFmtId="0">
      <sharedItems containsSemiMixedTypes="0" containsString="0" containsNumber="1" containsInteger="1" minValue="0" maxValue="377"/>
    </cacheField>
    <cacheField name="Crew Commander" numFmtId="0">
      <sharedItems containsSemiMixedTypes="0" containsString="0" containsNumber="1" containsInteger="1" minValue="0" maxValue="597"/>
    </cacheField>
    <cacheField name="Firefighter" numFmtId="0">
      <sharedItems containsSemiMixedTypes="0" containsString="0" containsNumber="1" containsInteger="1" minValue="0" maxValue="1993"/>
    </cacheField>
  </cacheFields>
  <extLst>
    <ext xmlns:x14="http://schemas.microsoft.com/office/spreadsheetml/2009/9/main" uri="{725AE2AE-9491-48be-B2B4-4EB974FC3084}">
      <x14:pivotCacheDefinition pivotCacheId="135"/>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490879629629" createdVersion="8" refreshedVersion="8" minRefreshableVersion="3" recordCount="12" xr:uid="{AD03364B-9088-4886-95C7-2E5CAE87E74B}">
  <cacheSource type="worksheet">
    <worksheetSource name="cset_DistinctVisits_percent__2"/>
  </cacheSource>
  <cacheFields count="4">
    <cacheField name="Year" numFmtId="0">
      <sharedItems count="12">
        <s v="2013-14"/>
        <s v="2014-15"/>
        <s v="2015-16"/>
        <s v="2016-17"/>
        <s v="2017-18"/>
        <s v="2018-19"/>
        <s v="2019-20"/>
        <s v="2020-21"/>
        <s v="2021-22"/>
        <s v="2022-23"/>
        <s v="2023-24"/>
        <s v="2024-25"/>
      </sharedItems>
    </cacheField>
    <cacheField name="In One Year" numFmtId="0">
      <sharedItems containsSemiMixedTypes="0" containsString="0" containsNumber="1" minValue="7.7000000000000002E-3" maxValue="2.8399999999999998E-2"/>
    </cacheField>
    <cacheField name="Over Three Years" numFmtId="0">
      <sharedItems containsString="0" containsBlank="1" containsNumber="1" minValue="3.4799999999999998E-2" maxValue="7.3700000000000002E-2"/>
    </cacheField>
    <cacheField name="Over Five Years" numFmtId="0">
      <sharedItems containsString="0" containsBlank="1" containsNumber="1" minValue="5.4800000000000001E-2" maxValue="0.1099"/>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592618171293" createdVersion="8" refreshedVersion="8" minRefreshableVersion="3" recordCount="11" xr:uid="{57EF05C9-7A79-4F95-B707-1DB6B83E09A9}">
  <cacheSource type="worksheet">
    <worksheetSource name="cset_SIMD_Visits__2"/>
  </cacheSource>
  <cacheFields count="8">
    <cacheField name="Year" numFmtId="0">
      <sharedItems count="11">
        <s v="2014-15"/>
        <s v="2015-16"/>
        <s v="2016-17"/>
        <s v="2017-18"/>
        <s v="2018-19"/>
        <s v="2019-20"/>
        <s v="2020-21"/>
        <s v="2021-22"/>
        <s v="2022-23"/>
        <s v="2023-24"/>
        <s v="2024-25"/>
      </sharedItems>
    </cacheField>
    <cacheField name="1 - Most Deprived 20%" numFmtId="0">
      <sharedItems containsSemiMixedTypes="0" containsString="0" containsNumber="1" containsInteger="1" minValue="5590" maxValue="19651"/>
    </cacheField>
    <cacheField name="2" numFmtId="0">
      <sharedItems containsSemiMixedTypes="0" containsString="0" containsNumber="1" containsInteger="1" minValue="4810" maxValue="17394"/>
    </cacheField>
    <cacheField name="3" numFmtId="0">
      <sharedItems containsSemiMixedTypes="0" containsString="0" containsNumber="1" containsInteger="1" minValue="3757" maxValue="14119"/>
    </cacheField>
    <cacheField name="4" numFmtId="0">
      <sharedItems containsSemiMixedTypes="0" containsString="0" containsNumber="1" containsInteger="1" minValue="3261" maxValue="12424"/>
    </cacheField>
    <cacheField name="5 - Least Deprived 20%" numFmtId="0">
      <sharedItems containsSemiMixedTypes="0" containsString="0" containsNumber="1" containsInteger="1" minValue="2543" maxValue="9629"/>
    </cacheField>
    <cacheField name="NotKnown" numFmtId="0">
      <sharedItems containsNonDate="0" containsString="0" containsBlank="1" count="1">
        <m/>
      </sharedItems>
    </cacheField>
    <cacheField name="All Scotland" numFmtId="0">
      <sharedItems containsSemiMixedTypes="0" containsString="0" containsNumber="1" containsInteger="1" minValue="19961" maxValue="71485"/>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9.598771990743" createdVersion="8" refreshedVersion="8" minRefreshableVersion="3" recordCount="11" xr:uid="{7506B14D-2A03-4AD4-A6A0-26038287ADC8}">
  <cacheSource type="worksheet">
    <worksheetSource name="cset_SIMD_Visits_OccupiedDwellings__2"/>
  </cacheSource>
  <cacheFields count="7">
    <cacheField name="Year" numFmtId="0">
      <sharedItems count="11">
        <s v="2022-23"/>
        <s v="2014-15"/>
        <s v="2017-18"/>
        <s v="2019-20"/>
        <s v="2015-16"/>
        <s v="2021-22"/>
        <s v="2016-17"/>
        <s v="2018-19"/>
        <s v="2020-21"/>
        <s v="2023-24"/>
        <s v="2024-25"/>
      </sharedItems>
    </cacheField>
    <cacheField name="1 - Most Deprived 20%" numFmtId="0">
      <sharedItems containsSemiMixedTypes="0" containsString="0" containsNumber="1" minValue="1" maxValue="3.7"/>
    </cacheField>
    <cacheField name="2" numFmtId="0">
      <sharedItems containsSemiMixedTypes="0" containsString="0" containsNumber="1" minValue="0.9" maxValue="3.4"/>
    </cacheField>
    <cacheField name="3" numFmtId="0">
      <sharedItems containsSemiMixedTypes="0" containsString="0" containsNumber="1" minValue="0.7" maxValue="2.9"/>
    </cacheField>
    <cacheField name="4" numFmtId="0">
      <sharedItems containsSemiMixedTypes="0" containsString="0" containsNumber="1" minValue="0.6" maxValue="2.6"/>
    </cacheField>
    <cacheField name="5 - Least Deprived 20%" numFmtId="0">
      <sharedItems containsSemiMixedTypes="0" containsString="0" containsNumber="1" minValue="0.5" maxValue="2.1"/>
    </cacheField>
    <cacheField name="All Scotland" numFmtId="0">
      <sharedItems containsSemiMixedTypes="0" containsString="0" containsNumber="1" minValue="0.8" maxValue="2.9"/>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74.56720208333" createdVersion="8" refreshedVersion="8" minRefreshableVersion="3" recordCount="14" xr:uid="{062F2FB0-1732-4973-AFA3-5A5A15BA4177}">
  <cacheSource type="worksheet">
    <worksheetSource name="hrod_HR_StaffingFTE__2_1"/>
  </cacheSource>
  <cacheFields count="6">
    <cacheField name="Year" numFmtId="0">
      <sharedItems count="14">
        <s v="2021-22"/>
        <s v="2018-19"/>
        <s v="2013-14"/>
        <s v="2012-13"/>
        <s v="2016-17"/>
        <s v="2024-25"/>
        <s v="2015-16"/>
        <s v="2019-20"/>
        <s v="2022-23"/>
        <s v="2011-12"/>
        <s v="2014-15"/>
        <s v="2017-18"/>
        <s v="2020-21"/>
        <s v="2023-24"/>
      </sharedItems>
    </cacheField>
    <cacheField name="WholeTime Operational" numFmtId="0">
      <sharedItems containsSemiMixedTypes="0" containsString="0" containsNumber="1" minValue="3419.08" maxValue="4159"/>
    </cacheField>
    <cacheField name="Retained Duty System" numFmtId="0">
      <sharedItems containsSemiMixedTypes="0" containsString="0" containsNumber="1" minValue="2289.77" maxValue="2813"/>
    </cacheField>
    <cacheField name="RDS Fulltime" numFmtId="0">
      <sharedItems containsString="0" containsBlank="1" containsNumber="1" containsInteger="1" minValue="18" maxValue="57"/>
    </cacheField>
    <cacheField name="Control" numFmtId="0">
      <sharedItems containsSemiMixedTypes="0" containsString="0" containsNumber="1" minValue="160" maxValue="225"/>
    </cacheField>
    <cacheField name="Support" numFmtId="0">
      <sharedItems containsSemiMixedTypes="0" containsString="0" containsNumber="1" minValue="719" maxValue="961"/>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09328819442" createdVersion="8" refreshedVersion="8" minRefreshableVersion="3" recordCount="224" xr:uid="{7ACC9192-EC6C-4CF5-8E16-27D366505116}">
  <cacheSource type="worksheet">
    <worksheetSource ref="A1:H225" sheet="CrewingModelAreaData"/>
  </cacheSource>
  <cacheFields count="8">
    <cacheField name="Year" numFmtId="0">
      <sharedItems count="7">
        <s v="2018-19"/>
        <s v="2019-20"/>
        <s v="2020-21"/>
        <s v="2021-22"/>
        <s v="2022-23"/>
        <s v="2023-24"/>
        <s v="2024-25"/>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acheField>
    <cacheField name="Wholetime and Retained" numFmtId="0">
      <sharedItems containsString="0" containsBlank="1" containsNumber="1" containsInteger="1" minValue="1" maxValue="3"/>
    </cacheField>
    <cacheField name="Wholetime and Day" numFmtId="0">
      <sharedItems containsString="0" containsBlank="1" containsNumber="1" containsInteger="1" minValue="1" maxValue="1"/>
    </cacheField>
    <cacheField name="Volunteer" numFmtId="0">
      <sharedItems containsString="0" containsBlank="1" containsNumber="1" containsInteger="1" minValue="1" maxValue="25"/>
    </cacheField>
    <cacheField name="Retained" numFmtId="0">
      <sharedItems containsString="0" containsBlank="1" containsNumber="1" containsInteger="1" minValue="1" maxValue="51"/>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801988257"/>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22745717595" createdVersion="8" refreshedVersion="8" minRefreshableVersion="3" recordCount="352" xr:uid="{A74A3475-96B6-4D2C-A29E-2D2297A472AD}">
  <cacheSource type="worksheet">
    <worksheetSource ref="A1:F353" sheet="PrimaryCrewingAreaData"/>
  </cacheSource>
  <cacheFields count="6">
    <cacheField name="Year" numFmtId="0">
      <sharedItems count="11">
        <s v="2018-19"/>
        <s v="2019-20"/>
        <s v="2020-21"/>
        <s v="2017-18"/>
        <s v="2016-17"/>
        <s v="2015-16"/>
        <s v="2014-15"/>
        <s v="2021-22"/>
        <s v="2022-23"/>
        <s v="2023-24"/>
        <s v="2024-25"/>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203961100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54.374590046296" createdVersion="8" refreshedVersion="8" minRefreshableVersion="3" recordCount="12" xr:uid="{941886AE-603F-4C7E-9F2C-91385D900F01}">
  <cacheSource type="worksheet">
    <worksheetSource name="cset_AgeProfile_Residents_Final"/>
  </cacheSource>
  <cacheFields count="9">
    <cacheField name="Year" numFmtId="0">
      <sharedItems count="12">
        <s v="2013-14"/>
        <s v="2014-15"/>
        <s v="2015-16"/>
        <s v="2016-17"/>
        <s v="2017-18"/>
        <s v="2018-19"/>
        <s v="2019-20"/>
        <s v="2020-21"/>
        <s v="2021-22"/>
        <s v="2022-23"/>
        <s v="2023-24"/>
        <s v="2024-25"/>
      </sharedItems>
    </cacheField>
    <cacheField name="Under 5s" numFmtId="0">
      <sharedItems containsSemiMixedTypes="0" containsString="0" containsNumber="1" containsInteger="1" minValue="1270" maxValue="9522"/>
    </cacheField>
    <cacheField name="5 to 10" numFmtId="0">
      <sharedItems containsSemiMixedTypes="0" containsString="0" containsNumber="1" containsInteger="1" minValue="1639" maxValue="8385"/>
    </cacheField>
    <cacheField name="11 to 16" numFmtId="0">
      <sharedItems containsSemiMixedTypes="0" containsString="0" containsNumber="1" containsInteger="1" minValue="1291" maxValue="6148"/>
    </cacheField>
    <cacheField name="17 to 30" numFmtId="0">
      <sharedItems containsSemiMixedTypes="0" containsString="0" containsNumber="1" containsInteger="1" minValue="2992" maxValue="21422"/>
    </cacheField>
    <cacheField name="31 to 60" numFmtId="0">
      <sharedItems containsSemiMixedTypes="0" containsString="0" containsNumber="1" containsInteger="1" minValue="9416" maxValue="45974"/>
    </cacheField>
    <cacheField name="Over 60" numFmtId="0">
      <sharedItems containsSemiMixedTypes="0" containsString="0" containsNumber="1" containsInteger="1" minValue="16017" maxValue="52260"/>
    </cacheField>
    <cacheField name="Not Known" numFmtId="0">
      <sharedItems containsSemiMixedTypes="0" containsString="0" containsNumber="1" containsInteger="1" minValue="0" maxValue="38"/>
    </cacheField>
    <cacheField name="All Residents" numFmtId="0">
      <sharedItems containsSemiMixedTypes="0" containsString="0" containsNumber="1" containsInteger="1" minValue="32625" maxValue="134893"/>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43524884256" createdVersion="8" refreshedVersion="8" minRefreshableVersion="3" recordCount="15" xr:uid="{AD8A7151-81E9-4F92-81C3-53CE0E8FFB89}">
  <cacheSource type="worksheet">
    <worksheetSource name="hrod_HR_Gender_Timeseries_1"/>
  </cacheSource>
  <cacheFields count="13">
    <cacheField name="Year" numFmtId="0">
      <sharedItems count="15">
        <s v="2010-11"/>
        <s v="2017-18"/>
        <s v="2013-14"/>
        <s v="2014-15"/>
        <s v="2015-16"/>
        <s v="2018-19"/>
        <s v="2019-20"/>
        <s v="2016-17"/>
        <s v="2023-24"/>
        <s v="2012-13"/>
        <s v="2021-22"/>
        <s v="2022-23"/>
        <s v="2011-12"/>
        <s v="2020-21"/>
        <s v="2024-25"/>
      </sharedItems>
    </cacheField>
    <cacheField name="WTFemale" numFmtId="0">
      <sharedItems containsSemiMixedTypes="0" containsString="0" containsNumber="1" containsInteger="1" minValue="146" maxValue="227"/>
    </cacheField>
    <cacheField name="WTMale" numFmtId="0">
      <sharedItems containsSemiMixedTypes="0" containsString="0" containsNumber="1" containsInteger="1" minValue="3202" maxValue="4055"/>
    </cacheField>
    <cacheField name="RDSFemale" numFmtId="0">
      <sharedItems containsSemiMixedTypes="0" containsString="0" containsNumber="1" containsInteger="1" minValue="158" maxValue="208"/>
    </cacheField>
    <cacheField name="RDSMale" numFmtId="0">
      <sharedItems containsSemiMixedTypes="0" containsString="0" containsNumber="1" containsInteger="1" minValue="2502" maxValue="2903"/>
    </cacheField>
    <cacheField name="RDS FulltimeFemale" numFmtId="0">
      <sharedItems containsString="0" containsBlank="1" containsNumber="1" containsInteger="1" minValue="1" maxValue="11"/>
    </cacheField>
    <cacheField name="RDS FulltimeMale" numFmtId="0">
      <sharedItems containsString="0" containsBlank="1" containsNumber="1" containsInteger="1" minValue="17" maxValue="53"/>
    </cacheField>
    <cacheField name="ControlFemale" numFmtId="0">
      <sharedItems containsSemiMixedTypes="0" containsString="0" containsNumber="1" containsInteger="1" minValue="139" maxValue="203"/>
    </cacheField>
    <cacheField name="ControlMale" numFmtId="0">
      <sharedItems containsSemiMixedTypes="0" containsString="0" containsNumber="1" containsInteger="1" minValue="24" maxValue="38"/>
    </cacheField>
    <cacheField name="SupportFemale" numFmtId="0">
      <sharedItems containsSemiMixedTypes="0" containsString="0" containsNumber="1" containsInteger="1" minValue="427" maxValue="650"/>
    </cacheField>
    <cacheField name="SupportMale" numFmtId="0">
      <sharedItems containsSemiMixedTypes="0" containsString="0" containsNumber="1" containsInteger="1" minValue="365" maxValue="487"/>
    </cacheField>
    <cacheField name="VolFemale" numFmtId="0">
      <sharedItems containsSemiMixedTypes="0" containsString="0" containsNumber="1" containsInteger="1" minValue="40" maxValue="63"/>
    </cacheField>
    <cacheField name="VolMale" numFmtId="0">
      <sharedItems containsSemiMixedTypes="0" containsString="0" containsNumber="1" containsInteger="1" minValue="226" maxValue="400"/>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6250509259" createdVersion="6" refreshedVersion="8" minRefreshableVersion="3" recordCount="14" xr:uid="{00000000-000A-0000-FFFF-FFFFB3000000}">
  <cacheSource type="worksheet">
    <worksheetSource name="hrod_HR_Entrants_Gender"/>
  </cacheSource>
  <cacheFields count="8">
    <cacheField name="Year" numFmtId="0">
      <sharedItems count="7">
        <s v="2018-19"/>
        <s v="2019-20"/>
        <s v="2020-21"/>
        <s v="2021-22"/>
        <s v="2022-23"/>
        <s v="2023-24"/>
        <s v="2024-25"/>
      </sharedItems>
    </cacheField>
    <cacheField name="Gender" numFmtId="0">
      <sharedItems count="2">
        <s v="Female"/>
        <s v="Male"/>
      </sharedItems>
    </cacheField>
    <cacheField name="Wholetime Operational" numFmtId="0">
      <sharedItems containsSemiMixedTypes="0" containsString="0" containsNumber="1" containsInteger="1" minValue="3" maxValue="212"/>
    </cacheField>
    <cacheField name="Retained Duty System" numFmtId="0">
      <sharedItems containsSemiMixedTypes="0" containsString="0" containsNumber="1" containsInteger="1" minValue="7" maxValue="222"/>
    </cacheField>
    <cacheField name="Control" numFmtId="0">
      <sharedItems containsSemiMixedTypes="0" containsString="0" containsNumber="1" containsInteger="1" minValue="0" maxValue="24"/>
    </cacheField>
    <cacheField name="Support" numFmtId="0">
      <sharedItems containsSemiMixedTypes="0" containsString="0" containsNumber="1" containsInteger="1" minValue="22" maxValue="69"/>
    </cacheField>
    <cacheField name="Volunteers" numFmtId="0">
      <sharedItems containsSemiMixedTypes="0" containsString="0" containsNumber="1" containsInteger="1" minValue="0" maxValue="17"/>
    </cacheField>
    <cacheField name="Total" numFmtId="0">
      <sharedItems containsSemiMixedTypes="0" containsString="0" containsNumber="1" containsInteger="1" minValue="48" maxValue="464"/>
    </cacheField>
  </cacheFields>
  <extLst>
    <ext xmlns:x14="http://schemas.microsoft.com/office/spreadsheetml/2009/9/main" uri="{725AE2AE-9491-48be-B2B4-4EB974FC3084}">
      <x14:pivotCacheDefinition pivotCacheId="158"/>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62543518515" createdVersion="6" refreshedVersion="8" minRefreshableVersion="3" recordCount="75" xr:uid="{00000000-000A-0000-FFFF-FFFFB4000000}">
  <cacheSource type="worksheet">
    <worksheetSource name="hrod_HR_Entrants_Age"/>
  </cacheSource>
  <cacheFields count="8">
    <cacheField name="Year" numFmtId="0">
      <sharedItems count="7">
        <s v="2018-19"/>
        <s v="2019-20"/>
        <s v="2020-21"/>
        <s v="2021-22"/>
        <s v="2022-23"/>
        <s v="2023-24"/>
        <s v="2024-25"/>
      </sharedItems>
    </cacheField>
    <cacheField name="Age Range" numFmtId="0">
      <sharedItems count="12">
        <s v="20-24"/>
        <s v="25-29"/>
        <s v="30-34"/>
        <s v="35-39"/>
        <s v="40-44"/>
        <s v="45-49"/>
        <s v="50-54"/>
        <s v="55-59"/>
        <s v="60-64"/>
        <s v="65-69"/>
        <s v="Under 20"/>
        <s v="70-74"/>
      </sharedItems>
    </cacheField>
    <cacheField name="Wholetime Operational" numFmtId="0">
      <sharedItems containsSemiMixedTypes="0" containsString="0" containsNumber="1" containsInteger="1" minValue="0" maxValue="68"/>
    </cacheField>
    <cacheField name="Retained Duty System" numFmtId="0">
      <sharedItems containsSemiMixedTypes="0" containsString="0" containsNumber="1" containsInteger="1" minValue="0" maxValue="58"/>
    </cacheField>
    <cacheField name="Control" numFmtId="0">
      <sharedItems containsSemiMixedTypes="0" containsString="0" containsNumber="1" containsInteger="1" minValue="0" maxValue="9"/>
    </cacheField>
    <cacheField name="Support" numFmtId="0">
      <sharedItems containsSemiMixedTypes="0" containsString="0" containsNumber="1" containsInteger="1" minValue="0" maxValue="21"/>
    </cacheField>
    <cacheField name="Volunteers" numFmtId="0">
      <sharedItems containsSemiMixedTypes="0" containsString="0" containsNumber="1" containsInteger="1" minValue="0" maxValue="6"/>
    </cacheField>
    <cacheField name="Total" numFmtId="0">
      <sharedItems containsSemiMixedTypes="0" containsString="0" containsNumber="1" containsInteger="1" minValue="1" maxValue="137"/>
    </cacheField>
  </cacheFields>
  <extLst>
    <ext xmlns:x14="http://schemas.microsoft.com/office/spreadsheetml/2009/9/main" uri="{725AE2AE-9491-48be-B2B4-4EB974FC3084}">
      <x14:pivotCacheDefinition pivotCacheId="159"/>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62575810183" createdVersion="8" refreshedVersion="8" minRefreshableVersion="3" recordCount="18" xr:uid="{E7B7493F-78CB-451A-A158-C6FF2B683FE2}">
  <cacheSource type="worksheet">
    <worksheetSource name="hrod_HR_Entrants_Ethnicity__2"/>
  </cacheSource>
  <cacheFields count="7">
    <cacheField name="FiscalYr" numFmtId="0">
      <sharedItems count="7">
        <s v="2018-19"/>
        <s v="2019-20"/>
        <s v="2020-21"/>
        <s v="2021-22"/>
        <s v="2023-24"/>
        <s v="2022-23"/>
        <s v="2024-25"/>
      </sharedItems>
    </cacheField>
    <cacheField name="EthStat" numFmtId="0">
      <sharedItems count="3">
        <s v="Ethnic Minority"/>
        <s v="Not Stated"/>
        <s v="White"/>
      </sharedItems>
    </cacheField>
    <cacheField name="WT" numFmtId="0">
      <sharedItems containsString="0" containsBlank="1" containsNumber="1" minValue="0.92592592592592582" maxValue="100"/>
    </cacheField>
    <cacheField name="RDS" numFmtId="0">
      <sharedItems containsString="0" containsBlank="1" containsNumber="1" minValue="0.6211180124223602" maxValue="100"/>
    </cacheField>
    <cacheField name="Control" numFmtId="0">
      <sharedItems containsString="0" containsBlank="1" containsNumber="1" minValue="10" maxValue="100"/>
    </cacheField>
    <cacheField name="Support" numFmtId="0">
      <sharedItems containsString="0" containsBlank="1" containsNumber="1" minValue="2.1739130434782608" maxValue="100"/>
    </cacheField>
    <cacheField name="Vol" numFmtId="0">
      <sharedItems containsString="0" containsBlank="1" containsNumber="1" minValue="4.7619047619047619" maxValue="100"/>
    </cacheField>
  </cacheFields>
  <extLst>
    <ext xmlns:x14="http://schemas.microsoft.com/office/spreadsheetml/2009/9/main" uri="{725AE2AE-9491-48be-B2B4-4EB974FC3084}">
      <x14:pivotCacheDefinition pivotCacheId="1464648369"/>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1.462604513887" createdVersion="8" refreshedVersion="8" minRefreshableVersion="3" recordCount="18" xr:uid="{A26CDE1E-7426-49D6-9265-DECF3842B1DC}">
  <cacheSource type="worksheet">
    <worksheetSource name="hrod_HR_Entrants_Disability__2"/>
  </cacheSource>
  <cacheFields count="7">
    <cacheField name="FiscalYr" numFmtId="0">
      <sharedItems count="7">
        <s v="2018-19"/>
        <s v="2019-20"/>
        <s v="2020-21"/>
        <s v="2022-23"/>
        <s v="2023-24"/>
        <s v="2021-22"/>
        <s v="2024-25"/>
      </sharedItems>
    </cacheField>
    <cacheField name="DisStat" numFmtId="0">
      <sharedItems count="3">
        <s v="Disabled"/>
        <s v="Not Disabled"/>
        <s v="Not Known"/>
      </sharedItems>
    </cacheField>
    <cacheField name="WT" numFmtId="0">
      <sharedItems containsString="0" containsBlank="1" containsNumber="1" minValue="0.84033613445378152" maxValue="100"/>
    </cacheField>
    <cacheField name="RDS" numFmtId="0">
      <sharedItems containsString="0" containsBlank="1" containsNumber="1" minValue="0.44843049327354262" maxValue="100"/>
    </cacheField>
    <cacheField name="Control" numFmtId="0">
      <sharedItems containsString="0" containsBlank="1" containsNumber="1" minValue="10" maxValue="100"/>
    </cacheField>
    <cacheField name="Support" numFmtId="0">
      <sharedItems containsString="0" containsBlank="1" containsNumber="1" minValue="2.1739130434782608" maxValue="100"/>
    </cacheField>
    <cacheField name="Vol" numFmtId="0">
      <sharedItems containsString="0" containsBlank="1" containsNumber="1" containsInteger="1" minValue="100" maxValue="100"/>
    </cacheField>
  </cacheFields>
  <extLst>
    <ext xmlns:x14="http://schemas.microsoft.com/office/spreadsheetml/2009/9/main" uri="{725AE2AE-9491-48be-B2B4-4EB974FC3084}">
      <x14:pivotCacheDefinition pivotCacheId="364994653"/>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3297569447" createdVersion="6" refreshedVersion="8" minRefreshableVersion="3" recordCount="362" xr:uid="{00000000-000A-0000-FFFF-FFFFB7000000}">
  <cacheSource type="worksheet">
    <worksheetSource name="hrod_HR_DutySystem_LA"/>
  </cacheSource>
  <cacheFields count="8">
    <cacheField name="Year" numFmtId="0">
      <sharedItems containsBlank="1" count="8">
        <s v="2018-19"/>
        <s v="2019-20"/>
        <s v="2020-21"/>
        <s v="2021-22"/>
        <s v="2022-23"/>
        <s v="2023-24"/>
        <s v="2024-25"/>
        <m u="1"/>
      </sharedItems>
    </cacheField>
    <cacheField name="ReportingLevel" numFmtId="0">
      <sharedItems containsBlank="1" count="6">
        <s v="1:LA"/>
        <s v="2:LSO"/>
        <s v="4:National"/>
        <s v="3:SDA"/>
        <m u="1"/>
        <s v="1:SDA" u="1"/>
      </sharedItems>
    </cacheField>
    <cacheField name="lvl" numFmtId="0">
      <sharedItems containsBlank="1" count="61">
        <s v="Renfrewshire"/>
        <s v="West Lothian"/>
        <s v="Edinburgh City"/>
        <s v="Dundee City"/>
        <s v="Highlands"/>
        <s v="Inverclyde"/>
        <s v="North Lanarkshire"/>
        <s v="West Dunbartonshire"/>
        <s v="Falkirk and West Lothian"/>
        <s v="Stirling, Clackmannanshire and Fife"/>
        <s v="Dumfries and Gallowa"/>
        <s v="East Dunbartonshire"/>
        <s v="East Lothian"/>
        <s v="North Ayrshire"/>
        <s v="Glasgow City"/>
        <s v="Scotland"/>
        <s v="Aberdeen City"/>
        <s v="Clackmannanshire"/>
        <s v="Aberdeen City, Aberdeenshire and Moray"/>
        <s v="Dundee, Angus, Perth and Kinross"/>
        <s v="Midlothian"/>
        <s v="Western Isles, Orkney and Shetland Islands"/>
        <s v="North"/>
        <s v="Angus"/>
        <s v="South Lanarkshire"/>
        <s v="Fife"/>
        <s v="East Ayrshire"/>
        <s v="Perth and Kinross"/>
        <s v="Argyll and Bute, East Dunbartonshire and West Dunbartonshire"/>
        <s v="West"/>
        <s v="East Renfrewshire"/>
        <s v="East Lothian, Midlothian and the Scottish Borders"/>
        <s v="South Ayrshire"/>
        <s v="Stirling"/>
        <s v="Lanarkshire"/>
        <s v="Moray"/>
        <s v="Falkirk"/>
        <s v="Na h-Eileanan Siar"/>
        <s v="Scottish Borders"/>
        <s v="Aberdeenshire"/>
        <s v="East"/>
        <s v="East Renfrewshire, Renfrewshire and Inverclyde"/>
        <s v="Orkney Islands"/>
        <s v="Aberdeenshire and Moray"/>
        <s v="Argyll and Bute"/>
        <s v="Shetland Islands"/>
        <s v="Stirling and Clackmannanshire"/>
        <s v="Dumfries and Galloway"/>
        <s v="East Ayrshire, North Ayrshire and South Ayrshire"/>
        <m u="1"/>
        <s v="Perth &amp; Kinross" u="1"/>
        <s v="NULL" u="1"/>
        <s v="Argyll and Bute, West Dunbartonshire and East Dunbartonshire" u="1"/>
        <s v="Dumfries &amp; Galloway" u="1"/>
        <s v="Perth and Kinross, Dundee City and Angus" u="1"/>
        <s v="Argyll &amp; Bute" u="1"/>
        <s v="Highland" u="1"/>
        <s v="East, North and South Ayrshire" u="1"/>
        <s v="Midlothian, East Lothian and Scottish Borders" u="1"/>
        <s v="Orkney Islands, Shetland Islands and Na h-Eileanan" u="1"/>
        <s v="City of Edinburgh" u="1"/>
      </sharedItems>
    </cacheField>
    <cacheField name="Code" numFmtId="0">
      <sharedItems containsBlank="1"/>
    </cacheField>
    <cacheField name="Operational Crewing" numFmtId="0">
      <sharedItems containsSemiMixedTypes="0" containsString="0" containsNumber="1" containsInteger="1" minValue="0" maxValue="517"/>
    </cacheField>
    <cacheField name="Incident Command Officers" numFmtId="0">
      <sharedItems containsSemiMixedTypes="0" containsString="0" containsNumber="1" containsInteger="1" minValue="0" maxValue="60"/>
    </cacheField>
    <cacheField name="Office Duties" numFmtId="0">
      <sharedItems containsSemiMixedTypes="0" containsString="0" containsNumber="1" containsInteger="1" minValue="0" maxValue="76"/>
    </cacheField>
    <cacheField name="Trainees" numFmtId="0">
      <sharedItems containsSemiMixedTypes="0" containsString="0" containsNumber="1" containsInteger="1" minValue="0" maxValue="60"/>
    </cacheField>
  </cacheFields>
  <extLst>
    <ext xmlns:x14="http://schemas.microsoft.com/office/spreadsheetml/2009/9/main" uri="{725AE2AE-9491-48be-B2B4-4EB974FC3084}">
      <x14:pivotCacheDefinition pivotCacheId="132"/>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5163541666" createdVersion="6" refreshedVersion="8" minRefreshableVersion="3" recordCount="48" xr:uid="{00000000-000A-0000-FFFF-FFFFC8000000}">
  <cacheSource type="worksheet">
    <worksheetSource name="hrod_HR_Role_Area"/>
  </cacheSource>
  <cacheFields count="10">
    <cacheField name="Year" numFmtId="0">
      <sharedItems count="12">
        <s v="2013-14"/>
        <s v="2015-16"/>
        <s v="2021-22"/>
        <s v="2022-23"/>
        <s v="2018-19"/>
        <s v="2020-21"/>
        <s v="2024-25"/>
        <s v="2016-17"/>
        <s v="2017-18"/>
        <s v="2019-20"/>
        <s v="2023-24"/>
        <s v="2014-15"/>
      </sharedItems>
    </cacheField>
    <cacheField name="ReportingLevel" numFmtId="0">
      <sharedItems containsBlank="1" count="5">
        <s v="1:LA"/>
        <s v="2:LSO"/>
        <s v="4:National"/>
        <s v="3:SDA"/>
        <m u="1"/>
      </sharedItems>
    </cacheField>
    <cacheField name="Brigade Manager" numFmtId="0">
      <sharedItems containsString="0" containsBlank="1" containsNumber="1" containsInteger="1" minValue="3" maxValue="7"/>
    </cacheField>
    <cacheField name="Area Manager" numFmtId="0">
      <sharedItems containsString="0" containsBlank="1" containsNumber="1" containsInteger="1" minValue="3" maxValue="18"/>
    </cacheField>
    <cacheField name="Group Manager" numFmtId="0">
      <sharedItems containsString="0" containsBlank="1" containsNumber="1" containsInteger="1" minValue="8" maxValue="69"/>
    </cacheField>
    <cacheField name="Station Manager" numFmtId="0">
      <sharedItems containsString="0" containsBlank="1" containsNumber="1" containsInteger="1" minValue="1" maxValue="119"/>
    </cacheField>
    <cacheField name="Watch Manager" numFmtId="0">
      <sharedItems containsSemiMixedTypes="0" containsString="0" containsNumber="1" containsInteger="1" minValue="7" maxValue="416"/>
    </cacheField>
    <cacheField name="Crew Manager" numFmtId="0">
      <sharedItems containsString="0" containsBlank="1" containsNumber="1" containsInteger="1" minValue="1" maxValue="608"/>
    </cacheField>
    <cacheField name="Firefighter" numFmtId="0">
      <sharedItems containsString="0" containsBlank="1" containsNumber="1" containsInteger="1" minValue="1" maxValue="2355"/>
    </cacheField>
    <cacheField name="Total" numFmtId="0">
      <sharedItems containsString="0" containsBlank="1" containsNumber="1" containsInteger="1" minValue="52" maxValue="2966"/>
    </cacheField>
  </cacheFields>
  <extLst>
    <ext xmlns:x14="http://schemas.microsoft.com/office/spreadsheetml/2009/9/main" uri="{725AE2AE-9491-48be-B2B4-4EB974FC3084}">
      <x14:pivotCacheDefinition pivotCacheId="136"/>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5899421294" createdVersion="6" refreshedVersion="8" minRefreshableVersion="3" recordCount="611" xr:uid="{00000000-000A-0000-FFFF-FFFFBB000000}">
  <cacheSource type="worksheet">
    <worksheetSource name="hrod_HR_WT_RoleArea"/>
  </cacheSource>
  <cacheFields count="11">
    <cacheField name="Year" numFmtId="0">
      <sharedItems containsBlank="1" count="13">
        <s v="2013-14"/>
        <s v="2014-15"/>
        <s v="2015-16"/>
        <s v="2016-17"/>
        <s v="2017-18"/>
        <s v="2018-19"/>
        <s v="2019-20"/>
        <s v="2020-21"/>
        <s v="2021-22"/>
        <s v="2022-23"/>
        <s v="2023-24"/>
        <s v="2024-25"/>
        <m u="1"/>
      </sharedItems>
    </cacheField>
    <cacheField name="ReportingLevel" numFmtId="0">
      <sharedItems containsBlank="1" count="5">
        <s v="1:LA"/>
        <s v="2:LSO"/>
        <s v="3:SDA"/>
        <s v="4:National"/>
        <m u="1"/>
      </sharedItems>
    </cacheField>
    <cacheField name="Code" numFmtId="0">
      <sharedItems containsBlank="1"/>
    </cacheField>
    <cacheField name="lvl" numFmtId="0">
      <sharedItems containsBlank="1" count="111">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 v="Aberdeen City, Aberdeenshire and Moray"/>
        <s v="Lanarkshire"/>
        <m u="1"/>
        <s v="NULL" u="1"/>
        <s v="Argyll and Bute, West Dunbartonshire and East Dunbartonshire" u="1"/>
        <s v="Perth &amp; Kinross" u="1"/>
        <s v="S12000017" u="1"/>
        <s v="S12000045" u="1"/>
        <s v="Perth and Kinross, Dundee City and Angus" u="1"/>
        <s v="S12000026" u="1"/>
        <s v="S39000008" u="1"/>
        <s v="S12000010" u="1"/>
        <s v="S39000014" u="1"/>
        <s v="S12000029" u="1"/>
        <s v="Midlothian, East Lothian and Scottish Borders" u="1"/>
        <s v="S12000035" u="1"/>
        <s v="Dumfries and Gallowa" u="1"/>
        <s v="S39000017" u="1"/>
        <s v="East, North and South Ayrshire" u="1"/>
        <s v="S12000041" u="1"/>
        <s v="S12000038" u="1"/>
        <s v="S39000001" u="1"/>
        <s v="S40000005" u="1"/>
        <s v="S12000044" u="1"/>
        <s v="S39000004" u="1"/>
        <s v="S12000019" u="1"/>
        <s v="S12000047" u="1"/>
        <s v="S39000010" u="1"/>
        <s v="S39000007" u="1"/>
        <s v="S39000013" u="1"/>
        <s v="S12000028" u="1"/>
        <s v="S12000006" u="1"/>
        <s v="S12000034" u="1"/>
        <s v="S39000016" u="1"/>
        <s v="S12000040" u="1"/>
        <s v="S92000003" u="1"/>
        <s v="S39000019" u="1"/>
        <s v="S40000004" u="1"/>
        <s v="S12000021" u="1"/>
        <s v="S39000003" u="1"/>
        <s v="S12000018" u="1"/>
        <s v="Argyll &amp; Bute" u="1"/>
        <s v="S12000046" u="1"/>
        <s v="S12000024" u="1"/>
        <s v="S39000006" u="1"/>
        <s v="Dumfries &amp; Galloway" u="1"/>
        <s v="S12000030" u="1"/>
        <s v="S39000012" u="1"/>
        <s v="S12000005" u="1"/>
        <s v="S39000009" u="1"/>
        <s v="S12000033" u="1"/>
        <s v="S12000011" u="1"/>
        <s v="S39000015" u="1"/>
        <s v="S12000008" u="1"/>
        <s v="Orkney Islands, Shetland Islands and Na h-Eileanan" u="1"/>
        <s v="S12000036" u="1"/>
        <s v="S12000014" u="1"/>
        <s v="S39000018" u="1"/>
        <s v="S40000003" u="1"/>
        <s v="S12000042" u="1"/>
        <s v="S12000020" u="1"/>
        <s v="S12000039" u="1"/>
        <s v="S39000002" u="1"/>
      </sharedItems>
    </cacheField>
    <cacheField name="Area Manager" numFmtId="0">
      <sharedItems containsString="0" containsBlank="1" containsNumber="1" containsInteger="1" minValue="0" maxValue="18"/>
    </cacheField>
    <cacheField name="Brigade Manager" numFmtId="0">
      <sharedItems containsString="0" containsBlank="1" containsNumber="1" containsInteger="1" minValue="0" maxValue="7"/>
    </cacheField>
    <cacheField name="Crew Manager" numFmtId="0">
      <sharedItems containsString="0" containsBlank="1" containsNumber="1" containsInteger="1" minValue="0" maxValue="119"/>
    </cacheField>
    <cacheField name="Firefighter" numFmtId="0">
      <sharedItems containsString="0" containsBlank="1" containsNumber="1" containsInteger="1" minValue="0" maxValue="373"/>
    </cacheField>
    <cacheField name="Group Manager" numFmtId="0">
      <sharedItems containsString="0" containsBlank="1" containsNumber="1" containsInteger="1" minValue="0" maxValue="22"/>
    </cacheField>
    <cacheField name="Station Manager" numFmtId="0">
      <sharedItems containsString="0" containsBlank="1" containsNumber="1" containsInteger="1" minValue="0" maxValue="24"/>
    </cacheField>
    <cacheField name="Watch Manager" numFmtId="0">
      <sharedItems containsSemiMixedTypes="0" containsString="0" containsNumber="1" containsInteger="1" minValue="0" maxValue="93"/>
    </cacheField>
  </cacheFields>
  <extLst>
    <ext xmlns:x14="http://schemas.microsoft.com/office/spreadsheetml/2009/9/main" uri="{725AE2AE-9491-48be-B2B4-4EB974FC3084}">
      <x14:pivotCacheDefinition pivotCacheId="137"/>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6405324077" createdVersion="6" refreshedVersion="8" minRefreshableVersion="3" recordCount="365" xr:uid="{00000000-000A-0000-FFFF-FFFFBD000000}">
  <cacheSource type="worksheet">
    <worksheetSource name="hrod_HR_RDS_RoleArea"/>
  </cacheSource>
  <cacheFields count="7">
    <cacheField name="Year" numFmtId="0">
      <sharedItems count="12">
        <s v="2013-14"/>
        <s v="2014-15"/>
        <s v="2015-16"/>
        <s v="2016-17"/>
        <s v="2017-18"/>
        <s v="2018-19"/>
        <s v="2019-20"/>
        <s v="2020-21"/>
        <s v="2021-22"/>
        <s v="2022-23"/>
        <s v="2023-24"/>
        <s v="2024-25"/>
      </sharedItems>
    </cacheField>
    <cacheField name="ReportingLevel" numFmtId="0">
      <sharedItems/>
    </cacheField>
    <cacheField name="Area" numFmtId="0">
      <sharedItems count="38">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Dumfries &amp; Galloway" u="1"/>
        <s v="Edinburgh City" u="1"/>
        <s v="NULL" u="1"/>
        <s v="Perth &amp; Kinross" u="1"/>
        <s v="Dumfries and Gallowa" u="1"/>
        <s v="Argyll &amp; Bute" u="1"/>
      </sharedItems>
    </cacheField>
    <cacheField name="GSS Code" numFmtId="0">
      <sharedItems containsBlank="1"/>
    </cacheField>
    <cacheField name="Watch Manager" numFmtId="0">
      <sharedItems containsSemiMixedTypes="0" containsString="0" containsNumber="1" containsInteger="1" minValue="0" maxValue="115"/>
    </cacheField>
    <cacheField name="Crew Manager" numFmtId="0">
      <sharedItems containsSemiMixedTypes="0" containsString="0" containsNumber="1" containsInteger="1" minValue="0" maxValue="103"/>
    </cacheField>
    <cacheField name="Firefighter" numFmtId="0">
      <sharedItems containsSemiMixedTypes="0" containsString="0" containsNumber="1" containsInteger="1" minValue="0" maxValue="394"/>
    </cacheField>
  </cacheFields>
  <extLst>
    <ext xmlns:x14="http://schemas.microsoft.com/office/spreadsheetml/2009/9/main" uri="{725AE2AE-9491-48be-B2B4-4EB974FC3084}">
      <x14:pivotCacheDefinition pivotCacheId="138"/>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7053587962" createdVersion="6" refreshedVersion="8" minRefreshableVersion="3" recordCount="12" xr:uid="{00000000-000A-0000-FFFF-FFFFBC000000}">
  <cacheSource type="worksheet">
    <worksheetSource name="hrod_HR_CS_RoleArea_Control"/>
  </cacheSource>
  <cacheFields count="9">
    <cacheField name="Year" numFmtId="0">
      <sharedItems count="12">
        <s v="2013-14"/>
        <s v="2014-15"/>
        <s v="2015-16"/>
        <s v="2016-17"/>
        <s v="2017-18"/>
        <s v="2018-19"/>
        <s v="2019-20"/>
        <s v="2020-21"/>
        <s v="2021-22"/>
        <s v="2022-23"/>
        <s v="2023-24"/>
        <s v="2024-25"/>
      </sharedItems>
    </cacheField>
    <cacheField name="Area" numFmtId="0">
      <sharedItems count="1">
        <s v="Scotland"/>
      </sharedItems>
    </cacheField>
    <cacheField name="GSS Code" numFmtId="0">
      <sharedItems/>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2" maxValue="52"/>
    </cacheField>
    <cacheField name="Station Manager" numFmtId="0">
      <sharedItems containsSemiMixedTypes="0" containsString="0" containsNumber="1" containsInteger="1" minValue="8" maxValue="110"/>
    </cacheField>
    <cacheField name="Watch Manager" numFmtId="0">
      <sharedItems containsSemiMixedTypes="0" containsString="0" containsNumber="1" containsInteger="1" minValue="5" maxValue="45"/>
    </cacheField>
    <cacheField name="Crew Manager" numFmtId="0">
      <sharedItems containsSemiMixedTypes="0" containsString="0" containsNumber="1" containsInteger="1" minValue="7" maxValue="31"/>
    </cacheField>
    <cacheField name="Control Operator" numFmtId="0">
      <sharedItems containsSemiMixedTypes="0" containsString="0" containsNumber="1" containsInteger="1" minValue="41" maxValue="124"/>
    </cacheField>
  </cacheFields>
  <extLst>
    <ext xmlns:x14="http://schemas.microsoft.com/office/spreadsheetml/2009/9/main" uri="{725AE2AE-9491-48be-B2B4-4EB974FC3084}">
      <x14:pivotCacheDefinition pivotCacheId="15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54.585994560184" createdVersion="8" refreshedVersion="8" minRefreshableVersion="3" recordCount="6" xr:uid="{20CDE1C8-68F0-4721-BABF-FE764DD6091E}">
  <cacheSource type="worksheet">
    <worksheetSource name="cset_HFSV_Tenure_Outcome_Final"/>
  </cacheSource>
  <cacheFields count="11">
    <cacheField name="Tenure" numFmtId="0">
      <sharedItems count="6">
        <s v="Housing Association"/>
        <s v="Local Authority"/>
        <s v="Not Known"/>
        <s v="Other"/>
        <s v="Owner Occupied"/>
        <s v="Private Let"/>
      </sharedItems>
    </cacheField>
    <cacheField name="2015-16" numFmtId="0">
      <sharedItems containsSemiMixedTypes="0" containsString="0" containsNumber="1" containsInteger="1" minValue="101" maxValue="37461"/>
    </cacheField>
    <cacheField name="2016-17" numFmtId="0">
      <sharedItems containsSemiMixedTypes="0" containsString="0" containsNumber="1" containsInteger="1" minValue="103" maxValue="39725"/>
    </cacheField>
    <cacheField name="2017-18" numFmtId="0">
      <sharedItems containsSemiMixedTypes="0" containsString="0" containsNumber="1" containsInteger="1" minValue="107" maxValue="38343"/>
    </cacheField>
    <cacheField name="2018-19" numFmtId="0">
      <sharedItems containsSemiMixedTypes="0" containsString="0" containsNumber="1" containsInteger="1" minValue="622" maxValue="35339"/>
    </cacheField>
    <cacheField name="2019-20" numFmtId="0">
      <sharedItems containsSemiMixedTypes="0" containsString="0" containsNumber="1" containsInteger="1" minValue="641" maxValue="34631"/>
    </cacheField>
    <cacheField name="2020-21" numFmtId="0">
      <sharedItems containsSemiMixedTypes="0" containsString="0" containsNumber="1" containsInteger="1" minValue="102" maxValue="10815"/>
    </cacheField>
    <cacheField name="2021-22" numFmtId="0">
      <sharedItems containsSemiMixedTypes="0" containsString="0" containsNumber="1" containsInteger="1" minValue="322" maxValue="27519"/>
    </cacheField>
    <cacheField name="2022-23" numFmtId="0">
      <sharedItems containsSemiMixedTypes="0" containsString="0" containsNumber="1" containsInteger="1" minValue="367" maxValue="19831"/>
    </cacheField>
    <cacheField name="2023-24" numFmtId="0">
      <sharedItems containsSemiMixedTypes="0" containsString="0" containsNumber="1" containsInteger="1" minValue="443" maxValue="17805"/>
    </cacheField>
    <cacheField name="2024-25" numFmtId="0">
      <sharedItems containsSemiMixedTypes="0" containsString="0" containsNumber="1" containsInteger="1" minValue="1386" maxValue="16063"/>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7717013888" createdVersion="6" refreshedVersion="8" minRefreshableVersion="3" recordCount="48" xr:uid="{00000000-000A-0000-FFFF-FFFFBE000000}">
  <cacheSource type="worksheet">
    <worksheetSource name="hrod_HR_CS_RoleArea_Support"/>
  </cacheSource>
  <cacheFields count="12">
    <cacheField name="Year" numFmtId="0">
      <sharedItems count="12">
        <s v="2013-14"/>
        <s v="2014-15"/>
        <s v="2015-16"/>
        <s v="2016-17"/>
        <s v="2017-18"/>
        <s v="2018-19"/>
        <s v="2019-20"/>
        <s v="2020-21"/>
        <s v="2021-22"/>
        <s v="2022-23"/>
        <s v="2023-24"/>
        <s v="2024-25"/>
      </sharedItems>
    </cacheField>
    <cacheField name="ReportingLevel" numFmtId="0">
      <sharedItems count="2">
        <s v="4:National"/>
        <s v="3:SDA"/>
      </sharedItems>
    </cacheField>
    <cacheField name="Code" numFmtId="0">
      <sharedItems containsBlank="1"/>
    </cacheField>
    <cacheField name="lvl" numFmtId="0">
      <sharedItems count="5">
        <s v="Scotland"/>
        <s v="West"/>
        <s v="East"/>
        <s v="North"/>
        <s v="NULL" u="1"/>
      </sharedItems>
    </cacheField>
    <cacheField name="Total" numFmtId="0">
      <sharedItems containsSemiMixedTypes="0" containsString="0" containsNumber="1" containsInteger="1" minValue="0" maxValue="920"/>
    </cacheField>
    <cacheField name="Director" numFmtId="0">
      <sharedItems containsString="0" containsBlank="1" containsNumber="1" containsInteger="1" minValue="2" maxValue="4"/>
    </cacheField>
    <cacheField name="Service Manager" numFmtId="0">
      <sharedItems containsSemiMixedTypes="0" containsString="0" containsNumber="1" containsInteger="1" minValue="0" maxValue="95"/>
    </cacheField>
    <cacheField name="Team Leader" numFmtId="0">
      <sharedItems containsSemiMixedTypes="0" containsString="0" containsNumber="1" containsInteger="1" minValue="0" maxValue="36"/>
    </cacheField>
    <cacheField name="Professional" numFmtId="0">
      <sharedItems containsSemiMixedTypes="0" containsString="0" containsNumber="1" containsInteger="1" minValue="0" maxValue="104"/>
    </cacheField>
    <cacheField name="Specialist Technical" numFmtId="0">
      <sharedItems containsSemiMixedTypes="0" containsString="0" containsNumber="1" containsInteger="1" minValue="0" maxValue="479"/>
    </cacheField>
    <cacheField name="Tech Support" numFmtId="0">
      <sharedItems containsSemiMixedTypes="0" containsString="0" containsNumber="1" containsInteger="1" minValue="0" maxValue="149"/>
    </cacheField>
    <cacheField name="Administration" numFmtId="0">
      <sharedItems containsSemiMixedTypes="0" containsString="0" containsNumber="1" containsInteger="1" minValue="0" maxValue="193"/>
    </cacheField>
  </cacheFields>
  <extLst>
    <ext xmlns:x14="http://schemas.microsoft.com/office/spreadsheetml/2009/9/main" uri="{725AE2AE-9491-48be-B2B4-4EB974FC3084}">
      <x14:pivotCacheDefinition pivotCacheId="147"/>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8191087965" createdVersion="6" refreshedVersion="8" minRefreshableVersion="3" recordCount="181" xr:uid="{00000000-000A-0000-FFFF-FFFFBF000000}">
  <cacheSource type="worksheet">
    <worksheetSource name="hrod_HR_Vol_RoleArea"/>
  </cacheSource>
  <cacheFields count="8">
    <cacheField name="Year" numFmtId="0">
      <sharedItems containsBlank="1" count="13">
        <s v="2013-14"/>
        <s v="2014-15"/>
        <s v="2015-16"/>
        <s v="2016-17"/>
        <s v="2017-18"/>
        <s v="2018-19"/>
        <s v="2019-20"/>
        <s v="2020-21"/>
        <s v="2021-22"/>
        <s v="2022-23"/>
        <s v="2023-24"/>
        <s v="2024-25"/>
        <m u="1"/>
      </sharedItems>
    </cacheField>
    <cacheField name="ReportingLevel" numFmtId="0">
      <sharedItems containsBlank="1" count="2">
        <s v="1:LA"/>
        <m u="1"/>
      </sharedItems>
    </cacheField>
    <cacheField name="Code" numFmtId="0">
      <sharedItems containsBlank="1"/>
    </cacheField>
    <cacheField name="lvl" numFmtId="0">
      <sharedItems containsBlank="1" count="36">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m u="1"/>
        <s v="Dumfries and Gallowa" u="1"/>
        <s v="Argyll &amp; Bute" u="1"/>
        <s v="NULL" u="1"/>
      </sharedItems>
    </cacheField>
    <cacheField name="Total" numFmtId="0">
      <sharedItems containsSemiMixedTypes="0" containsString="0" containsNumber="1" containsInteger="1" minValue="0" maxValue="225"/>
    </cacheField>
    <cacheField name="Watch Manager" numFmtId="0">
      <sharedItems containsString="0" containsBlank="1" containsNumber="1" containsInteger="1" minValue="0" maxValue="25"/>
    </cacheField>
    <cacheField name="Crew Manager" numFmtId="0">
      <sharedItems containsString="0" containsBlank="1" containsNumber="1" containsInteger="1" minValue="0" maxValue="47"/>
    </cacheField>
    <cacheField name="Firefighter" numFmtId="0">
      <sharedItems containsSemiMixedTypes="0" containsString="0" containsNumber="1" containsInteger="1" minValue="0" maxValue="180"/>
    </cacheField>
  </cacheFields>
  <extLst>
    <ext xmlns:x14="http://schemas.microsoft.com/office/spreadsheetml/2009/9/main" uri="{725AE2AE-9491-48be-B2B4-4EB974FC3084}">
      <x14:pivotCacheDefinition pivotCacheId="140"/>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28648842593" createdVersion="6" refreshedVersion="8" minRefreshableVersion="3" recordCount="613" xr:uid="{00000000-000A-0000-FFFF-FFFFC5000000}">
  <cacheSource type="worksheet">
    <worksheetSource name="hrod_HR_WT_FTE_RoleArea"/>
  </cacheSource>
  <cacheFields count="12">
    <cacheField name="Year" numFmtId="0">
      <sharedItems containsBlank="1" count="13">
        <s v="2013-14"/>
        <s v="2014-15"/>
        <s v="2015-16"/>
        <s v="2016-17"/>
        <s v="2017-18"/>
        <s v="2018-19"/>
        <s v="2019-20"/>
        <s v="2020-21"/>
        <s v="2021-22"/>
        <s v="2022-23"/>
        <s v="2023-24"/>
        <s v="2024-25"/>
        <m u="1"/>
      </sharedItems>
    </cacheField>
    <cacheField name="ReportingLevel" numFmtId="0">
      <sharedItems containsBlank="1" count="7">
        <s v="1:LA"/>
        <s v="2:LSO"/>
        <s v="3:SDA"/>
        <s v="4:National"/>
        <s v="Total"/>
        <s v="4:SDA" u="1"/>
        <m u="1"/>
      </sharedItems>
    </cacheField>
    <cacheField name="Code" numFmtId="0">
      <sharedItems containsBlank="1"/>
    </cacheField>
    <cacheField name="lvl" numFmtId="0">
      <sharedItems containsBlank="1" count="61">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 v="Aberdeen City, Aberdeenshire and Moray"/>
        <s v="Lanarkshire"/>
        <s v="ALL" u="1"/>
        <m u="1"/>
        <s v="Argyll and Bute, West Dunbartonshire and East Dunbartonshire" u="1"/>
        <s v="Perth and Kinross, Dundee City and Angus" u="1"/>
        <s v="Midlothian, East Lothian and Scottish Borders" u="1"/>
        <s v="Dumfries and Gallowa" u="1"/>
        <s v="East, North and South Ayrshire" u="1"/>
        <s v="Argyll &amp; Bute" u="1"/>
        <s v="Dumfries &amp; Galloway" u="1"/>
        <s v="Orkney Islands, Shetland Islands and Na h-Eileanan" u="1"/>
        <s v="NULL" u="1"/>
      </sharedItems>
    </cacheField>
    <cacheField name="Total" numFmtId="0">
      <sharedItems containsString="0" containsBlank="1" containsNumber="1" minValue="0" maxValue="4000.76"/>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10"/>
    </cacheField>
    <cacheField name="Crew Manager" numFmtId="0">
      <sharedItems containsString="0" containsBlank="1" containsNumber="1" minValue="0" maxValue="689"/>
    </cacheField>
    <cacheField name="Firefighter" numFmtId="0">
      <sharedItems containsString="0" containsBlank="1" containsNumber="1" minValue="0" maxValue="2373.7600000000002"/>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tring="0" containsBlank="1" containsNumber="1" minValue="0" maxValue="679"/>
    </cacheField>
  </cacheFields>
  <extLst>
    <ext xmlns:x14="http://schemas.microsoft.com/office/spreadsheetml/2009/9/main" uri="{725AE2AE-9491-48be-B2B4-4EB974FC3084}">
      <x14:pivotCacheDefinition pivotCacheId="14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30871296296" createdVersion="6" refreshedVersion="8" minRefreshableVersion="3" recordCount="373" xr:uid="{00000000-000A-0000-FFFF-FFFFC3000000}">
  <cacheSource type="worksheet">
    <worksheetSource name="hrod_HR_RDS_FTE_RoleArea"/>
  </cacheSource>
  <cacheFields count="8">
    <cacheField name="Year" numFmtId="0">
      <sharedItems containsBlank="1" count="13">
        <m/>
        <s v="2013-14"/>
        <s v="2014-15"/>
        <s v="2015-16"/>
        <s v="2016-17"/>
        <s v="2017-18"/>
        <s v="2018-19"/>
        <s v="2019-20"/>
        <s v="2020-21"/>
        <s v="2021-22"/>
        <s v="2022-23"/>
        <s v="2023-24"/>
        <s v="2024-25"/>
      </sharedItems>
    </cacheField>
    <cacheField name="ReportingLevel" numFmtId="0">
      <sharedItems containsBlank="1" count="2">
        <m/>
        <s v="1:LA"/>
      </sharedItems>
    </cacheField>
    <cacheField name="Code" numFmtId="0">
      <sharedItems containsBlank="1"/>
    </cacheField>
    <cacheField name="lvl" numFmtId="0">
      <sharedItems containsBlank="1" count="37">
        <m/>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Dumfries and Gallowa" u="1"/>
        <s v="Argyll &amp; Bute" u="1"/>
        <s v="NULL" u="1"/>
      </sharedItems>
    </cacheField>
    <cacheField name="Total" numFmtId="0">
      <sharedItems containsString="0" containsBlank="1" containsNumber="1" minValue="0" maxValue="2668.5"/>
    </cacheField>
    <cacheField name="Watch Manager" numFmtId="0">
      <sharedItems containsString="0" containsBlank="1" containsNumber="1" minValue="0" maxValue="263.75"/>
    </cacheField>
    <cacheField name="Crew Manager" numFmtId="0">
      <sharedItems containsString="0" containsBlank="1" containsNumber="1" minValue="0" maxValue="499"/>
    </cacheField>
    <cacheField name="Firefighter" numFmtId="0">
      <sharedItems containsString="0" containsBlank="1" containsNumber="1" minValue="0" maxValue="1913.55"/>
    </cacheField>
  </cacheFields>
  <extLst>
    <ext xmlns:x14="http://schemas.microsoft.com/office/spreadsheetml/2009/9/main" uri="{725AE2AE-9491-48be-B2B4-4EB974FC3084}">
      <x14:pivotCacheDefinition pivotCacheId="142"/>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2.431832754628" createdVersion="6" refreshedVersion="8" minRefreshableVersion="3" recordCount="12" xr:uid="{00000000-000A-0000-FFFF-FFFFC4000000}">
  <cacheSource type="worksheet">
    <worksheetSource name="hrod_HR_CS_FTE_RoleArea_Support"/>
  </cacheSource>
  <cacheFields count="12">
    <cacheField name="Year" numFmtId="0">
      <sharedItems count="12">
        <s v="2013-14"/>
        <s v="2014-15"/>
        <s v="2015-16"/>
        <s v="2016-17"/>
        <s v="2017-18"/>
        <s v="2018-19"/>
        <s v="2019-20"/>
        <s v="2020-21"/>
        <s v="2021-22"/>
        <s v="2022-23"/>
        <s v="2023-24"/>
        <s v="2024-25"/>
      </sharedItems>
    </cacheField>
    <cacheField name="Code" numFmtId="0">
      <sharedItems/>
    </cacheField>
    <cacheField name="ReportingLevel" numFmtId="0">
      <sharedItems count="4">
        <s v="4:National"/>
        <s v="Total" u="1"/>
        <s v="04:National" u="1"/>
        <s v="3:SDA" u="1"/>
      </sharedItems>
    </cacheField>
    <cacheField name="lvl" numFmtId="0">
      <sharedItems/>
    </cacheField>
    <cacheField name="Director" numFmtId="0">
      <sharedItems containsString="0" containsBlank="1" containsNumber="1" containsInteger="1" minValue="2" maxValue="4"/>
    </cacheField>
    <cacheField name="Service Manager" numFmtId="0">
      <sharedItems containsSemiMixedTypes="0" containsString="0" containsNumber="1" minValue="40" maxValue="94.089999999999989"/>
    </cacheField>
    <cacheField name="Team Leader" numFmtId="0">
      <sharedItems containsSemiMixedTypes="0" containsString="0" containsNumber="1" minValue="19.8" maxValue="36"/>
    </cacheField>
    <cacheField name="Professional" numFmtId="0">
      <sharedItems containsSemiMixedTypes="0" containsString="0" containsNumber="1" minValue="42.3" maxValue="100.35"/>
    </cacheField>
    <cacheField name="Specialist Technical" numFmtId="0">
      <sharedItems containsSemiMixedTypes="0" containsString="0" containsNumber="1" minValue="256.40000000000003" maxValue="449.55000000000018"/>
    </cacheField>
    <cacheField name="Tech Support" numFmtId="0">
      <sharedItems containsSemiMixedTypes="0" containsString="0" containsNumber="1" minValue="53.880000000000038" maxValue="199.5"/>
    </cacheField>
    <cacheField name="Administration" numFmtId="0">
      <sharedItems containsSemiMixedTypes="0" containsString="0" containsNumber="1" minValue="123.36" maxValue="223.6"/>
    </cacheField>
    <cacheField name="Total" numFmtId="0">
      <sharedItems containsSemiMixedTypes="0" containsString="0" containsNumber="1" minValue="718.56228571428574" maxValue="862.46000000000026"/>
    </cacheField>
  </cacheFields>
  <extLst>
    <ext xmlns:x14="http://schemas.microsoft.com/office/spreadsheetml/2009/9/main" uri="{725AE2AE-9491-48be-B2B4-4EB974FC3084}">
      <x14:pivotCacheDefinition pivotCacheId="157"/>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4.614193634261" createdVersion="6" refreshedVersion="8" minRefreshableVersion="3" recordCount="48" xr:uid="{00000000-000A-0000-FFFF-FFFFB8000000}">
  <cacheSource type="worksheet">
    <worksheetSource name="hrod_HR_GeographicStructure"/>
  </cacheSource>
  <cacheFields count="8">
    <cacheField name="Year" numFmtId="0">
      <sharedItems count="12">
        <s v="2013-14"/>
        <s v="2017-18"/>
        <s v="2018-19"/>
        <s v="2020-21"/>
        <s v="2022-23"/>
        <s v="2024-25"/>
        <s v="2015-16"/>
        <s v="2016-17"/>
        <s v="2021-22"/>
        <s v="2014-15"/>
        <s v="2019-20"/>
        <s v="2023-24"/>
      </sharedItems>
    </cacheField>
    <cacheField name="ReportingLevel" numFmtId="0">
      <sharedItems containsBlank="1" count="7">
        <s v="2:LSO"/>
        <s v="1:LA"/>
        <s v="4:National"/>
        <s v="3:SDA"/>
        <m u="1"/>
        <s v="04:National" u="1"/>
        <s v="Scotland" u="1"/>
      </sharedItems>
    </cacheField>
    <cacheField name="Wholetime Operational" numFmtId="0">
      <sharedItems containsSemiMixedTypes="0" containsString="0" containsNumber="1" containsInteger="1" minValue="50" maxValue="3392"/>
    </cacheField>
    <cacheField name="RDS" numFmtId="0">
      <sharedItems containsString="0" containsBlank="1" containsNumber="1" containsInteger="1" minValue="0" maxValue="2950"/>
    </cacheField>
    <cacheField name="RDS Fulltime" numFmtId="0">
      <sharedItems containsString="0" containsBlank="1" containsNumber="1" containsInteger="1" minValue="0" maxValue="60"/>
    </cacheField>
    <cacheField name="Control" numFmtId="0">
      <sharedItems containsString="0" containsBlank="1" containsNumber="1" containsInteger="1" minValue="0" maxValue="230"/>
    </cacheField>
    <cacheField name="Support" numFmtId="0">
      <sharedItems containsString="0" containsBlank="1" containsNumber="1" containsInteger="1" minValue="0" maxValue="920"/>
    </cacheField>
    <cacheField name="Volunteer" numFmtId="0">
      <sharedItems containsString="0" containsBlank="1" containsNumber="1" containsInteger="1" minValue="0" maxValue="378"/>
    </cacheField>
  </cacheFields>
  <extLst>
    <ext xmlns:x14="http://schemas.microsoft.com/office/spreadsheetml/2009/9/main" uri="{725AE2AE-9491-48be-B2B4-4EB974FC3084}">
      <x14:pivotCacheDefinition pivotCacheId="133"/>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4.619824189816" createdVersion="8" refreshedVersion="8" minRefreshableVersion="3" recordCount="25" xr:uid="{8D5A0897-B52E-4642-8963-19343D417C5F}">
  <cacheSource type="worksheet">
    <worksheetSource name="NR_Households"/>
  </cacheSource>
  <cacheFields count="3">
    <cacheField name="Council" numFmtId="0">
      <sharedItems/>
    </cacheField>
    <cacheField name="Year" numFmtId="0">
      <sharedItems containsSemiMixedTypes="0" containsString="0" containsNumber="1" containsInteger="1" minValue="1991" maxValue="2024" count="25">
        <n v="1991"/>
        <n v="2001"/>
        <n v="2002"/>
        <n v="2003"/>
        <n v="2004"/>
        <n v="2005"/>
        <n v="2006"/>
        <n v="2007"/>
        <n v="2008"/>
        <n v="2009"/>
        <n v="2010"/>
        <n v="2011"/>
        <n v="2012"/>
        <n v="2013"/>
        <n v="2014"/>
        <n v="2015"/>
        <n v="2016"/>
        <n v="2017"/>
        <n v="2018"/>
        <n v="2019"/>
        <n v="2020"/>
        <n v="2021"/>
        <n v="2022"/>
        <n v="2023"/>
        <n v="2024"/>
      </sharedItems>
    </cacheField>
    <cacheField name="Households" numFmtId="0">
      <sharedItems containsSemiMixedTypes="0" containsString="0" containsNumber="1" minValue="2042809" maxValue="2552388.2351710973"/>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427675231484" createdVersion="6" refreshedVersion="8" minRefreshableVersion="3" recordCount="317" xr:uid="{00000000-000A-0000-FFFF-FFFFC1000000}">
  <cacheSource type="worksheet">
    <worksheetSource name="hrod_HR_Gender_Role"/>
  </cacheSource>
  <cacheFields count="6">
    <cacheField name="Year" numFmtId="0">
      <sharedItems count="12">
        <s v="2013-14"/>
        <s v="2014-15"/>
        <s v="2015-16"/>
        <s v="2016-17"/>
        <s v="2017-18"/>
        <s v="2019-20"/>
        <s v="2020-21"/>
        <s v="2021-22"/>
        <s v="2022-23"/>
        <s v="2023-24"/>
        <s v="2024-25"/>
        <s v="2018-19"/>
      </sharedItems>
    </cacheField>
    <cacheField name="Type" numFmtId="0">
      <sharedItems count="6">
        <s v="Control"/>
        <s v="Support"/>
        <s v="Vol"/>
        <s v="WT"/>
        <s v="RDS"/>
        <s v="RDS Fulltime"/>
      </sharedItems>
    </cacheField>
    <cacheField name="PostConv" numFmtId="0">
      <sharedItems containsBlank="1" count="17">
        <s v="Group Manager"/>
        <s v="Specialist Technical"/>
        <s v="Crew Manager"/>
        <s v="Tech Support"/>
        <s v="Area Manager"/>
        <s v="Administration"/>
        <s v="Firefighter"/>
        <s v="Watch Manager"/>
        <s v="Director"/>
        <s v="Brigade Manager"/>
        <s v="Station Manager"/>
        <s v="Team Leader"/>
        <s v="Service Manager"/>
        <s v="Professional"/>
        <s v="Watch Manger"/>
        <m u="1"/>
        <s v="Technical Support" u="1"/>
      </sharedItems>
    </cacheField>
    <cacheField name="Total" numFmtId="0">
      <sharedItems containsSemiMixedTypes="0" containsString="0" containsNumber="1" containsInteger="1" minValue="0" maxValue="2374"/>
    </cacheField>
    <cacheField name="Female" numFmtId="0">
      <sharedItems containsString="0" containsBlank="1" containsNumber="1" containsInteger="1" minValue="0" maxValue="248"/>
    </cacheField>
    <cacheField name="Male" numFmtId="0">
      <sharedItems containsSemiMixedTypes="0" containsString="0" containsNumber="1" containsInteger="1" minValue="0" maxValue="2268"/>
    </cacheField>
  </cacheFields>
  <extLst>
    <ext xmlns:x14="http://schemas.microsoft.com/office/spreadsheetml/2009/9/main" uri="{725AE2AE-9491-48be-B2B4-4EB974FC3084}">
      <x14:pivotCacheDefinition pivotCacheId="128"/>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429914004628" createdVersion="6" refreshedVersion="8" minRefreshableVersion="3" recordCount="281" xr:uid="{00000000-000A-0000-FFFF-FFFFC6000000}">
  <cacheSource type="worksheet">
    <worksheetSource name="hrod_HR_FTE_Gender_Role"/>
  </cacheSource>
  <cacheFields count="6">
    <cacheField name="Year" numFmtId="0">
      <sharedItems count="12">
        <s v="2013-14"/>
        <s v="2014-15"/>
        <s v="2015-16"/>
        <s v="2016-17"/>
        <s v="2017-18"/>
        <s v="2018-19"/>
        <s v="2019-20"/>
        <s v="2020-21"/>
        <s v="2021-22"/>
        <s v="2022-23"/>
        <s v="2023-24"/>
        <s v="2024-25"/>
      </sharedItems>
    </cacheField>
    <cacheField name="Type" numFmtId="0">
      <sharedItems count="5">
        <s v="RDS"/>
        <s v="Support"/>
        <s v="Control"/>
        <s v="WT"/>
        <s v="RDS Fulltime"/>
      </sharedItems>
    </cacheField>
    <cacheField name="PostConv" numFmtId="0">
      <sharedItems containsBlank="1" count="16">
        <s v="Firefighter"/>
        <s v="Tech Support"/>
        <s v="Crew Manager"/>
        <s v="Administration"/>
        <s v="Director"/>
        <s v="Team Leader"/>
        <s v="Watch Manager"/>
        <s v="Area Manager"/>
        <s v="Station Manager"/>
        <s v="Brigade Manager"/>
        <s v="Professional"/>
        <s v="Group Manager"/>
        <s v="Specialist Technical"/>
        <s v="Service Manager"/>
        <s v="Watch Manger"/>
        <m u="1"/>
      </sharedItems>
    </cacheField>
    <cacheField name="Total" numFmtId="0">
      <sharedItems containsString="0" containsBlank="1" containsNumber="1" minValue="2" maxValue="2373.7600000000002"/>
    </cacheField>
    <cacheField name="Female" numFmtId="0">
      <sharedItems containsString="0" containsBlank="1" containsNumber="1" minValue="0" maxValue="204.51"/>
    </cacheField>
    <cacheField name="Male" numFmtId="0">
      <sharedItems containsString="0" containsBlank="1" containsNumber="1" minValue="0" maxValue="2267.7600000000002"/>
    </cacheField>
  </cacheFields>
  <extLst>
    <ext xmlns:x14="http://schemas.microsoft.com/office/spreadsheetml/2009/9/main" uri="{725AE2AE-9491-48be-B2B4-4EB974FC3084}">
      <x14:pivotCacheDefinition pivotCacheId="145"/>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479989699073" createdVersion="8" refreshedVersion="8" minRefreshableVersion="3" recordCount="12" xr:uid="{C30237A0-B707-4179-8EC0-829ECD2C267F}">
  <cacheSource type="worksheet">
    <worksheetSource name="cset_AgeProfile_Percent"/>
  </cacheSource>
  <cacheFields count="8">
    <cacheField name="Year" numFmtId="0">
      <sharedItems count="12">
        <s v="2013-14"/>
        <s v="2014-15"/>
        <s v="2015-16"/>
        <s v="2016-17"/>
        <s v="2017-18"/>
        <s v="2018-19"/>
        <s v="2019-20"/>
        <s v="2020-21"/>
        <s v="2021-22"/>
        <s v="2022-23"/>
        <s v="2023-24"/>
        <s v="2024-25"/>
      </sharedItems>
    </cacheField>
    <cacheField name="Under 5s" numFmtId="0">
      <sharedItems containsSemiMixedTypes="0" containsString="0" containsNumber="1" minValue="0.48141437268295645" maxValue="3.2383018810173998"/>
    </cacheField>
    <cacheField name="5 to 10" numFmtId="0">
      <sharedItems containsSemiMixedTypes="0" containsString="0" containsNumber="1" minValue="0.45840896568505429" maxValue="2.4963871217651699"/>
    </cacheField>
    <cacheField name="11 to 16" numFmtId="0">
      <sharedItems containsSemiMixedTypes="0" containsString="0" containsNumber="1" minValue="0.36746497554977431" maxValue="1.7888109120957101"/>
    </cacheField>
    <cacheField name="17 to 30" numFmtId="0">
      <sharedItems containsSemiMixedTypes="0" containsString="0" containsNumber="1" minValue="0.31022444614256844" maxValue="2.17919399729813"/>
    </cacheField>
    <cacheField name="31 to 60" numFmtId="0">
      <sharedItems containsSemiMixedTypes="0" containsString="0" containsNumber="1" minValue="0.42915501219418262" maxValue="2.1170750711117798"/>
    </cacheField>
    <cacheField name="Over 60" numFmtId="0">
      <sharedItems containsSemiMixedTypes="0" containsString="0" containsNumber="1" minValue="1.1999685342583262" maxValue="4.1736147049239998"/>
    </cacheField>
    <cacheField name="All Residents" numFmtId="0">
      <sharedItems containsSemiMixedTypes="0" containsString="0" containsNumber="1" minValue="0.59687156970362243" maxValue="2.5319180884809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470601273148" createdVersion="8" refreshedVersion="8" minRefreshableVersion="3" recordCount="9" xr:uid="{D154C1CD-7AB2-43D1-91E9-361EC4262405}">
  <cacheSource type="worksheet">
    <worksheetSource name="hsw_Attacks_Operational_New"/>
  </cacheSource>
  <cacheFields count="6">
    <cacheField name="Op" numFmtId="0">
      <sharedItems count="1">
        <s v="Operational"/>
      </sharedItems>
    </cacheField>
    <cacheField name="FinYear" numFmtId="0">
      <sharedItems count="9">
        <s v="2016-17"/>
        <s v="2017-18"/>
        <s v="2018-19"/>
        <s v="2019-20"/>
        <s v="2020-21"/>
        <s v="2021-22"/>
        <s v="2022-23"/>
        <s v="2023-24"/>
        <s v="2024-25"/>
      </sharedItems>
    </cacheField>
    <cacheField name="Attack against property/equipment" numFmtId="0">
      <sharedItems containsSemiMixedTypes="0" containsString="0" containsNumber="1" containsInteger="1" minValue="10" maxValue="25"/>
    </cacheField>
    <cacheField name="Verbal assault" numFmtId="0">
      <sharedItems containsSemiMixedTypes="0" containsString="0" containsNumber="1" containsInteger="1" minValue="9" maxValue="34"/>
    </cacheField>
    <cacheField name="Physical assault" numFmtId="0">
      <sharedItems containsSemiMixedTypes="0" containsString="0" containsNumber="1" containsInteger="1" minValue="13" maxValue="46"/>
    </cacheField>
    <cacheField name="Total" numFmtId="0">
      <sharedItems containsSemiMixedTypes="0" containsString="0" containsNumber="1" containsInteger="1" minValue="51" maxValue="77"/>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488991550927" createdVersion="8" refreshedVersion="8" minRefreshableVersion="3" recordCount="11" xr:uid="{ED5804A2-5B25-4679-843A-2F25F9109CAF}">
  <cacheSource type="worksheet">
    <worksheetSource name="cset_SIMD_Alarms__2"/>
  </cacheSource>
  <cacheFields count="7">
    <cacheField name="Year" numFmtId="0">
      <sharedItems count="11">
        <s v="2014-15"/>
        <s v="2015-16"/>
        <s v="2016-17"/>
        <s v="2017-18"/>
        <s v="2018-19"/>
        <s v="2019-20"/>
        <s v="2020-21"/>
        <s v="2021-22"/>
        <s v="2022-23"/>
        <s v="2023-24"/>
        <s v="2024-25"/>
      </sharedItems>
    </cacheField>
    <cacheField name="1 - Most Deprived 20%" numFmtId="0">
      <sharedItems containsString="0" containsBlank="1" containsNumber="1" containsInteger="1" minValue="941" maxValue="5967"/>
    </cacheField>
    <cacheField name="2" numFmtId="0">
      <sharedItems containsString="0" containsBlank="1" containsNumber="1" containsInteger="1" minValue="1019" maxValue="6550"/>
    </cacheField>
    <cacheField name="3" numFmtId="0">
      <sharedItems containsString="0" containsBlank="1" containsNumber="1" containsInteger="1" minValue="849" maxValue="5947"/>
    </cacheField>
    <cacheField name="4" numFmtId="0">
      <sharedItems containsString="0" containsBlank="1" containsNumber="1" containsInteger="1" minValue="728" maxValue="5619"/>
    </cacheField>
    <cacheField name="5 - Least Deprived 20%" numFmtId="0">
      <sharedItems containsString="0" containsBlank="1" containsNumber="1" containsInteger="1" minValue="653" maxValue="5063"/>
    </cacheField>
    <cacheField name="All Scotland" numFmtId="0">
      <sharedItems containsString="0" containsBlank="1" containsNumber="1" containsInteger="1" minValue="4190" maxValue="28977"/>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549014467593" createdVersion="8" refreshedVersion="8" minRefreshableVersion="3" recordCount="11" xr:uid="{3C0ECC1F-2CC8-4224-99B0-C577D1BC432A}">
  <cacheSource type="worksheet">
    <worksheetSource name="cset_SIMD_Alarms_OccupiedDwellings__2"/>
  </cacheSource>
  <cacheFields count="7">
    <cacheField name="Year" numFmtId="0">
      <sharedItems count="11">
        <s v="2022-23"/>
        <s v="2023-24"/>
        <s v="2024-25"/>
        <s v="2017-18"/>
        <s v="2019-20"/>
        <s v="2016-17"/>
        <s v="2018-19"/>
        <s v="2020-21"/>
        <s v="2014-15"/>
        <s v="2015-16"/>
        <s v="2021-22"/>
      </sharedItems>
    </cacheField>
    <cacheField name="1 - Most Deprived 20%" numFmtId="0">
      <sharedItems containsString="0" containsBlank="1" containsNumber="1" minValue="0.2" maxValue="1.1000000000000001"/>
    </cacheField>
    <cacheField name="2" numFmtId="0">
      <sharedItems containsString="0" containsBlank="1" containsNumber="1" minValue="0.2" maxValue="1.3"/>
    </cacheField>
    <cacheField name="3" numFmtId="0">
      <sharedItems containsString="0" containsBlank="1" containsNumber="1" minValue="0.2" maxValue="1.2"/>
    </cacheField>
    <cacheField name="4" numFmtId="0">
      <sharedItems containsString="0" containsBlank="1" containsNumber="1" minValue="0.1" maxValue="1.2"/>
    </cacheField>
    <cacheField name="5 - Least Deprived 20%" numFmtId="0">
      <sharedItems containsString="0" containsBlank="1" containsNumber="1" minValue="0.1" maxValue="1.1000000000000001"/>
    </cacheField>
    <cacheField name="All Scotland" numFmtId="0">
      <sharedItems containsString="0" containsBlank="1" containsNumber="1" minValue="0.2" maxValue="1.2"/>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560059837961" createdVersion="8" refreshedVersion="8" minRefreshableVersion="3" recordCount="56" xr:uid="{746BA8B0-52DA-4563-A259-D455064A81FA}">
  <cacheSource type="worksheet">
    <worksheetSource name="cset_simd_ownerocc"/>
  </cacheSource>
  <cacheFields count="7">
    <cacheField name="FisYr" numFmtId="0">
      <sharedItems containsBlank="1" count="13">
        <s v="NULL"/>
        <s v="2014-15"/>
        <s v="2015-16"/>
        <s v="2016-17"/>
        <s v="2017-18"/>
        <s v="2018-19"/>
        <s v="2019-20"/>
        <s v="2020-21"/>
        <s v="2021-22"/>
        <s v="2022-23"/>
        <s v="2023-24"/>
        <s v="2024-25"/>
        <m u="1"/>
      </sharedItems>
    </cacheField>
    <cacheField name="SIMD2020_Quintile" numFmtId="0">
      <sharedItems containsMixedTypes="1" containsNumber="1" containsInteger="1" minValue="1" maxValue="5" count="6">
        <s v="NULL"/>
        <n v="1"/>
        <n v="2"/>
        <n v="3"/>
        <n v="4"/>
        <n v="5"/>
      </sharedItems>
    </cacheField>
    <cacheField name="Visits" numFmtId="0">
      <sharedItems containsMixedTypes="1" containsNumber="1" containsInteger="1" minValue="1867" maxValue="8892"/>
    </cacheField>
    <cacheField name="WithAlarmsFitted" numFmtId="0">
      <sharedItems containsMixedTypes="1" containsNumber="1" containsInteger="1" minValue="757" maxValue="4750"/>
    </cacheField>
    <cacheField name="pcAlarmsFitted" numFmtId="0">
      <sharedItems containsMixedTypes="1" containsNumber="1" minValue="23.3" maxValue="57.6"/>
    </cacheField>
    <cacheField name="RateAlarmsFittedper100OccupiedDwellings" numFmtId="0">
      <sharedItems containsMixedTypes="1" containsNumber="1" minValue="0.15" maxValue="0.99"/>
    </cacheField>
    <cacheField name="OccupiedDwellings" numFmtId="0">
      <sharedItems containsMixedTypes="1" containsNumber="1" containsInteger="1" minValue="449892" maxValue="547426"/>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563594675928" createdVersion="8" refreshedVersion="8" minRefreshableVersion="3" recordCount="12" xr:uid="{833FA4D8-B467-4FD0-8823-64AC91DBBDC3}">
  <cacheSource type="worksheet">
    <worksheetSource name="cset_UrbanRural__3"/>
  </cacheSource>
  <cacheFields count="8">
    <cacheField name="Year" numFmtId="0">
      <sharedItems containsBlank="1" count="12">
        <m/>
        <s v="2014-15"/>
        <s v="2015-16"/>
        <s v="2016-17"/>
        <s v="2017-18"/>
        <s v="2018-19"/>
        <s v="2019-20"/>
        <s v="2020-21"/>
        <s v="2021-22"/>
        <s v="2022-23"/>
        <s v="2023-24"/>
        <s v="2024-25"/>
      </sharedItems>
    </cacheField>
    <cacheField name="1 - Large Urban Areas" numFmtId="0">
      <sharedItems containsString="0" containsBlank="1" containsNumber="1" containsInteger="1" minValue="6604" maxValue="25573"/>
    </cacheField>
    <cacheField name="2 - Other Urban Areas" numFmtId="0">
      <sharedItems containsString="0" containsBlank="1" containsNumber="1" containsInteger="1" minValue="8556" maxValue="29952"/>
    </cacheField>
    <cacheField name="3 - Accessible Small Towns" numFmtId="0">
      <sharedItems containsString="0" containsBlank="1" containsNumber="1" containsInteger="1" minValue="1582" maxValue="5426"/>
    </cacheField>
    <cacheField name="4 - Remote Small Towns" numFmtId="0">
      <sharedItems containsString="0" containsBlank="1" containsNumber="1" containsInteger="1" minValue="722" maxValue="3085"/>
    </cacheField>
    <cacheField name="5 - Accessible Rural" numFmtId="0">
      <sharedItems containsString="0" containsBlank="1" containsNumber="1" containsInteger="1" minValue="1541" maxValue="6082"/>
    </cacheField>
    <cacheField name="6 - Remote Rural" numFmtId="0">
      <sharedItems containsString="0" containsBlank="1" containsNumber="1" containsInteger="1" minValue="957" maxValue="4717"/>
    </cacheField>
    <cacheField name="All Scotland" numFmtId="0">
      <sharedItems containsString="0" containsBlank="1" containsNumber="1" containsInteger="1" minValue="19962" maxValue="71487"/>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566419328701" createdVersion="8" refreshedVersion="8" minRefreshableVersion="3" recordCount="12" xr:uid="{5F0E0B72-ACA5-4B5A-ABDD-1F33A9248465}">
  <cacheSource type="worksheet">
    <worksheetSource name="cset_UrbanRural_OccupiedDwellings__3"/>
  </cacheSource>
  <cacheFields count="8">
    <cacheField name="Year" numFmtId="0">
      <sharedItems containsBlank="1" count="12">
        <m/>
        <s v="2022-23"/>
        <s v="2017-18"/>
        <s v="2019-20"/>
        <s v="2014-15"/>
        <s v="2016-17"/>
        <s v="2018-19"/>
        <s v="2020-21"/>
        <s v="2023-24"/>
        <s v="2024-25"/>
        <s v="2015-16"/>
        <s v="2021-22"/>
      </sharedItems>
    </cacheField>
    <cacheField name="1 - Large Urban Areas" numFmtId="0">
      <sharedItems containsString="0" containsBlank="1" containsNumber="1" minValue="0.7" maxValue="2.8"/>
    </cacheField>
    <cacheField name="2 - Other Urban Areas" numFmtId="0">
      <sharedItems containsString="0" containsBlank="1" containsNumber="1" minValue="0.9" maxValue="3.4"/>
    </cacheField>
    <cacheField name="3 - Accessible Small Towns" numFmtId="0">
      <sharedItems containsString="0" containsBlank="1" containsNumber="1" minValue="0.8" maxValue="2.7"/>
    </cacheField>
    <cacheField name="4 - Remote Small Towns" numFmtId="0">
      <sharedItems containsString="0" containsBlank="1" containsNumber="1" minValue="0.8" maxValue="3.4"/>
    </cacheField>
    <cacheField name="5 - Accessible Rural" numFmtId="0">
      <sharedItems containsString="0" containsBlank="1" containsNumber="1" minValue="0.6" maxValue="2.4"/>
    </cacheField>
    <cacheField name="6 - Remote Rural" numFmtId="0">
      <sharedItems containsString="0" containsBlank="1" containsNumber="1" minValue="0.6" maxValue="3.2"/>
    </cacheField>
    <cacheField name="All Scotland" numFmtId="0">
      <sharedItems containsString="0" containsBlank="1" containsNumber="1" minValue="0.8" maxValue="2.9"/>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702112268518" createdVersion="8" refreshedVersion="8" minRefreshableVersion="3" recordCount="115" xr:uid="{4FDCFA12-C4A5-42BC-854E-A3E4C39B018D}">
  <cacheSource type="worksheet">
    <worksheetSource name="hrod_HR_Ethnicity"/>
  </cacheSource>
  <cacheFields count="5">
    <cacheField name="FisYr" numFmtId="0">
      <sharedItems count="15">
        <s v="2010-11"/>
        <s v="2011-12"/>
        <s v="2012-13"/>
        <s v="2013-14"/>
        <s v="2014-15"/>
        <s v="2015-16"/>
        <s v="2016-17"/>
        <s v="2017-18"/>
        <s v="2018-19"/>
        <s v="2019-20"/>
        <s v="2020-21"/>
        <s v="2021-22"/>
        <s v="2022-23"/>
        <s v="2023-24"/>
        <s v="2024-25"/>
      </sharedItems>
    </cacheField>
    <cacheField name="Type" numFmtId="0">
      <sharedItems containsBlank="1" count="9">
        <s v="Control"/>
        <s v="RDS"/>
        <s v="Support"/>
        <s v="Total"/>
        <s v="Total (ex Vol)"/>
        <s v="Vol"/>
        <s v="WT"/>
        <s v="RDS Fulltime"/>
        <m/>
      </sharedItems>
    </cacheField>
    <cacheField name="White" numFmtId="0">
      <sharedItems containsString="0" containsBlank="1" containsNumber="1" minValue="26.7" maxValue="90.6"/>
    </cacheField>
    <cacheField name="Ethnic Minority" numFmtId="0">
      <sharedItems containsString="0" containsBlank="1" containsNumber="1" minValue="0.1" maxValue="2.335456475583864"/>
    </cacheField>
    <cacheField name="Not Stated" numFmtId="0">
      <sharedItems containsString="0" containsBlank="1" containsNumber="1" minValue="9" maxValue="72.8"/>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7.745320486109" createdVersion="6" refreshedVersion="8" minRefreshableVersion="3" recordCount="12" xr:uid="{00000000-000A-0000-FFFF-FFFFC7000000}">
  <cacheSource type="worksheet">
    <worksheetSource name="hrod_HR_CS_FTE_RoleArea_Control"/>
  </cacheSource>
  <cacheFields count="11">
    <cacheField name="Year" numFmtId="0">
      <sharedItems count="12">
        <s v="2013-14"/>
        <s v="2014-15"/>
        <s v="2015-16"/>
        <s v="2016-17"/>
        <s v="2017-18"/>
        <s v="2018-19"/>
        <s v="2019-20"/>
        <s v="2020-21"/>
        <s v="2021-22"/>
        <s v="2022-23"/>
        <s v="2023-24"/>
        <s v="2024-25"/>
      </sharedItems>
    </cacheField>
    <cacheField name="ReportingLevel" numFmtId="0">
      <sharedItems count="2">
        <s v="4:National"/>
        <s v="3:SDA" u="1"/>
      </sharedItems>
    </cacheField>
    <cacheField name="lvl" numFmtId="0">
      <sharedItems/>
    </cacheField>
    <cacheField name="Code" numFmtId="0">
      <sharedItems/>
    </cacheField>
    <cacheField name="Total" numFmtId="0">
      <sharedItems containsSemiMixedTypes="0" containsString="0" containsNumber="1" minValue="160" maxValue="220.79"/>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2" maxValue="6"/>
    </cacheField>
    <cacheField name="Station Manager" numFmtId="0">
      <sharedItems containsSemiMixedTypes="0" containsString="0" containsNumber="1" minValue="6.8333333333333339" maxValue="12.85"/>
    </cacheField>
    <cacheField name="Watch Manager" numFmtId="0">
      <sharedItems containsSemiMixedTypes="0" containsString="0" containsNumber="1" minValue="36.86" maxValue="51.56"/>
    </cacheField>
    <cacheField name="Crew Manager" numFmtId="0">
      <sharedItems containsSemiMixedTypes="0" containsString="0" containsNumber="1" minValue="25.79" maxValue="51.01"/>
    </cacheField>
    <cacheField name="Control Operator" numFmtId="0">
      <sharedItems containsSemiMixedTypes="0" containsString="0" containsNumber="1" minValue="76" maxValue="119.33"/>
    </cacheField>
  </cacheFields>
  <extLst>
    <ext xmlns:x14="http://schemas.microsoft.com/office/spreadsheetml/2009/9/main" uri="{725AE2AE-9491-48be-B2B4-4EB974FC3084}">
      <x14:pivotCacheDefinition pivotCacheId="143"/>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8.473857870369" createdVersion="8" refreshedVersion="8" minRefreshableVersion="3" recordCount="23" xr:uid="{073DB4E9-A890-4E0C-8FBF-98DC54F06A74}">
  <cacheSource type="worksheet">
    <worksheetSource name="cset_DistinctVisits_Final"/>
  </cacheSource>
  <cacheFields count="12">
    <cacheField name="FisYr" numFmtId="0">
      <sharedItems count="12">
        <s v="2013-14"/>
        <s v="2014-15"/>
        <s v="2015-16"/>
        <s v="2016-17"/>
        <s v="2017-18"/>
        <s v="2018-19"/>
        <s v="2019-20"/>
        <s v="2020-21"/>
        <s v="2021-22"/>
        <s v="2022-23"/>
        <s v="2023-24"/>
        <s v="2024-25"/>
      </sharedItems>
    </cacheField>
    <cacheField name="Counted" numFmtId="0">
      <sharedItems count="2">
        <s v="All"/>
        <s v="withAlarmsInstalled"/>
      </sharedItems>
    </cacheField>
    <cacheField name="OneYrDistinct" numFmtId="0">
      <sharedItems containsSemiMixedTypes="0" containsString="0" containsNumber="1" containsInteger="1" minValue="4253" maxValue="69038"/>
    </cacheField>
    <cacheField name="ThreeYrDistinct" numFmtId="0">
      <sharedItems containsString="0" containsBlank="1" containsNumber="1" containsInteger="1" minValue="10280" maxValue="180398"/>
    </cacheField>
    <cacheField name="FiveYrDistinct" numFmtId="0">
      <sharedItems containsString="0" containsBlank="1" containsNumber="1" containsInteger="1" minValue="32110" maxValue="272384"/>
    </cacheField>
    <cacheField name="OneYrDistinctNew" numFmtId="0">
      <sharedItems containsString="0" containsBlank="1" containsNumber="1" containsInteger="1" minValue="12799" maxValue="47485"/>
    </cacheField>
    <cacheField name="HouseholdsinYr" numFmtId="0">
      <sharedItems containsSemiMixedTypes="0" containsString="0" containsNumber="1" minValue="2400342" maxValue="2552388.2351710973"/>
    </cacheField>
    <cacheField name="HouseholdsThreeYrAv" numFmtId="0">
      <sharedItems containsSemiMixedTypes="0" containsString="0" containsNumber="1" containsInteger="1" minValue="2387809" maxValue="2545832"/>
    </cacheField>
    <cacheField name="HouseholdsFiveYrAv" numFmtId="0">
      <sharedItems containsSemiMixedTypes="0" containsString="0" containsNumber="1" containsInteger="1" minValue="2376011" maxValue="2534789"/>
    </cacheField>
    <cacheField name="pcOYDH" numFmtId="0">
      <sharedItems containsSemiMixedTypes="0" containsString="0" containsNumber="1" minValue="0.17" maxValue="2.84"/>
    </cacheField>
    <cacheField name="pcTYDH" numFmtId="0">
      <sharedItems containsString="0" containsBlank="1" containsNumber="1" minValue="0.41" maxValue="7.37"/>
    </cacheField>
    <cacheField name="pcFYDH" numFmtId="0">
      <sharedItems containsString="0" containsBlank="1" containsNumber="1" minValue="1.26" maxValue="10.99"/>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8.576110648151" createdVersion="6" refreshedVersion="8" minRefreshableVersion="3" recordCount="62" xr:uid="{00000000-000A-0000-FFFF-FFFFB9000000}">
  <cacheSource type="worksheet">
    <worksheetSource name="hrod_HR_Role"/>
  </cacheSource>
  <cacheFields count="10">
    <cacheField name="Year" numFmtId="0">
      <sharedItems count="12">
        <s v="2013-14"/>
        <s v="2014-15"/>
        <s v="2017-18"/>
        <s v="2019-20"/>
        <s v="2020-21"/>
        <s v="2021-22"/>
        <s v="2023-24"/>
        <s v="2018-19"/>
        <s v="2015-16"/>
        <s v="2024-25"/>
        <s v="2016-17"/>
        <s v="2022-23"/>
      </sharedItems>
    </cacheField>
    <cacheField name="Type" numFmtId="0">
      <sharedItems count="6">
        <s v="RDS"/>
        <s v="Control"/>
        <s v="Support"/>
        <s v="Vol"/>
        <s v="WT"/>
        <s v="RDS Fulltime"/>
      </sharedItems>
    </cacheField>
    <cacheField name="Total" numFmtId="0">
      <sharedItems containsSemiMixedTypes="0" containsString="0" containsNumber="1" containsInteger="1" minValue="0" maxValue="4001"/>
    </cacheField>
    <cacheField name="Brigade Manager" numFmtId="0">
      <sharedItems containsString="0" containsBlank="1" containsNumber="1" containsInteger="1" minValue="4" maxValue="9"/>
    </cacheField>
    <cacheField name="Area Manager" numFmtId="0">
      <sharedItems containsString="0" containsBlank="1" containsNumber="1" containsInteger="1" minValue="1" maxValue="35"/>
    </cacheField>
    <cacheField name="Group Manager" numFmtId="0">
      <sharedItems containsString="0" containsBlank="1" containsNumber="1" containsInteger="1" minValue="2" maxValue="115"/>
    </cacheField>
    <cacheField name="Station Manager" numFmtId="0">
      <sharedItems containsString="0" containsBlank="1" containsNumber="1" containsInteger="1" minValue="7" maxValue="160"/>
    </cacheField>
    <cacheField name="Watch Manager" numFmtId="0">
      <sharedItems containsString="0" containsBlank="1" containsNumber="1" containsInteger="1" minValue="9" maxValue="679"/>
    </cacheField>
    <cacheField name="Crew Manager" numFmtId="0">
      <sharedItems containsString="0" containsBlank="1" containsNumber="1" containsInteger="1" minValue="1" maxValue="689"/>
    </cacheField>
    <cacheField name="Firefighter" numFmtId="0">
      <sharedItems containsString="0" containsBlank="1" containsNumber="1" containsInteger="1" minValue="80" maxValue="2374"/>
    </cacheField>
  </cacheFields>
  <extLst>
    <ext xmlns:x14="http://schemas.microsoft.com/office/spreadsheetml/2009/9/main" uri="{725AE2AE-9491-48be-B2B4-4EB974FC3084}">
      <x14:pivotCacheDefinition pivotCacheId="134"/>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8.62038252315" createdVersion="8" refreshedVersion="8" minRefreshableVersion="3" recordCount="14" xr:uid="{1A72196F-7A66-4A88-AA1E-6A63377881ED}">
  <cacheSource type="worksheet">
    <worksheetSource name="hrod_HR_Disability_Known"/>
  </cacheSource>
  <cacheFields count="9">
    <cacheField name="Year" numFmtId="0">
      <sharedItems count="14">
        <s v="2011-12"/>
        <s v="2012-13"/>
        <s v="2013-14"/>
        <s v="2014-15"/>
        <s v="2015-16"/>
        <s v="2016-17"/>
        <s v="2017-18"/>
        <s v="2018-19"/>
        <s v="2019-20"/>
        <s v="2020-21"/>
        <s v="2021-22"/>
        <s v="2022-23"/>
        <s v="2023-24"/>
        <s v="2024-25"/>
      </sharedItems>
    </cacheField>
    <cacheField name="Wholetime Operational" numFmtId="0">
      <sharedItems containsSemiMixedTypes="0" containsString="0" containsNumber="1" minValue="0" maxValue="0.98693759071117571"/>
    </cacheField>
    <cacheField name="Retained Duty System" numFmtId="0">
      <sharedItems containsSemiMixedTypes="0" containsString="0" containsNumber="1" minValue="0.1" maxValue="0.45264623955431754"/>
    </cacheField>
    <cacheField name="Retained Fulltime" numFmtId="0">
      <sharedItems containsString="0" containsBlank="1" containsNumber="1" containsInteger="1" minValue="0" maxValue="0"/>
    </cacheField>
    <cacheField name="Control" numFmtId="0">
      <sharedItems containsSemiMixedTypes="0" containsString="0" containsNumber="1" minValue="0" maxValue="2.2000000000000002"/>
    </cacheField>
    <cacheField name="Support" numFmtId="0">
      <sharedItems containsSemiMixedTypes="0" containsString="0" containsNumber="1" minValue="0.4" maxValue="3.1100478468899522"/>
    </cacheField>
    <cacheField name="Volunteer" numFmtId="0">
      <sharedItems containsString="0" containsBlank="1" containsNumber="1" minValue="0.3" maxValue="0.5"/>
    </cacheField>
    <cacheField name="Total" numFmtId="0">
      <sharedItems containsSemiMixedTypes="0" containsString="0" containsNumber="1" minValue="0.1" maxValue="0.92819388939022818"/>
    </cacheField>
    <cacheField name="Total (excluding volunters)" numFmtId="0">
      <sharedItems containsSemiMixedTypes="0" containsString="0" containsNumber="1" minValue="0.1" maxValue="0.96809380965366776"/>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47085416667" createdVersion="8" refreshedVersion="8" minRefreshableVersion="3" recordCount="9" xr:uid="{E7A318CF-0D0A-45AE-B52F-66A706C2DA47}">
  <cacheSource type="worksheet">
    <worksheetSource name="hsw_Attacks_Non_Operational_New"/>
  </cacheSource>
  <cacheFields count="6">
    <cacheField name="Op" numFmtId="0">
      <sharedItems count="1">
        <s v="Non-Operational"/>
      </sharedItems>
    </cacheField>
    <cacheField name="FinYear" numFmtId="0">
      <sharedItems count="9">
        <s v="2016-17"/>
        <s v="2017-18"/>
        <s v="2018-19"/>
        <s v="2019-20"/>
        <s v="2020-21"/>
        <s v="2021-22"/>
        <s v="2022-23"/>
        <s v="2023-24"/>
        <s v="2024-25"/>
      </sharedItems>
    </cacheField>
    <cacheField name="Attack against property/equipment" numFmtId="0">
      <sharedItems containsSemiMixedTypes="0" containsString="0" containsNumber="1" containsInteger="1" minValue="0" maxValue="6"/>
    </cacheField>
    <cacheField name="Verbal assault" numFmtId="0">
      <sharedItems containsSemiMixedTypes="0" containsString="0" containsNumber="1" containsInteger="1" minValue="1" maxValue="9"/>
    </cacheField>
    <cacheField name="Physical assault" numFmtId="0">
      <sharedItems containsSemiMixedTypes="0" containsString="0" containsNumber="1" containsInteger="1" minValue="0" maxValue="4"/>
    </cacheField>
    <cacheField name="Total" numFmtId="0">
      <sharedItems containsSemiMixedTypes="0" containsString="0" containsNumber="1" containsInteger="1" minValue="3" maxValue="12"/>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8.620418865743" createdVersion="8" refreshedVersion="8" minRefreshableVersion="3" recordCount="11" xr:uid="{86D4460A-54F3-4608-98BD-6CDACAB80B4E}">
  <cacheSource type="worksheet">
    <worksheetSource name="hrod_HR_Disability_NotKnown__2"/>
  </cacheSource>
  <cacheFields count="9">
    <cacheField name="Year" numFmtId="0">
      <sharedItems count="11">
        <s v="2014-15"/>
        <s v="2015-16"/>
        <s v="2016-17"/>
        <s v="2017-18"/>
        <s v="2018-19"/>
        <s v="2019-20"/>
        <s v="2020-21"/>
        <s v="2021-22"/>
        <s v="2022-23"/>
        <s v="2023-24"/>
        <s v="2024-25"/>
      </sharedItems>
    </cacheField>
    <cacheField name="Wholetime Operational" numFmtId="0">
      <sharedItems containsSemiMixedTypes="0" containsString="0" containsNumber="1" minValue="70.976176641487513" maxValue="100"/>
    </cacheField>
    <cacheField name="Retained Duty System" numFmtId="0">
      <sharedItems containsSemiMixedTypes="0" containsString="0" containsNumber="1" minValue="73.789366745682358" maxValue="98"/>
    </cacheField>
    <cacheField name="Retained Fulltime" numFmtId="0">
      <sharedItems containsString="0" containsBlank="1" containsNumber="1" minValue="55.555555555555557" maxValue="67.213114754098356"/>
    </cacheField>
    <cacheField name="Control" numFmtId="0">
      <sharedItems containsSemiMixedTypes="0" containsString="0" containsNumber="1" minValue="60.4" maxValue="100"/>
    </cacheField>
    <cacheField name="Support" numFmtId="0">
      <sharedItems containsSemiMixedTypes="0" containsString="0" containsNumber="1" minValue="57.41626794258373" maxValue="95"/>
    </cacheField>
    <cacheField name="Volunteer" numFmtId="0">
      <sharedItems containsSemiMixedTypes="0" containsString="0" containsNumber="1" minValue="47.4" maxValue="96.4"/>
    </cacheField>
    <cacheField name="Total" numFmtId="0">
      <sharedItems containsSemiMixedTypes="0" containsString="0" containsNumber="1" minValue="70.378447722899296" maxValue="99"/>
    </cacheField>
    <cacheField name="Total (excluding volunters)" numFmtId="0">
      <sharedItems containsSemiMixedTypes="0" containsString="0" containsNumber="1" minValue="70.722484807562452" maxValue="99"/>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89.715370833335" createdVersion="8" refreshedVersion="8" minRefreshableVersion="3" recordCount="131" xr:uid="{04242813-8191-435F-9379-2E7402C07BE6}">
  <cacheSource type="worksheet">
    <worksheetSource name="RR_vCapabilities"/>
  </cacheSource>
  <cacheFields count="4">
    <cacheField name="Fiscal_Yr" numFmtId="0">
      <sharedItems count="6">
        <s v="2019-20"/>
        <s v="2020-21"/>
        <s v="2021-22"/>
        <s v="2022-23"/>
        <s v="2023-24"/>
        <s v="2024-25"/>
      </sharedItems>
    </cacheField>
    <cacheField name="CapabilityType" numFmtId="0">
      <sharedItems containsBlank="1"/>
    </cacheField>
    <cacheField name="Capability" numFmtId="0">
      <sharedItems count="42">
        <s v="MTA"/>
        <s v="CSU"/>
        <s v="DIM"/>
        <s v="Flood"/>
        <s v="HSU"/>
        <s v="HVP"/>
        <s v="MD"/>
        <s v="SOR"/>
        <s v="SRT"/>
        <s v="USAR"/>
        <s v="EPU"/>
        <s v="HighR"/>
        <s v="HvR"/>
        <s v="Prime Movers"/>
        <s v="Rope"/>
        <s v="Welfare"/>
        <s v="Foam"/>
        <s v="MOG"/>
        <s v="RRU"/>
        <s v="Water C"/>
        <s v="Wildfire"/>
        <s v="ONE PUMP"/>
        <s v="THREE PUMPS"/>
        <s v="TWO PUMPS"/>
        <s v="PUMPS"/>
        <s v=""/>
        <s v="Command Support Unit" u="1"/>
        <s v="Detection, Identification and Monitorting Unit" u="1"/>
        <s v="Flooding" u="1"/>
        <s v="Hazmat Support Unit" u="1"/>
        <s v="High Volume Pump" u="1"/>
        <s v="Mass Decontamination" u="1"/>
        <s v="Speciliaist Operational Response" u="1"/>
        <s v="Swift Water Response" u="1"/>
        <s v="Urban Search and Rescue" u="1"/>
        <s v="Environmental Protection Unit" u="1"/>
        <s v="Heavy Rescue" u="1"/>
        <s v="High Reach Rescue" u="1"/>
        <s v="HRU" u="1"/>
        <s v="Rope Rescue" u="1"/>
        <s v="Rapid Response Unit" u="1"/>
        <s v="Water Carrier" u="1"/>
      </sharedItems>
    </cacheField>
    <cacheField name="Value" numFmtId="0">
      <sharedItems containsSemiMixedTypes="0" containsString="0" containsNumber="1" containsInteger="1" minValue="1" maxValue="251"/>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0.669288541663" createdVersion="8" refreshedVersion="8" minRefreshableVersion="3" recordCount="353" xr:uid="{F33D1EFE-D968-425D-94FD-3D91224F4DE5}">
  <cacheSource type="worksheet">
    <worksheetSource name="pp_PPED_Audits_LA__2"/>
  </cacheSource>
  <cacheFields count="18">
    <cacheField name="Year" numFmtId="0">
      <sharedItems count="11">
        <s v="2014-15"/>
        <s v="2015-16"/>
        <s v="2016-17"/>
        <s v="2017-18"/>
        <s v="2018-19"/>
        <s v="2019-20"/>
        <s v="2020-21"/>
        <s v="2021-22"/>
        <s v="2022-23"/>
        <s v="2023-24"/>
        <s v="2024-25"/>
      </sharedItems>
    </cacheField>
    <cacheField name="Local Authority" numFmtId="0">
      <sharedItems containsBlank="1" count="33">
        <s v="East Dunbartonshire"/>
        <s v="Midlothian"/>
        <s v="North Ayrshire"/>
        <s v="Renfrewshire"/>
        <s v="Scottish Borders"/>
        <s v="Aberdeen City"/>
        <s v="Aberdeenshire"/>
        <s v="East Lothian"/>
        <s v="East Renfrewshire"/>
        <s v="Highland"/>
        <s v="Inverclyde"/>
        <s v="North Lanarkshire"/>
        <s v="Shetland Islands"/>
        <s v="West Lothian"/>
        <s v="Argyll and Bute"/>
        <s v="Dundee City"/>
        <s v="Moray"/>
        <s v="Orkney Islands"/>
        <s v="West Dunbartonshire"/>
        <s v="Angus"/>
        <s v="Dumfries and Galloway"/>
        <s v="South Lanarkshire"/>
        <s v="City of Edinburgh"/>
        <s v="East Ayrshire"/>
        <s v="Na h-Eileanan an Iar"/>
        <s v="Glasgow City"/>
        <s v="Fife"/>
        <s v="Stirling"/>
        <s v="Perth and Kinross"/>
        <s v="South Ayrshire"/>
        <s v="Clackmannanshire"/>
        <s v="Falkirk"/>
        <m/>
      </sharedItems>
    </cacheField>
    <cacheField name="LA Code" numFmtId="0">
      <sharedItems containsBlank="1"/>
    </cacheField>
    <cacheField name="Hospital / Prison" numFmtId="0">
      <sharedItems containsString="0" containsBlank="1" containsNumber="1" containsInteger="1" minValue="1" maxValue="69"/>
    </cacheField>
    <cacheField name="Care Home" numFmtId="0">
      <sharedItems containsString="0" containsBlank="1" containsNumber="1" containsInteger="1" minValue="3" maxValue="165"/>
    </cacheField>
    <cacheField name="HMO" numFmtId="0">
      <sharedItems containsString="0" containsBlank="1" containsNumber="1" containsInteger="1" minValue="1" maxValue="1115"/>
    </cacheField>
    <cacheField name="Hostel" numFmtId="0">
      <sharedItems containsString="0" containsBlank="1" containsNumber="1" containsInteger="1" minValue="1" maxValue="69"/>
    </cacheField>
    <cacheField name="Hotel" numFmtId="0">
      <sharedItems containsString="0" containsBlank="1" containsNumber="1" containsInteger="1" minValue="1" maxValue="236"/>
    </cacheField>
    <cacheField name="Other Sleeping Accomm" numFmtId="0">
      <sharedItems containsString="0" containsBlank="1" containsNumber="1" containsInteger="1" minValue="1" maxValue="381"/>
    </cacheField>
    <cacheField name="Further Education" numFmtId="0">
      <sharedItems containsString="0" containsBlank="1" containsNumber="1" containsInteger="1" minValue="1" maxValue="12"/>
    </cacheField>
    <cacheField name="Public Building" numFmtId="0">
      <sharedItems containsString="0" containsBlank="1" containsNumber="1" containsInteger="1" minValue="1" maxValue="16"/>
    </cacheField>
    <cacheField name="Licensed Premises" numFmtId="0">
      <sharedItems containsString="0" containsBlank="1" containsNumber="1" containsInteger="1" minValue="1" maxValue="139"/>
    </cacheField>
    <cacheField name="School" numFmtId="0">
      <sharedItems containsString="0" containsBlank="1" containsNumber="1" containsInteger="1" minValue="1" maxValue="122"/>
    </cacheField>
    <cacheField name="Shop" numFmtId="0">
      <sharedItems containsString="0" containsBlank="1" containsNumber="1" containsInteger="1" minValue="1" maxValue="147"/>
    </cacheField>
    <cacheField name="Other Premises Open to Public" numFmtId="0">
      <sharedItems containsString="0" containsBlank="1" containsNumber="1" containsInteger="1" minValue="1" maxValue="108"/>
    </cacheField>
    <cacheField name="Factory or Warehouse" numFmtId="0">
      <sharedItems containsString="0" containsBlank="1" containsNumber="1" containsInteger="1" minValue="1" maxValue="117"/>
    </cacheField>
    <cacheField name="Office" numFmtId="0">
      <sharedItems containsString="0" containsBlank="1" containsNumber="1" containsInteger="1" minValue="1" maxValue="141"/>
    </cacheField>
    <cacheField name="Other Workplace" numFmtId="0">
      <sharedItems containsString="0" containsBlank="1" containsNumber="1" containsInteger="1" minValue="1" maxValue="89"/>
    </cacheField>
  </cacheFields>
  <extLst>
    <ext xmlns:x14="http://schemas.microsoft.com/office/spreadsheetml/2009/9/main" uri="{725AE2AE-9491-48be-B2B4-4EB974FC3084}">
      <x14:pivotCacheDefinition pivotCacheId="1364898279"/>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0.670794560188" createdVersion="6" refreshedVersion="8" minRefreshableVersion="3" recordCount="352" xr:uid="{00000000-000A-0000-FFFF-FFFFAF000000}">
  <cacheSource type="worksheet">
    <worksheetSource name="pp_PPED_Audits_Outcome_LA"/>
  </cacheSource>
  <cacheFields count="11">
    <cacheField name="FisYr" numFmtId="0">
      <sharedItems count="12">
        <s v="2014-15"/>
        <s v="2015-16"/>
        <s v="2016-17"/>
        <s v="2017-18"/>
        <s v="2018-19"/>
        <s v="2019-20"/>
        <s v="2020-21"/>
        <s v="2021-22"/>
        <s v="2022-23"/>
        <s v="2023-24"/>
        <s v="2024-25"/>
        <s v="..." u="1"/>
      </sharedItems>
    </cacheField>
    <cacheField name="Council" numFmtId="0">
      <sharedItems containsBlank="1" count="35">
        <s v="East Renfrewshire"/>
        <s v="Highland"/>
        <s v="Inverclyde"/>
        <s v="North Ayrshire"/>
        <s v="South Lanarkshire"/>
        <s v="East Dunbartonshire"/>
        <s v="Moray"/>
        <s v="Renfrewshire"/>
        <s v="South Ayrshire"/>
        <s v="Clackmannanshire"/>
        <s v="Shetland Islands"/>
        <s v="Angus"/>
        <s v="Argyll and Bute"/>
        <s v="East Ayrshire"/>
        <s v="Glasgow City"/>
        <s v="Scottish Borders"/>
        <s v="Stirling"/>
        <s v="Aberdeen City"/>
        <s v="Na h-Eileanan Siar"/>
        <s v="East Lothian"/>
        <s v="Falkirk"/>
        <s v="Dundee City"/>
        <s v="Dumfries and Galloway"/>
        <s v="Orkney Islands"/>
        <s v="Aberdeenshire"/>
        <s v="City of Edinburgh"/>
        <s v="Fife"/>
        <s v="North Lanarkshire"/>
        <s v="Perth and Kinross"/>
        <s v="West Lothian"/>
        <s v="Midlothian"/>
        <s v="West Dunbartonshire"/>
        <m/>
        <s v="Na h-Eileanan an Iar"/>
        <s v="..." u="1"/>
      </sharedItems>
    </cacheField>
    <cacheField name="GSSCode" numFmtId="0">
      <sharedItems containsBlank="1"/>
    </cacheField>
    <cacheField name="A_Tally" numFmtId="0">
      <sharedItems containsSemiMixedTypes="0" containsString="0" containsNumber="1" containsInteger="1" minValue="4" maxValue="1812"/>
    </cacheField>
    <cacheField name="A_Hours" numFmtId="0">
      <sharedItems containsString="0" containsBlank="1" containsNumber="1" minValue="16" maxValue="7682.25"/>
    </cacheField>
    <cacheField name="B_Tally" numFmtId="0">
      <sharedItems containsString="0" containsBlank="1" containsNumber="1" containsInteger="1" minValue="1" maxValue="144"/>
    </cacheField>
    <cacheField name="B_Hours" numFmtId="0">
      <sharedItems containsString="0" containsBlank="1" containsNumber="1" minValue="2.25" maxValue="1064.25"/>
    </cacheField>
    <cacheField name="Enforcement_Tally" numFmtId="0">
      <sharedItems containsString="0" containsBlank="1" containsNumber="1" containsInteger="1" minValue="1" maxValue="10"/>
    </cacheField>
    <cacheField name="Enforcement_Hours" numFmtId="0">
      <sharedItems containsString="0" containsBlank="1" containsNumber="1" minValue="5.5" maxValue="256.5"/>
    </cacheField>
    <cacheField name="Prohibition_Tally" numFmtId="0">
      <sharedItems containsString="0" containsBlank="1" containsNumber="1" containsInteger="1" minValue="1" maxValue="7"/>
    </cacheField>
    <cacheField name="Prohibition_Hours" numFmtId="0">
      <sharedItems containsString="0" containsBlank="1" containsNumber="1" minValue="0" maxValue="123"/>
    </cacheField>
  </cacheFields>
  <extLst>
    <ext xmlns:x14="http://schemas.microsoft.com/office/spreadsheetml/2009/9/main" uri="{725AE2AE-9491-48be-B2B4-4EB974FC3084}">
      <x14:pivotCacheDefinition pivotCacheId="125"/>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5.846078472219" createdVersion="8" refreshedVersion="8" minRefreshableVersion="3" recordCount="15" xr:uid="{5B625D2B-4164-4319-8FF4-B2D99F84BE9B}">
  <cacheSource type="worksheet">
    <worksheetSource name="cset_HFSV_Outcome_Final"/>
  </cacheSource>
  <cacheFields count="7">
    <cacheField name="Year" numFmtId="0">
      <sharedItems count="15">
        <s v="2016-17"/>
        <s v="2018-19"/>
        <s v="2020-21"/>
        <s v="2017-18"/>
        <s v="2019-20"/>
        <s v="2012-13"/>
        <s v="2023-24"/>
        <s v="2024-25"/>
        <s v="2013-14"/>
        <s v="2022-23"/>
        <s v="2010-11"/>
        <s v="2014-15"/>
        <s v="2011-12"/>
        <s v="2015-16"/>
        <s v="2021-22"/>
      </sharedItems>
    </cacheField>
    <cacheField name="HFSV_AlarmsInstalled" numFmtId="0">
      <sharedItems containsSemiMixedTypes="0" containsString="0" containsNumber="1" containsInteger="1" minValue="4241" maxValue="33998"/>
    </cacheField>
    <cacheField name="HFSV_AdviceOnly" numFmtId="0">
      <sharedItems containsSemiMixedTypes="0" containsString="0" containsNumber="1" containsInteger="1" minValue="12319" maxValue="46945"/>
    </cacheField>
    <cacheField name="Total_HFSV" numFmtId="0">
      <sharedItems containsSemiMixedTypes="0" containsString="0" containsNumber="1" containsInteger="1" minValue="19998" maxValue="71717"/>
    </cacheField>
    <cacheField name="Total_Alarms" numFmtId="0">
      <sharedItems containsString="0" containsBlank="1" containsNumber="1" containsInteger="1" minValue="11728" maxValue="46395"/>
    </cacheField>
    <cacheField name="New" numFmtId="0">
      <sharedItems containsString="0" containsBlank="1" containsNumber="1" containsInteger="1" minValue="7881" maxValue="30359"/>
    </cacheField>
    <cacheField name="Replacement" numFmtId="0">
      <sharedItems containsString="0" containsBlank="1" containsNumber="1" containsInteger="1" minValue="2913" maxValue="16366"/>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5.848267476853" createdVersion="8" refreshedVersion="8" minRefreshableVersion="3" recordCount="384" xr:uid="{8A43F342-97CB-475F-B1BE-5026C42175ED}">
  <cacheSource type="worksheet">
    <worksheetSource name="cset_HFSV_Rate_LA_All_Final"/>
  </cacheSource>
  <cacheFields count="15">
    <cacheField name="Year" numFmtId="0">
      <sharedItems count="12">
        <s v="2016-17"/>
        <s v="2013-14"/>
        <s v="2022-23"/>
        <s v="2017-18"/>
        <s v="2021-22"/>
        <s v="2024-25"/>
        <s v="2018-19"/>
        <s v="2023-24"/>
        <s v="2014-15"/>
        <s v="2020-21"/>
        <s v="2015-16"/>
        <s v="2019-20"/>
      </sharedItems>
    </cacheField>
    <cacheField name="Council" numFmtId="0">
      <sharedItems containsBlank="1" count="34">
        <s v="Renfrewshire"/>
        <s v="Na h-Eileanan Siar"/>
        <s v="East Dunbartonshire"/>
        <s v="Glasgow City"/>
        <s v="East Lothian"/>
        <s v="Aberdeenshire"/>
        <s v="South Lanarkshire"/>
        <s v="Stirling"/>
        <s v="Falkirk"/>
        <s v="Argyll and Bute"/>
        <s v="Clackmannanshire"/>
        <s v="East Ayrshire"/>
        <s v="Highland"/>
        <s v="Perth and Kinross"/>
        <s v="Moray"/>
        <s v="Scottish Borders"/>
        <s v="Inverclyde"/>
        <s v="North Lanarkshire"/>
        <s v="North Ayrshire"/>
        <s v="Midlothian"/>
        <s v="Angus"/>
        <s v="Fife"/>
        <s v="Orkney Islands"/>
        <s v="Dumfries and Galloway"/>
        <s v="South Ayrshire"/>
        <s v="Shetland Islands"/>
        <s v="Dundee City"/>
        <s v="Aberdeen City"/>
        <s v="West Lothian"/>
        <s v="West Dunbartonshire"/>
        <s v="East Renfrewshire"/>
        <s v="City of Edinburgh"/>
        <s v="Not Known" u="1"/>
        <m u="1"/>
      </sharedItems>
    </cacheField>
    <cacheField name="GSSCode" numFmtId="0">
      <sharedItems containsBlank="1"/>
    </cacheField>
    <cacheField name="HFSV - alarms installed" numFmtId="0">
      <sharedItems containsString="0" containsBlank="1" containsNumber="1" containsInteger="1" minValue="10" maxValue="3531"/>
    </cacheField>
    <cacheField name="HFSV - advice only" numFmtId="0">
      <sharedItems containsString="0" containsBlank="1" containsNumber="1" containsInteger="1" minValue="34" maxValue="7410"/>
    </cacheField>
    <cacheField name="Total HFSV" numFmtId="0">
      <sharedItems containsSemiMixedTypes="0" containsString="0" containsNumber="1" containsInteger="1" minValue="57" maxValue="10053"/>
    </cacheField>
    <cacheField name="TotalNewAlarms" numFmtId="0">
      <sharedItems containsString="0" containsBlank="1" containsNumber="1" containsInteger="1" minValue="4" maxValue="3943"/>
    </cacheField>
    <cacheField name="TotalReplacedAlarms" numFmtId="0">
      <sharedItems containsString="0" containsBlank="1" containsNumber="1" containsInteger="1" minValue="8" maxValue="1853"/>
    </cacheField>
    <cacheField name="TotalAlarms" numFmtId="0">
      <sharedItems containsString="0" containsBlank="1" containsNumber="1" containsInteger="1" minValue="23" maxValue="5634"/>
    </cacheField>
    <cacheField name="Dwellings" numFmtId="0">
      <sharedItems containsString="0" containsBlank="1" containsNumber="1" containsInteger="1" minValue="10717" maxValue="324431"/>
    </cacheField>
    <cacheField name="VisitsPer100Dwelling" numFmtId="0">
      <sharedItems containsString="0" containsBlank="1" containsNumber="1" minValue="0.36499999999999999" maxValue="10.023"/>
    </cacheField>
    <cacheField name="AlarmsPer100Dwelling" numFmtId="0">
      <sharedItems containsString="0" containsBlank="1" containsNumber="1" minValue="0.156" maxValue="3.7"/>
    </cacheField>
    <cacheField name="Households" numFmtId="0">
      <sharedItems containsSemiMixedTypes="0" containsString="0" containsNumber="1" minValue="9945" maxValue="300340"/>
    </cacheField>
    <cacheField name="VisitsPer100Household" numFmtId="0">
      <sharedItems containsSemiMixedTypes="0" containsString="0" containsNumber="1" minValue="0.38800000000000001" maxValue="10.609"/>
    </cacheField>
    <cacheField name="AlarmsPer100Household" numFmtId="0">
      <sharedItems containsString="0" containsBlank="1" containsNumber="1" minValue="0.17399999999999999" maxValue="3.996"/>
    </cacheField>
  </cacheFields>
  <extLst>
    <ext xmlns:x14="http://schemas.microsoft.com/office/spreadsheetml/2009/9/main" uri="{725AE2AE-9491-48be-B2B4-4EB974FC3084}">
      <x14:pivotCacheDefinition pivotCacheId="1414526592"/>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6.590005787039" createdVersion="6" refreshedVersion="8" minRefreshableVersion="3" recordCount="630" xr:uid="{00000000-000A-0000-FFFF-FFFFC2000000}">
  <cacheSource type="worksheet">
    <worksheetSource name="hrod_HR_StaffSmallArea"/>
  </cacheSource>
  <cacheFields count="11">
    <cacheField name="Year" numFmtId="0">
      <sharedItems containsBlank="1" count="13">
        <s v="2022-23"/>
        <s v="2021-22"/>
        <s v="2023-24"/>
        <s v="2024-25"/>
        <s v="2020-21"/>
        <s v="2019-20"/>
        <s v="2018-19"/>
        <s v="2014-15"/>
        <s v="2013-14"/>
        <s v="2015-16"/>
        <s v="2017-18"/>
        <m/>
        <s v="2016-17"/>
      </sharedItems>
    </cacheField>
    <cacheField name="ReportingLevel" numFmtId="0">
      <sharedItems containsBlank="1" count="6">
        <s v="1:LA"/>
        <s v="2:LSO"/>
        <s v="4:National"/>
        <s v="3:SDA"/>
        <m/>
        <s v="04:National" u="1"/>
      </sharedItems>
    </cacheField>
    <cacheField name="lvl" numFmtId="0">
      <sharedItems containsBlank="1" count="66">
        <s v="Aberdeenshire"/>
        <s v="Glasgow City"/>
        <s v="Falkirk and West Lothian"/>
        <s v="Argyll and Bute"/>
        <s v="Lanarkshire"/>
        <s v="City of Edinburgh"/>
        <s v="Angus"/>
        <s v="Scotland"/>
        <s v="Renfrewshire"/>
        <s v="Fife"/>
        <s v="Aberdeen City"/>
        <s v="Stirling"/>
        <s v="North Lanarkshire"/>
        <s v="South Lanarkshire"/>
        <s v="Western Isles, Orkney and Shetland Islands"/>
        <s v="Highlands"/>
        <s v="North Ayrshire"/>
        <s v="West Dunbartonshire"/>
        <s v="Edinburgh City"/>
        <s v="East Dunbartonshire"/>
        <s v="Midlothian"/>
        <s v="East Lothian, Midlothian and the Scottish Borders"/>
        <s v="Dundee City"/>
        <s v="Dumfries and Galloway"/>
        <s v="Dundee, Angus, Perth and Kinross"/>
        <s v="Moray"/>
        <s v="East Lothian"/>
        <s v="Clackmannanshire"/>
        <s v="West"/>
        <s v="Aberdeen City, Aberdeenshire and Moray"/>
        <s v="Falkirk"/>
        <s v="East Renfrewshire, Renfrewshire and Inverclyde"/>
        <s v="Scottish Borders"/>
        <s v="Shetland Islands"/>
        <s v="South Ayrshire"/>
        <s v="Argyll and Bute, East Dunbartonshire and West Dunbartonshire"/>
        <s v="Perth and Kinross"/>
        <s v="Orkney Islands"/>
        <s v="East Renfrewshire"/>
        <s v="Aberdeenshire and Moray"/>
        <s v="Inverclyde"/>
        <s v="East"/>
        <s v="East Ayrshire, North Ayrshire and South Ayrshire"/>
        <s v="Na h-Eileanan Siar"/>
        <s v="North"/>
        <s v="Stirling and Clackmannanshire"/>
        <s v="East Ayrshire"/>
        <s v="Stirling, Clackmannanshire and Fife"/>
        <s v="West Lothian"/>
        <m/>
        <s v="Highland"/>
        <s v="East,North and South Ayrshire" u="1"/>
        <s v="Perth &amp; Kinross" u="1"/>
        <s v="NULL" u="1"/>
        <s v="Perth and Kinross, Dundee City and Angus" u="1"/>
        <s v="East Ayrshire, North Ayrshire &amp; South Ayrshire" u="1"/>
        <s v="Midlothian, East Lothian and Scottish Borders" u="1"/>
        <s v="Argyll and Bute, West Dunbartonshire and East Dunbartonshire" u="1"/>
        <s v="Dumfries and Gallowa" u="1"/>
        <s v="East, North and South Ayrshire" u="1"/>
        <s v="East Lothian, Midlothian and Scottish Borders" u="1"/>
        <s v="Dundee, Angus, Perth &amp; Kinross" u="1"/>
        <s v="Western Isles, Orkney and Shetland Isles" u="1"/>
        <s v="Argyll &amp; Bute" u="1"/>
        <s v="Dumfries &amp; Galloway" u="1"/>
        <s v="Orkney Islands, Shetland Islands and Na h-Eileanan" u="1"/>
      </sharedItems>
    </cacheField>
    <cacheField name="Code" numFmtId="0">
      <sharedItems containsBlank="1"/>
    </cacheField>
    <cacheField name="Total" numFmtId="0">
      <sharedItems containsString="0" containsBlank="1" containsNumber="1" containsInteger="1" minValue="0" maxValue="1182"/>
    </cacheField>
    <cacheField name="Control" numFmtId="0">
      <sharedItems containsString="0" containsBlank="1" containsNumber="1" containsInteger="1" minValue="0" maxValue="230"/>
    </cacheField>
    <cacheField name="RDS Fulltime" numFmtId="0">
      <sharedItems containsString="0" containsBlank="1" containsNumber="1" containsInteger="1" minValue="0" maxValue="14"/>
    </cacheField>
    <cacheField name="Retained Duty System" numFmtId="0">
      <sharedItems containsString="0" containsBlank="1" containsNumber="1" containsInteger="1" minValue="0" maxValue="564"/>
    </cacheField>
    <cacheField name="Support" numFmtId="0">
      <sharedItems containsString="0" containsBlank="1" containsNumber="1" containsInteger="1" minValue="0" maxValue="920"/>
    </cacheField>
    <cacheField name="Volunteer" numFmtId="0">
      <sharedItems containsString="0" containsBlank="1" containsNumber="1" containsInteger="1" minValue="0" maxValue="225"/>
    </cacheField>
    <cacheField name="Wholetime Operational" numFmtId="0">
      <sharedItems containsString="0" containsBlank="1" containsNumber="1" containsInteger="1" minValue="0" maxValue="560"/>
    </cacheField>
  </cacheFields>
  <extLst>
    <ext xmlns:x14="http://schemas.microsoft.com/office/spreadsheetml/2009/9/main" uri="{725AE2AE-9491-48be-B2B4-4EB974FC3084}">
      <x14:pivotCacheDefinition pivotCacheId="155"/>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96.591591898148" createdVersion="6" refreshedVersion="8" minRefreshableVersion="3" recordCount="19" xr:uid="{6E7BAD77-91E1-4FF8-8B94-04C311A8C7A9}">
  <cacheSource type="worksheet">
    <worksheetSource name="RR_vCapabilities_StationsTotals"/>
  </cacheSource>
  <cacheFields count="3">
    <cacheField name="Fiscal_Yr" numFmtId="0">
      <sharedItems count="6">
        <s v="2019-20"/>
        <s v="2020-21"/>
        <s v="2021-22"/>
        <s v="2022-23"/>
        <s v="2023-24"/>
        <s v="2024-25"/>
      </sharedItems>
    </cacheField>
    <cacheField name="CapabilityType" numFmtId="0">
      <sharedItems containsBlank="1" count="5">
        <s v="National Fire Resilience"/>
        <s v="Specialist"/>
        <s v="Tactical"/>
        <m/>
        <s v="NationalFireResilience"/>
      </sharedItems>
    </cacheField>
    <cacheField name="Number of Stations with Capability" numFmtId="0">
      <sharedItems containsSemiMixedTypes="0" containsString="0" containsNumber="1" containsInteger="1" minValue="1" maxValue="115"/>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471040856479" createdVersion="8" refreshedVersion="8" minRefreshableVersion="3" recordCount="9" xr:uid="{B21A15DE-E8F2-4DA9-8A82-C2390D85540A}">
  <cacheSource type="worksheet">
    <worksheetSource name="hsw_Injuries_Operational_New"/>
  </cacheSource>
  <cacheFields count="6">
    <cacheField name="Op" numFmtId="0">
      <sharedItems count="1">
        <s v="Operational"/>
      </sharedItems>
    </cacheField>
    <cacheField name="FinYear" numFmtId="0">
      <sharedItems count="9">
        <s v="2016-17"/>
        <s v="2017-18"/>
        <s v="2018-19"/>
        <s v="2019-20"/>
        <s v="2020-21"/>
        <s v="2021-22"/>
        <s v="2022-23"/>
        <s v="2023-24"/>
        <s v="2024-25"/>
      </sharedItems>
    </cacheField>
    <cacheField name="Attack against property/equipment" numFmtId="0">
      <sharedItems containsSemiMixedTypes="0" containsString="0" containsNumber="1" containsInteger="1" minValue="0" maxValue="1"/>
    </cacheField>
    <cacheField name="Verbal assault" numFmtId="0">
      <sharedItems containsSemiMixedTypes="0" containsString="0" containsNumber="1" containsInteger="1" minValue="0" maxValue="2"/>
    </cacheField>
    <cacheField name="Physical assault" numFmtId="0">
      <sharedItems containsSemiMixedTypes="0" containsString="0" containsNumber="1" containsInteger="1" minValue="0" maxValue="7"/>
    </cacheField>
    <cacheField name="Total" numFmtId="0">
      <sharedItems containsSemiMixedTypes="0" containsString="0" containsNumber="1" containsInteger="1" minValue="0" maxValue="7"/>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471638194445" createdVersion="8" refreshedVersion="8" minRefreshableVersion="3" recordCount="9" xr:uid="{4865E1DE-BEE3-4232-952F-E110B29D0309}">
  <cacheSource type="worksheet">
    <worksheetSource name="hsw_Injuries_Non_Operational_New"/>
  </cacheSource>
  <cacheFields count="6">
    <cacheField name="Op" numFmtId="0">
      <sharedItems count="1">
        <s v="Non-Operational"/>
      </sharedItems>
    </cacheField>
    <cacheField name="FinYear" numFmtId="0">
      <sharedItems count="9">
        <s v="2016-17"/>
        <s v="2017-18"/>
        <s v="2018-19"/>
        <s v="2019-20"/>
        <s v="2020-21"/>
        <s v="2021-22"/>
        <s v="2022-23"/>
        <s v="2023-24"/>
        <s v="2024-25"/>
      </sharedItems>
    </cacheField>
    <cacheField name="Attack against property/equipment" numFmtId="0">
      <sharedItems containsSemiMixedTypes="0" containsString="0" containsNumber="1" containsInteger="1" minValue="0" maxValue="0"/>
    </cacheField>
    <cacheField name="Verbal assault" numFmtId="0">
      <sharedItems containsSemiMixedTypes="0" containsString="0" containsNumber="1" containsInteger="1" minValue="0" maxValue="0"/>
    </cacheField>
    <cacheField name="Physical assault" numFmtId="0">
      <sharedItems containsSemiMixedTypes="0" containsString="0" containsNumber="1" containsInteger="1" minValue="0" maxValue="2"/>
    </cacheField>
    <cacheField name="Total" numFmtId="0">
      <sharedItems containsSemiMixedTypes="0" containsString="0"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868.488112037034" createdVersion="8" refreshedVersion="8" minRefreshableVersion="3" recordCount="29" xr:uid="{357EE052-9577-4176-BB24-6F4307E569CE}">
  <cacheSource type="worksheet">
    <worksheetSource name="hsw_vAOV_LA_New"/>
  </cacheSource>
  <cacheFields count="11">
    <cacheField name="LA" numFmtId="0">
      <sharedItems containsBlank="1" count="29">
        <m/>
        <s v="Aberdeen City"/>
        <s v="Aberdeenshire"/>
        <s v="Argyll and Bute"/>
        <s v="City of Edinburgh"/>
        <s v="Clackmannanshire"/>
        <s v="Dumfries and Galloway"/>
        <s v="Dundee City"/>
        <s v="East Ayrshire"/>
        <s v="East Dunbartonshire"/>
        <s v="East Lothian"/>
        <s v="East Renfrewshire"/>
        <s v="Falkirk"/>
        <s v="Fife"/>
        <s v="Glasgow City"/>
        <s v="Highland"/>
        <s v="Inverclyde"/>
        <s v="Midlothian"/>
        <s v="Moray"/>
        <s v="North Ayrshire"/>
        <s v="North Lanarkshire"/>
        <s v="Perth and Kinross"/>
        <s v="Renfrewshire"/>
        <s v="Scottish Borders"/>
        <s v="South Ayrshire"/>
        <s v="South Lanarkshire"/>
        <s v="Stirling"/>
        <s v="West Dunbartonshire"/>
        <s v="West Lothian"/>
      </sharedItems>
    </cacheField>
    <cacheField name="GEOCode_LA" numFmtId="0">
      <sharedItems containsBlank="1" count="29">
        <m/>
        <s v="S12000033"/>
        <s v="S12000034"/>
        <s v="S12000035"/>
        <s v="S12000036"/>
        <s v="S12000005"/>
        <s v="S12000006"/>
        <s v="S12000042"/>
        <s v="S12000008"/>
        <s v="S12000045"/>
        <s v="S12000010"/>
        <s v="S12000011"/>
        <s v="S12000014"/>
        <s v="S12000047"/>
        <s v="S12000049"/>
        <s v="S12000017"/>
        <s v="S12000018"/>
        <s v="S12000019"/>
        <s v="S12000020"/>
        <s v="S12000021"/>
        <s v="S12000050"/>
        <s v="S12000048"/>
        <s v="S12000038"/>
        <s v="S12000026"/>
        <s v="S12000028"/>
        <s v="S12000029"/>
        <s v="S12000030"/>
        <s v="S12000039"/>
        <s v="S12000040"/>
      </sharedItems>
    </cacheField>
    <cacheField name="2016-17" numFmtId="0">
      <sharedItems containsString="0" containsBlank="1" containsNumber="1" containsInteger="1" minValue="1" maxValue="19"/>
    </cacheField>
    <cacheField name="2017-18" numFmtId="0">
      <sharedItems containsString="0" containsBlank="1" containsNumber="1" containsInteger="1" minValue="1" maxValue="20"/>
    </cacheField>
    <cacheField name="2018-19" numFmtId="0">
      <sharedItems containsString="0" containsBlank="1" containsNumber="1" containsInteger="1" minValue="1" maxValue="23"/>
    </cacheField>
    <cacheField name="2019-20" numFmtId="0">
      <sharedItems containsString="0" containsBlank="1" containsNumber="1" containsInteger="1" minValue="1" maxValue="12"/>
    </cacheField>
    <cacheField name="2020-21" numFmtId="0">
      <sharedItems containsString="0" containsBlank="1" containsNumber="1" containsInteger="1" minValue="1" maxValue="14"/>
    </cacheField>
    <cacheField name="2021-22" numFmtId="0">
      <sharedItems containsSemiMixedTypes="0" containsString="0" containsNumber="1" containsInteger="1" minValue="0" maxValue="15"/>
    </cacheField>
    <cacheField name="2022-23" numFmtId="0">
      <sharedItems containsSemiMixedTypes="0" containsString="0" containsNumber="1" containsInteger="1" minValue="0" maxValue="9"/>
    </cacheField>
    <cacheField name="2023-24" numFmtId="0">
      <sharedItems containsSemiMixedTypes="0" containsString="0" containsNumber="1" containsInteger="1" minValue="0" maxValue="9"/>
    </cacheField>
    <cacheField name="2024-25" numFmtId="0">
      <sharedItems containsSemiMixedTypes="0" containsString="0" containsNumber="1" containsInteger="1" minValue="0" maxValue="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n v="465"/>
    <n v="28"/>
    <n v="37"/>
    <n v="22"/>
    <n v="15"/>
    <n v="30"/>
    <n v="23"/>
    <n v="620"/>
    <m/>
    <n v="59"/>
    <n v="31"/>
    <n v="805"/>
    <n v="1515"/>
  </r>
  <r>
    <x v="1"/>
    <n v="452"/>
    <n v="31"/>
    <n v="21"/>
    <m/>
    <n v="19"/>
    <n v="29"/>
    <n v="25"/>
    <n v="577"/>
    <m/>
    <n v="65"/>
    <n v="31"/>
    <n v="628"/>
    <n v="1301"/>
  </r>
  <r>
    <x v="2"/>
    <n v="449"/>
    <n v="14"/>
    <n v="23"/>
    <n v="25"/>
    <n v="16"/>
    <n v="36"/>
    <n v="24"/>
    <n v="587"/>
    <m/>
    <n v="85"/>
    <n v="27"/>
    <n v="875"/>
    <n v="1574"/>
  </r>
  <r>
    <x v="3"/>
    <n v="438"/>
    <n v="12"/>
    <n v="14"/>
    <n v="24"/>
    <n v="18"/>
    <n v="39"/>
    <n v="47"/>
    <n v="592"/>
    <m/>
    <n v="65"/>
    <n v="42"/>
    <n v="811"/>
    <n v="1510"/>
  </r>
  <r>
    <x v="4"/>
    <n v="418"/>
    <n v="26"/>
    <n v="43"/>
    <n v="26"/>
    <n v="17"/>
    <n v="34"/>
    <n v="68"/>
    <n v="632"/>
    <m/>
    <n v="65"/>
    <n v="62"/>
    <n v="788"/>
    <n v="1547"/>
  </r>
  <r>
    <x v="5"/>
    <n v="417"/>
    <n v="25"/>
    <n v="43"/>
    <n v="27"/>
    <n v="20"/>
    <n v="41"/>
    <n v="59"/>
    <n v="632"/>
    <n v="95"/>
    <n v="74"/>
    <n v="64"/>
    <n v="641"/>
    <n v="1506"/>
  </r>
  <r>
    <x v="6"/>
    <n v="431"/>
    <n v="28"/>
    <n v="42"/>
    <n v="39"/>
    <n v="25"/>
    <n v="39"/>
    <n v="62"/>
    <n v="666"/>
    <n v="198"/>
    <n v="90"/>
    <n v="65"/>
    <n v="532"/>
    <n v="1551"/>
  </r>
  <r>
    <x v="7"/>
    <n v="421"/>
    <n v="26"/>
    <n v="39"/>
    <n v="41"/>
    <n v="29"/>
    <n v="36"/>
    <n v="63"/>
    <n v="655"/>
    <n v="285"/>
    <n v="86"/>
    <n v="71"/>
    <n v="470"/>
    <n v="1567"/>
  </r>
  <r>
    <x v="8"/>
    <n v="445"/>
    <n v="25"/>
    <n v="38"/>
    <n v="24"/>
    <n v="28"/>
    <n v="30"/>
    <n v="60"/>
    <n v="650"/>
    <n v="335"/>
    <n v="94"/>
    <n v="61"/>
    <n v="491"/>
    <n v="1631"/>
  </r>
  <r>
    <x v="9"/>
    <n v="427"/>
    <n v="25"/>
    <n v="23"/>
    <n v="25"/>
    <n v="28"/>
    <n v="30"/>
    <n v="77"/>
    <n v="635"/>
    <n v="313"/>
    <n v="109"/>
    <n v="60"/>
    <n v="560"/>
    <n v="1677"/>
  </r>
  <r>
    <x v="10"/>
    <n v="429"/>
    <n v="25"/>
    <n v="23"/>
    <n v="24"/>
    <n v="28"/>
    <n v="31"/>
    <n v="77"/>
    <n v="637"/>
    <n v="319"/>
    <n v="90"/>
    <n v="55"/>
    <n v="527"/>
    <n v="1628"/>
  </r>
  <r>
    <x v="11"/>
    <n v="424"/>
    <n v="16"/>
    <n v="21"/>
    <n v="24"/>
    <n v="28"/>
    <n v="35"/>
    <n v="73"/>
    <n v="621"/>
    <n v="327"/>
    <n v="85"/>
    <n v="61"/>
    <n v="491"/>
    <n v="1585"/>
  </r>
  <r>
    <x v="12"/>
    <n v="424"/>
    <n v="16"/>
    <n v="19"/>
    <n v="24"/>
    <n v="28"/>
    <n v="30"/>
    <n v="89"/>
    <n v="630"/>
    <n v="329"/>
    <n v="83"/>
    <n v="61"/>
    <n v="473"/>
    <n v="1576"/>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8206"/>
    <m/>
    <n v="1648"/>
    <n v="2038"/>
  </r>
  <r>
    <x v="1"/>
    <n v="9834"/>
    <m/>
    <n v="2373"/>
    <n v="3501"/>
  </r>
  <r>
    <x v="2"/>
    <n v="8939"/>
    <m/>
    <n v="1461"/>
    <n v="2582"/>
  </r>
  <r>
    <x v="3"/>
    <n v="7635"/>
    <m/>
    <n v="2592"/>
    <n v="3241"/>
  </r>
  <r>
    <x v="4"/>
    <n v="7872"/>
    <m/>
    <n v="1973"/>
    <n v="2746"/>
  </r>
  <r>
    <x v="5"/>
    <n v="7261"/>
    <n v="202"/>
    <n v="918"/>
    <n v="2460"/>
  </r>
  <r>
    <x v="6"/>
    <n v="3319"/>
    <n v="192"/>
    <n v="603"/>
    <n v="2502"/>
  </r>
  <r>
    <x v="7"/>
    <n v="5688"/>
    <n v="192"/>
    <n v="1158"/>
    <n v="2106"/>
  </r>
  <r>
    <x v="8"/>
    <n v="6712"/>
    <n v="203"/>
    <n v="1389"/>
    <n v="1829"/>
  </r>
  <r>
    <x v="9"/>
    <n v="7654"/>
    <n v="208"/>
    <n v="1218"/>
    <n v="3466"/>
  </r>
  <r>
    <x v="10"/>
    <n v="8768"/>
    <n v="162"/>
    <n v="1601"/>
    <n v="2890"/>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n v="551"/>
  </r>
  <r>
    <x v="1"/>
    <n v="668"/>
  </r>
  <r>
    <x v="2"/>
    <n v="722"/>
  </r>
  <r>
    <x v="3"/>
    <n v="812"/>
  </r>
  <r>
    <x v="4"/>
    <n v="816"/>
  </r>
  <r>
    <x v="5"/>
    <n v="770"/>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s v="T"/>
    <x v="0"/>
    <n v="2046"/>
    <n v="154"/>
    <n v="176"/>
    <n v="342"/>
    <n v="340"/>
    <n v="0"/>
    <n v="174"/>
    <n v="198"/>
    <n v="243"/>
    <n v="113"/>
    <n v="189"/>
    <n v="117"/>
    <n v="50"/>
    <n v="100"/>
    <n v="104"/>
    <n v="169"/>
    <n v="129"/>
  </r>
  <r>
    <s v="R"/>
    <x v="1"/>
    <n v="3244"/>
    <n v="282"/>
    <n v="304"/>
    <n v="288"/>
    <n v="408"/>
    <n v="0"/>
    <n v="412"/>
    <n v="485"/>
    <n v="329"/>
    <n v="228"/>
    <n v="267"/>
    <n v="241"/>
    <n v="86"/>
    <n v="166"/>
    <n v="172"/>
    <n v="222"/>
    <n v="224"/>
  </r>
  <r>
    <s v="F"/>
    <x v="2"/>
    <n v="11824"/>
    <n v="1117"/>
    <n v="1077"/>
    <n v="1081"/>
    <n v="1761"/>
    <n v="0"/>
    <n v="1109"/>
    <n v="1263"/>
    <n v="1138"/>
    <n v="1167"/>
    <n v="1030"/>
    <n v="1081"/>
    <n v="238"/>
    <n v="656"/>
    <n v="898"/>
    <n v="1110"/>
    <n v="1000"/>
  </r>
  <r>
    <s v="B"/>
    <x v="3"/>
    <n v="14823"/>
    <n v="972"/>
    <n v="1212"/>
    <n v="1286"/>
    <n v="1454"/>
    <n v="0"/>
    <n v="1506"/>
    <n v="1760"/>
    <n v="1719"/>
    <n v="1653"/>
    <n v="1775"/>
    <n v="1486"/>
    <n v="1341"/>
    <n v="1409"/>
    <n v="1606"/>
    <n v="1610"/>
    <n v="1629"/>
  </r>
  <r>
    <s v="P"/>
    <x v="4"/>
    <n v="2987"/>
    <n v="287"/>
    <n v="328"/>
    <n v="260"/>
    <n v="399"/>
    <n v="0"/>
    <n v="356"/>
    <n v="320"/>
    <n v="235"/>
    <n v="240"/>
    <n v="283"/>
    <n v="279"/>
    <n v="66"/>
    <n v="176"/>
    <n v="168"/>
    <n v="172"/>
    <n v="209"/>
  </r>
  <r>
    <s v="K"/>
    <x v="5"/>
    <n v="618"/>
    <n v="68"/>
    <n v="74"/>
    <n v="77"/>
    <n v="58"/>
    <n v="0"/>
    <n v="68"/>
    <n v="49"/>
    <n v="66"/>
    <n v="59"/>
    <n v="60"/>
    <n v="39"/>
    <n v="6"/>
    <n v="21"/>
    <n v="20"/>
    <n v="25"/>
    <n v="37"/>
  </r>
  <r>
    <s v="N"/>
    <x v="6"/>
    <n v="7980"/>
    <n v="1038"/>
    <n v="1082"/>
    <n v="1619"/>
    <n v="1294"/>
    <n v="0"/>
    <n v="683"/>
    <n v="639"/>
    <n v="523"/>
    <n v="362"/>
    <n v="382"/>
    <n v="358"/>
    <n v="126"/>
    <n v="193"/>
    <n v="342"/>
    <n v="301"/>
    <n v="349"/>
  </r>
  <r>
    <s v="J"/>
    <x v="7"/>
    <n v="386"/>
    <n v="48"/>
    <n v="49"/>
    <n v="49"/>
    <n v="62"/>
    <n v="0"/>
    <n v="28"/>
    <n v="36"/>
    <n v="21"/>
    <n v="37"/>
    <n v="31"/>
    <n v="25"/>
    <n v="10"/>
    <n v="10"/>
    <n v="25"/>
    <n v="11"/>
    <n v="21"/>
  </r>
  <r>
    <s v="A"/>
    <x v="8"/>
    <n v="3103"/>
    <n v="136"/>
    <n v="236"/>
    <n v="197"/>
    <n v="217"/>
    <n v="0"/>
    <n v="334"/>
    <n v="451"/>
    <n v="396"/>
    <n v="367"/>
    <n v="471"/>
    <n v="298"/>
    <n v="218"/>
    <n v="238"/>
    <n v="288"/>
    <n v="287"/>
    <n v="320"/>
  </r>
  <r>
    <s v="C"/>
    <x v="9"/>
    <n v="13549"/>
    <n v="0"/>
    <n v="0"/>
    <n v="0"/>
    <n v="0"/>
    <n v="0"/>
    <n v="1947"/>
    <n v="3062"/>
    <n v="2650"/>
    <n v="2077"/>
    <n v="1862"/>
    <n v="1951"/>
    <n v="815"/>
    <n v="1984"/>
    <n v="1958"/>
    <n v="1827"/>
    <n v="2400"/>
  </r>
  <r>
    <s v="S"/>
    <x v="10"/>
    <n v="3358"/>
    <n v="311"/>
    <n v="405"/>
    <n v="483"/>
    <n v="389"/>
    <n v="0"/>
    <n v="344"/>
    <n v="379"/>
    <n v="275"/>
    <n v="220"/>
    <n v="267"/>
    <n v="285"/>
    <n v="63"/>
    <n v="110"/>
    <n v="110"/>
    <n v="249"/>
    <n v="212"/>
  </r>
  <r>
    <s v="H"/>
    <x v="11"/>
    <n v="3698"/>
    <n v="284"/>
    <n v="395"/>
    <n v="430"/>
    <n v="415"/>
    <n v="0"/>
    <n v="251"/>
    <n v="351"/>
    <n v="371"/>
    <n v="408"/>
    <n v="323"/>
    <n v="470"/>
    <n v="119"/>
    <n v="290"/>
    <n v="547"/>
    <n v="1256"/>
    <n v="1572"/>
  </r>
  <r>
    <s v="E"/>
    <x v="12"/>
    <n v="1345"/>
    <n v="137"/>
    <n v="126"/>
    <n v="138"/>
    <n v="296"/>
    <n v="0"/>
    <n v="138"/>
    <n v="119"/>
    <n v="128"/>
    <n v="104"/>
    <n v="88"/>
    <n v="71"/>
    <n v="39"/>
    <n v="24"/>
    <n v="60"/>
    <n v="51"/>
    <n v="59"/>
  </r>
  <r>
    <s v="L"/>
    <x v="13"/>
    <n v="6061"/>
    <n v="794"/>
    <n v="1016"/>
    <n v="1014"/>
    <n v="670"/>
    <n v="0"/>
    <n v="596"/>
    <n v="494"/>
    <n v="482"/>
    <n v="332"/>
    <n v="374"/>
    <n v="289"/>
    <n v="73"/>
    <n v="132"/>
    <n v="195"/>
    <n v="205"/>
    <n v="313"/>
  </r>
  <r>
    <s v="M"/>
    <x v="14"/>
    <n v="3079"/>
    <n v="433"/>
    <n v="264"/>
    <n v="291"/>
    <n v="231"/>
    <n v="0"/>
    <n v="260"/>
    <n v="228"/>
    <n v="363"/>
    <n v="268"/>
    <n v="470"/>
    <n v="271"/>
    <n v="69"/>
    <n v="179"/>
    <n v="219"/>
    <n v="159"/>
    <n v="294"/>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n v="3797"/>
    <n v="14034"/>
    <n v="2264"/>
    <n v="10793"/>
    <n v="58"/>
    <n v="300"/>
    <n v="20"/>
    <n v="127"/>
  </r>
  <r>
    <x v="1"/>
    <n v="4947"/>
    <n v="29138"/>
    <n v="1797"/>
    <n v="11747"/>
    <n v="55"/>
    <n v="453"/>
    <n v="13"/>
    <n v="94"/>
  </r>
  <r>
    <x v="2"/>
    <n v="6829"/>
    <n v="42023"/>
    <n v="726"/>
    <n v="7946"/>
    <n v="40"/>
    <n v="267"/>
    <n v="26"/>
    <n v="144"/>
  </r>
  <r>
    <x v="3"/>
    <n v="7230"/>
    <n v="34986"/>
    <n v="764"/>
    <n v="5742"/>
    <n v="43"/>
    <n v="251"/>
    <n v="22"/>
    <n v="100"/>
  </r>
  <r>
    <x v="4"/>
    <n v="0"/>
    <n v="0"/>
    <n v="0"/>
    <n v="0"/>
    <n v="0"/>
    <n v="0"/>
    <n v="0"/>
    <n v="0"/>
  </r>
  <r>
    <x v="5"/>
    <n v="7816"/>
    <n v="40485"/>
    <n v="390"/>
    <n v="3134.5"/>
    <n v="10"/>
    <n v="206.25"/>
    <n v="3"/>
    <n v="25.5"/>
  </r>
  <r>
    <x v="6"/>
    <n v="9185"/>
    <n v="44965"/>
    <n v="649"/>
    <n v="6069.5"/>
    <n v="23"/>
    <n v="612"/>
    <n v="4"/>
    <n v="23.25"/>
  </r>
  <r>
    <x v="7"/>
    <n v="8385"/>
    <n v="41376"/>
    <n v="554"/>
    <n v="4990.75"/>
    <n v="21"/>
    <n v="395.25"/>
    <n v="12"/>
    <n v="72.25"/>
  </r>
  <r>
    <x v="8"/>
    <n v="7167"/>
    <n v="34688.5"/>
    <n v="468"/>
    <n v="4782"/>
    <n v="15"/>
    <n v="465.5"/>
    <n v="17"/>
    <n v="128.5"/>
  </r>
  <r>
    <x v="9"/>
    <n v="7508"/>
    <n v="36452.25"/>
    <n v="364"/>
    <n v="3759.25"/>
    <n v="22"/>
    <n v="521.75"/>
    <n v="20"/>
    <n v="237.5"/>
  </r>
  <r>
    <x v="10"/>
    <n v="6873"/>
    <n v="31221"/>
    <n v="388"/>
    <n v="2309"/>
    <n v="1"/>
    <n v="11.5"/>
    <n v="12"/>
    <n v="36"/>
  </r>
  <r>
    <x v="11"/>
    <n v="3200"/>
    <n v="16371"/>
    <n v="119"/>
    <n v="1407.5"/>
    <n v="3"/>
    <n v="123"/>
    <n v="3"/>
    <n v="24"/>
  </r>
  <r>
    <x v="12"/>
    <n v="5502"/>
    <n v="31098.25"/>
    <n v="186"/>
    <n v="2051.75"/>
    <n v="5"/>
    <n v="170"/>
    <n v="8"/>
    <n v="49"/>
  </r>
  <r>
    <x v="13"/>
    <n v="6432"/>
    <n v="38526.5"/>
    <n v="280"/>
    <n v="3385"/>
    <n v="2"/>
    <n v="98.25"/>
    <n v="5"/>
    <n v="52.5"/>
  </r>
  <r>
    <x v="14"/>
    <n v="7362"/>
    <n v="42820.25"/>
    <n v="292"/>
    <n v="3831"/>
    <n v="5"/>
    <n v="214.75"/>
    <n v="12"/>
    <n v="290.25"/>
  </r>
  <r>
    <x v="15"/>
    <n v="8461"/>
    <n v="47569.5"/>
    <n v="307"/>
    <n v="3445"/>
    <n v="2"/>
    <n v="146"/>
    <n v="6"/>
    <n v="85.5"/>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
  <r>
    <x v="0"/>
    <x v="0"/>
    <x v="0"/>
    <n v="127"/>
    <n v="588.75"/>
    <n v="11"/>
    <n v="66.25"/>
    <m/>
    <m/>
    <n v="1"/>
    <n v="5.5"/>
  </r>
  <r>
    <x v="0"/>
    <x v="1"/>
    <x v="1"/>
    <n v="67"/>
    <n v="370.5"/>
    <n v="1"/>
    <n v="7.25"/>
    <m/>
    <m/>
    <m/>
    <m/>
  </r>
  <r>
    <x v="1"/>
    <x v="0"/>
    <x v="0"/>
    <n v="109"/>
    <n v="654.75"/>
    <n v="10"/>
    <n v="118.75"/>
    <n v="1"/>
    <n v="26.5"/>
    <m/>
    <m/>
  </r>
  <r>
    <x v="1"/>
    <x v="2"/>
    <x v="2"/>
    <n v="216"/>
    <n v="1257"/>
    <n v="12"/>
    <n v="100"/>
    <m/>
    <m/>
    <n v="1"/>
    <n v="2.5"/>
  </r>
  <r>
    <x v="2"/>
    <x v="3"/>
    <x v="3"/>
    <n v="1660"/>
    <n v="9324.75"/>
    <n v="59"/>
    <n v="711.5"/>
    <m/>
    <m/>
    <m/>
    <m/>
  </r>
  <r>
    <x v="2"/>
    <x v="4"/>
    <x v="4"/>
    <n v="2531"/>
    <n v="8986"/>
    <n v="119"/>
    <n v="614"/>
    <n v="9"/>
    <n v="69.25"/>
    <n v="4"/>
    <n v="22.25"/>
  </r>
  <r>
    <x v="2"/>
    <x v="5"/>
    <x v="5"/>
    <n v="497"/>
    <n v="2570.75"/>
    <n v="26"/>
    <n v="227.75"/>
    <m/>
    <m/>
    <n v="2"/>
    <n v="13.5"/>
  </r>
  <r>
    <x v="3"/>
    <x v="4"/>
    <x v="4"/>
    <n v="1986"/>
    <n v="7167.75"/>
    <n v="91"/>
    <n v="794.5"/>
    <n v="2"/>
    <n v="51.75"/>
    <n v="4"/>
    <n v="16.25"/>
  </r>
  <r>
    <x v="3"/>
    <x v="6"/>
    <x v="6"/>
    <n v="107"/>
    <n v="536.5"/>
    <n v="6"/>
    <n v="39"/>
    <m/>
    <m/>
    <m/>
    <m/>
  </r>
  <r>
    <x v="4"/>
    <x v="4"/>
    <x v="4"/>
    <n v="1804"/>
    <n v="6780"/>
    <n v="58"/>
    <n v="572.5"/>
    <n v="5"/>
    <n v="167.25"/>
    <n v="12"/>
    <n v="181.25"/>
  </r>
  <r>
    <x v="4"/>
    <x v="5"/>
    <x v="5"/>
    <n v="366"/>
    <n v="1827.5"/>
    <n v="16"/>
    <n v="156.5"/>
    <n v="3"/>
    <n v="45.25"/>
    <n v="3"/>
    <n v="16"/>
  </r>
  <r>
    <x v="4"/>
    <x v="7"/>
    <x v="7"/>
    <n v="261"/>
    <n v="1459.5"/>
    <n v="6"/>
    <n v="50.75"/>
    <m/>
    <m/>
    <m/>
    <m/>
  </r>
  <r>
    <x v="5"/>
    <x v="3"/>
    <x v="3"/>
    <n v="1451"/>
    <m/>
    <n v="35"/>
    <m/>
    <m/>
    <m/>
    <m/>
    <m/>
  </r>
  <r>
    <x v="6"/>
    <x v="8"/>
    <x v="8"/>
    <n v="67"/>
    <n v="372.75"/>
    <n v="6"/>
    <n v="50"/>
    <m/>
    <m/>
    <n v="1"/>
    <m/>
  </r>
  <r>
    <x v="7"/>
    <x v="8"/>
    <x v="8"/>
    <n v="183"/>
    <n v="1112.5"/>
    <n v="22"/>
    <n v="249"/>
    <m/>
    <m/>
    <n v="2"/>
    <n v="7.25"/>
  </r>
  <r>
    <x v="7"/>
    <x v="2"/>
    <x v="2"/>
    <n v="157"/>
    <n v="1092.5"/>
    <n v="2"/>
    <n v="21.25"/>
    <m/>
    <m/>
    <m/>
    <m/>
  </r>
  <r>
    <x v="8"/>
    <x v="9"/>
    <x v="9"/>
    <n v="1506"/>
    <n v="8422"/>
    <n v="66"/>
    <n v="744.25"/>
    <m/>
    <m/>
    <m/>
    <m/>
  </r>
  <r>
    <x v="8"/>
    <x v="2"/>
    <x v="2"/>
    <n v="291"/>
    <n v="1795.5"/>
    <n v="3"/>
    <n v="32.75"/>
    <m/>
    <m/>
    <m/>
    <m/>
  </r>
  <r>
    <x v="1"/>
    <x v="5"/>
    <x v="5"/>
    <n v="598"/>
    <n v="3214.5"/>
    <n v="41"/>
    <n v="283"/>
    <m/>
    <m/>
    <n v="1"/>
    <n v="11.5"/>
  </r>
  <r>
    <x v="3"/>
    <x v="0"/>
    <x v="0"/>
    <n v="94"/>
    <n v="573.5"/>
    <n v="10"/>
    <n v="114.75"/>
    <m/>
    <m/>
    <n v="1"/>
    <n v="2"/>
  </r>
  <r>
    <x v="3"/>
    <x v="10"/>
    <x v="10"/>
    <n v="34"/>
    <n v="183"/>
    <n v="3"/>
    <n v="56.5"/>
    <m/>
    <m/>
    <m/>
    <m/>
  </r>
  <r>
    <x v="3"/>
    <x v="7"/>
    <x v="7"/>
    <n v="222"/>
    <n v="1205.75"/>
    <n v="6"/>
    <n v="53.25"/>
    <m/>
    <m/>
    <m/>
    <m/>
  </r>
  <r>
    <x v="4"/>
    <x v="9"/>
    <x v="9"/>
    <n v="301"/>
    <n v="1377.25"/>
    <n v="22"/>
    <n v="192.75"/>
    <m/>
    <m/>
    <m/>
    <m/>
  </r>
  <r>
    <x v="5"/>
    <x v="4"/>
    <x v="4"/>
    <n v="1738"/>
    <m/>
    <n v="213"/>
    <m/>
    <n v="1"/>
    <m/>
    <n v="5"/>
    <m/>
  </r>
  <r>
    <x v="6"/>
    <x v="11"/>
    <x v="11"/>
    <n v="212"/>
    <n v="1131.5"/>
    <n v="8"/>
    <n v="173"/>
    <m/>
    <m/>
    <m/>
    <m/>
  </r>
  <r>
    <x v="6"/>
    <x v="3"/>
    <x v="3"/>
    <n v="1326"/>
    <n v="7506.25"/>
    <n v="16"/>
    <n v="203.5"/>
    <m/>
    <m/>
    <m/>
    <m/>
  </r>
  <r>
    <x v="9"/>
    <x v="0"/>
    <x v="0"/>
    <n v="23"/>
    <n v="170.25"/>
    <n v="1"/>
    <n v="12.25"/>
    <m/>
    <m/>
    <m/>
    <m/>
  </r>
  <r>
    <x v="9"/>
    <x v="1"/>
    <x v="1"/>
    <n v="21"/>
    <n v="163"/>
    <m/>
    <m/>
    <m/>
    <m/>
    <m/>
    <m/>
  </r>
  <r>
    <x v="9"/>
    <x v="6"/>
    <x v="6"/>
    <n v="100"/>
    <n v="607.25"/>
    <m/>
    <m/>
    <m/>
    <m/>
    <m/>
    <m/>
  </r>
  <r>
    <x v="10"/>
    <x v="10"/>
    <x v="10"/>
    <n v="23"/>
    <n v="126.75"/>
    <n v="2"/>
    <n v="12.75"/>
    <m/>
    <m/>
    <m/>
    <m/>
  </r>
  <r>
    <x v="10"/>
    <x v="6"/>
    <x v="6"/>
    <n v="101"/>
    <n v="621"/>
    <n v="3"/>
    <n v="33.25"/>
    <m/>
    <m/>
    <m/>
    <m/>
  </r>
  <r>
    <x v="7"/>
    <x v="12"/>
    <x v="12"/>
    <n v="1020"/>
    <n v="6979.5"/>
    <n v="90"/>
    <n v="1630.75"/>
    <n v="2"/>
    <n v="140.25"/>
    <n v="4"/>
    <n v="143.75"/>
  </r>
  <r>
    <x v="7"/>
    <x v="1"/>
    <x v="1"/>
    <n v="25"/>
    <n v="143.25"/>
    <m/>
    <m/>
    <m/>
    <m/>
    <m/>
    <m/>
  </r>
  <r>
    <x v="7"/>
    <x v="5"/>
    <x v="5"/>
    <n v="293"/>
    <n v="1643.5"/>
    <n v="8"/>
    <n v="109"/>
    <n v="1"/>
    <n v="25"/>
    <n v="2"/>
    <m/>
  </r>
  <r>
    <x v="7"/>
    <x v="13"/>
    <x v="13"/>
    <n v="170"/>
    <n v="1127.25"/>
    <n v="2"/>
    <n v="37.25"/>
    <m/>
    <m/>
    <n v="1"/>
    <m/>
  </r>
  <r>
    <x v="7"/>
    <x v="7"/>
    <x v="7"/>
    <n v="220"/>
    <n v="1402"/>
    <n v="2"/>
    <n v="19.25"/>
    <m/>
    <m/>
    <m/>
    <m/>
  </r>
  <r>
    <x v="8"/>
    <x v="13"/>
    <x v="13"/>
    <n v="203"/>
    <n v="1192.5"/>
    <n v="6"/>
    <n v="132.5"/>
    <m/>
    <m/>
    <m/>
    <m/>
  </r>
  <r>
    <x v="0"/>
    <x v="13"/>
    <x v="13"/>
    <n v="343"/>
    <n v="1793.75"/>
    <n v="13"/>
    <n v="95"/>
    <m/>
    <m/>
    <n v="1"/>
    <n v="12.5"/>
  </r>
  <r>
    <x v="1"/>
    <x v="3"/>
    <x v="3"/>
    <n v="1667"/>
    <n v="9716.25"/>
    <n v="93"/>
    <n v="978.75"/>
    <n v="3"/>
    <n v="76.25"/>
    <m/>
    <m/>
  </r>
  <r>
    <x v="1"/>
    <x v="6"/>
    <x v="6"/>
    <n v="190"/>
    <n v="988.5"/>
    <n v="8"/>
    <n v="62.25"/>
    <m/>
    <m/>
    <n v="1"/>
    <n v="5.5"/>
  </r>
  <r>
    <x v="2"/>
    <x v="0"/>
    <x v="0"/>
    <n v="119"/>
    <n v="607"/>
    <n v="9"/>
    <n v="83.5"/>
    <n v="1"/>
    <n v="6.75"/>
    <m/>
    <m/>
  </r>
  <r>
    <x v="2"/>
    <x v="12"/>
    <x v="12"/>
    <n v="990"/>
    <n v="5995.25"/>
    <n v="148"/>
    <n v="1626.25"/>
    <n v="8"/>
    <n v="268.5"/>
    <n v="3"/>
    <n v="20.75"/>
  </r>
  <r>
    <x v="3"/>
    <x v="3"/>
    <x v="3"/>
    <n v="1599"/>
    <n v="8671.5"/>
    <n v="54"/>
    <n v="593.75"/>
    <m/>
    <m/>
    <m/>
    <m/>
  </r>
  <r>
    <x v="4"/>
    <x v="11"/>
    <x v="11"/>
    <n v="449"/>
    <n v="2244.5"/>
    <n v="22"/>
    <n v="166.5"/>
    <m/>
    <m/>
    <m/>
    <m/>
  </r>
  <r>
    <x v="4"/>
    <x v="12"/>
    <x v="12"/>
    <n v="921"/>
    <n v="5130.75"/>
    <n v="109"/>
    <n v="1313.75"/>
    <n v="5"/>
    <n v="154"/>
    <n v="4"/>
    <n v="34"/>
  </r>
  <r>
    <x v="4"/>
    <x v="14"/>
    <x v="14"/>
    <n v="263"/>
    <n v="1314"/>
    <n v="4"/>
    <n v="38"/>
    <m/>
    <m/>
    <m/>
    <m/>
  </r>
  <r>
    <x v="5"/>
    <x v="12"/>
    <x v="12"/>
    <n v="1017"/>
    <m/>
    <n v="64"/>
    <m/>
    <m/>
    <m/>
    <m/>
    <m/>
  </r>
  <r>
    <x v="5"/>
    <x v="9"/>
    <x v="9"/>
    <n v="458"/>
    <m/>
    <n v="12"/>
    <m/>
    <m/>
    <m/>
    <n v="2"/>
    <m/>
  </r>
  <r>
    <x v="5"/>
    <x v="8"/>
    <x v="8"/>
    <n v="259"/>
    <m/>
    <n v="30"/>
    <m/>
    <m/>
    <m/>
    <n v="1"/>
    <m/>
  </r>
  <r>
    <x v="6"/>
    <x v="0"/>
    <x v="0"/>
    <n v="34"/>
    <n v="117"/>
    <n v="3"/>
    <n v="48.75"/>
    <m/>
    <m/>
    <m/>
    <m/>
  </r>
  <r>
    <x v="6"/>
    <x v="9"/>
    <x v="9"/>
    <n v="109"/>
    <n v="561.5"/>
    <n v="6"/>
    <n v="63.5"/>
    <n v="1"/>
    <n v="27.5"/>
    <m/>
    <m/>
  </r>
  <r>
    <x v="6"/>
    <x v="5"/>
    <x v="5"/>
    <n v="119"/>
    <n v="667.5"/>
    <n v="6"/>
    <n v="56.25"/>
    <m/>
    <m/>
    <n v="1"/>
    <n v="4"/>
  </r>
  <r>
    <x v="6"/>
    <x v="13"/>
    <x v="13"/>
    <n v="59"/>
    <n v="366.5"/>
    <n v="3"/>
    <n v="27.25"/>
    <m/>
    <m/>
    <m/>
    <m/>
  </r>
  <r>
    <x v="6"/>
    <x v="14"/>
    <x v="14"/>
    <n v="62"/>
    <n v="288.25"/>
    <m/>
    <m/>
    <m/>
    <m/>
    <m/>
    <m/>
  </r>
  <r>
    <x v="9"/>
    <x v="3"/>
    <x v="3"/>
    <n v="1392"/>
    <n v="9003"/>
    <n v="17"/>
    <n v="258.5"/>
    <n v="1"/>
    <n v="41"/>
    <m/>
    <m/>
  </r>
  <r>
    <x v="9"/>
    <x v="12"/>
    <x v="12"/>
    <n v="588"/>
    <n v="4421"/>
    <n v="68"/>
    <n v="848.75"/>
    <n v="1"/>
    <n v="29.75"/>
    <n v="2"/>
    <n v="11.5"/>
  </r>
  <r>
    <x v="9"/>
    <x v="14"/>
    <x v="14"/>
    <n v="108"/>
    <n v="655.75"/>
    <n v="2"/>
    <n v="27.75"/>
    <m/>
    <m/>
    <m/>
    <m/>
  </r>
  <r>
    <x v="10"/>
    <x v="9"/>
    <x v="9"/>
    <n v="532"/>
    <n v="2943.25"/>
    <n v="15"/>
    <n v="142.75"/>
    <n v="1"/>
    <n v="22.25"/>
    <m/>
    <m/>
  </r>
  <r>
    <x v="10"/>
    <x v="1"/>
    <x v="1"/>
    <n v="20"/>
    <n v="140"/>
    <m/>
    <m/>
    <m/>
    <m/>
    <m/>
    <m/>
  </r>
  <r>
    <x v="10"/>
    <x v="7"/>
    <x v="7"/>
    <n v="167"/>
    <n v="1148.75"/>
    <n v="5"/>
    <n v="46"/>
    <m/>
    <m/>
    <m/>
    <m/>
  </r>
  <r>
    <x v="7"/>
    <x v="4"/>
    <x v="4"/>
    <n v="1765"/>
    <n v="7900.75"/>
    <n v="62"/>
    <n v="473.5"/>
    <n v="1"/>
    <n v="30.25"/>
    <n v="1"/>
    <n v="4"/>
  </r>
  <r>
    <x v="8"/>
    <x v="11"/>
    <x v="11"/>
    <n v="313"/>
    <n v="2037.75"/>
    <n v="7"/>
    <n v="117.25"/>
    <m/>
    <m/>
    <m/>
    <m/>
  </r>
  <r>
    <x v="8"/>
    <x v="5"/>
    <x v="5"/>
    <n v="336"/>
    <n v="2007.25"/>
    <n v="13"/>
    <n v="80"/>
    <m/>
    <m/>
    <n v="3"/>
    <n v="36.5"/>
  </r>
  <r>
    <x v="0"/>
    <x v="2"/>
    <x v="2"/>
    <n v="257"/>
    <n v="1527"/>
    <n v="3"/>
    <n v="23.5"/>
    <m/>
    <m/>
    <m/>
    <m/>
  </r>
  <r>
    <x v="1"/>
    <x v="9"/>
    <x v="9"/>
    <n v="317"/>
    <n v="1475"/>
    <n v="34"/>
    <n v="285.75"/>
    <m/>
    <m/>
    <m/>
    <m/>
  </r>
  <r>
    <x v="1"/>
    <x v="8"/>
    <x v="8"/>
    <n v="437"/>
    <n v="2243.5"/>
    <n v="57"/>
    <n v="475.25"/>
    <n v="2"/>
    <n v="26.25"/>
    <m/>
    <m/>
  </r>
  <r>
    <x v="1"/>
    <x v="7"/>
    <x v="7"/>
    <n v="476"/>
    <n v="2044.25"/>
    <n v="9"/>
    <n v="74.75"/>
    <m/>
    <m/>
    <m/>
    <m/>
  </r>
  <r>
    <x v="2"/>
    <x v="6"/>
    <x v="6"/>
    <n v="233"/>
    <n v="1339.75"/>
    <n v="10"/>
    <n v="90.5"/>
    <m/>
    <m/>
    <m/>
    <m/>
  </r>
  <r>
    <x v="3"/>
    <x v="11"/>
    <x v="11"/>
    <n v="342"/>
    <n v="1662"/>
    <n v="25"/>
    <n v="274.25"/>
    <m/>
    <m/>
    <m/>
    <m/>
  </r>
  <r>
    <x v="3"/>
    <x v="12"/>
    <x v="12"/>
    <n v="1018"/>
    <n v="5856.5"/>
    <n v="149"/>
    <n v="1800.5"/>
    <n v="9"/>
    <n v="378.75"/>
    <n v="6"/>
    <n v="72.5"/>
  </r>
  <r>
    <x v="3"/>
    <x v="1"/>
    <x v="1"/>
    <n v="55"/>
    <n v="288"/>
    <n v="4"/>
    <n v="35.75"/>
    <m/>
    <m/>
    <m/>
    <m/>
  </r>
  <r>
    <x v="4"/>
    <x v="10"/>
    <x v="10"/>
    <n v="30"/>
    <n v="199.75"/>
    <n v="1"/>
    <n v="11.25"/>
    <m/>
    <m/>
    <m/>
    <m/>
  </r>
  <r>
    <x v="4"/>
    <x v="8"/>
    <x v="8"/>
    <n v="329"/>
    <n v="1704"/>
    <n v="45"/>
    <n v="386.75"/>
    <n v="5"/>
    <n v="80"/>
    <m/>
    <m/>
  </r>
  <r>
    <x v="4"/>
    <x v="2"/>
    <x v="2"/>
    <n v="457"/>
    <n v="2188.5"/>
    <n v="13"/>
    <n v="156.75"/>
    <m/>
    <m/>
    <m/>
    <m/>
  </r>
  <r>
    <x v="4"/>
    <x v="6"/>
    <x v="6"/>
    <n v="179"/>
    <n v="949"/>
    <n v="10"/>
    <n v="68.5"/>
    <n v="1"/>
    <m/>
    <m/>
    <m/>
  </r>
  <r>
    <x v="5"/>
    <x v="0"/>
    <x v="0"/>
    <n v="70"/>
    <m/>
    <n v="1"/>
    <m/>
    <m/>
    <m/>
    <m/>
    <m/>
  </r>
  <r>
    <x v="5"/>
    <x v="1"/>
    <x v="1"/>
    <n v="38"/>
    <m/>
    <n v="1"/>
    <m/>
    <m/>
    <m/>
    <m/>
    <m/>
  </r>
  <r>
    <x v="5"/>
    <x v="13"/>
    <x v="13"/>
    <n v="275"/>
    <m/>
    <n v="4"/>
    <m/>
    <m/>
    <m/>
    <n v="2"/>
    <m/>
  </r>
  <r>
    <x v="5"/>
    <x v="7"/>
    <x v="7"/>
    <n v="234"/>
    <m/>
    <n v="7"/>
    <m/>
    <m/>
    <m/>
    <n v="1"/>
    <m/>
  </r>
  <r>
    <x v="6"/>
    <x v="4"/>
    <x v="4"/>
    <n v="774"/>
    <n v="2858.25"/>
    <n v="35"/>
    <n v="369.5"/>
    <n v="1"/>
    <n v="41.25"/>
    <m/>
    <m/>
  </r>
  <r>
    <x v="6"/>
    <x v="7"/>
    <x v="7"/>
    <n v="82"/>
    <n v="493.75"/>
    <n v="2"/>
    <n v="11.25"/>
    <m/>
    <m/>
    <m/>
    <m/>
  </r>
  <r>
    <x v="6"/>
    <x v="6"/>
    <x v="6"/>
    <n v="48"/>
    <n v="270.5"/>
    <n v="2"/>
    <n v="19.25"/>
    <m/>
    <m/>
    <n v="1"/>
    <n v="20"/>
  </r>
  <r>
    <x v="9"/>
    <x v="4"/>
    <x v="4"/>
    <n v="1932"/>
    <n v="7836.5"/>
    <n v="52"/>
    <n v="332.25"/>
    <n v="2"/>
    <n v="34.25"/>
    <n v="2"/>
    <n v="4.25"/>
  </r>
  <r>
    <x v="9"/>
    <x v="8"/>
    <x v="8"/>
    <n v="120"/>
    <n v="699.5"/>
    <n v="12"/>
    <n v="115.5"/>
    <m/>
    <m/>
    <n v="1"/>
    <n v="7.25"/>
  </r>
  <r>
    <x v="7"/>
    <x v="9"/>
    <x v="9"/>
    <n v="1212"/>
    <n v="6995.25"/>
    <n v="44"/>
    <n v="503"/>
    <n v="1"/>
    <n v="19.25"/>
    <n v="1"/>
    <n v="78"/>
  </r>
  <r>
    <x v="7"/>
    <x v="14"/>
    <x v="14"/>
    <n v="249"/>
    <n v="1198"/>
    <m/>
    <m/>
    <m/>
    <m/>
    <m/>
    <m/>
  </r>
  <r>
    <x v="8"/>
    <x v="10"/>
    <x v="10"/>
    <n v="21"/>
    <n v="103.75"/>
    <m/>
    <m/>
    <m/>
    <m/>
    <m/>
    <m/>
  </r>
  <r>
    <x v="8"/>
    <x v="6"/>
    <x v="6"/>
    <n v="127"/>
    <n v="712.5"/>
    <n v="2"/>
    <n v="16.75"/>
    <m/>
    <m/>
    <m/>
    <m/>
  </r>
  <r>
    <x v="0"/>
    <x v="3"/>
    <x v="3"/>
    <n v="1456"/>
    <n v="8821.25"/>
    <n v="50"/>
    <n v="482.25"/>
    <n v="1"/>
    <n v="31"/>
    <m/>
    <m/>
  </r>
  <r>
    <x v="0"/>
    <x v="4"/>
    <x v="4"/>
    <n v="1871"/>
    <n v="7024.75"/>
    <n v="76"/>
    <n v="361.75"/>
    <n v="2"/>
    <n v="19.25"/>
    <n v="1"/>
    <n v="7.5"/>
  </r>
  <r>
    <x v="0"/>
    <x v="10"/>
    <x v="10"/>
    <n v="27"/>
    <n v="201"/>
    <n v="1"/>
    <n v="4.75"/>
    <m/>
    <m/>
    <m/>
    <m/>
  </r>
  <r>
    <x v="0"/>
    <x v="8"/>
    <x v="8"/>
    <n v="553"/>
    <n v="2713"/>
    <n v="43"/>
    <n v="383.25"/>
    <m/>
    <m/>
    <m/>
    <m/>
  </r>
  <r>
    <x v="0"/>
    <x v="14"/>
    <x v="14"/>
    <n v="333"/>
    <n v="1754.75"/>
    <n v="11"/>
    <n v="75"/>
    <n v="1"/>
    <n v="5.5"/>
    <m/>
    <m/>
  </r>
  <r>
    <x v="0"/>
    <x v="6"/>
    <x v="6"/>
    <n v="164"/>
    <n v="872.25"/>
    <n v="10"/>
    <n v="110.25"/>
    <m/>
    <m/>
    <m/>
    <m/>
  </r>
  <r>
    <x v="2"/>
    <x v="11"/>
    <x v="11"/>
    <n v="359"/>
    <n v="1911.75"/>
    <n v="37"/>
    <n v="370.75"/>
    <m/>
    <m/>
    <m/>
    <m/>
  </r>
  <r>
    <x v="2"/>
    <x v="2"/>
    <x v="2"/>
    <n v="350"/>
    <n v="2174"/>
    <n v="13"/>
    <n v="160.75"/>
    <m/>
    <m/>
    <m/>
    <m/>
  </r>
  <r>
    <x v="3"/>
    <x v="13"/>
    <x v="13"/>
    <n v="225"/>
    <n v="1105.5"/>
    <n v="15"/>
    <n v="122.25"/>
    <m/>
    <m/>
    <m/>
    <m/>
  </r>
  <r>
    <x v="4"/>
    <x v="3"/>
    <x v="3"/>
    <n v="1731"/>
    <n v="9112.75"/>
    <n v="44"/>
    <n v="463.25"/>
    <n v="1"/>
    <n v="33.25"/>
    <m/>
    <m/>
  </r>
  <r>
    <x v="4"/>
    <x v="1"/>
    <x v="1"/>
    <n v="59"/>
    <n v="321.75"/>
    <n v="1"/>
    <n v="14"/>
    <m/>
    <m/>
    <m/>
    <m/>
  </r>
  <r>
    <x v="5"/>
    <x v="2"/>
    <x v="2"/>
    <n v="266"/>
    <m/>
    <n v="5"/>
    <m/>
    <m/>
    <m/>
    <m/>
    <m/>
  </r>
  <r>
    <x v="6"/>
    <x v="2"/>
    <x v="2"/>
    <n v="66"/>
    <n v="355.25"/>
    <n v="1"/>
    <n v="31.25"/>
    <m/>
    <m/>
    <m/>
    <m/>
  </r>
  <r>
    <x v="10"/>
    <x v="11"/>
    <x v="11"/>
    <n v="287"/>
    <n v="1929.75"/>
    <n v="1"/>
    <n v="17.25"/>
    <m/>
    <m/>
    <m/>
    <m/>
  </r>
  <r>
    <x v="10"/>
    <x v="5"/>
    <x v="5"/>
    <n v="330"/>
    <n v="2329"/>
    <n v="12"/>
    <n v="158.75"/>
    <m/>
    <m/>
    <m/>
    <m/>
  </r>
  <r>
    <x v="8"/>
    <x v="3"/>
    <x v="3"/>
    <n v="1598"/>
    <n v="10148.5"/>
    <n v="31"/>
    <n v="437.25"/>
    <m/>
    <m/>
    <n v="2"/>
    <n v="29.25"/>
  </r>
  <r>
    <x v="8"/>
    <x v="4"/>
    <x v="4"/>
    <n v="2324"/>
    <n v="10097"/>
    <n v="76"/>
    <n v="371.25"/>
    <m/>
    <m/>
    <m/>
    <m/>
  </r>
  <r>
    <x v="8"/>
    <x v="8"/>
    <x v="8"/>
    <n v="289"/>
    <n v="1658"/>
    <n v="24"/>
    <n v="270.75"/>
    <m/>
    <m/>
    <m/>
    <m/>
  </r>
  <r>
    <x v="0"/>
    <x v="12"/>
    <x v="12"/>
    <n v="1022"/>
    <n v="6361.5"/>
    <n v="87"/>
    <n v="868.25"/>
    <n v="6"/>
    <n v="150.5"/>
    <m/>
    <m/>
  </r>
  <r>
    <x v="1"/>
    <x v="4"/>
    <x v="4"/>
    <n v="2916"/>
    <n v="10285.25"/>
    <n v="146"/>
    <n v="902.5"/>
    <n v="2"/>
    <n v="14.5"/>
    <n v="1"/>
    <n v="3.75"/>
  </r>
  <r>
    <x v="1"/>
    <x v="1"/>
    <x v="1"/>
    <n v="48"/>
    <n v="249.5"/>
    <n v="1"/>
    <n v="20.25"/>
    <m/>
    <m/>
    <m/>
    <m/>
  </r>
  <r>
    <x v="2"/>
    <x v="1"/>
    <x v="1"/>
    <n v="63"/>
    <n v="340.5"/>
    <n v="3"/>
    <n v="33.25"/>
    <m/>
    <m/>
    <m/>
    <m/>
  </r>
  <r>
    <x v="3"/>
    <x v="2"/>
    <x v="2"/>
    <n v="255"/>
    <n v="1437.75"/>
    <n v="13"/>
    <n v="146.5"/>
    <m/>
    <m/>
    <m/>
    <m/>
  </r>
  <r>
    <x v="4"/>
    <x v="0"/>
    <x v="0"/>
    <n v="85"/>
    <n v="435.5"/>
    <n v="3"/>
    <n v="61.25"/>
    <n v="1"/>
    <n v="38.25"/>
    <m/>
    <m/>
  </r>
  <r>
    <x v="5"/>
    <x v="6"/>
    <x v="6"/>
    <n v="115"/>
    <m/>
    <n v="2"/>
    <m/>
    <m/>
    <m/>
    <m/>
    <m/>
  </r>
  <r>
    <x v="6"/>
    <x v="12"/>
    <x v="12"/>
    <n v="206"/>
    <n v="1195.25"/>
    <n v="24"/>
    <n v="285.25"/>
    <n v="1"/>
    <n v="54.5"/>
    <m/>
    <m/>
  </r>
  <r>
    <x v="9"/>
    <x v="7"/>
    <x v="7"/>
    <n v="165"/>
    <n v="1100.75"/>
    <n v="1"/>
    <n v="4"/>
    <m/>
    <m/>
    <n v="1"/>
    <n v="8"/>
  </r>
  <r>
    <x v="7"/>
    <x v="3"/>
    <x v="3"/>
    <n v="1578"/>
    <n v="9945.75"/>
    <n v="32"/>
    <n v="384.25"/>
    <m/>
    <m/>
    <n v="1"/>
    <n v="57.25"/>
  </r>
  <r>
    <x v="7"/>
    <x v="10"/>
    <x v="10"/>
    <n v="11"/>
    <n v="69"/>
    <m/>
    <m/>
    <m/>
    <m/>
    <m/>
    <m/>
  </r>
  <r>
    <x v="8"/>
    <x v="0"/>
    <x v="0"/>
    <n v="52"/>
    <n v="336.25"/>
    <n v="7"/>
    <n v="74.5"/>
    <m/>
    <m/>
    <m/>
    <m/>
  </r>
  <r>
    <x v="8"/>
    <x v="1"/>
    <x v="1"/>
    <n v="36"/>
    <n v="212"/>
    <n v="1"/>
    <n v="18"/>
    <m/>
    <m/>
    <m/>
    <m/>
  </r>
  <r>
    <x v="8"/>
    <x v="7"/>
    <x v="7"/>
    <n v="219"/>
    <n v="1302.5"/>
    <n v="5"/>
    <n v="162.75"/>
    <n v="1"/>
    <n v="81.5"/>
    <m/>
    <m/>
  </r>
  <r>
    <x v="8"/>
    <x v="14"/>
    <x v="14"/>
    <n v="212"/>
    <n v="1052.25"/>
    <m/>
    <m/>
    <m/>
    <m/>
    <m/>
    <m/>
  </r>
  <r>
    <x v="0"/>
    <x v="5"/>
    <x v="5"/>
    <n v="644"/>
    <n v="3222.75"/>
    <n v="39"/>
    <n v="284.75"/>
    <m/>
    <m/>
    <m/>
    <m/>
  </r>
  <r>
    <x v="0"/>
    <x v="7"/>
    <x v="7"/>
    <n v="388"/>
    <n v="2008.75"/>
    <n v="24"/>
    <n v="214.75"/>
    <m/>
    <m/>
    <m/>
    <m/>
  </r>
  <r>
    <x v="1"/>
    <x v="11"/>
    <x v="11"/>
    <n v="409"/>
    <n v="2440"/>
    <n v="42"/>
    <n v="504.75"/>
    <n v="1"/>
    <n v="32"/>
    <m/>
    <m/>
  </r>
  <r>
    <x v="1"/>
    <x v="12"/>
    <x v="12"/>
    <n v="1100"/>
    <n v="6862.25"/>
    <n v="163"/>
    <n v="2008.25"/>
    <n v="14"/>
    <n v="436.5"/>
    <m/>
    <m/>
  </r>
  <r>
    <x v="1"/>
    <x v="13"/>
    <x v="13"/>
    <n v="303"/>
    <n v="1550.75"/>
    <n v="17"/>
    <n v="153"/>
    <m/>
    <m/>
    <m/>
    <m/>
  </r>
  <r>
    <x v="1"/>
    <x v="14"/>
    <x v="14"/>
    <n v="364"/>
    <n v="1734.75"/>
    <n v="15"/>
    <n v="95.75"/>
    <m/>
    <m/>
    <m/>
    <m/>
  </r>
  <r>
    <x v="2"/>
    <x v="13"/>
    <x v="13"/>
    <n v="221"/>
    <n v="1244.75"/>
    <n v="14"/>
    <n v="103.25"/>
    <m/>
    <m/>
    <m/>
    <m/>
  </r>
  <r>
    <x v="2"/>
    <x v="7"/>
    <x v="7"/>
    <n v="319"/>
    <n v="1744"/>
    <n v="10"/>
    <n v="102.75"/>
    <m/>
    <m/>
    <m/>
    <m/>
  </r>
  <r>
    <x v="3"/>
    <x v="5"/>
    <x v="5"/>
    <n v="344"/>
    <n v="1674.75"/>
    <n v="18"/>
    <n v="138.25"/>
    <n v="1"/>
    <n v="3"/>
    <n v="2"/>
    <n v="12.5"/>
  </r>
  <r>
    <x v="3"/>
    <x v="14"/>
    <x v="14"/>
    <n v="217"/>
    <n v="1101.5"/>
    <n v="3"/>
    <n v="26"/>
    <m/>
    <m/>
    <m/>
    <m/>
  </r>
  <r>
    <x v="5"/>
    <x v="5"/>
    <x v="5"/>
    <n v="350"/>
    <m/>
    <n v="8"/>
    <m/>
    <m/>
    <m/>
    <n v="1"/>
    <m/>
  </r>
  <r>
    <x v="5"/>
    <x v="14"/>
    <x v="14"/>
    <n v="283"/>
    <m/>
    <n v="2"/>
    <m/>
    <m/>
    <m/>
    <m/>
    <m/>
  </r>
  <r>
    <x v="6"/>
    <x v="10"/>
    <x v="10"/>
    <n v="10"/>
    <n v="66.5"/>
    <m/>
    <m/>
    <m/>
    <m/>
    <m/>
    <m/>
  </r>
  <r>
    <x v="9"/>
    <x v="9"/>
    <x v="9"/>
    <n v="272"/>
    <n v="1519.25"/>
    <n v="18"/>
    <n v="254.75"/>
    <n v="1"/>
    <n v="65"/>
    <m/>
    <m/>
  </r>
  <r>
    <x v="9"/>
    <x v="10"/>
    <x v="10"/>
    <n v="10"/>
    <n v="95.25"/>
    <m/>
    <m/>
    <m/>
    <m/>
    <m/>
    <m/>
  </r>
  <r>
    <x v="9"/>
    <x v="5"/>
    <x v="5"/>
    <n v="187"/>
    <n v="1090.5"/>
    <n v="6"/>
    <n v="51"/>
    <m/>
    <m/>
    <n v="2"/>
    <n v="18"/>
  </r>
  <r>
    <x v="9"/>
    <x v="13"/>
    <x v="13"/>
    <n v="172"/>
    <n v="1113"/>
    <n v="4"/>
    <n v="36.25"/>
    <m/>
    <m/>
    <m/>
    <m/>
  </r>
  <r>
    <x v="10"/>
    <x v="3"/>
    <x v="3"/>
    <n v="1575"/>
    <n v="10482"/>
    <n v="31"/>
    <n v="586.75"/>
    <m/>
    <m/>
    <m/>
    <m/>
  </r>
  <r>
    <x v="10"/>
    <x v="4"/>
    <x v="4"/>
    <n v="1859"/>
    <n v="8252.5"/>
    <n v="99"/>
    <n v="781.75"/>
    <m/>
    <m/>
    <m/>
    <m/>
  </r>
  <r>
    <x v="10"/>
    <x v="12"/>
    <x v="12"/>
    <n v="814"/>
    <n v="5823.75"/>
    <n v="84"/>
    <n v="1269.5"/>
    <n v="1"/>
    <n v="76"/>
    <n v="3"/>
    <n v="31.5"/>
  </r>
  <r>
    <x v="10"/>
    <x v="2"/>
    <x v="2"/>
    <n v="217"/>
    <n v="1482.5"/>
    <n v="2"/>
    <n v="25.75"/>
    <m/>
    <m/>
    <m/>
    <m/>
  </r>
  <r>
    <x v="10"/>
    <x v="13"/>
    <x v="13"/>
    <n v="162"/>
    <n v="1142.5"/>
    <n v="6"/>
    <n v="56.5"/>
    <m/>
    <m/>
    <m/>
    <m/>
  </r>
  <r>
    <x v="10"/>
    <x v="14"/>
    <x v="14"/>
    <n v="109"/>
    <n v="656.75"/>
    <n v="1"/>
    <n v="4.75"/>
    <m/>
    <m/>
    <n v="1"/>
    <n v="18"/>
  </r>
  <r>
    <x v="7"/>
    <x v="0"/>
    <x v="0"/>
    <n v="48"/>
    <n v="313.25"/>
    <n v="3"/>
    <n v="27.75"/>
    <m/>
    <m/>
    <m/>
    <m/>
  </r>
  <r>
    <x v="0"/>
    <x v="11"/>
    <x v="11"/>
    <n v="330"/>
    <n v="2088.25"/>
    <n v="4"/>
    <n v="37.5"/>
    <m/>
    <m/>
    <m/>
    <m/>
  </r>
  <r>
    <x v="0"/>
    <x v="9"/>
    <x v="9"/>
    <n v="234"/>
    <n v="1136.75"/>
    <n v="17"/>
    <n v="120"/>
    <m/>
    <m/>
    <m/>
    <m/>
  </r>
  <r>
    <x v="1"/>
    <x v="10"/>
    <x v="10"/>
    <n v="35"/>
    <n v="248.75"/>
    <n v="1"/>
    <n v="6.5"/>
    <m/>
    <m/>
    <m/>
    <m/>
  </r>
  <r>
    <x v="2"/>
    <x v="9"/>
    <x v="9"/>
    <n v="338"/>
    <n v="1664"/>
    <n v="33"/>
    <n v="287.5"/>
    <n v="2"/>
    <n v="39"/>
    <n v="2"/>
    <n v="7.25"/>
  </r>
  <r>
    <x v="2"/>
    <x v="10"/>
    <x v="10"/>
    <n v="20"/>
    <n v="104.5"/>
    <n v="1"/>
    <n v="11.5"/>
    <m/>
    <m/>
    <m/>
    <m/>
  </r>
  <r>
    <x v="2"/>
    <x v="8"/>
    <x v="8"/>
    <n v="421"/>
    <n v="2155.5"/>
    <n v="61"/>
    <n v="470.25"/>
    <n v="1"/>
    <n v="11.75"/>
    <n v="1"/>
    <n v="8.5"/>
  </r>
  <r>
    <x v="2"/>
    <x v="14"/>
    <x v="14"/>
    <n v="264"/>
    <n v="1213.5"/>
    <n v="11"/>
    <n v="97.25"/>
    <m/>
    <m/>
    <m/>
    <m/>
  </r>
  <r>
    <x v="3"/>
    <x v="9"/>
    <x v="9"/>
    <n v="375"/>
    <n v="1755"/>
    <n v="33"/>
    <n v="257.25"/>
    <m/>
    <m/>
    <n v="1"/>
    <n v="7.5"/>
  </r>
  <r>
    <x v="3"/>
    <x v="8"/>
    <x v="8"/>
    <n v="294"/>
    <n v="1469.5"/>
    <n v="38"/>
    <n v="329.5"/>
    <n v="3"/>
    <n v="32"/>
    <n v="3"/>
    <n v="17.75"/>
  </r>
  <r>
    <x v="4"/>
    <x v="13"/>
    <x v="13"/>
    <n v="273"/>
    <n v="1407.5"/>
    <n v="10"/>
    <n v="106.75"/>
    <m/>
    <m/>
    <n v="1"/>
    <n v="6.25"/>
  </r>
  <r>
    <x v="5"/>
    <x v="11"/>
    <x v="11"/>
    <n v="294"/>
    <m/>
    <n v="4"/>
    <m/>
    <m/>
    <m/>
    <m/>
    <m/>
  </r>
  <r>
    <x v="5"/>
    <x v="10"/>
    <x v="10"/>
    <n v="25"/>
    <m/>
    <m/>
    <m/>
    <m/>
    <m/>
    <m/>
    <m/>
  </r>
  <r>
    <x v="6"/>
    <x v="1"/>
    <x v="1"/>
    <n v="6"/>
    <n v="28"/>
    <m/>
    <m/>
    <m/>
    <m/>
    <m/>
    <m/>
  </r>
  <r>
    <x v="9"/>
    <x v="11"/>
    <x v="11"/>
    <n v="234"/>
    <n v="1455.75"/>
    <n v="4"/>
    <n v="97"/>
    <m/>
    <m/>
    <m/>
    <m/>
  </r>
  <r>
    <x v="9"/>
    <x v="2"/>
    <x v="2"/>
    <n v="178"/>
    <n v="1167.5"/>
    <n v="1"/>
    <n v="13.75"/>
    <m/>
    <m/>
    <m/>
    <m/>
  </r>
  <r>
    <x v="10"/>
    <x v="0"/>
    <x v="0"/>
    <n v="57"/>
    <n v="325.5"/>
    <n v="3"/>
    <n v="37.25"/>
    <m/>
    <m/>
    <m/>
    <m/>
  </r>
  <r>
    <x v="10"/>
    <x v="8"/>
    <x v="8"/>
    <n v="179"/>
    <n v="1122.5"/>
    <n v="16"/>
    <n v="212"/>
    <m/>
    <m/>
    <n v="1"/>
    <n v="3"/>
  </r>
  <r>
    <x v="7"/>
    <x v="11"/>
    <x v="11"/>
    <n v="267"/>
    <n v="1896.25"/>
    <n v="20"/>
    <n v="278.25"/>
    <m/>
    <m/>
    <m/>
    <m/>
  </r>
  <r>
    <x v="7"/>
    <x v="6"/>
    <x v="6"/>
    <n v="164"/>
    <n v="1001.5"/>
    <n v="5"/>
    <n v="97.75"/>
    <m/>
    <m/>
    <m/>
    <m/>
  </r>
  <r>
    <x v="8"/>
    <x v="12"/>
    <x v="12"/>
    <n v="934"/>
    <n v="6491.75"/>
    <n v="66"/>
    <n v="987"/>
    <n v="1"/>
    <n v="64.5"/>
    <n v="1"/>
    <n v="19.75"/>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21"/>
    <n v="15"/>
    <n v="0"/>
  </r>
  <r>
    <x v="1"/>
    <n v="22"/>
    <n v="17"/>
    <n v="0"/>
  </r>
  <r>
    <x v="2"/>
    <n v="15"/>
    <n v="17"/>
    <n v="1"/>
  </r>
  <r>
    <x v="3"/>
    <n v="15"/>
    <n v="26"/>
    <n v="2"/>
  </r>
  <r>
    <x v="4"/>
    <n v="21"/>
    <n v="21"/>
    <n v="2"/>
  </r>
  <r>
    <x v="5"/>
    <n v="7"/>
    <n v="2"/>
    <n v="0"/>
  </r>
  <r>
    <x v="6"/>
    <n v="2"/>
    <n v="1"/>
    <n v="1"/>
  </r>
  <r>
    <x v="7"/>
    <n v="3"/>
    <n v="6"/>
    <n v="0"/>
  </r>
  <r>
    <x v="8"/>
    <n v="6"/>
    <n v="9"/>
    <n v="0"/>
  </r>
  <r>
    <x v="9"/>
    <n v="15"/>
    <n v="13"/>
    <n v="2"/>
  </r>
  <r>
    <x v="10"/>
    <n v="19"/>
    <n v="21"/>
    <n v="2"/>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
  <r>
    <x v="0"/>
    <s v="H"/>
    <x v="0"/>
    <n v="7"/>
    <n v="86"/>
    <n v="137"/>
    <n v="20"/>
    <n v="1"/>
    <m/>
    <n v="251"/>
  </r>
  <r>
    <x v="1"/>
    <s v="A"/>
    <x v="1"/>
    <n v="9"/>
    <n v="24"/>
    <n v="255"/>
    <n v="118"/>
    <n v="45"/>
    <m/>
    <n v="451"/>
  </r>
  <r>
    <x v="1"/>
    <s v="J"/>
    <x v="2"/>
    <n v="0"/>
    <n v="0"/>
    <n v="21"/>
    <n v="15"/>
    <n v="0"/>
    <m/>
    <n v="36"/>
  </r>
  <r>
    <x v="2"/>
    <s v="B"/>
    <x v="3"/>
    <n v="67"/>
    <n v="638"/>
    <n v="783"/>
    <n v="219"/>
    <n v="12"/>
    <m/>
    <n v="1719"/>
  </r>
  <r>
    <x v="3"/>
    <s v="B"/>
    <x v="3"/>
    <n v="72"/>
    <n v="580"/>
    <n v="791"/>
    <n v="201"/>
    <n v="9"/>
    <m/>
    <n v="1653"/>
  </r>
  <r>
    <x v="3"/>
    <s v="H"/>
    <x v="0"/>
    <n v="1"/>
    <n v="81"/>
    <n v="273"/>
    <n v="53"/>
    <n v="0"/>
    <m/>
    <n v="408"/>
  </r>
  <r>
    <x v="4"/>
    <s v="A"/>
    <x v="1"/>
    <n v="11"/>
    <n v="19"/>
    <n v="239"/>
    <n v="27"/>
    <n v="2"/>
    <m/>
    <n v="298"/>
  </r>
  <r>
    <x v="4"/>
    <s v="N"/>
    <x v="4"/>
    <n v="61"/>
    <n v="72"/>
    <n v="179"/>
    <n v="46"/>
    <n v="0"/>
    <m/>
    <m/>
  </r>
  <r>
    <x v="5"/>
    <s v="J"/>
    <x v="2"/>
    <n v="0"/>
    <n v="3"/>
    <n v="6"/>
    <n v="1"/>
    <n v="0"/>
    <n v="0"/>
    <m/>
  </r>
  <r>
    <x v="5"/>
    <s v="L"/>
    <x v="5"/>
    <n v="3"/>
    <n v="18"/>
    <n v="65"/>
    <n v="40"/>
    <n v="3"/>
    <n v="3"/>
    <n v="129"/>
  </r>
  <r>
    <x v="5"/>
    <s v="P"/>
    <x v="6"/>
    <n v="6"/>
    <n v="10"/>
    <n v="123"/>
    <n v="33"/>
    <n v="1"/>
    <n v="3"/>
    <n v="173"/>
  </r>
  <r>
    <x v="6"/>
    <s v="A"/>
    <x v="1"/>
    <n v="17"/>
    <n v="24"/>
    <n v="224"/>
    <n v="16"/>
    <n v="4"/>
    <n v="3"/>
    <n v="285"/>
  </r>
  <r>
    <x v="6"/>
    <s v="M"/>
    <x v="7"/>
    <n v="25"/>
    <n v="40"/>
    <n v="116"/>
    <n v="34"/>
    <n v="1"/>
    <n v="3"/>
    <n v="216"/>
  </r>
  <r>
    <x v="7"/>
    <s v="M"/>
    <x v="7"/>
    <n v="18"/>
    <n v="26"/>
    <n v="93"/>
    <n v="18"/>
    <n v="1"/>
    <n v="3"/>
    <n v="156"/>
  </r>
  <r>
    <x v="7"/>
    <s v="P"/>
    <x v="6"/>
    <n v="10"/>
    <n v="13"/>
    <n v="119"/>
    <n v="26"/>
    <n v="0"/>
    <n v="4"/>
    <m/>
  </r>
  <r>
    <x v="7"/>
    <s v="T"/>
    <x v="8"/>
    <n v="0"/>
    <n v="49"/>
    <n v="48"/>
    <n v="56"/>
    <n v="12"/>
    <n v="4"/>
    <m/>
  </r>
  <r>
    <x v="8"/>
    <s v="A"/>
    <x v="1"/>
    <n v="25"/>
    <n v="26"/>
    <n v="235"/>
    <n v="15"/>
    <n v="2"/>
    <n v="17"/>
    <n v="303"/>
  </r>
  <r>
    <x v="8"/>
    <s v="H"/>
    <x v="0"/>
    <n v="6"/>
    <n v="574"/>
    <n v="816"/>
    <n v="78"/>
    <n v="0"/>
    <n v="98"/>
    <m/>
  </r>
  <r>
    <x v="8"/>
    <s v="K"/>
    <x v="9"/>
    <n v="1"/>
    <n v="1"/>
    <n v="22"/>
    <n v="12"/>
    <n v="0"/>
    <n v="1"/>
    <m/>
  </r>
  <r>
    <x v="8"/>
    <s v="N"/>
    <x v="4"/>
    <n v="48"/>
    <n v="76"/>
    <n v="124"/>
    <n v="51"/>
    <n v="1"/>
    <n v="49"/>
    <n v="300"/>
  </r>
  <r>
    <x v="0"/>
    <s v="L"/>
    <x v="5"/>
    <n v="14"/>
    <n v="165"/>
    <n v="331"/>
    <n v="83"/>
    <n v="3"/>
    <m/>
    <n v="596"/>
  </r>
  <r>
    <x v="0"/>
    <s v="T"/>
    <x v="8"/>
    <n v="0"/>
    <n v="10"/>
    <n v="127"/>
    <n v="32"/>
    <n v="5"/>
    <m/>
    <n v="174"/>
  </r>
  <r>
    <x v="1"/>
    <s v="N"/>
    <x v="4"/>
    <n v="36"/>
    <n v="197"/>
    <n v="228"/>
    <n v="172"/>
    <n v="6"/>
    <m/>
    <n v="639"/>
  </r>
  <r>
    <x v="1"/>
    <s v="T"/>
    <x v="8"/>
    <n v="0"/>
    <n v="39"/>
    <n v="128"/>
    <n v="26"/>
    <n v="5"/>
    <m/>
    <n v="198"/>
  </r>
  <r>
    <x v="3"/>
    <s v="S"/>
    <x v="10"/>
    <n v="4"/>
    <n v="18"/>
    <n v="140"/>
    <n v="55"/>
    <n v="3"/>
    <m/>
    <n v="220"/>
  </r>
  <r>
    <x v="9"/>
    <s v="H"/>
    <x v="0"/>
    <n v="4"/>
    <n v="92"/>
    <n v="199"/>
    <n v="28"/>
    <n v="0"/>
    <m/>
    <n v="323"/>
  </r>
  <r>
    <x v="9"/>
    <s v="K"/>
    <x v="9"/>
    <n v="1"/>
    <n v="2"/>
    <n v="43"/>
    <n v="14"/>
    <n v="0"/>
    <m/>
    <n v="60"/>
  </r>
  <r>
    <x v="4"/>
    <s v="K"/>
    <x v="9"/>
    <n v="0"/>
    <n v="3"/>
    <n v="24"/>
    <n v="12"/>
    <n v="0"/>
    <m/>
    <m/>
  </r>
  <r>
    <x v="10"/>
    <s v="N"/>
    <x v="4"/>
    <n v="14"/>
    <n v="48"/>
    <n v="44"/>
    <n v="15"/>
    <n v="1"/>
    <n v="4"/>
    <n v="122"/>
  </r>
  <r>
    <x v="10"/>
    <s v="R"/>
    <x v="11"/>
    <n v="1"/>
    <n v="17"/>
    <n v="45"/>
    <n v="21"/>
    <n v="0"/>
    <n v="2"/>
    <m/>
  </r>
  <r>
    <x v="5"/>
    <s v="C"/>
    <x v="12"/>
    <n v="150"/>
    <n v="163"/>
    <n v="1567"/>
    <n v="87"/>
    <n v="2"/>
    <n v="15"/>
    <n v="1969"/>
  </r>
  <r>
    <x v="5"/>
    <s v="E"/>
    <x v="13"/>
    <n v="2"/>
    <n v="5"/>
    <n v="11"/>
    <n v="6"/>
    <n v="0"/>
    <n v="0"/>
    <m/>
  </r>
  <r>
    <x v="7"/>
    <s v="B"/>
    <x v="3"/>
    <n v="130"/>
    <n v="722"/>
    <n v="549"/>
    <n v="192"/>
    <n v="12"/>
    <n v="5"/>
    <n v="1605"/>
  </r>
  <r>
    <x v="7"/>
    <s v="N"/>
    <x v="4"/>
    <n v="37"/>
    <n v="69"/>
    <n v="136"/>
    <n v="51"/>
    <n v="3"/>
    <n v="5"/>
    <n v="296"/>
  </r>
  <r>
    <x v="8"/>
    <s v="C"/>
    <x v="12"/>
    <n v="45"/>
    <n v="149"/>
    <n v="1802"/>
    <n v="150"/>
    <n v="1"/>
    <n v="253"/>
    <n v="2147"/>
  </r>
  <r>
    <x v="8"/>
    <s v="E"/>
    <x v="13"/>
    <n v="5"/>
    <n v="4"/>
    <n v="33"/>
    <n v="12"/>
    <n v="2"/>
    <n v="3"/>
    <n v="56"/>
  </r>
  <r>
    <x v="8"/>
    <s v="T"/>
    <x v="8"/>
    <n v="0"/>
    <n v="38"/>
    <n v="28"/>
    <n v="46"/>
    <n v="9"/>
    <n v="8"/>
    <m/>
  </r>
  <r>
    <x v="0"/>
    <s v="C"/>
    <x v="12"/>
    <n v="45"/>
    <n v="247"/>
    <n v="1599"/>
    <n v="55"/>
    <n v="1"/>
    <m/>
    <n v="1947"/>
  </r>
  <r>
    <x v="0"/>
    <s v="K"/>
    <x v="9"/>
    <n v="2"/>
    <n v="2"/>
    <n v="27"/>
    <n v="37"/>
    <n v="0"/>
    <m/>
    <n v="68"/>
  </r>
  <r>
    <x v="0"/>
    <s v="P"/>
    <x v="6"/>
    <n v="3"/>
    <n v="13"/>
    <n v="170"/>
    <n v="165"/>
    <n v="5"/>
    <m/>
    <n v="356"/>
  </r>
  <r>
    <x v="0"/>
    <s v="S"/>
    <x v="10"/>
    <n v="17"/>
    <n v="49"/>
    <n v="209"/>
    <n v="68"/>
    <n v="1"/>
    <m/>
    <n v="344"/>
  </r>
  <r>
    <x v="1"/>
    <s v="E"/>
    <x v="13"/>
    <n v="1"/>
    <n v="5"/>
    <n v="49"/>
    <n v="43"/>
    <n v="21"/>
    <m/>
    <n v="119"/>
  </r>
  <r>
    <x v="1"/>
    <s v="H"/>
    <x v="0"/>
    <n v="29"/>
    <n v="82"/>
    <n v="198"/>
    <n v="41"/>
    <n v="1"/>
    <m/>
    <n v="351"/>
  </r>
  <r>
    <x v="2"/>
    <s v="N"/>
    <x v="4"/>
    <n v="77"/>
    <n v="46"/>
    <n v="346"/>
    <n v="52"/>
    <n v="2"/>
    <m/>
    <n v="523"/>
  </r>
  <r>
    <x v="2"/>
    <s v="P"/>
    <x v="6"/>
    <n v="6"/>
    <n v="8"/>
    <n v="160"/>
    <n v="59"/>
    <n v="2"/>
    <m/>
    <n v="235"/>
  </r>
  <r>
    <x v="3"/>
    <s v="R"/>
    <x v="11"/>
    <n v="2"/>
    <n v="32"/>
    <n v="150"/>
    <n v="44"/>
    <n v="0"/>
    <m/>
    <n v="228"/>
  </r>
  <r>
    <x v="3"/>
    <s v="T"/>
    <x v="8"/>
    <n v="1"/>
    <n v="19"/>
    <n v="72"/>
    <n v="17"/>
    <n v="4"/>
    <m/>
    <n v="113"/>
  </r>
  <r>
    <x v="9"/>
    <s v="P"/>
    <x v="6"/>
    <n v="2"/>
    <n v="20"/>
    <n v="196"/>
    <n v="59"/>
    <n v="6"/>
    <m/>
    <n v="283"/>
  </r>
  <r>
    <x v="9"/>
    <s v="S"/>
    <x v="10"/>
    <n v="2"/>
    <n v="29"/>
    <n v="170"/>
    <n v="62"/>
    <n v="4"/>
    <m/>
    <n v="267"/>
  </r>
  <r>
    <x v="4"/>
    <s v="F"/>
    <x v="14"/>
    <n v="1"/>
    <n v="131"/>
    <n v="746"/>
    <n v="191"/>
    <n v="12"/>
    <m/>
    <n v="1081"/>
  </r>
  <r>
    <x v="4"/>
    <s v="J"/>
    <x v="2"/>
    <n v="0"/>
    <n v="5"/>
    <n v="18"/>
    <n v="2"/>
    <n v="0"/>
    <m/>
    <m/>
  </r>
  <r>
    <x v="4"/>
    <s v="M"/>
    <x v="7"/>
    <n v="23"/>
    <n v="30"/>
    <n v="170"/>
    <n v="44"/>
    <n v="4"/>
    <m/>
    <n v="271"/>
  </r>
  <r>
    <x v="5"/>
    <s v="B"/>
    <x v="3"/>
    <n v="99"/>
    <n v="623"/>
    <n v="490"/>
    <n v="183"/>
    <n v="9"/>
    <n v="5"/>
    <n v="1404"/>
  </r>
  <r>
    <x v="5"/>
    <s v="R"/>
    <x v="11"/>
    <n v="2"/>
    <n v="27"/>
    <n v="104"/>
    <n v="25"/>
    <n v="2"/>
    <n v="6"/>
    <n v="160"/>
  </r>
  <r>
    <x v="6"/>
    <s v="L"/>
    <x v="5"/>
    <n v="3"/>
    <n v="22"/>
    <n v="115"/>
    <n v="51"/>
    <n v="2"/>
    <n v="2"/>
    <n v="193"/>
  </r>
  <r>
    <x v="6"/>
    <s v="T"/>
    <x v="8"/>
    <n v="0"/>
    <n v="16"/>
    <n v="50"/>
    <n v="34"/>
    <n v="4"/>
    <m/>
    <m/>
  </r>
  <r>
    <x v="7"/>
    <s v="R"/>
    <x v="11"/>
    <n v="1"/>
    <n v="71"/>
    <n v="120"/>
    <n v="28"/>
    <n v="0"/>
    <n v="2"/>
    <m/>
  </r>
  <r>
    <x v="8"/>
    <s v="J"/>
    <x v="2"/>
    <n v="1"/>
    <n v="5"/>
    <n v="14"/>
    <n v="0"/>
    <n v="0"/>
    <n v="1"/>
    <m/>
  </r>
  <r>
    <x v="0"/>
    <s v="A"/>
    <x v="1"/>
    <n v="3"/>
    <n v="14"/>
    <n v="164"/>
    <n v="93"/>
    <n v="60"/>
    <m/>
    <n v="334"/>
  </r>
  <r>
    <x v="0"/>
    <s v="F"/>
    <x v="14"/>
    <n v="1"/>
    <n v="18"/>
    <n v="517"/>
    <n v="487"/>
    <n v="86"/>
    <m/>
    <n v="1109"/>
  </r>
  <r>
    <x v="0"/>
    <s v="M"/>
    <x v="7"/>
    <n v="8"/>
    <n v="113"/>
    <n v="114"/>
    <n v="23"/>
    <n v="2"/>
    <m/>
    <n v="260"/>
  </r>
  <r>
    <x v="1"/>
    <s v="L"/>
    <x v="5"/>
    <n v="17"/>
    <n v="148"/>
    <n v="250"/>
    <n v="74"/>
    <n v="5"/>
    <m/>
    <n v="494"/>
  </r>
  <r>
    <x v="2"/>
    <s v="S"/>
    <x v="10"/>
    <n v="5"/>
    <n v="25"/>
    <n v="191"/>
    <n v="46"/>
    <n v="8"/>
    <m/>
    <n v="275"/>
  </r>
  <r>
    <x v="9"/>
    <s v="A"/>
    <x v="1"/>
    <n v="7"/>
    <n v="36"/>
    <n v="353"/>
    <n v="70"/>
    <n v="5"/>
    <m/>
    <n v="471"/>
  </r>
  <r>
    <x v="9"/>
    <s v="C"/>
    <x v="12"/>
    <n v="81"/>
    <n v="263"/>
    <n v="1407"/>
    <n v="109"/>
    <n v="2"/>
    <m/>
    <n v="1862"/>
  </r>
  <r>
    <x v="9"/>
    <s v="L"/>
    <x v="5"/>
    <n v="6"/>
    <n v="36"/>
    <n v="247"/>
    <n v="84"/>
    <n v="1"/>
    <m/>
    <n v="374"/>
  </r>
  <r>
    <x v="9"/>
    <s v="M"/>
    <x v="7"/>
    <n v="35"/>
    <n v="41"/>
    <n v="325"/>
    <n v="66"/>
    <n v="3"/>
    <m/>
    <n v="470"/>
  </r>
  <r>
    <x v="4"/>
    <s v="H"/>
    <x v="0"/>
    <n v="15"/>
    <n v="92"/>
    <n v="335"/>
    <n v="28"/>
    <n v="0"/>
    <m/>
    <m/>
  </r>
  <r>
    <x v="10"/>
    <s v="E"/>
    <x v="13"/>
    <n v="2"/>
    <n v="10"/>
    <n v="16"/>
    <n v="9"/>
    <n v="2"/>
    <m/>
    <n v="39"/>
  </r>
  <r>
    <x v="10"/>
    <s v="K"/>
    <x v="9"/>
    <n v="0"/>
    <n v="0"/>
    <n v="6"/>
    <n v="0"/>
    <n v="0"/>
    <m/>
    <m/>
  </r>
  <r>
    <x v="10"/>
    <s v="M"/>
    <x v="7"/>
    <n v="3"/>
    <n v="14"/>
    <n v="30"/>
    <n v="18"/>
    <n v="3"/>
    <n v="1"/>
    <n v="68"/>
  </r>
  <r>
    <x v="10"/>
    <s v="T"/>
    <x v="8"/>
    <n v="1"/>
    <n v="3"/>
    <n v="19"/>
    <n v="16"/>
    <n v="8"/>
    <n v="3"/>
    <n v="47"/>
  </r>
  <r>
    <x v="5"/>
    <s v="K"/>
    <x v="9"/>
    <n v="1"/>
    <n v="2"/>
    <n v="13"/>
    <n v="5"/>
    <n v="0"/>
    <n v="0"/>
    <m/>
  </r>
  <r>
    <x v="6"/>
    <s v="E"/>
    <x v="13"/>
    <n v="7"/>
    <n v="8"/>
    <n v="31"/>
    <n v="13"/>
    <n v="0"/>
    <n v="1"/>
    <m/>
  </r>
  <r>
    <x v="6"/>
    <s v="R"/>
    <x v="11"/>
    <n v="0"/>
    <n v="48"/>
    <n v="92"/>
    <n v="30"/>
    <n v="2"/>
    <m/>
    <m/>
  </r>
  <r>
    <x v="6"/>
    <s v="S"/>
    <x v="10"/>
    <n v="0"/>
    <n v="22"/>
    <n v="59"/>
    <n v="25"/>
    <n v="3"/>
    <n v="1"/>
    <m/>
  </r>
  <r>
    <x v="7"/>
    <s v="E"/>
    <x v="13"/>
    <n v="2"/>
    <n v="5"/>
    <n v="24"/>
    <n v="17"/>
    <n v="2"/>
    <n v="1"/>
    <n v="50"/>
  </r>
  <r>
    <x v="0"/>
    <s v="B"/>
    <x v="3"/>
    <n v="51"/>
    <n v="538"/>
    <n v="711"/>
    <n v="191"/>
    <n v="15"/>
    <m/>
    <n v="1506"/>
  </r>
  <r>
    <x v="0"/>
    <s v="R"/>
    <x v="11"/>
    <n v="2"/>
    <n v="113"/>
    <n v="243"/>
    <n v="50"/>
    <n v="4"/>
    <m/>
    <n v="412"/>
  </r>
  <r>
    <x v="1"/>
    <s v="F"/>
    <x v="14"/>
    <n v="1"/>
    <n v="53"/>
    <n v="815"/>
    <n v="329"/>
    <n v="65"/>
    <m/>
    <n v="1263"/>
  </r>
  <r>
    <x v="1"/>
    <s v="R"/>
    <x v="11"/>
    <n v="1"/>
    <n v="170"/>
    <n v="267"/>
    <n v="44"/>
    <n v="3"/>
    <m/>
    <n v="485"/>
  </r>
  <r>
    <x v="2"/>
    <s v="A"/>
    <x v="1"/>
    <n v="8"/>
    <n v="17"/>
    <n v="314"/>
    <n v="51"/>
    <n v="6"/>
    <m/>
    <n v="396"/>
  </r>
  <r>
    <x v="2"/>
    <s v="C"/>
    <x v="12"/>
    <n v="69"/>
    <n v="343"/>
    <n v="2130"/>
    <n v="106"/>
    <n v="2"/>
    <m/>
    <n v="2650"/>
  </r>
  <r>
    <x v="2"/>
    <s v="F"/>
    <x v="14"/>
    <n v="0"/>
    <n v="57"/>
    <n v="800"/>
    <n v="248"/>
    <n v="33"/>
    <m/>
    <n v="1138"/>
  </r>
  <r>
    <x v="2"/>
    <s v="H"/>
    <x v="0"/>
    <n v="7"/>
    <n v="84"/>
    <n v="245"/>
    <n v="35"/>
    <n v="0"/>
    <m/>
    <n v="371"/>
  </r>
  <r>
    <x v="3"/>
    <s v="A"/>
    <x v="1"/>
    <n v="5"/>
    <n v="25"/>
    <n v="262"/>
    <n v="71"/>
    <n v="4"/>
    <m/>
    <n v="367"/>
  </r>
  <r>
    <x v="3"/>
    <s v="C"/>
    <x v="12"/>
    <n v="69"/>
    <n v="246"/>
    <n v="1559"/>
    <n v="203"/>
    <n v="0"/>
    <m/>
    <n v="2077"/>
  </r>
  <r>
    <x v="3"/>
    <s v="N"/>
    <x v="4"/>
    <n v="27"/>
    <n v="48"/>
    <n v="231"/>
    <n v="55"/>
    <n v="1"/>
    <m/>
    <n v="362"/>
  </r>
  <r>
    <x v="9"/>
    <s v="R"/>
    <x v="11"/>
    <n v="0"/>
    <n v="42"/>
    <n v="173"/>
    <n v="51"/>
    <n v="1"/>
    <m/>
    <n v="267"/>
  </r>
  <r>
    <x v="4"/>
    <s v="S"/>
    <x v="10"/>
    <n v="4"/>
    <n v="19"/>
    <n v="168"/>
    <n v="90"/>
    <n v="4"/>
    <m/>
    <n v="285"/>
  </r>
  <r>
    <x v="10"/>
    <s v="B"/>
    <x v="3"/>
    <n v="87"/>
    <n v="611"/>
    <n v="462"/>
    <n v="163"/>
    <n v="6"/>
    <n v="12"/>
    <n v="1329"/>
  </r>
  <r>
    <x v="10"/>
    <s v="L"/>
    <x v="5"/>
    <n v="0"/>
    <n v="10"/>
    <n v="43"/>
    <n v="17"/>
    <n v="1"/>
    <n v="2"/>
    <m/>
  </r>
  <r>
    <x v="10"/>
    <s v="P"/>
    <x v="6"/>
    <n v="2"/>
    <n v="3"/>
    <n v="46"/>
    <n v="12"/>
    <n v="2"/>
    <n v="1"/>
    <n v="65"/>
  </r>
  <r>
    <x v="5"/>
    <s v="S"/>
    <x v="10"/>
    <n v="1"/>
    <n v="14"/>
    <n v="72"/>
    <n v="19"/>
    <n v="2"/>
    <n v="2"/>
    <n v="108"/>
  </r>
  <r>
    <x v="6"/>
    <s v="B"/>
    <x v="3"/>
    <n v="116"/>
    <n v="734"/>
    <n v="553"/>
    <n v="181"/>
    <n v="18"/>
    <n v="4"/>
    <n v="1602"/>
  </r>
  <r>
    <x v="6"/>
    <s v="H"/>
    <x v="0"/>
    <n v="9"/>
    <n v="203"/>
    <n v="287"/>
    <n v="41"/>
    <n v="0"/>
    <n v="7"/>
    <m/>
  </r>
  <r>
    <x v="6"/>
    <s v="N"/>
    <x v="4"/>
    <n v="41"/>
    <n v="67"/>
    <n v="183"/>
    <n v="49"/>
    <n v="1"/>
    <n v="1"/>
    <n v="341"/>
  </r>
  <r>
    <x v="7"/>
    <s v="H"/>
    <x v="0"/>
    <n v="15"/>
    <n v="503"/>
    <n v="649"/>
    <n v="75"/>
    <n v="0"/>
    <n v="14"/>
    <m/>
  </r>
  <r>
    <x v="7"/>
    <s v="K"/>
    <x v="9"/>
    <n v="0"/>
    <n v="0"/>
    <n v="18"/>
    <n v="7"/>
    <n v="0"/>
    <m/>
    <m/>
  </r>
  <r>
    <x v="8"/>
    <s v="M"/>
    <x v="7"/>
    <n v="32"/>
    <n v="45"/>
    <n v="184"/>
    <n v="26"/>
    <n v="1"/>
    <n v="6"/>
    <n v="288"/>
  </r>
  <r>
    <x v="8"/>
    <s v="P"/>
    <x v="6"/>
    <n v="8"/>
    <n v="15"/>
    <n v="126"/>
    <n v="42"/>
    <n v="1"/>
    <n v="17"/>
    <n v="192"/>
  </r>
  <r>
    <x v="0"/>
    <s v="E"/>
    <x v="13"/>
    <n v="0"/>
    <n v="6"/>
    <n v="37"/>
    <n v="83"/>
    <n v="12"/>
    <m/>
    <n v="138"/>
  </r>
  <r>
    <x v="1"/>
    <s v="M"/>
    <x v="7"/>
    <n v="9"/>
    <n v="53"/>
    <n v="125"/>
    <n v="41"/>
    <n v="0"/>
    <m/>
    <n v="228"/>
  </r>
  <r>
    <x v="1"/>
    <s v="S"/>
    <x v="10"/>
    <n v="15"/>
    <n v="35"/>
    <n v="240"/>
    <n v="84"/>
    <n v="5"/>
    <m/>
    <n v="379"/>
  </r>
  <r>
    <x v="2"/>
    <s v="E"/>
    <x v="13"/>
    <n v="5"/>
    <n v="10"/>
    <n v="83"/>
    <n v="27"/>
    <n v="3"/>
    <m/>
    <n v="128"/>
  </r>
  <r>
    <x v="2"/>
    <s v="K"/>
    <x v="9"/>
    <n v="0"/>
    <n v="1"/>
    <n v="55"/>
    <n v="10"/>
    <n v="0"/>
    <m/>
    <n v="66"/>
  </r>
  <r>
    <x v="2"/>
    <s v="M"/>
    <x v="7"/>
    <n v="19"/>
    <n v="38"/>
    <n v="241"/>
    <n v="55"/>
    <n v="10"/>
    <m/>
    <n v="363"/>
  </r>
  <r>
    <x v="3"/>
    <s v="F"/>
    <x v="14"/>
    <n v="2"/>
    <n v="73"/>
    <n v="819"/>
    <n v="256"/>
    <n v="17"/>
    <m/>
    <n v="1167"/>
  </r>
  <r>
    <x v="3"/>
    <s v="K"/>
    <x v="9"/>
    <n v="1"/>
    <n v="2"/>
    <n v="42"/>
    <n v="12"/>
    <n v="2"/>
    <m/>
    <n v="59"/>
  </r>
  <r>
    <x v="3"/>
    <s v="M"/>
    <x v="7"/>
    <n v="24"/>
    <n v="35"/>
    <n v="178"/>
    <n v="29"/>
    <n v="2"/>
    <m/>
    <n v="268"/>
  </r>
  <r>
    <x v="3"/>
    <s v="P"/>
    <x v="6"/>
    <n v="4"/>
    <n v="6"/>
    <n v="166"/>
    <n v="62"/>
    <n v="2"/>
    <m/>
    <n v="240"/>
  </r>
  <r>
    <x v="9"/>
    <s v="N"/>
    <x v="4"/>
    <n v="18"/>
    <n v="49"/>
    <n v="267"/>
    <n v="45"/>
    <n v="3"/>
    <m/>
    <n v="382"/>
  </r>
  <r>
    <x v="4"/>
    <s v="C"/>
    <x v="12"/>
    <n v="69"/>
    <n v="218"/>
    <n v="1510"/>
    <n v="154"/>
    <n v="0"/>
    <m/>
    <m/>
  </r>
  <r>
    <x v="4"/>
    <s v="R"/>
    <x v="11"/>
    <n v="3"/>
    <n v="46"/>
    <n v="137"/>
    <n v="53"/>
    <n v="2"/>
    <m/>
    <n v="241"/>
  </r>
  <r>
    <x v="10"/>
    <s v="H"/>
    <x v="0"/>
    <n v="6"/>
    <n v="24"/>
    <n v="76"/>
    <n v="13"/>
    <n v="0"/>
    <m/>
    <m/>
  </r>
  <r>
    <x v="10"/>
    <s v="S"/>
    <x v="10"/>
    <n v="4"/>
    <n v="9"/>
    <n v="25"/>
    <n v="25"/>
    <n v="0"/>
    <m/>
    <m/>
  </r>
  <r>
    <x v="6"/>
    <s v="F"/>
    <x v="14"/>
    <n v="0"/>
    <n v="93"/>
    <n v="606"/>
    <n v="172"/>
    <n v="21"/>
    <n v="6"/>
    <m/>
  </r>
  <r>
    <x v="7"/>
    <s v="C"/>
    <x v="12"/>
    <n v="69"/>
    <n v="119"/>
    <n v="1519"/>
    <n v="101"/>
    <n v="2"/>
    <n v="17"/>
    <n v="1810"/>
  </r>
  <r>
    <x v="7"/>
    <s v="F"/>
    <x v="14"/>
    <n v="2"/>
    <n v="186"/>
    <n v="705"/>
    <n v="189"/>
    <n v="16"/>
    <n v="12"/>
    <n v="1098"/>
  </r>
  <r>
    <x v="7"/>
    <s v="J"/>
    <x v="2"/>
    <n v="0"/>
    <n v="3"/>
    <n v="6"/>
    <n v="2"/>
    <n v="0"/>
    <m/>
    <m/>
  </r>
  <r>
    <x v="7"/>
    <s v="L"/>
    <x v="5"/>
    <n v="12"/>
    <n v="37"/>
    <n v="95"/>
    <n v="54"/>
    <n v="4"/>
    <n v="3"/>
    <n v="202"/>
  </r>
  <r>
    <x v="8"/>
    <s v="B"/>
    <x v="3"/>
    <n v="113"/>
    <n v="705"/>
    <n v="512"/>
    <n v="170"/>
    <n v="9"/>
    <n v="120"/>
    <n v="1509"/>
  </r>
  <r>
    <x v="0"/>
    <s v="J"/>
    <x v="2"/>
    <n v="0"/>
    <n v="0"/>
    <n v="9"/>
    <n v="18"/>
    <n v="1"/>
    <m/>
    <n v="28"/>
  </r>
  <r>
    <x v="1"/>
    <s v="B"/>
    <x v="3"/>
    <n v="75"/>
    <n v="598"/>
    <n v="822"/>
    <n v="241"/>
    <n v="24"/>
    <m/>
    <n v="1760"/>
  </r>
  <r>
    <x v="1"/>
    <s v="K"/>
    <x v="9"/>
    <n v="0"/>
    <n v="3"/>
    <n v="22"/>
    <n v="24"/>
    <n v="0"/>
    <m/>
    <n v="49"/>
  </r>
  <r>
    <x v="1"/>
    <s v="P"/>
    <x v="6"/>
    <n v="4"/>
    <n v="8"/>
    <n v="217"/>
    <n v="84"/>
    <n v="7"/>
    <m/>
    <n v="320"/>
  </r>
  <r>
    <x v="2"/>
    <s v="J"/>
    <x v="2"/>
    <n v="1"/>
    <n v="0"/>
    <n v="16"/>
    <n v="3"/>
    <n v="1"/>
    <m/>
    <n v="21"/>
  </r>
  <r>
    <x v="2"/>
    <s v="L"/>
    <x v="5"/>
    <n v="7"/>
    <n v="55"/>
    <n v="327"/>
    <n v="85"/>
    <n v="8"/>
    <m/>
    <n v="482"/>
  </r>
  <r>
    <x v="3"/>
    <s v="J"/>
    <x v="2"/>
    <n v="1"/>
    <n v="0"/>
    <n v="21"/>
    <n v="14"/>
    <n v="1"/>
    <m/>
    <n v="37"/>
  </r>
  <r>
    <x v="9"/>
    <s v="B"/>
    <x v="3"/>
    <n v="92"/>
    <n v="668"/>
    <n v="807"/>
    <n v="201"/>
    <n v="7"/>
    <m/>
    <n v="1775"/>
  </r>
  <r>
    <x v="9"/>
    <s v="E"/>
    <x v="13"/>
    <n v="5"/>
    <n v="10"/>
    <n v="59"/>
    <n v="12"/>
    <n v="2"/>
    <m/>
    <n v="88"/>
  </r>
  <r>
    <x v="9"/>
    <s v="T"/>
    <x v="8"/>
    <n v="0"/>
    <n v="34"/>
    <n v="121"/>
    <n v="33"/>
    <n v="1"/>
    <m/>
    <n v="189"/>
  </r>
  <r>
    <x v="4"/>
    <s v="B"/>
    <x v="3"/>
    <n v="95"/>
    <n v="634"/>
    <n v="562"/>
    <n v="187"/>
    <n v="8"/>
    <m/>
    <n v="1486"/>
  </r>
  <r>
    <x v="4"/>
    <s v="L"/>
    <x v="5"/>
    <n v="9"/>
    <n v="38"/>
    <n v="167"/>
    <n v="73"/>
    <n v="2"/>
    <m/>
    <n v="289"/>
  </r>
  <r>
    <x v="4"/>
    <s v="P"/>
    <x v="6"/>
    <n v="2"/>
    <n v="8"/>
    <n v="202"/>
    <n v="66"/>
    <n v="1"/>
    <m/>
    <n v="279"/>
  </r>
  <r>
    <x v="10"/>
    <s v="C"/>
    <x v="12"/>
    <n v="42"/>
    <n v="127"/>
    <n v="582"/>
    <n v="56"/>
    <n v="1"/>
    <n v="7"/>
    <n v="808"/>
  </r>
  <r>
    <x v="10"/>
    <s v="F"/>
    <x v="14"/>
    <n v="1"/>
    <n v="33"/>
    <n v="157"/>
    <n v="39"/>
    <n v="5"/>
    <n v="3"/>
    <n v="235"/>
  </r>
  <r>
    <x v="5"/>
    <s v="F"/>
    <x v="14"/>
    <n v="1"/>
    <n v="76"/>
    <n v="378"/>
    <n v="165"/>
    <n v="27"/>
    <n v="9"/>
    <n v="647"/>
  </r>
  <r>
    <x v="5"/>
    <s v="M"/>
    <x v="7"/>
    <n v="19"/>
    <n v="21"/>
    <n v="108"/>
    <n v="29"/>
    <n v="0"/>
    <n v="2"/>
    <m/>
  </r>
  <r>
    <x v="6"/>
    <s v="C"/>
    <x v="12"/>
    <n v="173"/>
    <n v="101"/>
    <n v="1493"/>
    <n v="151"/>
    <n v="0"/>
    <n v="40"/>
    <m/>
  </r>
  <r>
    <x v="6"/>
    <s v="J"/>
    <x v="2"/>
    <n v="2"/>
    <n v="4"/>
    <n v="15"/>
    <n v="4"/>
    <n v="0"/>
    <m/>
    <m/>
  </r>
  <r>
    <x v="6"/>
    <s v="P"/>
    <x v="6"/>
    <n v="7"/>
    <n v="15"/>
    <n v="116"/>
    <n v="26"/>
    <n v="0"/>
    <n v="4"/>
    <m/>
  </r>
  <r>
    <x v="7"/>
    <s v="A"/>
    <x v="1"/>
    <n v="14"/>
    <n v="25"/>
    <n v="216"/>
    <n v="23"/>
    <n v="4"/>
    <n v="5"/>
    <n v="282"/>
  </r>
  <r>
    <x v="0"/>
    <s v="N"/>
    <x v="4"/>
    <n v="27"/>
    <n v="259"/>
    <n v="173"/>
    <n v="222"/>
    <n v="2"/>
    <m/>
    <n v="683"/>
  </r>
  <r>
    <x v="1"/>
    <s v="C"/>
    <x v="12"/>
    <n v="141"/>
    <n v="272"/>
    <n v="2548"/>
    <n v="91"/>
    <n v="10"/>
    <m/>
    <n v="3062"/>
  </r>
  <r>
    <x v="2"/>
    <s v="R"/>
    <x v="11"/>
    <n v="0"/>
    <n v="49"/>
    <n v="225"/>
    <n v="52"/>
    <n v="3"/>
    <m/>
    <n v="329"/>
  </r>
  <r>
    <x v="2"/>
    <s v="T"/>
    <x v="8"/>
    <n v="0"/>
    <n v="38"/>
    <n v="145"/>
    <n v="56"/>
    <n v="4"/>
    <m/>
    <n v="243"/>
  </r>
  <r>
    <x v="3"/>
    <s v="E"/>
    <x v="13"/>
    <n v="6"/>
    <n v="12"/>
    <n v="63"/>
    <n v="21"/>
    <n v="2"/>
    <m/>
    <n v="104"/>
  </r>
  <r>
    <x v="3"/>
    <s v="L"/>
    <x v="5"/>
    <n v="5"/>
    <n v="35"/>
    <n v="219"/>
    <n v="70"/>
    <n v="3"/>
    <m/>
    <n v="332"/>
  </r>
  <r>
    <x v="9"/>
    <s v="F"/>
    <x v="14"/>
    <n v="0"/>
    <n v="70"/>
    <n v="734"/>
    <n v="209"/>
    <n v="17"/>
    <m/>
    <n v="1030"/>
  </r>
  <r>
    <x v="9"/>
    <s v="J"/>
    <x v="2"/>
    <n v="1"/>
    <n v="2"/>
    <n v="23"/>
    <n v="5"/>
    <n v="0"/>
    <m/>
    <n v="31"/>
  </r>
  <r>
    <x v="4"/>
    <s v="E"/>
    <x v="13"/>
    <n v="6"/>
    <n v="8"/>
    <n v="42"/>
    <n v="13"/>
    <n v="2"/>
    <m/>
    <n v="71"/>
  </r>
  <r>
    <x v="4"/>
    <s v="T"/>
    <x v="8"/>
    <n v="0"/>
    <n v="23"/>
    <n v="51"/>
    <n v="41"/>
    <n v="2"/>
    <m/>
    <m/>
  </r>
  <r>
    <x v="10"/>
    <s v="A"/>
    <x v="1"/>
    <n v="6"/>
    <n v="22"/>
    <n v="174"/>
    <n v="12"/>
    <n v="3"/>
    <n v="1"/>
    <n v="217"/>
  </r>
  <r>
    <x v="10"/>
    <s v="J"/>
    <x v="2"/>
    <n v="1"/>
    <n v="2"/>
    <n v="6"/>
    <n v="1"/>
    <n v="0"/>
    <m/>
    <m/>
  </r>
  <r>
    <x v="5"/>
    <s v="A"/>
    <x v="1"/>
    <n v="4"/>
    <n v="23"/>
    <n v="193"/>
    <n v="16"/>
    <n v="1"/>
    <n v="1"/>
    <n v="237"/>
  </r>
  <r>
    <x v="5"/>
    <s v="H"/>
    <x v="0"/>
    <n v="7"/>
    <n v="80"/>
    <n v="173"/>
    <n v="28"/>
    <n v="0"/>
    <n v="2"/>
    <m/>
  </r>
  <r>
    <x v="5"/>
    <s v="N"/>
    <x v="4"/>
    <n v="26"/>
    <n v="60"/>
    <n v="77"/>
    <n v="24"/>
    <n v="3"/>
    <n v="3"/>
    <n v="190"/>
  </r>
  <r>
    <x v="5"/>
    <s v="T"/>
    <x v="8"/>
    <n v="0"/>
    <n v="20"/>
    <n v="45"/>
    <n v="30"/>
    <n v="5"/>
    <n v="0"/>
    <m/>
  </r>
  <r>
    <x v="6"/>
    <s v="K"/>
    <x v="9"/>
    <n v="0"/>
    <n v="2"/>
    <n v="10"/>
    <n v="8"/>
    <n v="0"/>
    <m/>
    <m/>
  </r>
  <r>
    <x v="7"/>
    <s v="S"/>
    <x v="10"/>
    <n v="8"/>
    <n v="39"/>
    <n v="111"/>
    <n v="85"/>
    <n v="6"/>
    <m/>
    <n v="249"/>
  </r>
  <r>
    <x v="8"/>
    <s v="F"/>
    <x v="14"/>
    <n v="1"/>
    <n v="115"/>
    <n v="676"/>
    <n v="134"/>
    <n v="14"/>
    <n v="60"/>
    <n v="940"/>
  </r>
  <r>
    <x v="8"/>
    <s v="L"/>
    <x v="5"/>
    <n v="2"/>
    <n v="103"/>
    <n v="124"/>
    <n v="59"/>
    <n v="2"/>
    <n v="23"/>
    <n v="290"/>
  </r>
  <r>
    <x v="8"/>
    <s v="R"/>
    <x v="11"/>
    <n v="1"/>
    <n v="46"/>
    <n v="117"/>
    <n v="41"/>
    <n v="1"/>
    <n v="18"/>
    <n v="206"/>
  </r>
  <r>
    <x v="8"/>
    <s v="S"/>
    <x v="10"/>
    <n v="6"/>
    <n v="24"/>
    <n v="88"/>
    <n v="74"/>
    <n v="3"/>
    <n v="17"/>
    <n v="195"/>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n v="4001"/>
    <n v="2940"/>
    <m/>
    <n v="223"/>
    <n v="961"/>
    <n v="359"/>
  </r>
  <r>
    <x v="1"/>
    <n v="3546"/>
    <n v="2863"/>
    <m/>
    <n v="189"/>
    <n v="846"/>
    <n v="336"/>
  </r>
  <r>
    <x v="2"/>
    <n v="4159"/>
    <n v="3052"/>
    <m/>
    <n v="234"/>
    <n v="1136"/>
    <n v="459"/>
  </r>
  <r>
    <x v="3"/>
    <n v="3422"/>
    <n v="2708"/>
    <n v="55"/>
    <n v="171"/>
    <n v="887"/>
    <n v="269"/>
  </r>
  <r>
    <x v="4"/>
    <n v="3637"/>
    <n v="2935"/>
    <n v="18"/>
    <n v="207"/>
    <n v="792"/>
    <n v="321"/>
  </r>
  <r>
    <x v="5"/>
    <n v="3636"/>
    <n v="2937"/>
    <n v="36"/>
    <n v="188"/>
    <n v="817"/>
    <n v="315"/>
  </r>
  <r>
    <x v="6"/>
    <n v="4206"/>
    <n v="3066"/>
    <m/>
    <n v="233"/>
    <n v="1114"/>
    <n v="437"/>
  </r>
  <r>
    <x v="7"/>
    <n v="3530"/>
    <n v="2758"/>
    <n v="53"/>
    <n v="174"/>
    <n v="920"/>
    <n v="277"/>
  </r>
  <r>
    <x v="8"/>
    <n v="3430"/>
    <n v="2705"/>
    <n v="60"/>
    <n v="171"/>
    <n v="917"/>
    <n v="273"/>
  </r>
  <r>
    <x v="9"/>
    <n v="3690"/>
    <n v="2870"/>
    <m/>
    <n v="203"/>
    <n v="828"/>
    <n v="342"/>
  </r>
  <r>
    <x v="10"/>
    <n v="3645"/>
    <n v="2870"/>
    <m/>
    <n v="165"/>
    <n v="838"/>
    <n v="320"/>
  </r>
  <r>
    <x v="11"/>
    <n v="3581"/>
    <n v="2872"/>
    <n v="54"/>
    <n v="182"/>
    <n v="835"/>
    <n v="303"/>
  </r>
  <r>
    <x v="12"/>
    <n v="4151"/>
    <n v="3076"/>
    <m/>
    <n v="234"/>
    <n v="1086"/>
    <n v="417"/>
  </r>
  <r>
    <x v="13"/>
    <n v="3856"/>
    <n v="2950"/>
    <m/>
    <n v="230"/>
    <n v="867"/>
    <n v="382"/>
  </r>
  <r>
    <x v="14"/>
    <n v="3490"/>
    <n v="2735"/>
    <n v="55"/>
    <n v="172"/>
    <n v="901"/>
    <n v="266"/>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
  <r>
    <x v="0"/>
    <n v="2955"/>
    <n v="264"/>
    <n v="358"/>
    <n v="60"/>
  </r>
  <r>
    <x v="1"/>
    <n v="2966"/>
    <n v="270"/>
    <n v="351"/>
    <n v="49"/>
  </r>
  <r>
    <x v="2"/>
    <n v="2903"/>
    <n v="271"/>
    <n v="348"/>
    <n v="59"/>
  </r>
  <r>
    <x v="3"/>
    <n v="2843"/>
    <n v="273"/>
    <n v="349"/>
    <n v="65"/>
  </r>
  <r>
    <x v="4"/>
    <n v="2798"/>
    <n v="262"/>
    <n v="327"/>
    <n v="103"/>
  </r>
  <r>
    <x v="5"/>
    <n v="2823"/>
    <n v="263"/>
    <n v="335"/>
    <n v="1"/>
  </r>
  <r>
    <x v="6"/>
    <n v="2762"/>
    <n v="267"/>
    <n v="332"/>
    <n v="69"/>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x v="0"/>
    <n v="378"/>
    <n v="56"/>
    <n v="322"/>
  </r>
  <r>
    <x v="1"/>
    <x v="1"/>
    <n v="2937"/>
    <n v="208"/>
    <n v="2729"/>
  </r>
  <r>
    <x v="2"/>
    <x v="2"/>
    <n v="55"/>
    <n v="9"/>
    <n v="46"/>
  </r>
  <r>
    <x v="3"/>
    <x v="1"/>
    <n v="2708"/>
    <n v="191"/>
    <n v="2517"/>
  </r>
  <r>
    <x v="3"/>
    <x v="3"/>
    <n v="887"/>
    <n v="482"/>
    <n v="405"/>
  </r>
  <r>
    <x v="4"/>
    <x v="0"/>
    <n v="359"/>
    <n v="52"/>
    <n v="307"/>
  </r>
  <r>
    <x v="0"/>
    <x v="4"/>
    <n v="3856"/>
    <n v="164"/>
    <n v="3692"/>
  </r>
  <r>
    <x v="5"/>
    <x v="1"/>
    <n v="2870"/>
    <n v="158"/>
    <n v="2712"/>
  </r>
  <r>
    <x v="5"/>
    <x v="3"/>
    <n v="838"/>
    <n v="466"/>
    <n v="372"/>
  </r>
  <r>
    <x v="6"/>
    <x v="4"/>
    <n v="3637"/>
    <n v="196"/>
    <n v="3441"/>
  </r>
  <r>
    <x v="7"/>
    <x v="4"/>
    <n v="3530"/>
    <n v="225"/>
    <n v="3305"/>
  </r>
  <r>
    <x v="2"/>
    <x v="4"/>
    <n v="3490"/>
    <n v="227"/>
    <n v="3263"/>
  </r>
  <r>
    <x v="8"/>
    <x v="3"/>
    <n v="917"/>
    <n v="492"/>
    <n v="425"/>
  </r>
  <r>
    <x v="4"/>
    <x v="5"/>
    <n v="223"/>
    <n v="199"/>
    <n v="24"/>
  </r>
  <r>
    <x v="0"/>
    <x v="1"/>
    <n v="2950"/>
    <n v="172"/>
    <n v="2778"/>
  </r>
  <r>
    <x v="9"/>
    <x v="4"/>
    <n v="3690"/>
    <n v="167"/>
    <n v="3523"/>
  </r>
  <r>
    <x v="1"/>
    <x v="5"/>
    <n v="188"/>
    <n v="156"/>
    <n v="32"/>
  </r>
  <r>
    <x v="1"/>
    <x v="2"/>
    <n v="36"/>
    <n v="7"/>
    <n v="29"/>
  </r>
  <r>
    <x v="9"/>
    <x v="0"/>
    <n v="342"/>
    <n v="56"/>
    <n v="286"/>
  </r>
  <r>
    <x v="10"/>
    <x v="3"/>
    <n v="846"/>
    <n v="476"/>
    <n v="370"/>
  </r>
  <r>
    <x v="6"/>
    <x v="3"/>
    <n v="792"/>
    <n v="427"/>
    <n v="365"/>
  </r>
  <r>
    <x v="1"/>
    <x v="3"/>
    <n v="817"/>
    <n v="447"/>
    <n v="370"/>
  </r>
  <r>
    <x v="11"/>
    <x v="1"/>
    <n v="2872"/>
    <n v="197"/>
    <n v="2675"/>
  </r>
  <r>
    <x v="11"/>
    <x v="0"/>
    <n v="303"/>
    <n v="52"/>
    <n v="251"/>
  </r>
  <r>
    <x v="7"/>
    <x v="0"/>
    <n v="277"/>
    <n v="46"/>
    <n v="231"/>
  </r>
  <r>
    <x v="3"/>
    <x v="4"/>
    <n v="3422"/>
    <n v="220"/>
    <n v="3202"/>
  </r>
  <r>
    <x v="0"/>
    <x v="3"/>
    <n v="867"/>
    <n v="480"/>
    <n v="387"/>
  </r>
  <r>
    <x v="9"/>
    <x v="5"/>
    <n v="203"/>
    <n v="171"/>
    <n v="32"/>
  </r>
  <r>
    <x v="5"/>
    <x v="5"/>
    <n v="165"/>
    <n v="139"/>
    <n v="26"/>
  </r>
  <r>
    <x v="10"/>
    <x v="4"/>
    <n v="3546"/>
    <n v="175"/>
    <n v="3371"/>
  </r>
  <r>
    <x v="11"/>
    <x v="5"/>
    <n v="182"/>
    <n v="151"/>
    <n v="31"/>
  </r>
  <r>
    <x v="11"/>
    <x v="4"/>
    <n v="3581"/>
    <n v="219"/>
    <n v="3362"/>
  </r>
  <r>
    <x v="2"/>
    <x v="3"/>
    <n v="901"/>
    <n v="484"/>
    <n v="417"/>
  </r>
  <r>
    <x v="2"/>
    <x v="0"/>
    <n v="266"/>
    <n v="40"/>
    <n v="226"/>
  </r>
  <r>
    <x v="4"/>
    <x v="1"/>
    <n v="2940"/>
    <n v="178"/>
    <n v="2762"/>
  </r>
  <r>
    <x v="5"/>
    <x v="0"/>
    <n v="316"/>
    <n v="48"/>
    <n v="268"/>
  </r>
  <r>
    <x v="10"/>
    <x v="5"/>
    <n v="189"/>
    <n v="158"/>
    <n v="31"/>
  </r>
  <r>
    <x v="10"/>
    <x v="1"/>
    <n v="2863"/>
    <n v="171"/>
    <n v="2692"/>
  </r>
  <r>
    <x v="10"/>
    <x v="0"/>
    <n v="332"/>
    <n v="55"/>
    <n v="277"/>
  </r>
  <r>
    <x v="6"/>
    <x v="2"/>
    <n v="18"/>
    <n v="1"/>
    <n v="17"/>
  </r>
  <r>
    <x v="7"/>
    <x v="1"/>
    <n v="2758"/>
    <n v="191"/>
    <n v="2567"/>
  </r>
  <r>
    <x v="3"/>
    <x v="2"/>
    <n v="55"/>
    <n v="8"/>
    <n v="47"/>
  </r>
  <r>
    <x v="8"/>
    <x v="1"/>
    <n v="2705"/>
    <n v="203"/>
    <n v="2502"/>
  </r>
  <r>
    <x v="8"/>
    <x v="0"/>
    <n v="273"/>
    <n v="42"/>
    <n v="231"/>
  </r>
  <r>
    <x v="4"/>
    <x v="4"/>
    <n v="4001"/>
    <n v="159"/>
    <n v="3842"/>
  </r>
  <r>
    <x v="9"/>
    <x v="1"/>
    <n v="2870"/>
    <n v="163"/>
    <n v="2707"/>
  </r>
  <r>
    <x v="5"/>
    <x v="4"/>
    <n v="3645"/>
    <n v="178"/>
    <n v="3467"/>
  </r>
  <r>
    <x v="6"/>
    <x v="1"/>
    <n v="2935"/>
    <n v="201"/>
    <n v="2734"/>
  </r>
  <r>
    <x v="6"/>
    <x v="0"/>
    <n v="317"/>
    <n v="54"/>
    <n v="263"/>
  </r>
  <r>
    <x v="11"/>
    <x v="3"/>
    <n v="835"/>
    <n v="461"/>
    <n v="374"/>
  </r>
  <r>
    <x v="7"/>
    <x v="5"/>
    <n v="174"/>
    <n v="146"/>
    <n v="28"/>
  </r>
  <r>
    <x v="7"/>
    <x v="2"/>
    <n v="53"/>
    <n v="10"/>
    <n v="43"/>
  </r>
  <r>
    <x v="7"/>
    <x v="3"/>
    <n v="920"/>
    <n v="501"/>
    <n v="419"/>
  </r>
  <r>
    <x v="2"/>
    <x v="5"/>
    <n v="172"/>
    <n v="144"/>
    <n v="28"/>
  </r>
  <r>
    <x v="8"/>
    <x v="2"/>
    <n v="60"/>
    <n v="7"/>
    <n v="53"/>
  </r>
  <r>
    <x v="8"/>
    <x v="4"/>
    <n v="3430"/>
    <n v="220"/>
    <n v="3210"/>
  </r>
  <r>
    <x v="4"/>
    <x v="3"/>
    <n v="961"/>
    <n v="545"/>
    <n v="416"/>
  </r>
  <r>
    <x v="0"/>
    <x v="5"/>
    <n v="230"/>
    <n v="192"/>
    <n v="38"/>
  </r>
  <r>
    <x v="9"/>
    <x v="3"/>
    <n v="828"/>
    <n v="463"/>
    <n v="365"/>
  </r>
  <r>
    <x v="6"/>
    <x v="5"/>
    <n v="207"/>
    <n v="172"/>
    <n v="35"/>
  </r>
  <r>
    <x v="1"/>
    <x v="0"/>
    <n v="315"/>
    <n v="54"/>
    <n v="261"/>
  </r>
  <r>
    <x v="1"/>
    <x v="4"/>
    <n v="3636"/>
    <n v="222"/>
    <n v="3414"/>
  </r>
  <r>
    <x v="11"/>
    <x v="2"/>
    <n v="54"/>
    <n v="11"/>
    <n v="43"/>
  </r>
  <r>
    <x v="2"/>
    <x v="1"/>
    <n v="2735"/>
    <n v="185"/>
    <n v="2550"/>
  </r>
  <r>
    <x v="3"/>
    <x v="5"/>
    <n v="171"/>
    <n v="142"/>
    <n v="29"/>
  </r>
  <r>
    <x v="3"/>
    <x v="0"/>
    <n v="269"/>
    <n v="42"/>
    <n v="227"/>
  </r>
  <r>
    <x v="8"/>
    <x v="5"/>
    <n v="171"/>
    <n v="139"/>
    <n v="3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x v="0"/>
    <s v="S12000034"/>
    <x v="0"/>
    <n v="31"/>
    <n v="0"/>
    <n v="1"/>
    <n v="1"/>
    <n v="0"/>
    <n v="5"/>
    <n v="38"/>
  </r>
  <r>
    <x v="1"/>
    <s v="S12000041"/>
    <x v="1"/>
    <n v="11"/>
    <n v="0"/>
    <n v="1"/>
    <n v="0"/>
    <n v="0"/>
    <n v="1"/>
    <n v="13"/>
  </r>
  <r>
    <x v="2"/>
    <s v="S12000008"/>
    <x v="2"/>
    <n v="9"/>
    <n v="1"/>
    <n v="1"/>
    <n v="0"/>
    <n v="0"/>
    <n v="0"/>
    <n v="11"/>
  </r>
  <r>
    <x v="1"/>
    <s v="S12000010"/>
    <x v="3"/>
    <n v="8"/>
    <n v="0"/>
    <n v="0"/>
    <n v="0"/>
    <n v="0"/>
    <n v="0"/>
    <n v="8"/>
  </r>
  <r>
    <x v="2"/>
    <s v="S12000011"/>
    <x v="4"/>
    <n v="2"/>
    <n v="0"/>
    <n v="0"/>
    <n v="0"/>
    <n v="0"/>
    <n v="0"/>
    <n v="2"/>
  </r>
  <r>
    <x v="2"/>
    <s v="S12000019"/>
    <x v="5"/>
    <n v="2"/>
    <n v="0"/>
    <n v="0"/>
    <n v="0"/>
    <n v="0"/>
    <n v="1"/>
    <n v="3"/>
  </r>
  <r>
    <x v="3"/>
    <s v="S12000019"/>
    <x v="5"/>
    <n v="2"/>
    <n v="0"/>
    <n v="0"/>
    <n v="0"/>
    <n v="0"/>
    <n v="1"/>
    <n v="3"/>
  </r>
  <r>
    <x v="0"/>
    <s v="S12000013"/>
    <x v="6"/>
    <n v="16"/>
    <n v="0"/>
    <n v="0"/>
    <n v="0"/>
    <n v="1"/>
    <n v="0"/>
    <n v="17"/>
  </r>
  <r>
    <x v="4"/>
    <s v="S12000013"/>
    <x v="6"/>
    <n v="15"/>
    <n v="0"/>
    <n v="0"/>
    <n v="0"/>
    <n v="0"/>
    <n v="0"/>
    <n v="15"/>
  </r>
  <r>
    <x v="1"/>
    <s v="S12000013"/>
    <x v="6"/>
    <n v="18"/>
    <n v="0"/>
    <n v="0"/>
    <n v="0"/>
    <n v="0"/>
    <n v="1"/>
    <n v="19"/>
  </r>
  <r>
    <x v="5"/>
    <s v="S12000013"/>
    <x v="6"/>
    <n v="15"/>
    <n v="0"/>
    <n v="0"/>
    <n v="0"/>
    <n v="0"/>
    <n v="3"/>
    <n v="18"/>
  </r>
  <r>
    <x v="3"/>
    <s v="S12000021"/>
    <x v="7"/>
    <n v="16"/>
    <n v="0"/>
    <n v="1"/>
    <n v="0"/>
    <n v="1"/>
    <n v="2"/>
    <n v="20"/>
  </r>
  <r>
    <x v="2"/>
    <s v="S12000026"/>
    <x v="8"/>
    <n v="17"/>
    <n v="0"/>
    <n v="0"/>
    <n v="2"/>
    <n v="0"/>
    <n v="1"/>
    <n v="20"/>
  </r>
  <r>
    <x v="2"/>
    <s v="S12000039"/>
    <x v="9"/>
    <n v="4"/>
    <n v="1"/>
    <n v="1"/>
    <n v="0"/>
    <n v="0"/>
    <n v="1"/>
    <n v="7"/>
  </r>
  <r>
    <x v="4"/>
    <s v="S12000041"/>
    <x v="1"/>
    <n v="11"/>
    <n v="0"/>
    <n v="1"/>
    <n v="0"/>
    <n v="0"/>
    <n v="1"/>
    <n v="13"/>
  </r>
  <r>
    <x v="2"/>
    <s v="S12000005"/>
    <x v="10"/>
    <n v="3"/>
    <n v="0"/>
    <n v="0"/>
    <n v="1"/>
    <n v="0"/>
    <n v="1"/>
    <n v="5"/>
  </r>
  <r>
    <x v="1"/>
    <s v="S12000005"/>
    <x v="10"/>
    <n v="3"/>
    <n v="0"/>
    <n v="0"/>
    <n v="0"/>
    <n v="0"/>
    <n v="1"/>
    <n v="4"/>
  </r>
  <r>
    <x v="1"/>
    <s v="S12000006"/>
    <x v="11"/>
    <n v="20"/>
    <n v="1"/>
    <n v="0"/>
    <n v="3"/>
    <n v="0"/>
    <n v="3"/>
    <n v="27"/>
  </r>
  <r>
    <x v="4"/>
    <s v="S12000042"/>
    <x v="12"/>
    <n v="7"/>
    <n v="2"/>
    <n v="8"/>
    <n v="1"/>
    <n v="0"/>
    <n v="2"/>
    <n v="20"/>
  </r>
  <r>
    <x v="1"/>
    <s v="S12000042"/>
    <x v="12"/>
    <n v="7"/>
    <n v="2"/>
    <n v="2"/>
    <n v="1"/>
    <n v="0"/>
    <n v="7"/>
    <n v="19"/>
  </r>
  <r>
    <x v="0"/>
    <s v="S12000049"/>
    <x v="13"/>
    <n v="19"/>
    <n v="3"/>
    <n v="0"/>
    <n v="3"/>
    <n v="0"/>
    <n v="3"/>
    <n v="28"/>
  </r>
  <r>
    <x v="4"/>
    <s v="S12000017"/>
    <x v="14"/>
    <n v="65"/>
    <n v="1"/>
    <n v="2"/>
    <n v="3"/>
    <n v="3"/>
    <n v="2"/>
    <n v="76"/>
  </r>
  <r>
    <x v="3"/>
    <s v="S12000017"/>
    <x v="14"/>
    <n v="65"/>
    <n v="1"/>
    <n v="1"/>
    <n v="3"/>
    <n v="2"/>
    <n v="2"/>
    <n v="74"/>
  </r>
  <r>
    <x v="4"/>
    <s v="S12000018"/>
    <x v="15"/>
    <n v="6"/>
    <n v="1"/>
    <n v="0"/>
    <n v="0"/>
    <n v="0"/>
    <n v="0"/>
    <n v="7"/>
  </r>
  <r>
    <x v="1"/>
    <s v="S12000018"/>
    <x v="15"/>
    <n v="6"/>
    <n v="1"/>
    <n v="0"/>
    <n v="0"/>
    <n v="0"/>
    <n v="0"/>
    <n v="7"/>
  </r>
  <r>
    <x v="6"/>
    <s v="S12000019"/>
    <x v="5"/>
    <n v="2"/>
    <n v="0"/>
    <n v="0"/>
    <n v="0"/>
    <n v="0"/>
    <n v="1"/>
    <n v="3"/>
  </r>
  <r>
    <x v="5"/>
    <s v="S12000019"/>
    <x v="5"/>
    <n v="2"/>
    <n v="0"/>
    <n v="0"/>
    <n v="0"/>
    <n v="0"/>
    <n v="1"/>
    <n v="3"/>
  </r>
  <r>
    <x v="3"/>
    <s v="S12000013"/>
    <x v="6"/>
    <n v="16"/>
    <n v="0"/>
    <n v="0"/>
    <n v="0"/>
    <n v="0"/>
    <n v="1"/>
    <n v="17"/>
  </r>
  <r>
    <x v="4"/>
    <s v="S12000038"/>
    <x v="16"/>
    <n v="5"/>
    <n v="2"/>
    <n v="0"/>
    <n v="0"/>
    <n v="0"/>
    <n v="3"/>
    <n v="10"/>
  </r>
  <r>
    <x v="0"/>
    <s v="S12000026"/>
    <x v="8"/>
    <n v="17"/>
    <n v="0"/>
    <n v="0"/>
    <n v="2"/>
    <n v="0"/>
    <n v="1"/>
    <n v="20"/>
  </r>
  <r>
    <x v="0"/>
    <s v="S12000027"/>
    <x v="17"/>
    <n v="14"/>
    <n v="0"/>
    <n v="0"/>
    <n v="0"/>
    <n v="1"/>
    <n v="1"/>
    <n v="16"/>
  </r>
  <r>
    <x v="2"/>
    <s v="S12000034"/>
    <x v="0"/>
    <n v="31"/>
    <n v="0"/>
    <n v="1"/>
    <n v="0"/>
    <n v="0"/>
    <n v="5"/>
    <n v="37"/>
  </r>
  <r>
    <x v="1"/>
    <s v="S12000034"/>
    <x v="0"/>
    <n v="32"/>
    <n v="0"/>
    <n v="1"/>
    <n v="0"/>
    <n v="0"/>
    <n v="4"/>
    <n v="37"/>
  </r>
  <r>
    <x v="6"/>
    <s v="S12000041"/>
    <x v="1"/>
    <n v="12"/>
    <n v="0"/>
    <n v="1"/>
    <n v="0"/>
    <n v="0"/>
    <n v="1"/>
    <n v="14"/>
  </r>
  <r>
    <x v="5"/>
    <s v="S12000041"/>
    <x v="1"/>
    <n v="11"/>
    <n v="0"/>
    <n v="0"/>
    <n v="0"/>
    <n v="0"/>
    <n v="1"/>
    <n v="12"/>
  </r>
  <r>
    <x v="3"/>
    <s v="S12000035"/>
    <x v="18"/>
    <n v="25"/>
    <n v="1"/>
    <n v="0"/>
    <n v="1"/>
    <n v="17"/>
    <n v="4"/>
    <n v="48"/>
  </r>
  <r>
    <x v="2"/>
    <s v="S12000006"/>
    <x v="11"/>
    <n v="22"/>
    <n v="1"/>
    <n v="0"/>
    <n v="3"/>
    <n v="0"/>
    <n v="4"/>
    <n v="30"/>
  </r>
  <r>
    <x v="2"/>
    <s v="S12000045"/>
    <x v="19"/>
    <n v="3"/>
    <n v="0"/>
    <n v="2"/>
    <n v="0"/>
    <n v="0"/>
    <n v="0"/>
    <n v="5"/>
  </r>
  <r>
    <x v="2"/>
    <s v="S12000014"/>
    <x v="20"/>
    <n v="10"/>
    <n v="1"/>
    <n v="2"/>
    <n v="0"/>
    <n v="0"/>
    <n v="4"/>
    <n v="17"/>
  </r>
  <r>
    <x v="1"/>
    <s v="S12000014"/>
    <x v="20"/>
    <n v="9"/>
    <n v="1"/>
    <n v="1"/>
    <n v="0"/>
    <n v="0"/>
    <n v="5"/>
    <n v="16"/>
  </r>
  <r>
    <x v="3"/>
    <s v="S12000049"/>
    <x v="13"/>
    <n v="19"/>
    <n v="3"/>
    <n v="0"/>
    <n v="3"/>
    <n v="0"/>
    <n v="6"/>
    <n v="31"/>
  </r>
  <r>
    <x v="6"/>
    <s v="S12000017"/>
    <x v="14"/>
    <n v="64"/>
    <n v="1"/>
    <n v="2"/>
    <n v="3"/>
    <n v="6"/>
    <n v="2"/>
    <n v="78"/>
  </r>
  <r>
    <x v="5"/>
    <s v="S12000017"/>
    <x v="14"/>
    <n v="64"/>
    <n v="1"/>
    <n v="1"/>
    <n v="3"/>
    <n v="5"/>
    <n v="6"/>
    <n v="80"/>
  </r>
  <r>
    <x v="6"/>
    <s v="S12000018"/>
    <x v="15"/>
    <n v="6"/>
    <n v="1"/>
    <n v="0"/>
    <n v="0"/>
    <n v="0"/>
    <n v="0"/>
    <n v="7"/>
  </r>
  <r>
    <x v="5"/>
    <s v="S12000018"/>
    <x v="15"/>
    <n v="6"/>
    <n v="1"/>
    <n v="0"/>
    <n v="0"/>
    <n v="0"/>
    <n v="0"/>
    <n v="7"/>
  </r>
  <r>
    <x v="4"/>
    <s v="S12000019"/>
    <x v="5"/>
    <n v="3"/>
    <n v="0"/>
    <n v="0"/>
    <n v="0"/>
    <n v="0"/>
    <n v="1"/>
    <n v="4"/>
  </r>
  <r>
    <x v="2"/>
    <s v="S12000020"/>
    <x v="21"/>
    <n v="13"/>
    <n v="0"/>
    <n v="1"/>
    <n v="0"/>
    <n v="2"/>
    <n v="3"/>
    <n v="19"/>
  </r>
  <r>
    <x v="6"/>
    <s v="S12000013"/>
    <x v="6"/>
    <n v="16"/>
    <n v="0"/>
    <n v="0"/>
    <n v="0"/>
    <n v="0"/>
    <n v="1"/>
    <n v="17"/>
  </r>
  <r>
    <x v="0"/>
    <s v="S12000021"/>
    <x v="7"/>
    <n v="16"/>
    <n v="0"/>
    <n v="1"/>
    <n v="0"/>
    <n v="1"/>
    <n v="2"/>
    <n v="20"/>
  </r>
  <r>
    <x v="3"/>
    <s v="S12000050"/>
    <x v="22"/>
    <n v="9"/>
    <n v="2"/>
    <n v="2"/>
    <n v="1"/>
    <n v="0"/>
    <n v="4"/>
    <n v="18"/>
  </r>
  <r>
    <x v="4"/>
    <s v="S12000023"/>
    <x v="23"/>
    <n v="15"/>
    <n v="0"/>
    <n v="0"/>
    <n v="0"/>
    <n v="1"/>
    <n v="0"/>
    <n v="16"/>
  </r>
  <r>
    <x v="1"/>
    <s v="S12000023"/>
    <x v="23"/>
    <n v="16"/>
    <n v="0"/>
    <n v="0"/>
    <n v="0"/>
    <n v="2"/>
    <n v="0"/>
    <n v="18"/>
  </r>
  <r>
    <x v="2"/>
    <s v="S12000048"/>
    <x v="24"/>
    <n v="16"/>
    <n v="1"/>
    <n v="2"/>
    <n v="1"/>
    <n v="3"/>
    <n v="0"/>
    <n v="23"/>
  </r>
  <r>
    <x v="6"/>
    <s v="S12000038"/>
    <x v="16"/>
    <n v="5"/>
    <n v="1"/>
    <n v="0"/>
    <n v="0"/>
    <n v="0"/>
    <n v="3"/>
    <n v="9"/>
  </r>
  <r>
    <x v="5"/>
    <s v="S12000038"/>
    <x v="16"/>
    <n v="5"/>
    <n v="1"/>
    <n v="0"/>
    <n v="0"/>
    <n v="0"/>
    <n v="4"/>
    <n v="10"/>
  </r>
  <r>
    <x v="2"/>
    <s v="S12000028"/>
    <x v="25"/>
    <n v="7"/>
    <n v="1"/>
    <n v="0"/>
    <n v="1"/>
    <n v="0"/>
    <n v="0"/>
    <n v="9"/>
  </r>
  <r>
    <x v="0"/>
    <s v="S12000029"/>
    <x v="26"/>
    <n v="14"/>
    <n v="1"/>
    <n v="1"/>
    <n v="2"/>
    <n v="0"/>
    <n v="5"/>
    <n v="23"/>
  </r>
  <r>
    <x v="0"/>
    <s v="S12000039"/>
    <x v="9"/>
    <n v="4"/>
    <n v="1"/>
    <n v="1"/>
    <n v="0"/>
    <n v="0"/>
    <n v="1"/>
    <n v="7"/>
  </r>
  <r>
    <x v="0"/>
    <s v="S12000040"/>
    <x v="27"/>
    <n v="8"/>
    <n v="0"/>
    <n v="0"/>
    <n v="1"/>
    <n v="0"/>
    <n v="1"/>
    <n v="10"/>
  </r>
  <r>
    <x v="6"/>
    <s v="S12000033"/>
    <x v="28"/>
    <n v="7"/>
    <n v="1"/>
    <n v="3"/>
    <n v="2"/>
    <n v="0"/>
    <n v="4"/>
    <n v="17"/>
  </r>
  <r>
    <x v="5"/>
    <s v="S12000033"/>
    <x v="28"/>
    <n v="7"/>
    <n v="1"/>
    <n v="3"/>
    <n v="2"/>
    <n v="0"/>
    <n v="4"/>
    <n v="17"/>
  </r>
  <r>
    <x v="2"/>
    <s v="S12000041"/>
    <x v="1"/>
    <n v="11"/>
    <n v="0"/>
    <n v="1"/>
    <n v="0"/>
    <n v="0"/>
    <n v="1"/>
    <n v="13"/>
  </r>
  <r>
    <x v="0"/>
    <s v="S12000035"/>
    <x v="18"/>
    <n v="24"/>
    <n v="1"/>
    <n v="0"/>
    <n v="1"/>
    <n v="17"/>
    <n v="4"/>
    <n v="47"/>
  </r>
  <r>
    <x v="0"/>
    <s v="S12000036"/>
    <x v="29"/>
    <n v="12"/>
    <n v="3"/>
    <n v="5"/>
    <n v="2"/>
    <n v="0"/>
    <n v="3"/>
    <n v="25"/>
  </r>
  <r>
    <x v="1"/>
    <s v="S12000036"/>
    <x v="29"/>
    <n v="12"/>
    <n v="3"/>
    <n v="4"/>
    <n v="3"/>
    <n v="0"/>
    <n v="4"/>
    <n v="26"/>
  </r>
  <r>
    <x v="6"/>
    <s v="S12000006"/>
    <x v="11"/>
    <n v="21"/>
    <n v="1"/>
    <n v="0"/>
    <n v="3"/>
    <n v="0"/>
    <n v="3"/>
    <n v="28"/>
  </r>
  <r>
    <x v="5"/>
    <s v="S12000006"/>
    <x v="11"/>
    <n v="21"/>
    <n v="1"/>
    <n v="0"/>
    <n v="3"/>
    <n v="0"/>
    <n v="2"/>
    <n v="27"/>
  </r>
  <r>
    <x v="2"/>
    <s v="S12000042"/>
    <x v="12"/>
    <n v="7"/>
    <n v="2"/>
    <n v="8"/>
    <n v="1"/>
    <n v="0"/>
    <n v="2"/>
    <n v="20"/>
  </r>
  <r>
    <x v="6"/>
    <s v="S12000042"/>
    <x v="12"/>
    <n v="7"/>
    <n v="1"/>
    <n v="2"/>
    <n v="1"/>
    <n v="0"/>
    <n v="7"/>
    <n v="18"/>
  </r>
  <r>
    <x v="5"/>
    <s v="S12000042"/>
    <x v="12"/>
    <n v="7"/>
    <n v="1"/>
    <n v="2"/>
    <n v="1"/>
    <n v="0"/>
    <n v="6"/>
    <n v="17"/>
  </r>
  <r>
    <x v="3"/>
    <s v="S12000045"/>
    <x v="19"/>
    <n v="3"/>
    <n v="0"/>
    <n v="2"/>
    <n v="0"/>
    <n v="0"/>
    <n v="0"/>
    <n v="5"/>
  </r>
  <r>
    <x v="2"/>
    <s v="S12000010"/>
    <x v="3"/>
    <n v="9"/>
    <n v="0"/>
    <n v="0"/>
    <n v="0"/>
    <n v="0"/>
    <n v="0"/>
    <n v="9"/>
  </r>
  <r>
    <x v="1"/>
    <s v="S12000047"/>
    <x v="30"/>
    <n v="20"/>
    <n v="2"/>
    <n v="0"/>
    <n v="2"/>
    <n v="0"/>
    <n v="6"/>
    <n v="30"/>
  </r>
  <r>
    <x v="2"/>
    <s v="S12000049"/>
    <x v="13"/>
    <n v="18"/>
    <n v="4"/>
    <n v="0"/>
    <n v="3"/>
    <n v="0"/>
    <n v="3"/>
    <n v="28"/>
  </r>
  <r>
    <x v="4"/>
    <s v="S12000049"/>
    <x v="13"/>
    <n v="29"/>
    <n v="3"/>
    <n v="0"/>
    <n v="3"/>
    <n v="0"/>
    <n v="4"/>
    <n v="39"/>
  </r>
  <r>
    <x v="2"/>
    <s v="S12000018"/>
    <x v="15"/>
    <n v="7"/>
    <n v="1"/>
    <n v="0"/>
    <n v="0"/>
    <n v="0"/>
    <n v="0"/>
    <n v="8"/>
  </r>
  <r>
    <x v="1"/>
    <s v="S12000019"/>
    <x v="5"/>
    <n v="2"/>
    <n v="0"/>
    <n v="0"/>
    <n v="0"/>
    <n v="0"/>
    <n v="1"/>
    <n v="3"/>
  </r>
  <r>
    <x v="1"/>
    <s v="S12000021"/>
    <x v="7"/>
    <n v="16"/>
    <n v="0"/>
    <n v="1"/>
    <n v="0"/>
    <n v="1"/>
    <n v="2"/>
    <n v="20"/>
  </r>
  <r>
    <x v="0"/>
    <s v="S12000050"/>
    <x v="22"/>
    <n v="8"/>
    <n v="1"/>
    <n v="2"/>
    <n v="1"/>
    <n v="0"/>
    <n v="3"/>
    <n v="15"/>
  </r>
  <r>
    <x v="4"/>
    <s v="S12000050"/>
    <x v="22"/>
    <n v="8"/>
    <n v="2"/>
    <n v="2"/>
    <n v="1"/>
    <n v="0"/>
    <n v="3"/>
    <n v="16"/>
  </r>
  <r>
    <x v="6"/>
    <s v="S12000048"/>
    <x v="24"/>
    <n v="15"/>
    <n v="1"/>
    <n v="0"/>
    <n v="1"/>
    <n v="3"/>
    <n v="1"/>
    <n v="21"/>
  </r>
  <r>
    <x v="5"/>
    <s v="S12000048"/>
    <x v="24"/>
    <n v="15"/>
    <n v="1"/>
    <n v="0"/>
    <n v="1"/>
    <n v="3"/>
    <n v="3"/>
    <n v="23"/>
  </r>
  <r>
    <x v="0"/>
    <s v="S12000038"/>
    <x v="16"/>
    <n v="4"/>
    <n v="2"/>
    <n v="0"/>
    <n v="0"/>
    <n v="0"/>
    <n v="3"/>
    <n v="9"/>
  </r>
  <r>
    <x v="2"/>
    <s v="S12000027"/>
    <x v="17"/>
    <n v="16"/>
    <n v="0"/>
    <n v="0"/>
    <n v="0"/>
    <n v="1"/>
    <n v="1"/>
    <n v="18"/>
  </r>
  <r>
    <x v="5"/>
    <s v="S12000028"/>
    <x v="25"/>
    <n v="8"/>
    <n v="0"/>
    <n v="0"/>
    <n v="1"/>
    <n v="0"/>
    <n v="0"/>
    <n v="9"/>
  </r>
  <r>
    <x v="3"/>
    <s v="S12000029"/>
    <x v="26"/>
    <n v="14"/>
    <n v="1"/>
    <n v="1"/>
    <n v="2"/>
    <n v="0"/>
    <n v="6"/>
    <n v="24"/>
  </r>
  <r>
    <x v="3"/>
    <s v="S12000030"/>
    <x v="31"/>
    <n v="9"/>
    <n v="0"/>
    <n v="0"/>
    <n v="1"/>
    <n v="2"/>
    <n v="3"/>
    <n v="15"/>
  </r>
  <r>
    <x v="4"/>
    <s v="S12000040"/>
    <x v="27"/>
    <n v="9"/>
    <n v="0"/>
    <n v="0"/>
    <n v="1"/>
    <n v="0"/>
    <n v="1"/>
    <n v="11"/>
  </r>
  <r>
    <x v="3"/>
    <s v="S12000040"/>
    <x v="27"/>
    <n v="8"/>
    <n v="0"/>
    <n v="0"/>
    <n v="1"/>
    <n v="0"/>
    <n v="1"/>
    <n v="10"/>
  </r>
  <r>
    <x v="1"/>
    <s v="S12000033"/>
    <x v="28"/>
    <n v="7"/>
    <n v="1"/>
    <n v="4"/>
    <n v="2"/>
    <n v="0"/>
    <n v="4"/>
    <n v="18"/>
  </r>
  <r>
    <x v="3"/>
    <s v="S12000034"/>
    <x v="0"/>
    <n v="31"/>
    <n v="0"/>
    <n v="1"/>
    <n v="0"/>
    <n v="0"/>
    <n v="4"/>
    <n v="36"/>
  </r>
  <r>
    <x v="1"/>
    <s v="S12000035"/>
    <x v="18"/>
    <n v="25"/>
    <n v="1"/>
    <n v="0"/>
    <n v="1"/>
    <n v="17"/>
    <n v="5"/>
    <n v="49"/>
  </r>
  <r>
    <x v="3"/>
    <s v="S12000005"/>
    <x v="10"/>
    <n v="3"/>
    <n v="0"/>
    <n v="0"/>
    <n v="1"/>
    <n v="0"/>
    <n v="1"/>
    <n v="5"/>
  </r>
  <r>
    <x v="4"/>
    <s v="S12000008"/>
    <x v="2"/>
    <n v="10"/>
    <n v="1"/>
    <n v="1"/>
    <n v="0"/>
    <n v="0"/>
    <n v="0"/>
    <n v="12"/>
  </r>
  <r>
    <x v="3"/>
    <s v="S12000008"/>
    <x v="2"/>
    <n v="9"/>
    <n v="1"/>
    <n v="1"/>
    <n v="0"/>
    <n v="0"/>
    <n v="0"/>
    <n v="11"/>
  </r>
  <r>
    <x v="6"/>
    <s v="S12000008"/>
    <x v="2"/>
    <n v="9"/>
    <n v="1"/>
    <n v="1"/>
    <n v="0"/>
    <n v="0"/>
    <n v="0"/>
    <n v="11"/>
  </r>
  <r>
    <x v="5"/>
    <s v="S12000008"/>
    <x v="2"/>
    <n v="9"/>
    <n v="1"/>
    <n v="1"/>
    <n v="0"/>
    <n v="0"/>
    <n v="0"/>
    <n v="11"/>
  </r>
  <r>
    <x v="4"/>
    <s v="S12000045"/>
    <x v="19"/>
    <n v="3"/>
    <n v="0"/>
    <n v="2"/>
    <n v="0"/>
    <n v="0"/>
    <n v="0"/>
    <n v="5"/>
  </r>
  <r>
    <x v="1"/>
    <s v="S12000045"/>
    <x v="19"/>
    <n v="3"/>
    <n v="0"/>
    <n v="2"/>
    <n v="0"/>
    <n v="0"/>
    <n v="0"/>
    <n v="5"/>
  </r>
  <r>
    <x v="5"/>
    <s v="S12000045"/>
    <x v="19"/>
    <n v="3"/>
    <n v="0"/>
    <n v="2"/>
    <n v="0"/>
    <n v="0"/>
    <n v="1"/>
    <n v="6"/>
  </r>
  <r>
    <x v="4"/>
    <s v="S12000011"/>
    <x v="4"/>
    <n v="2"/>
    <n v="0"/>
    <n v="0"/>
    <n v="0"/>
    <n v="0"/>
    <n v="0"/>
    <n v="2"/>
  </r>
  <r>
    <x v="1"/>
    <s v="S12000011"/>
    <x v="4"/>
    <n v="2"/>
    <n v="0"/>
    <n v="0"/>
    <n v="0"/>
    <n v="0"/>
    <n v="0"/>
    <n v="2"/>
  </r>
  <r>
    <x v="3"/>
    <s v="S12000014"/>
    <x v="20"/>
    <n v="9"/>
    <n v="1"/>
    <n v="1"/>
    <n v="0"/>
    <n v="0"/>
    <n v="5"/>
    <n v="16"/>
  </r>
  <r>
    <x v="1"/>
    <s v="S12000049"/>
    <x v="13"/>
    <n v="19"/>
    <n v="3"/>
    <n v="0"/>
    <n v="3"/>
    <n v="0"/>
    <n v="6"/>
    <n v="31"/>
  </r>
  <r>
    <x v="0"/>
    <s v="S12000018"/>
    <x v="15"/>
    <n v="6"/>
    <n v="1"/>
    <n v="0"/>
    <n v="0"/>
    <n v="0"/>
    <n v="0"/>
    <n v="7"/>
  </r>
  <r>
    <x v="0"/>
    <s v="S12000019"/>
    <x v="5"/>
    <n v="2"/>
    <n v="0"/>
    <n v="0"/>
    <n v="0"/>
    <n v="0"/>
    <n v="1"/>
    <n v="3"/>
  </r>
  <r>
    <x v="2"/>
    <s v="S12000013"/>
    <x v="6"/>
    <n v="17"/>
    <n v="0"/>
    <n v="0"/>
    <n v="0"/>
    <n v="1"/>
    <n v="0"/>
    <n v="18"/>
  </r>
  <r>
    <x v="2"/>
    <s v="S12000050"/>
    <x v="22"/>
    <n v="8"/>
    <n v="2"/>
    <n v="2"/>
    <n v="1"/>
    <n v="0"/>
    <n v="2"/>
    <n v="15"/>
  </r>
  <r>
    <x v="3"/>
    <s v="S12000048"/>
    <x v="24"/>
    <n v="15"/>
    <n v="1"/>
    <n v="0"/>
    <n v="1"/>
    <n v="3"/>
    <n v="1"/>
    <n v="21"/>
  </r>
  <r>
    <x v="4"/>
    <s v="S12000026"/>
    <x v="8"/>
    <n v="17"/>
    <n v="0"/>
    <n v="0"/>
    <n v="2"/>
    <n v="0"/>
    <n v="1"/>
    <n v="20"/>
  </r>
  <r>
    <x v="6"/>
    <s v="S12000026"/>
    <x v="8"/>
    <n v="18"/>
    <n v="0"/>
    <n v="0"/>
    <n v="2"/>
    <n v="0"/>
    <n v="2"/>
    <n v="22"/>
  </r>
  <r>
    <x v="5"/>
    <s v="S12000026"/>
    <x v="8"/>
    <n v="17"/>
    <n v="0"/>
    <n v="0"/>
    <n v="2"/>
    <n v="0"/>
    <n v="2"/>
    <n v="21"/>
  </r>
  <r>
    <x v="4"/>
    <s v="S12000027"/>
    <x v="17"/>
    <n v="16"/>
    <n v="0"/>
    <n v="0"/>
    <n v="0"/>
    <n v="1"/>
    <n v="1"/>
    <n v="18"/>
  </r>
  <r>
    <x v="6"/>
    <s v="S12000027"/>
    <x v="17"/>
    <n v="16"/>
    <n v="0"/>
    <n v="0"/>
    <n v="0"/>
    <n v="1"/>
    <n v="1"/>
    <n v="18"/>
  </r>
  <r>
    <x v="5"/>
    <s v="S12000027"/>
    <x v="17"/>
    <n v="16"/>
    <n v="0"/>
    <n v="0"/>
    <n v="0"/>
    <n v="1"/>
    <n v="1"/>
    <n v="18"/>
  </r>
  <r>
    <x v="0"/>
    <s v="S12000030"/>
    <x v="31"/>
    <n v="9"/>
    <n v="0"/>
    <n v="0"/>
    <n v="2"/>
    <n v="2"/>
    <n v="3"/>
    <n v="16"/>
  </r>
  <r>
    <x v="4"/>
    <s v="S12000030"/>
    <x v="31"/>
    <n v="9"/>
    <n v="0"/>
    <n v="0"/>
    <n v="1"/>
    <n v="2"/>
    <n v="3"/>
    <n v="15"/>
  </r>
  <r>
    <x v="6"/>
    <s v="S12000030"/>
    <x v="31"/>
    <n v="9"/>
    <n v="0"/>
    <n v="0"/>
    <n v="1"/>
    <n v="2"/>
    <n v="4"/>
    <n v="16"/>
  </r>
  <r>
    <x v="5"/>
    <s v="S12000030"/>
    <x v="31"/>
    <n v="9"/>
    <n v="0"/>
    <n v="0"/>
    <n v="1"/>
    <n v="1"/>
    <n v="5"/>
    <n v="16"/>
  </r>
  <r>
    <x v="4"/>
    <s v="S12000039"/>
    <x v="9"/>
    <n v="4"/>
    <n v="1"/>
    <n v="1"/>
    <n v="0"/>
    <n v="0"/>
    <n v="1"/>
    <n v="7"/>
  </r>
  <r>
    <x v="1"/>
    <s v="S12000039"/>
    <x v="9"/>
    <n v="4"/>
    <n v="1"/>
    <n v="1"/>
    <n v="0"/>
    <n v="0"/>
    <n v="1"/>
    <n v="7"/>
  </r>
  <r>
    <x v="1"/>
    <s v="S12000040"/>
    <x v="27"/>
    <n v="8"/>
    <n v="0"/>
    <n v="0"/>
    <n v="1"/>
    <n v="0"/>
    <n v="1"/>
    <n v="10"/>
  </r>
  <r>
    <x v="0"/>
    <s v="S12000033"/>
    <x v="28"/>
    <n v="9"/>
    <n v="1"/>
    <n v="6"/>
    <n v="1"/>
    <n v="0"/>
    <n v="4"/>
    <n v="21"/>
  </r>
  <r>
    <x v="4"/>
    <s v="S12000034"/>
    <x v="0"/>
    <n v="31"/>
    <n v="0"/>
    <n v="1"/>
    <n v="0"/>
    <n v="0"/>
    <n v="4"/>
    <n v="36"/>
  </r>
  <r>
    <x v="6"/>
    <s v="S12000034"/>
    <x v="0"/>
    <n v="31"/>
    <n v="0"/>
    <n v="1"/>
    <n v="0"/>
    <n v="0"/>
    <n v="3"/>
    <n v="35"/>
  </r>
  <r>
    <x v="5"/>
    <s v="S12000034"/>
    <x v="0"/>
    <n v="32"/>
    <n v="0"/>
    <n v="1"/>
    <n v="0"/>
    <n v="0"/>
    <n v="5"/>
    <n v="38"/>
  </r>
  <r>
    <x v="2"/>
    <s v="S12000035"/>
    <x v="18"/>
    <n v="25"/>
    <n v="1"/>
    <n v="0"/>
    <n v="1"/>
    <n v="20"/>
    <n v="4"/>
    <n v="51"/>
  </r>
  <r>
    <x v="4"/>
    <s v="S12000035"/>
    <x v="18"/>
    <n v="25"/>
    <n v="1"/>
    <n v="0"/>
    <n v="1"/>
    <n v="17"/>
    <n v="4"/>
    <n v="48"/>
  </r>
  <r>
    <x v="6"/>
    <s v="S12000035"/>
    <x v="18"/>
    <n v="26"/>
    <n v="1"/>
    <n v="0"/>
    <n v="1"/>
    <n v="17"/>
    <n v="4"/>
    <n v="49"/>
  </r>
  <r>
    <x v="5"/>
    <s v="S12000035"/>
    <x v="18"/>
    <n v="25"/>
    <n v="1"/>
    <n v="0"/>
    <n v="1"/>
    <n v="17"/>
    <n v="4"/>
    <n v="48"/>
  </r>
  <r>
    <x v="2"/>
    <s v="S12000036"/>
    <x v="29"/>
    <n v="12"/>
    <n v="4"/>
    <n v="6"/>
    <n v="2"/>
    <n v="0"/>
    <n v="1"/>
    <n v="25"/>
  </r>
  <r>
    <x v="4"/>
    <s v="S12000005"/>
    <x v="10"/>
    <n v="3"/>
    <n v="0"/>
    <n v="0"/>
    <n v="1"/>
    <n v="0"/>
    <n v="1"/>
    <n v="5"/>
  </r>
  <r>
    <x v="6"/>
    <s v="S12000005"/>
    <x v="10"/>
    <n v="3"/>
    <n v="0"/>
    <n v="0"/>
    <n v="0"/>
    <n v="0"/>
    <n v="1"/>
    <n v="4"/>
  </r>
  <r>
    <x v="5"/>
    <s v="S12000005"/>
    <x v="10"/>
    <n v="3"/>
    <n v="0"/>
    <n v="0"/>
    <n v="0"/>
    <n v="0"/>
    <n v="1"/>
    <n v="4"/>
  </r>
  <r>
    <x v="0"/>
    <s v="S12000042"/>
    <x v="12"/>
    <n v="7"/>
    <n v="2"/>
    <n v="7"/>
    <n v="1"/>
    <n v="0"/>
    <n v="2"/>
    <n v="19"/>
  </r>
  <r>
    <x v="0"/>
    <s v="S12000045"/>
    <x v="19"/>
    <n v="3"/>
    <n v="0"/>
    <n v="2"/>
    <n v="0"/>
    <n v="0"/>
    <n v="0"/>
    <n v="5"/>
  </r>
  <r>
    <x v="0"/>
    <s v="S12000010"/>
    <x v="3"/>
    <n v="9"/>
    <n v="0"/>
    <n v="0"/>
    <n v="0"/>
    <n v="0"/>
    <n v="1"/>
    <n v="10"/>
  </r>
  <r>
    <x v="3"/>
    <s v="S12000011"/>
    <x v="4"/>
    <n v="2"/>
    <n v="0"/>
    <n v="0"/>
    <n v="0"/>
    <n v="0"/>
    <n v="1"/>
    <n v="3"/>
  </r>
  <r>
    <x v="6"/>
    <s v="S12000011"/>
    <x v="4"/>
    <n v="2"/>
    <n v="0"/>
    <n v="0"/>
    <n v="0"/>
    <n v="0"/>
    <n v="0"/>
    <n v="2"/>
  </r>
  <r>
    <x v="5"/>
    <s v="S12000011"/>
    <x v="4"/>
    <n v="2"/>
    <n v="0"/>
    <n v="0"/>
    <n v="0"/>
    <n v="0"/>
    <n v="0"/>
    <n v="2"/>
  </r>
  <r>
    <x v="4"/>
    <s v="S12000014"/>
    <x v="20"/>
    <n v="9"/>
    <n v="1"/>
    <n v="2"/>
    <n v="0"/>
    <n v="0"/>
    <n v="4"/>
    <n v="16"/>
  </r>
  <r>
    <x v="6"/>
    <s v="S12000014"/>
    <x v="20"/>
    <n v="9"/>
    <n v="1"/>
    <n v="1"/>
    <n v="0"/>
    <n v="0"/>
    <n v="5"/>
    <n v="16"/>
  </r>
  <r>
    <x v="5"/>
    <s v="S12000014"/>
    <x v="20"/>
    <n v="9"/>
    <n v="1"/>
    <n v="1"/>
    <n v="0"/>
    <n v="0"/>
    <n v="5"/>
    <n v="16"/>
  </r>
  <r>
    <x v="2"/>
    <s v="S12000047"/>
    <x v="30"/>
    <n v="21"/>
    <n v="2"/>
    <n v="2"/>
    <n v="1"/>
    <n v="0"/>
    <n v="5"/>
    <n v="31"/>
  </r>
  <r>
    <x v="2"/>
    <s v="S12000017"/>
    <x v="14"/>
    <n v="68"/>
    <n v="1"/>
    <n v="4"/>
    <n v="2"/>
    <n v="8"/>
    <n v="5"/>
    <n v="88"/>
  </r>
  <r>
    <x v="2"/>
    <s v="S12000021"/>
    <x v="7"/>
    <n v="16"/>
    <n v="0"/>
    <n v="1"/>
    <n v="0"/>
    <n v="1"/>
    <n v="2"/>
    <n v="20"/>
  </r>
  <r>
    <x v="3"/>
    <s v="S12000023"/>
    <x v="23"/>
    <n v="15"/>
    <n v="0"/>
    <n v="0"/>
    <n v="0"/>
    <n v="2"/>
    <n v="0"/>
    <n v="17"/>
  </r>
  <r>
    <x v="6"/>
    <s v="S12000023"/>
    <x v="23"/>
    <n v="14"/>
    <n v="0"/>
    <n v="0"/>
    <n v="0"/>
    <n v="3"/>
    <n v="0"/>
    <n v="17"/>
  </r>
  <r>
    <x v="5"/>
    <s v="S12000023"/>
    <x v="23"/>
    <n v="15"/>
    <n v="0"/>
    <n v="0"/>
    <n v="0"/>
    <n v="1"/>
    <n v="0"/>
    <n v="16"/>
  </r>
  <r>
    <x v="3"/>
    <s v="S12000038"/>
    <x v="16"/>
    <n v="4"/>
    <n v="2"/>
    <n v="0"/>
    <n v="0"/>
    <n v="0"/>
    <n v="2"/>
    <n v="8"/>
  </r>
  <r>
    <x v="3"/>
    <s v="S12000026"/>
    <x v="8"/>
    <n v="19"/>
    <n v="0"/>
    <n v="0"/>
    <n v="2"/>
    <n v="0"/>
    <n v="1"/>
    <n v="22"/>
  </r>
  <r>
    <x v="1"/>
    <s v="S12000027"/>
    <x v="17"/>
    <n v="19"/>
    <n v="0"/>
    <n v="0"/>
    <n v="0"/>
    <n v="1"/>
    <n v="1"/>
    <n v="21"/>
  </r>
  <r>
    <x v="1"/>
    <s v="S12000030"/>
    <x v="31"/>
    <n v="9"/>
    <n v="0"/>
    <n v="0"/>
    <n v="1"/>
    <n v="2"/>
    <n v="3"/>
    <n v="15"/>
  </r>
  <r>
    <x v="3"/>
    <s v="S12000039"/>
    <x v="9"/>
    <n v="4"/>
    <n v="1"/>
    <n v="1"/>
    <n v="0"/>
    <n v="0"/>
    <n v="1"/>
    <n v="7"/>
  </r>
  <r>
    <x v="6"/>
    <s v="S12000039"/>
    <x v="9"/>
    <n v="5"/>
    <n v="0"/>
    <n v="1"/>
    <n v="0"/>
    <n v="0"/>
    <n v="1"/>
    <n v="7"/>
  </r>
  <r>
    <x v="5"/>
    <s v="S12000039"/>
    <x v="9"/>
    <n v="5"/>
    <n v="0"/>
    <n v="1"/>
    <n v="0"/>
    <n v="0"/>
    <n v="3"/>
    <n v="9"/>
  </r>
  <r>
    <x v="2"/>
    <s v="S12000033"/>
    <x v="28"/>
    <n v="8"/>
    <n v="2"/>
    <n v="6"/>
    <n v="1"/>
    <n v="0"/>
    <n v="2"/>
    <n v="19"/>
  </r>
  <r>
    <x v="0"/>
    <s v="S12000041"/>
    <x v="1"/>
    <n v="11"/>
    <n v="0"/>
    <n v="1"/>
    <n v="0"/>
    <n v="0"/>
    <n v="1"/>
    <n v="13"/>
  </r>
  <r>
    <x v="4"/>
    <s v="S12000036"/>
    <x v="29"/>
    <n v="19"/>
    <n v="3"/>
    <n v="5"/>
    <n v="2"/>
    <n v="0"/>
    <n v="3"/>
    <n v="32"/>
  </r>
  <r>
    <x v="3"/>
    <s v="S12000036"/>
    <x v="29"/>
    <n v="14"/>
    <n v="3"/>
    <n v="4"/>
    <n v="2"/>
    <n v="0"/>
    <n v="4"/>
    <n v="27"/>
  </r>
  <r>
    <x v="6"/>
    <s v="S12000036"/>
    <x v="29"/>
    <n v="12"/>
    <n v="2"/>
    <n v="4"/>
    <n v="3"/>
    <n v="0"/>
    <n v="3"/>
    <n v="24"/>
  </r>
  <r>
    <x v="5"/>
    <s v="S12000036"/>
    <x v="29"/>
    <n v="12"/>
    <n v="2"/>
    <n v="4"/>
    <n v="3"/>
    <n v="0"/>
    <n v="3"/>
    <n v="24"/>
  </r>
  <r>
    <x v="0"/>
    <s v="S12000005"/>
    <x v="10"/>
    <n v="2"/>
    <n v="0"/>
    <n v="0"/>
    <n v="1"/>
    <n v="0"/>
    <n v="1"/>
    <n v="4"/>
  </r>
  <r>
    <x v="0"/>
    <s v="S12000006"/>
    <x v="11"/>
    <n v="21"/>
    <n v="1"/>
    <n v="0"/>
    <n v="3"/>
    <n v="0"/>
    <n v="3"/>
    <n v="28"/>
  </r>
  <r>
    <x v="4"/>
    <s v="S12000010"/>
    <x v="3"/>
    <n v="9"/>
    <n v="0"/>
    <n v="0"/>
    <n v="0"/>
    <n v="0"/>
    <n v="1"/>
    <n v="10"/>
  </r>
  <r>
    <x v="6"/>
    <s v="S12000010"/>
    <x v="3"/>
    <n v="8"/>
    <n v="0"/>
    <n v="0"/>
    <n v="0"/>
    <n v="0"/>
    <n v="0"/>
    <n v="8"/>
  </r>
  <r>
    <x v="5"/>
    <s v="S12000010"/>
    <x v="3"/>
    <n v="8"/>
    <n v="0"/>
    <n v="0"/>
    <n v="0"/>
    <n v="0"/>
    <n v="1"/>
    <n v="9"/>
  </r>
  <r>
    <x v="0"/>
    <s v="S12000014"/>
    <x v="20"/>
    <n v="9"/>
    <n v="2"/>
    <n v="2"/>
    <n v="0"/>
    <n v="0"/>
    <n v="5"/>
    <n v="18"/>
  </r>
  <r>
    <x v="0"/>
    <s v="S12000047"/>
    <x v="30"/>
    <n v="19"/>
    <n v="2"/>
    <n v="2"/>
    <n v="2"/>
    <n v="0"/>
    <n v="5"/>
    <n v="30"/>
  </r>
  <r>
    <x v="4"/>
    <s v="S12000047"/>
    <x v="30"/>
    <n v="20"/>
    <n v="2"/>
    <n v="2"/>
    <n v="2"/>
    <n v="0"/>
    <n v="4"/>
    <n v="30"/>
  </r>
  <r>
    <x v="3"/>
    <s v="S12000047"/>
    <x v="30"/>
    <n v="21"/>
    <n v="2"/>
    <n v="0"/>
    <n v="2"/>
    <n v="0"/>
    <n v="6"/>
    <n v="31"/>
  </r>
  <r>
    <x v="6"/>
    <s v="S12000047"/>
    <x v="30"/>
    <n v="18"/>
    <n v="1"/>
    <n v="0"/>
    <n v="2"/>
    <n v="0"/>
    <n v="5"/>
    <n v="26"/>
  </r>
  <r>
    <x v="5"/>
    <s v="S12000047"/>
    <x v="30"/>
    <n v="18"/>
    <n v="1"/>
    <n v="0"/>
    <n v="2"/>
    <n v="0"/>
    <n v="4"/>
    <n v="25"/>
  </r>
  <r>
    <x v="3"/>
    <s v="S12000020"/>
    <x v="21"/>
    <n v="13"/>
    <n v="0"/>
    <n v="1"/>
    <n v="1"/>
    <n v="2"/>
    <n v="4"/>
    <n v="21"/>
  </r>
  <r>
    <x v="6"/>
    <s v="S12000020"/>
    <x v="21"/>
    <n v="13"/>
    <n v="0"/>
    <n v="1"/>
    <n v="1"/>
    <n v="2"/>
    <n v="3"/>
    <n v="20"/>
  </r>
  <r>
    <x v="5"/>
    <s v="S12000020"/>
    <x v="21"/>
    <n v="15"/>
    <n v="0"/>
    <n v="1"/>
    <n v="1"/>
    <n v="1"/>
    <n v="5"/>
    <n v="23"/>
  </r>
  <r>
    <x v="4"/>
    <s v="S12000021"/>
    <x v="7"/>
    <n v="17"/>
    <n v="0"/>
    <n v="1"/>
    <n v="0"/>
    <n v="1"/>
    <n v="2"/>
    <n v="21"/>
  </r>
  <r>
    <x v="6"/>
    <s v="S12000021"/>
    <x v="7"/>
    <n v="16"/>
    <n v="0"/>
    <n v="0"/>
    <n v="0"/>
    <n v="1"/>
    <n v="2"/>
    <n v="19"/>
  </r>
  <r>
    <x v="5"/>
    <s v="S12000021"/>
    <x v="7"/>
    <n v="16"/>
    <n v="0"/>
    <n v="0"/>
    <n v="0"/>
    <n v="1"/>
    <n v="4"/>
    <n v="21"/>
  </r>
  <r>
    <x v="1"/>
    <s v="S12000050"/>
    <x v="22"/>
    <n v="8"/>
    <n v="2"/>
    <n v="2"/>
    <n v="1"/>
    <n v="0"/>
    <n v="4"/>
    <n v="17"/>
  </r>
  <r>
    <x v="2"/>
    <s v="S12000023"/>
    <x v="23"/>
    <n v="14"/>
    <n v="0"/>
    <n v="0"/>
    <n v="0"/>
    <n v="1"/>
    <n v="0"/>
    <n v="15"/>
  </r>
  <r>
    <x v="2"/>
    <s v="S12000038"/>
    <x v="16"/>
    <n v="4"/>
    <n v="2"/>
    <n v="0"/>
    <n v="0"/>
    <n v="0"/>
    <n v="4"/>
    <n v="10"/>
  </r>
  <r>
    <x v="3"/>
    <s v="S12000028"/>
    <x v="25"/>
    <n v="7"/>
    <n v="1"/>
    <n v="0"/>
    <n v="1"/>
    <n v="0"/>
    <n v="0"/>
    <n v="9"/>
  </r>
  <r>
    <x v="6"/>
    <s v="S12000028"/>
    <x v="25"/>
    <n v="8"/>
    <n v="0"/>
    <n v="0"/>
    <n v="1"/>
    <n v="0"/>
    <n v="0"/>
    <n v="9"/>
  </r>
  <r>
    <x v="4"/>
    <s v="S12000029"/>
    <x v="26"/>
    <n v="15"/>
    <n v="1"/>
    <n v="1"/>
    <n v="2"/>
    <n v="0"/>
    <n v="5"/>
    <n v="24"/>
  </r>
  <r>
    <x v="1"/>
    <s v="S12000029"/>
    <x v="26"/>
    <n v="15"/>
    <n v="1"/>
    <n v="1"/>
    <n v="2"/>
    <n v="0"/>
    <n v="5"/>
    <n v="24"/>
  </r>
  <r>
    <x v="2"/>
    <s v="S12000040"/>
    <x v="27"/>
    <n v="8"/>
    <n v="0"/>
    <n v="1"/>
    <n v="2"/>
    <n v="0"/>
    <n v="1"/>
    <n v="12"/>
  </r>
  <r>
    <x v="4"/>
    <s v="S12000033"/>
    <x v="28"/>
    <n v="7"/>
    <n v="1"/>
    <n v="6"/>
    <n v="2"/>
    <n v="0"/>
    <n v="2"/>
    <n v="18"/>
  </r>
  <r>
    <x v="3"/>
    <s v="S12000033"/>
    <x v="28"/>
    <n v="7"/>
    <n v="1"/>
    <n v="4"/>
    <n v="2"/>
    <n v="0"/>
    <n v="4"/>
    <n v="18"/>
  </r>
  <r>
    <x v="3"/>
    <s v="S12000041"/>
    <x v="1"/>
    <n v="11"/>
    <n v="0"/>
    <n v="1"/>
    <n v="0"/>
    <n v="0"/>
    <n v="1"/>
    <n v="13"/>
  </r>
  <r>
    <x v="4"/>
    <s v="S12000006"/>
    <x v="11"/>
    <n v="21"/>
    <n v="1"/>
    <n v="0"/>
    <n v="3"/>
    <n v="0"/>
    <n v="3"/>
    <n v="28"/>
  </r>
  <r>
    <x v="3"/>
    <s v="S12000006"/>
    <x v="11"/>
    <n v="21"/>
    <n v="1"/>
    <n v="0"/>
    <n v="3"/>
    <n v="0"/>
    <n v="3"/>
    <n v="28"/>
  </r>
  <r>
    <x v="3"/>
    <s v="S12000042"/>
    <x v="12"/>
    <n v="7"/>
    <n v="2"/>
    <n v="2"/>
    <n v="1"/>
    <n v="0"/>
    <n v="7"/>
    <n v="19"/>
  </r>
  <r>
    <x v="0"/>
    <s v="S12000008"/>
    <x v="2"/>
    <n v="9"/>
    <n v="1"/>
    <n v="1"/>
    <n v="0"/>
    <n v="0"/>
    <n v="0"/>
    <n v="11"/>
  </r>
  <r>
    <x v="1"/>
    <s v="S12000008"/>
    <x v="2"/>
    <n v="9"/>
    <n v="1"/>
    <n v="1"/>
    <n v="0"/>
    <n v="0"/>
    <n v="0"/>
    <n v="11"/>
  </r>
  <r>
    <x v="6"/>
    <s v="S12000045"/>
    <x v="19"/>
    <n v="3"/>
    <n v="0"/>
    <n v="2"/>
    <n v="0"/>
    <n v="0"/>
    <n v="1"/>
    <n v="6"/>
  </r>
  <r>
    <x v="3"/>
    <s v="S12000010"/>
    <x v="3"/>
    <n v="8"/>
    <n v="0"/>
    <n v="0"/>
    <n v="0"/>
    <n v="0"/>
    <n v="1"/>
    <n v="9"/>
  </r>
  <r>
    <x v="0"/>
    <s v="S12000011"/>
    <x v="4"/>
    <n v="2"/>
    <n v="0"/>
    <n v="0"/>
    <n v="0"/>
    <n v="0"/>
    <n v="0"/>
    <n v="2"/>
  </r>
  <r>
    <x v="6"/>
    <s v="S12000049"/>
    <x v="13"/>
    <n v="17"/>
    <n v="2"/>
    <n v="0"/>
    <n v="3"/>
    <n v="0"/>
    <n v="5"/>
    <n v="27"/>
  </r>
  <r>
    <x v="5"/>
    <s v="S12000049"/>
    <x v="13"/>
    <n v="17"/>
    <n v="2"/>
    <n v="0"/>
    <n v="3"/>
    <n v="0"/>
    <n v="5"/>
    <n v="27"/>
  </r>
  <r>
    <x v="0"/>
    <s v="S12000017"/>
    <x v="14"/>
    <n v="65"/>
    <n v="2"/>
    <n v="3"/>
    <n v="3"/>
    <n v="8"/>
    <n v="2"/>
    <n v="83"/>
  </r>
  <r>
    <x v="1"/>
    <s v="S12000017"/>
    <x v="14"/>
    <n v="65"/>
    <n v="1"/>
    <n v="1"/>
    <n v="3"/>
    <n v="3"/>
    <n v="2"/>
    <n v="75"/>
  </r>
  <r>
    <x v="3"/>
    <s v="S12000018"/>
    <x v="15"/>
    <n v="6"/>
    <n v="1"/>
    <n v="0"/>
    <n v="0"/>
    <n v="0"/>
    <n v="0"/>
    <n v="7"/>
  </r>
  <r>
    <x v="0"/>
    <s v="S12000020"/>
    <x v="21"/>
    <n v="13"/>
    <n v="0"/>
    <n v="1"/>
    <n v="1"/>
    <n v="2"/>
    <n v="3"/>
    <n v="20"/>
  </r>
  <r>
    <x v="4"/>
    <s v="S12000020"/>
    <x v="21"/>
    <n v="13"/>
    <n v="0"/>
    <n v="1"/>
    <n v="1"/>
    <n v="2"/>
    <n v="4"/>
    <n v="21"/>
  </r>
  <r>
    <x v="1"/>
    <s v="S12000020"/>
    <x v="21"/>
    <n v="13"/>
    <n v="0"/>
    <n v="1"/>
    <n v="1"/>
    <n v="2"/>
    <n v="4"/>
    <n v="21"/>
  </r>
  <r>
    <x v="6"/>
    <s v="S12000050"/>
    <x v="22"/>
    <n v="9"/>
    <n v="1"/>
    <n v="1"/>
    <n v="1"/>
    <n v="0"/>
    <n v="4"/>
    <n v="16"/>
  </r>
  <r>
    <x v="5"/>
    <s v="S12000050"/>
    <x v="22"/>
    <n v="9"/>
    <n v="1"/>
    <n v="1"/>
    <n v="1"/>
    <n v="0"/>
    <n v="4"/>
    <n v="16"/>
  </r>
  <r>
    <x v="0"/>
    <s v="S12000023"/>
    <x v="23"/>
    <n v="16"/>
    <n v="0"/>
    <n v="0"/>
    <n v="0"/>
    <n v="1"/>
    <n v="0"/>
    <n v="17"/>
  </r>
  <r>
    <x v="0"/>
    <s v="S12000048"/>
    <x v="24"/>
    <n v="15"/>
    <n v="1"/>
    <n v="3"/>
    <n v="1"/>
    <n v="3"/>
    <n v="0"/>
    <n v="23"/>
  </r>
  <r>
    <x v="4"/>
    <s v="S12000048"/>
    <x v="24"/>
    <n v="15"/>
    <n v="1"/>
    <n v="2"/>
    <n v="1"/>
    <n v="3"/>
    <n v="0"/>
    <n v="22"/>
  </r>
  <r>
    <x v="1"/>
    <s v="S12000048"/>
    <x v="24"/>
    <n v="15"/>
    <n v="1"/>
    <n v="0"/>
    <n v="1"/>
    <n v="3"/>
    <n v="1"/>
    <n v="21"/>
  </r>
  <r>
    <x v="1"/>
    <s v="S12000038"/>
    <x v="16"/>
    <n v="4"/>
    <n v="2"/>
    <n v="0"/>
    <n v="0"/>
    <n v="0"/>
    <n v="3"/>
    <n v="9"/>
  </r>
  <r>
    <x v="1"/>
    <s v="S12000026"/>
    <x v="8"/>
    <n v="17"/>
    <n v="0"/>
    <n v="0"/>
    <n v="2"/>
    <n v="0"/>
    <n v="2"/>
    <n v="21"/>
  </r>
  <r>
    <x v="3"/>
    <s v="S12000027"/>
    <x v="17"/>
    <n v="15"/>
    <n v="0"/>
    <n v="0"/>
    <n v="0"/>
    <n v="1"/>
    <n v="1"/>
    <n v="17"/>
  </r>
  <r>
    <x v="0"/>
    <s v="S12000028"/>
    <x v="25"/>
    <n v="7"/>
    <n v="1"/>
    <n v="0"/>
    <n v="1"/>
    <n v="0"/>
    <n v="0"/>
    <n v="9"/>
  </r>
  <r>
    <x v="4"/>
    <s v="S12000028"/>
    <x v="25"/>
    <n v="7"/>
    <n v="1"/>
    <n v="0"/>
    <n v="1"/>
    <n v="0"/>
    <n v="0"/>
    <n v="9"/>
  </r>
  <r>
    <x v="1"/>
    <s v="S12000028"/>
    <x v="25"/>
    <n v="7"/>
    <n v="1"/>
    <n v="0"/>
    <n v="1"/>
    <n v="0"/>
    <n v="0"/>
    <n v="9"/>
  </r>
  <r>
    <x v="2"/>
    <s v="S12000029"/>
    <x v="26"/>
    <n v="14"/>
    <n v="1"/>
    <n v="1"/>
    <n v="2"/>
    <n v="0"/>
    <n v="6"/>
    <n v="24"/>
  </r>
  <r>
    <x v="6"/>
    <s v="S12000029"/>
    <x v="26"/>
    <n v="15"/>
    <n v="0"/>
    <n v="1"/>
    <n v="2"/>
    <n v="0"/>
    <n v="5"/>
    <n v="23"/>
  </r>
  <r>
    <x v="5"/>
    <s v="S12000029"/>
    <x v="26"/>
    <n v="15"/>
    <n v="0"/>
    <n v="1"/>
    <n v="2"/>
    <n v="0"/>
    <n v="5"/>
    <n v="23"/>
  </r>
  <r>
    <x v="2"/>
    <s v="S12000030"/>
    <x v="31"/>
    <n v="9"/>
    <n v="0"/>
    <n v="0"/>
    <n v="1"/>
    <n v="2"/>
    <n v="3"/>
    <n v="15"/>
  </r>
  <r>
    <x v="6"/>
    <s v="S12000040"/>
    <x v="27"/>
    <n v="8"/>
    <n v="0"/>
    <n v="0"/>
    <n v="1"/>
    <n v="0"/>
    <n v="1"/>
    <n v="10"/>
  </r>
  <r>
    <x v="5"/>
    <s v="S12000040"/>
    <x v="27"/>
    <n v="8"/>
    <n v="0"/>
    <n v="0"/>
    <n v="1"/>
    <n v="0"/>
    <n v="1"/>
    <n v="10"/>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
  <r>
    <x v="0"/>
    <x v="0"/>
    <n v="1"/>
    <n v="71"/>
    <m/>
    <n v="4"/>
    <n v="93"/>
    <n v="9"/>
  </r>
  <r>
    <x v="1"/>
    <x v="1"/>
    <n v="618"/>
    <n v="432"/>
    <m/>
    <n v="42"/>
    <n v="139"/>
    <n v="56"/>
  </r>
  <r>
    <x v="2"/>
    <x v="1"/>
    <n v="658"/>
    <n v="460"/>
    <m/>
    <n v="36"/>
    <n v="135"/>
    <n v="65"/>
  </r>
  <r>
    <x v="2"/>
    <x v="2"/>
    <m/>
    <n v="16"/>
    <m/>
    <m/>
    <n v="1"/>
    <n v="1"/>
  </r>
  <r>
    <x v="3"/>
    <x v="3"/>
    <n v="47"/>
    <n v="140"/>
    <m/>
    <n v="12"/>
    <n v="18"/>
    <n v="13"/>
  </r>
  <r>
    <x v="3"/>
    <x v="4"/>
    <n v="687"/>
    <n v="374"/>
    <n v="2"/>
    <n v="20"/>
    <n v="91"/>
    <n v="33"/>
  </r>
  <r>
    <x v="4"/>
    <x v="5"/>
    <n v="360"/>
    <n v="366"/>
    <n v="4"/>
    <n v="38"/>
    <n v="61"/>
    <n v="26"/>
  </r>
  <r>
    <x v="5"/>
    <x v="3"/>
    <n v="35"/>
    <n v="123"/>
    <m/>
    <n v="4"/>
    <n v="27"/>
    <n v="5"/>
  </r>
  <r>
    <x v="5"/>
    <x v="1"/>
    <n v="720"/>
    <n v="405"/>
    <n v="14"/>
    <n v="28"/>
    <n v="158"/>
    <n v="67"/>
  </r>
  <r>
    <x v="5"/>
    <x v="6"/>
    <m/>
    <n v="23"/>
    <m/>
    <n v="1"/>
    <n v="33"/>
    <n v="9"/>
  </r>
  <r>
    <x v="6"/>
    <x v="7"/>
    <n v="260"/>
    <n v="268"/>
    <n v="1"/>
    <n v="24"/>
    <n v="50"/>
    <n v="11"/>
  </r>
  <r>
    <x v="6"/>
    <x v="8"/>
    <n v="540"/>
    <n v="417"/>
    <n v="4"/>
    <n v="31"/>
    <n v="96"/>
    <n v="29"/>
  </r>
  <r>
    <x v="7"/>
    <x v="4"/>
    <n v="649"/>
    <n v="373"/>
    <n v="10"/>
    <n v="22"/>
    <n v="88"/>
    <n v="29"/>
  </r>
  <r>
    <x v="7"/>
    <x v="9"/>
    <n v="182"/>
    <n v="316"/>
    <n v="18"/>
    <n v="18"/>
    <n v="164"/>
    <n v="56"/>
  </r>
  <r>
    <x v="8"/>
    <x v="5"/>
    <n v="501"/>
    <n v="382"/>
    <n v="3"/>
    <n v="24"/>
    <n v="78"/>
    <n v="14"/>
  </r>
  <r>
    <x v="0"/>
    <x v="3"/>
    <n v="47"/>
    <n v="159"/>
    <m/>
    <n v="9"/>
    <n v="17"/>
    <n v="20"/>
  </r>
  <r>
    <x v="0"/>
    <x v="7"/>
    <n v="179"/>
    <n v="287"/>
    <m/>
    <n v="17"/>
    <n v="41"/>
    <n v="23"/>
  </r>
  <r>
    <x v="0"/>
    <x v="6"/>
    <m/>
    <n v="2"/>
    <m/>
    <m/>
    <n v="17"/>
    <n v="1"/>
  </r>
  <r>
    <x v="1"/>
    <x v="6"/>
    <m/>
    <n v="5"/>
    <m/>
    <m/>
    <n v="12"/>
    <n v="2"/>
  </r>
  <r>
    <x v="2"/>
    <x v="6"/>
    <m/>
    <n v="3"/>
    <m/>
    <m/>
    <n v="16"/>
    <n v="1"/>
  </r>
  <r>
    <x v="9"/>
    <x v="8"/>
    <n v="605"/>
    <n v="375"/>
    <m/>
    <n v="22"/>
    <n v="70"/>
    <n v="35"/>
  </r>
  <r>
    <x v="9"/>
    <x v="10"/>
    <n v="880"/>
    <n v="494"/>
    <m/>
    <n v="27"/>
    <n v="139"/>
    <n v="62"/>
  </r>
  <r>
    <x v="3"/>
    <x v="1"/>
    <n v="749"/>
    <n v="508"/>
    <n v="6"/>
    <n v="28"/>
    <n v="132"/>
    <n v="73"/>
  </r>
  <r>
    <x v="3"/>
    <x v="9"/>
    <n v="168"/>
    <n v="264"/>
    <n v="4"/>
    <n v="30"/>
    <n v="126"/>
    <n v="39"/>
  </r>
  <r>
    <x v="3"/>
    <x v="0"/>
    <n v="9"/>
    <n v="95"/>
    <m/>
    <n v="5"/>
    <n v="89"/>
    <n v="20"/>
  </r>
  <r>
    <x v="4"/>
    <x v="10"/>
    <n v="775"/>
    <n v="421"/>
    <n v="3"/>
    <n v="22"/>
    <n v="114"/>
    <n v="53"/>
  </r>
  <r>
    <x v="10"/>
    <x v="8"/>
    <n v="529"/>
    <n v="402"/>
    <n v="8"/>
    <n v="19"/>
    <n v="80"/>
    <n v="36"/>
  </r>
  <r>
    <x v="5"/>
    <x v="11"/>
    <n v="1"/>
    <n v="4"/>
    <m/>
    <m/>
    <n v="3"/>
    <n v="1"/>
  </r>
  <r>
    <x v="6"/>
    <x v="5"/>
    <n v="498"/>
    <n v="383"/>
    <n v="6"/>
    <n v="26"/>
    <n v="69"/>
    <n v="17"/>
  </r>
  <r>
    <x v="6"/>
    <x v="4"/>
    <n v="675"/>
    <n v="390"/>
    <n v="8"/>
    <n v="24"/>
    <n v="90"/>
    <n v="32"/>
  </r>
  <r>
    <x v="7"/>
    <x v="5"/>
    <n v="493"/>
    <n v="391"/>
    <n v="3"/>
    <n v="25"/>
    <n v="73"/>
    <n v="16"/>
  </r>
  <r>
    <x v="7"/>
    <x v="0"/>
    <n v="24"/>
    <n v="127"/>
    <n v="8"/>
    <n v="7"/>
    <n v="108"/>
    <n v="23"/>
  </r>
  <r>
    <x v="7"/>
    <x v="11"/>
    <m/>
    <n v="6"/>
    <m/>
    <m/>
    <n v="6"/>
    <n v="4"/>
  </r>
  <r>
    <x v="8"/>
    <x v="10"/>
    <n v="705"/>
    <n v="305"/>
    <n v="4"/>
    <n v="17"/>
    <n v="100"/>
    <n v="23"/>
  </r>
  <r>
    <x v="8"/>
    <x v="12"/>
    <m/>
    <m/>
    <m/>
    <m/>
    <n v="1"/>
    <m/>
  </r>
  <r>
    <x v="8"/>
    <x v="2"/>
    <m/>
    <n v="5"/>
    <m/>
    <n v="1"/>
    <n v="5"/>
    <m/>
  </r>
  <r>
    <x v="11"/>
    <x v="13"/>
    <m/>
    <m/>
    <m/>
    <m/>
    <n v="15"/>
    <n v="2"/>
  </r>
  <r>
    <x v="0"/>
    <x v="4"/>
    <n v="822"/>
    <n v="510"/>
    <m/>
    <n v="35"/>
    <n v="118"/>
    <n v="65"/>
  </r>
  <r>
    <x v="1"/>
    <x v="8"/>
    <n v="667"/>
    <n v="352"/>
    <m/>
    <n v="23"/>
    <n v="73"/>
    <n v="30"/>
  </r>
  <r>
    <x v="1"/>
    <x v="9"/>
    <n v="51"/>
    <n v="181"/>
    <m/>
    <n v="34"/>
    <n v="124"/>
    <n v="36"/>
  </r>
  <r>
    <x v="2"/>
    <x v="7"/>
    <n v="144"/>
    <n v="295"/>
    <m/>
    <n v="16"/>
    <n v="41"/>
    <n v="20"/>
  </r>
  <r>
    <x v="9"/>
    <x v="1"/>
    <n v="775"/>
    <n v="499"/>
    <m/>
    <n v="33"/>
    <n v="140"/>
    <n v="80"/>
  </r>
  <r>
    <x v="4"/>
    <x v="7"/>
    <n v="246"/>
    <n v="313"/>
    <n v="3"/>
    <n v="21"/>
    <n v="51"/>
    <n v="15"/>
  </r>
  <r>
    <x v="10"/>
    <x v="10"/>
    <n v="727"/>
    <n v="383"/>
    <n v="3"/>
    <n v="20"/>
    <n v="114"/>
    <n v="44"/>
  </r>
  <r>
    <x v="5"/>
    <x v="0"/>
    <n v="22"/>
    <n v="115"/>
    <n v="3"/>
    <n v="4"/>
    <n v="111"/>
    <n v="23"/>
  </r>
  <r>
    <x v="6"/>
    <x v="3"/>
    <n v="60"/>
    <n v="125"/>
    <m/>
    <n v="1"/>
    <n v="23"/>
    <n v="4"/>
  </r>
  <r>
    <x v="6"/>
    <x v="1"/>
    <n v="598"/>
    <n v="362"/>
    <n v="12"/>
    <n v="24"/>
    <n v="150"/>
    <n v="60"/>
  </r>
  <r>
    <x v="6"/>
    <x v="6"/>
    <n v="1"/>
    <n v="23"/>
    <m/>
    <m/>
    <n v="40"/>
    <n v="8"/>
  </r>
  <r>
    <x v="8"/>
    <x v="7"/>
    <n v="253"/>
    <n v="257"/>
    <m/>
    <n v="18"/>
    <n v="43"/>
    <n v="13"/>
  </r>
  <r>
    <x v="8"/>
    <x v="4"/>
    <n v="632"/>
    <n v="387"/>
    <n v="14"/>
    <n v="20"/>
    <n v="97"/>
    <n v="30"/>
  </r>
  <r>
    <x v="0"/>
    <x v="8"/>
    <n v="668"/>
    <n v="350"/>
    <m/>
    <n v="27"/>
    <n v="94"/>
    <n v="30"/>
  </r>
  <r>
    <x v="0"/>
    <x v="9"/>
    <n v="50"/>
    <n v="202"/>
    <m/>
    <n v="31"/>
    <n v="132"/>
    <n v="33"/>
  </r>
  <r>
    <x v="0"/>
    <x v="2"/>
    <m/>
    <n v="7"/>
    <m/>
    <m/>
    <m/>
    <n v="21"/>
  </r>
  <r>
    <x v="1"/>
    <x v="5"/>
    <n v="438"/>
    <n v="335"/>
    <m/>
    <n v="15"/>
    <n v="64"/>
    <n v="27"/>
  </r>
  <r>
    <x v="1"/>
    <x v="10"/>
    <n v="978"/>
    <n v="576"/>
    <m/>
    <n v="39"/>
    <n v="144"/>
    <n v="76"/>
  </r>
  <r>
    <x v="1"/>
    <x v="11"/>
    <m/>
    <m/>
    <m/>
    <m/>
    <n v="6"/>
    <m/>
  </r>
  <r>
    <x v="2"/>
    <x v="3"/>
    <n v="51"/>
    <n v="174"/>
    <m/>
    <n v="1"/>
    <n v="17"/>
    <n v="10"/>
  </r>
  <r>
    <x v="2"/>
    <x v="4"/>
    <n v="689"/>
    <n v="392"/>
    <m/>
    <n v="20"/>
    <n v="111"/>
    <n v="35"/>
  </r>
  <r>
    <x v="9"/>
    <x v="3"/>
    <n v="24"/>
    <n v="135"/>
    <m/>
    <n v="5"/>
    <n v="14"/>
    <n v="10"/>
  </r>
  <r>
    <x v="9"/>
    <x v="4"/>
    <n v="661"/>
    <n v="359"/>
    <m/>
    <n v="21"/>
    <n v="103"/>
    <n v="36"/>
  </r>
  <r>
    <x v="9"/>
    <x v="6"/>
    <n v="1"/>
    <n v="12"/>
    <m/>
    <m/>
    <n v="32"/>
    <n v="5"/>
  </r>
  <r>
    <x v="9"/>
    <x v="11"/>
    <m/>
    <n v="1"/>
    <m/>
    <m/>
    <n v="8"/>
    <m/>
  </r>
  <r>
    <x v="4"/>
    <x v="6"/>
    <n v="1"/>
    <n v="26"/>
    <m/>
    <n v="1"/>
    <n v="36"/>
    <n v="8"/>
  </r>
  <r>
    <x v="10"/>
    <x v="3"/>
    <n v="37"/>
    <n v="134"/>
    <m/>
    <n v="6"/>
    <n v="20"/>
    <n v="13"/>
  </r>
  <r>
    <x v="10"/>
    <x v="11"/>
    <m/>
    <n v="1"/>
    <m/>
    <m/>
    <n v="2"/>
    <n v="1"/>
  </r>
  <r>
    <x v="5"/>
    <x v="8"/>
    <n v="517"/>
    <n v="408"/>
    <n v="7"/>
    <n v="32"/>
    <n v="85"/>
    <n v="32"/>
  </r>
  <r>
    <x v="6"/>
    <x v="11"/>
    <n v="1"/>
    <n v="5"/>
    <m/>
    <m/>
    <n v="4"/>
    <n v="4"/>
  </r>
  <r>
    <x v="7"/>
    <x v="8"/>
    <n v="520"/>
    <n v="425"/>
    <n v="5"/>
    <n v="32"/>
    <n v="92"/>
    <n v="27"/>
  </r>
  <r>
    <x v="8"/>
    <x v="8"/>
    <n v="532"/>
    <n v="421"/>
    <n v="3"/>
    <n v="37"/>
    <n v="95"/>
    <n v="30"/>
  </r>
  <r>
    <x v="8"/>
    <x v="6"/>
    <n v="4"/>
    <n v="31"/>
    <m/>
    <m/>
    <n v="45"/>
    <n v="14"/>
  </r>
  <r>
    <x v="11"/>
    <x v="14"/>
    <n v="1254"/>
    <n v="691"/>
    <m/>
    <n v="46"/>
    <n v="174"/>
    <n v="58"/>
  </r>
  <r>
    <x v="11"/>
    <x v="1"/>
    <n v="486"/>
    <n v="370"/>
    <m/>
    <n v="52"/>
    <n v="160"/>
    <n v="48"/>
  </r>
  <r>
    <x v="1"/>
    <x v="2"/>
    <n v="1"/>
    <n v="8"/>
    <m/>
    <m/>
    <m/>
    <n v="6"/>
  </r>
  <r>
    <x v="3"/>
    <x v="5"/>
    <n v="339"/>
    <n v="373"/>
    <n v="1"/>
    <n v="36"/>
    <n v="61"/>
    <n v="28"/>
  </r>
  <r>
    <x v="4"/>
    <x v="3"/>
    <n v="46"/>
    <n v="152"/>
    <m/>
    <n v="7"/>
    <n v="18"/>
    <n v="18"/>
  </r>
  <r>
    <x v="4"/>
    <x v="8"/>
    <n v="567"/>
    <n v="405"/>
    <n v="5"/>
    <n v="20"/>
    <n v="72"/>
    <n v="32"/>
  </r>
  <r>
    <x v="4"/>
    <x v="11"/>
    <m/>
    <m/>
    <m/>
    <m/>
    <n v="2"/>
    <m/>
  </r>
  <r>
    <x v="10"/>
    <x v="4"/>
    <n v="703"/>
    <n v="367"/>
    <n v="5"/>
    <n v="22"/>
    <n v="79"/>
    <n v="29"/>
  </r>
  <r>
    <x v="5"/>
    <x v="2"/>
    <m/>
    <n v="3"/>
    <m/>
    <m/>
    <m/>
    <m/>
  </r>
  <r>
    <x v="6"/>
    <x v="9"/>
    <n v="163"/>
    <n v="323"/>
    <n v="14"/>
    <n v="22"/>
    <n v="161"/>
    <n v="58"/>
  </r>
  <r>
    <x v="6"/>
    <x v="0"/>
    <n v="18"/>
    <n v="121"/>
    <n v="6"/>
    <n v="3"/>
    <n v="117"/>
    <n v="21"/>
  </r>
  <r>
    <x v="7"/>
    <x v="3"/>
    <n v="43"/>
    <n v="135"/>
    <m/>
    <n v="5"/>
    <n v="13"/>
    <n v="5"/>
  </r>
  <r>
    <x v="8"/>
    <x v="0"/>
    <n v="26"/>
    <n v="140"/>
    <n v="9"/>
    <n v="7"/>
    <n v="114"/>
    <n v="29"/>
  </r>
  <r>
    <x v="8"/>
    <x v="11"/>
    <m/>
    <n v="7"/>
    <m/>
    <m/>
    <n v="7"/>
    <n v="5"/>
  </r>
  <r>
    <x v="11"/>
    <x v="4"/>
    <n v="888"/>
    <n v="540"/>
    <m/>
    <n v="34"/>
    <n v="142"/>
    <n v="63"/>
  </r>
  <r>
    <x v="11"/>
    <x v="2"/>
    <m/>
    <n v="13"/>
    <m/>
    <m/>
    <m/>
    <n v="29"/>
  </r>
  <r>
    <x v="0"/>
    <x v="5"/>
    <n v="529"/>
    <n v="337"/>
    <m/>
    <n v="18"/>
    <n v="52"/>
    <n v="34"/>
  </r>
  <r>
    <x v="0"/>
    <x v="10"/>
    <n v="1006"/>
    <n v="627"/>
    <m/>
    <n v="41"/>
    <n v="149"/>
    <n v="89"/>
  </r>
  <r>
    <x v="0"/>
    <x v="1"/>
    <n v="554"/>
    <n v="398"/>
    <m/>
    <n v="48"/>
    <n v="148"/>
    <n v="53"/>
  </r>
  <r>
    <x v="1"/>
    <x v="3"/>
    <n v="38"/>
    <n v="180"/>
    <m/>
    <n v="5"/>
    <n v="20"/>
    <n v="15"/>
  </r>
  <r>
    <x v="2"/>
    <x v="5"/>
    <n v="398"/>
    <n v="337"/>
    <m/>
    <n v="13"/>
    <n v="71"/>
    <n v="26"/>
  </r>
  <r>
    <x v="2"/>
    <x v="8"/>
    <n v="661"/>
    <n v="387"/>
    <m/>
    <n v="21"/>
    <n v="73"/>
    <n v="35"/>
  </r>
  <r>
    <x v="2"/>
    <x v="9"/>
    <n v="73"/>
    <n v="178"/>
    <m/>
    <n v="25"/>
    <n v="133"/>
    <n v="35"/>
  </r>
  <r>
    <x v="9"/>
    <x v="7"/>
    <n v="149"/>
    <n v="298"/>
    <m/>
    <n v="23"/>
    <n v="35"/>
    <n v="19"/>
  </r>
  <r>
    <x v="9"/>
    <x v="9"/>
    <n v="124"/>
    <n v="237"/>
    <m/>
    <n v="29"/>
    <n v="141"/>
    <n v="31"/>
  </r>
  <r>
    <x v="3"/>
    <x v="7"/>
    <n v="214"/>
    <n v="308"/>
    <n v="1"/>
    <n v="25"/>
    <n v="40"/>
    <n v="19"/>
  </r>
  <r>
    <x v="3"/>
    <x v="8"/>
    <n v="595"/>
    <n v="383"/>
    <n v="2"/>
    <n v="24"/>
    <n v="71"/>
    <n v="29"/>
  </r>
  <r>
    <x v="3"/>
    <x v="10"/>
    <n v="828"/>
    <n v="466"/>
    <n v="2"/>
    <n v="27"/>
    <n v="134"/>
    <n v="57"/>
  </r>
  <r>
    <x v="4"/>
    <x v="1"/>
    <n v="740"/>
    <n v="495"/>
    <n v="10"/>
    <n v="27"/>
    <n v="151"/>
    <n v="72"/>
  </r>
  <r>
    <x v="10"/>
    <x v="6"/>
    <n v="1"/>
    <n v="28"/>
    <m/>
    <n v="1"/>
    <n v="38"/>
    <n v="11"/>
  </r>
  <r>
    <x v="5"/>
    <x v="5"/>
    <n v="404"/>
    <n v="360"/>
    <n v="4"/>
    <n v="26"/>
    <n v="75"/>
    <n v="15"/>
  </r>
  <r>
    <x v="5"/>
    <x v="4"/>
    <n v="714"/>
    <n v="382"/>
    <n v="5"/>
    <n v="23"/>
    <n v="95"/>
    <n v="29"/>
  </r>
  <r>
    <x v="5"/>
    <x v="9"/>
    <n v="187"/>
    <n v="326"/>
    <n v="15"/>
    <n v="24"/>
    <n v="164"/>
    <n v="49"/>
  </r>
  <r>
    <x v="7"/>
    <x v="7"/>
    <n v="239"/>
    <n v="264"/>
    <m/>
    <n v="23"/>
    <n v="45"/>
    <n v="15"/>
  </r>
  <r>
    <x v="7"/>
    <x v="10"/>
    <n v="691"/>
    <n v="314"/>
    <n v="3"/>
    <n v="14"/>
    <n v="104"/>
    <n v="27"/>
  </r>
  <r>
    <x v="7"/>
    <x v="1"/>
    <n v="579"/>
    <n v="319"/>
    <n v="8"/>
    <n v="25"/>
    <n v="145"/>
    <n v="56"/>
  </r>
  <r>
    <x v="7"/>
    <x v="6"/>
    <n v="2"/>
    <n v="29"/>
    <m/>
    <m/>
    <n v="45"/>
    <n v="11"/>
  </r>
  <r>
    <x v="7"/>
    <x v="2"/>
    <m/>
    <n v="9"/>
    <m/>
    <m/>
    <n v="3"/>
    <m/>
  </r>
  <r>
    <x v="11"/>
    <x v="15"/>
    <n v="302"/>
    <n v="438"/>
    <m/>
    <n v="12"/>
    <n v="69"/>
    <n v="32"/>
  </r>
  <r>
    <x v="11"/>
    <x v="10"/>
    <n v="1024"/>
    <n v="635"/>
    <m/>
    <n v="42"/>
    <n v="153"/>
    <n v="89"/>
  </r>
  <r>
    <x v="11"/>
    <x v="16"/>
    <n v="47"/>
    <n v="253"/>
    <m/>
    <n v="37"/>
    <n v="248"/>
    <n v="38"/>
  </r>
  <r>
    <x v="0"/>
    <x v="11"/>
    <m/>
    <m/>
    <m/>
    <m/>
    <n v="6"/>
    <m/>
  </r>
  <r>
    <x v="1"/>
    <x v="0"/>
    <n v="2"/>
    <n v="62"/>
    <m/>
    <n v="2"/>
    <n v="99"/>
    <n v="14"/>
  </r>
  <r>
    <x v="1"/>
    <x v="17"/>
    <m/>
    <m/>
    <m/>
    <m/>
    <m/>
    <n v="12"/>
  </r>
  <r>
    <x v="2"/>
    <x v="10"/>
    <n v="968"/>
    <n v="555"/>
    <m/>
    <n v="29"/>
    <n v="144"/>
    <n v="70"/>
  </r>
  <r>
    <x v="2"/>
    <x v="11"/>
    <m/>
    <m/>
    <m/>
    <m/>
    <n v="5"/>
    <n v="1"/>
  </r>
  <r>
    <x v="9"/>
    <x v="5"/>
    <n v="320"/>
    <n v="366"/>
    <m/>
    <n v="26"/>
    <n v="71"/>
    <n v="32"/>
  </r>
  <r>
    <x v="3"/>
    <x v="6"/>
    <n v="1"/>
    <n v="20"/>
    <m/>
    <m/>
    <n v="26"/>
    <n v="6"/>
  </r>
  <r>
    <x v="3"/>
    <x v="11"/>
    <m/>
    <m/>
    <m/>
    <m/>
    <n v="2"/>
    <m/>
  </r>
  <r>
    <x v="3"/>
    <x v="2"/>
    <m/>
    <n v="4"/>
    <m/>
    <m/>
    <n v="2"/>
    <m/>
  </r>
  <r>
    <x v="4"/>
    <x v="9"/>
    <n v="188"/>
    <n v="298"/>
    <n v="7"/>
    <n v="27"/>
    <n v="128"/>
    <n v="40"/>
  </r>
  <r>
    <x v="4"/>
    <x v="0"/>
    <n v="12"/>
    <n v="96"/>
    <m/>
    <n v="6"/>
    <n v="92"/>
    <n v="23"/>
  </r>
  <r>
    <x v="4"/>
    <x v="2"/>
    <m/>
    <n v="8"/>
    <m/>
    <m/>
    <n v="5"/>
    <m/>
  </r>
  <r>
    <x v="10"/>
    <x v="7"/>
    <n v="243"/>
    <n v="308"/>
    <n v="3"/>
    <n v="20"/>
    <n v="47"/>
    <n v="16"/>
  </r>
  <r>
    <x v="10"/>
    <x v="5"/>
    <n v="388"/>
    <n v="371"/>
    <n v="4"/>
    <n v="35"/>
    <n v="67"/>
    <n v="20"/>
  </r>
  <r>
    <x v="10"/>
    <x v="0"/>
    <n v="20"/>
    <n v="90"/>
    <n v="1"/>
    <n v="4"/>
    <n v="96"/>
    <n v="23"/>
  </r>
  <r>
    <x v="10"/>
    <x v="2"/>
    <m/>
    <n v="1"/>
    <m/>
    <m/>
    <n v="4"/>
    <m/>
  </r>
  <r>
    <x v="5"/>
    <x v="10"/>
    <n v="682"/>
    <n v="332"/>
    <n v="3"/>
    <n v="15"/>
    <n v="116"/>
    <n v="30"/>
  </r>
  <r>
    <x v="6"/>
    <x v="2"/>
    <m/>
    <n v="3"/>
    <m/>
    <m/>
    <m/>
    <m/>
  </r>
  <r>
    <x v="7"/>
    <x v="12"/>
    <m/>
    <m/>
    <m/>
    <m/>
    <n v="1"/>
    <m/>
  </r>
  <r>
    <x v="8"/>
    <x v="3"/>
    <n v="31"/>
    <n v="161"/>
    <m/>
    <n v="10"/>
    <n v="17"/>
    <n v="8"/>
  </r>
  <r>
    <x v="1"/>
    <x v="7"/>
    <n v="145"/>
    <n v="283"/>
    <m/>
    <n v="14"/>
    <n v="45"/>
    <n v="20"/>
  </r>
  <r>
    <x v="1"/>
    <x v="4"/>
    <n v="752"/>
    <n v="456"/>
    <m/>
    <n v="29"/>
    <n v="102"/>
    <n v="48"/>
  </r>
  <r>
    <x v="2"/>
    <x v="0"/>
    <n v="3"/>
    <n v="73"/>
    <m/>
    <n v="4"/>
    <n v="91"/>
    <n v="17"/>
  </r>
  <r>
    <x v="9"/>
    <x v="0"/>
    <n v="7"/>
    <n v="84"/>
    <m/>
    <n v="3"/>
    <n v="93"/>
    <n v="20"/>
  </r>
  <r>
    <x v="9"/>
    <x v="2"/>
    <m/>
    <n v="3"/>
    <m/>
    <m/>
    <m/>
    <n v="2"/>
  </r>
  <r>
    <x v="4"/>
    <x v="4"/>
    <n v="701"/>
    <n v="357"/>
    <n v="4"/>
    <n v="19"/>
    <n v="87"/>
    <n v="28"/>
  </r>
  <r>
    <x v="10"/>
    <x v="1"/>
    <n v="748"/>
    <n v="457"/>
    <n v="19"/>
    <n v="27"/>
    <n v="151"/>
    <n v="65"/>
  </r>
  <r>
    <x v="10"/>
    <x v="9"/>
    <n v="185"/>
    <n v="330"/>
    <n v="11"/>
    <n v="28"/>
    <n v="137"/>
    <n v="45"/>
  </r>
  <r>
    <x v="5"/>
    <x v="7"/>
    <n v="248"/>
    <n v="277"/>
    <n v="2"/>
    <n v="17"/>
    <n v="52"/>
    <n v="17"/>
  </r>
  <r>
    <x v="5"/>
    <x v="12"/>
    <m/>
    <m/>
    <m/>
    <m/>
    <n v="1"/>
    <m/>
  </r>
  <r>
    <x v="6"/>
    <x v="10"/>
    <n v="676"/>
    <n v="315"/>
    <n v="4"/>
    <n v="17"/>
    <n v="99"/>
    <n v="22"/>
  </r>
  <r>
    <x v="6"/>
    <x v="12"/>
    <m/>
    <m/>
    <m/>
    <m/>
    <n v="2"/>
    <m/>
  </r>
  <r>
    <x v="8"/>
    <x v="1"/>
    <n v="548"/>
    <n v="309"/>
    <n v="8"/>
    <n v="20"/>
    <n v="136"/>
    <n v="51"/>
  </r>
  <r>
    <x v="8"/>
    <x v="9"/>
    <n v="198"/>
    <n v="300"/>
    <n v="19"/>
    <n v="17"/>
    <n v="179"/>
    <n v="56"/>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x v="0"/>
    <n v="814"/>
    <n v="434"/>
    <m/>
    <n v="26"/>
    <n v="51"/>
  </r>
  <r>
    <x v="1"/>
    <x v="1"/>
    <n v="589"/>
    <n v="291"/>
    <n v="3"/>
    <n v="18"/>
    <n v="25"/>
  </r>
  <r>
    <x v="1"/>
    <x v="2"/>
    <n v="325"/>
    <n v="580"/>
    <n v="1"/>
    <n v="27"/>
    <n v="53"/>
  </r>
  <r>
    <x v="2"/>
    <x v="3"/>
    <n v="5"/>
    <n v="57"/>
    <n v="3"/>
    <n v="3"/>
    <n v="2"/>
  </r>
  <r>
    <x v="3"/>
    <x v="4"/>
    <n v="84"/>
    <n v="159"/>
    <n v="8"/>
    <n v="19"/>
    <n v="17"/>
  </r>
  <r>
    <x v="4"/>
    <x v="0"/>
    <n v="319"/>
    <n v="361"/>
    <n v="5"/>
    <n v="18"/>
    <n v="32"/>
  </r>
  <r>
    <x v="2"/>
    <x v="0"/>
    <n v="742"/>
    <n v="432"/>
    <n v="10"/>
    <n v="25"/>
    <n v="41"/>
  </r>
  <r>
    <x v="2"/>
    <x v="2"/>
    <n v="330"/>
    <n v="556"/>
    <n v="5"/>
    <n v="26"/>
    <n v="55"/>
  </r>
  <r>
    <x v="2"/>
    <x v="5"/>
    <n v="4"/>
    <n v="28"/>
    <m/>
    <n v="7"/>
    <n v="4"/>
  </r>
  <r>
    <x v="5"/>
    <x v="4"/>
    <n v="82"/>
    <n v="155"/>
    <n v="7"/>
    <n v="21"/>
    <n v="14"/>
  </r>
  <r>
    <x v="5"/>
    <x v="2"/>
    <n v="287"/>
    <n v="532"/>
    <n v="6"/>
    <n v="39"/>
    <n v="60"/>
  </r>
  <r>
    <x v="6"/>
    <x v="4"/>
    <n v="64"/>
    <n v="138"/>
    <n v="6"/>
    <n v="10"/>
    <n v="14"/>
  </r>
  <r>
    <x v="0"/>
    <x v="2"/>
    <n v="447"/>
    <n v="572"/>
    <m/>
    <n v="17"/>
    <n v="64"/>
  </r>
  <r>
    <x v="1"/>
    <x v="0"/>
    <n v="879"/>
    <n v="439"/>
    <n v="3"/>
    <n v="30"/>
    <n v="47"/>
  </r>
  <r>
    <x v="2"/>
    <x v="1"/>
    <n v="641"/>
    <n v="289"/>
    <n v="5"/>
    <n v="15"/>
    <n v="36"/>
  </r>
  <r>
    <x v="5"/>
    <x v="6"/>
    <n v="595"/>
    <n v="791"/>
    <n v="3"/>
    <n v="44"/>
    <n v="78"/>
  </r>
  <r>
    <x v="3"/>
    <x v="7"/>
    <n v="456"/>
    <n v="188"/>
    <n v="6"/>
    <n v="12"/>
    <n v="14"/>
  </r>
  <r>
    <x v="7"/>
    <x v="1"/>
    <n v="714"/>
    <n v="299"/>
    <n v="8"/>
    <n v="14"/>
    <n v="40"/>
  </r>
  <r>
    <x v="7"/>
    <x v="7"/>
    <n v="323"/>
    <n v="172"/>
    <n v="7"/>
    <n v="9"/>
    <n v="19"/>
  </r>
  <r>
    <x v="7"/>
    <x v="2"/>
    <n v="482"/>
    <n v="584"/>
    <n v="3"/>
    <n v="50"/>
    <n v="60"/>
  </r>
  <r>
    <x v="6"/>
    <x v="8"/>
    <n v="812"/>
    <n v="299"/>
    <n v="12"/>
    <n v="25"/>
    <n v="35"/>
  </r>
  <r>
    <x v="4"/>
    <x v="7"/>
    <n v="380"/>
    <n v="175"/>
    <n v="6"/>
    <n v="7"/>
    <n v="26"/>
  </r>
  <r>
    <x v="0"/>
    <x v="8"/>
    <n v="789"/>
    <n v="429"/>
    <m/>
    <n v="22"/>
    <n v="54"/>
  </r>
  <r>
    <x v="0"/>
    <x v="1"/>
    <n v="581"/>
    <n v="272"/>
    <m/>
    <n v="15"/>
    <n v="23"/>
  </r>
  <r>
    <x v="0"/>
    <x v="4"/>
    <n v="109"/>
    <n v="134"/>
    <m/>
    <n v="16"/>
    <n v="12"/>
  </r>
  <r>
    <x v="0"/>
    <x v="5"/>
    <n v="1"/>
    <n v="22"/>
    <m/>
    <n v="5"/>
    <n v="2"/>
  </r>
  <r>
    <x v="2"/>
    <x v="7"/>
    <n v="516"/>
    <n v="223"/>
    <n v="3"/>
    <n v="15"/>
    <n v="21"/>
  </r>
  <r>
    <x v="7"/>
    <x v="0"/>
    <n v="457"/>
    <n v="404"/>
    <n v="9"/>
    <n v="17"/>
    <n v="39"/>
  </r>
  <r>
    <x v="6"/>
    <x v="7"/>
    <n v="342"/>
    <n v="170"/>
    <n v="6"/>
    <n v="9"/>
    <n v="22"/>
  </r>
  <r>
    <x v="6"/>
    <x v="2"/>
    <n v="574"/>
    <n v="604"/>
    <n v="3"/>
    <n v="46"/>
    <n v="67"/>
  </r>
  <r>
    <x v="6"/>
    <x v="6"/>
    <n v="597"/>
    <n v="716"/>
    <n v="1"/>
    <n v="37"/>
    <n v="47"/>
  </r>
  <r>
    <x v="4"/>
    <x v="3"/>
    <n v="11"/>
    <n v="84"/>
    <n v="6"/>
    <n v="9"/>
    <n v="15"/>
  </r>
  <r>
    <x v="2"/>
    <x v="6"/>
    <n v="536"/>
    <n v="801"/>
    <n v="1"/>
    <n v="54"/>
    <n v="97"/>
  </r>
  <r>
    <x v="5"/>
    <x v="7"/>
    <n v="498"/>
    <n v="212"/>
    <n v="6"/>
    <n v="16"/>
    <n v="23"/>
  </r>
  <r>
    <x v="5"/>
    <x v="3"/>
    <n v="2"/>
    <n v="66"/>
    <n v="4"/>
    <n v="5"/>
    <n v="3"/>
  </r>
  <r>
    <x v="3"/>
    <x v="1"/>
    <n v="703"/>
    <n v="313"/>
    <n v="5"/>
    <n v="11"/>
    <n v="43"/>
  </r>
  <r>
    <x v="7"/>
    <x v="6"/>
    <n v="665"/>
    <n v="703"/>
    <n v="1"/>
    <n v="38"/>
    <n v="43"/>
  </r>
  <r>
    <x v="6"/>
    <x v="1"/>
    <n v="692"/>
    <n v="275"/>
    <n v="10"/>
    <n v="14"/>
    <n v="35"/>
  </r>
  <r>
    <x v="6"/>
    <x v="5"/>
    <n v="4"/>
    <n v="26"/>
    <n v="1"/>
    <m/>
    <n v="3"/>
  </r>
  <r>
    <x v="4"/>
    <x v="2"/>
    <n v="655"/>
    <n v="600"/>
    <n v="5"/>
    <n v="43"/>
    <n v="53"/>
  </r>
  <r>
    <x v="0"/>
    <x v="3"/>
    <n v="7"/>
    <n v="47"/>
    <m/>
    <n v="11"/>
    <n v="4"/>
  </r>
  <r>
    <x v="1"/>
    <x v="7"/>
    <n v="551"/>
    <n v="246"/>
    <n v="2"/>
    <n v="19"/>
    <n v="22"/>
  </r>
  <r>
    <x v="1"/>
    <x v="4"/>
    <n v="99"/>
    <n v="155"/>
    <n v="3"/>
    <n v="19"/>
    <n v="15"/>
  </r>
  <r>
    <x v="1"/>
    <x v="3"/>
    <n v="4"/>
    <n v="52"/>
    <n v="1"/>
    <n v="9"/>
    <n v="1"/>
  </r>
  <r>
    <x v="2"/>
    <x v="8"/>
    <n v="784"/>
    <n v="395"/>
    <n v="5"/>
    <n v="23"/>
    <n v="43"/>
  </r>
  <r>
    <x v="5"/>
    <x v="8"/>
    <n v="807"/>
    <n v="376"/>
    <n v="10"/>
    <n v="23"/>
    <n v="49"/>
  </r>
  <r>
    <x v="3"/>
    <x v="0"/>
    <n v="620"/>
    <n v="404"/>
    <n v="8"/>
    <n v="18"/>
    <n v="34"/>
  </r>
  <r>
    <x v="3"/>
    <x v="5"/>
    <n v="2"/>
    <n v="26"/>
    <m/>
    <m/>
    <n v="3"/>
  </r>
  <r>
    <x v="3"/>
    <x v="6"/>
    <n v="617"/>
    <n v="698"/>
    <n v="2"/>
    <n v="37"/>
    <n v="54"/>
  </r>
  <r>
    <x v="7"/>
    <x v="4"/>
    <n v="64"/>
    <n v="155"/>
    <n v="6"/>
    <n v="10"/>
    <n v="15"/>
  </r>
  <r>
    <x v="6"/>
    <x v="3"/>
    <n v="8"/>
    <n v="81"/>
    <n v="8"/>
    <n v="11"/>
    <n v="13"/>
  </r>
  <r>
    <x v="4"/>
    <x v="4"/>
    <n v="50"/>
    <n v="115"/>
    <n v="7"/>
    <n v="8"/>
    <n v="14"/>
  </r>
  <r>
    <x v="4"/>
    <x v="5"/>
    <n v="4"/>
    <n v="28"/>
    <n v="3"/>
    <m/>
    <n v="2"/>
  </r>
  <r>
    <x v="4"/>
    <x v="6"/>
    <n v="625"/>
    <n v="765"/>
    <n v="1"/>
    <n v="49"/>
    <n v="66"/>
  </r>
  <r>
    <x v="0"/>
    <x v="7"/>
    <n v="585"/>
    <n v="262"/>
    <m/>
    <n v="21"/>
    <n v="25"/>
  </r>
  <r>
    <x v="1"/>
    <x v="8"/>
    <n v="781"/>
    <n v="401"/>
    <n v="4"/>
    <n v="19"/>
    <n v="54"/>
  </r>
  <r>
    <x v="1"/>
    <x v="6"/>
    <n v="406"/>
    <n v="748"/>
    <n v="1"/>
    <n v="62"/>
    <n v="96"/>
  </r>
  <r>
    <x v="2"/>
    <x v="4"/>
    <n v="78"/>
    <n v="156"/>
    <n v="4"/>
    <n v="20"/>
    <n v="16"/>
  </r>
  <r>
    <x v="5"/>
    <x v="0"/>
    <n v="652"/>
    <n v="413"/>
    <n v="13"/>
    <n v="22"/>
    <n v="35"/>
  </r>
  <r>
    <x v="5"/>
    <x v="1"/>
    <n v="656"/>
    <n v="300"/>
    <n v="5"/>
    <n v="9"/>
    <n v="36"/>
  </r>
  <r>
    <x v="3"/>
    <x v="8"/>
    <n v="752"/>
    <n v="338"/>
    <n v="12"/>
    <n v="26"/>
    <n v="39"/>
  </r>
  <r>
    <x v="3"/>
    <x v="3"/>
    <n v="4"/>
    <n v="62"/>
    <n v="5"/>
    <n v="6"/>
    <n v="9"/>
  </r>
  <r>
    <x v="3"/>
    <x v="2"/>
    <n v="292"/>
    <n v="570"/>
    <n v="7"/>
    <n v="45"/>
    <n v="64"/>
  </r>
  <r>
    <x v="7"/>
    <x v="8"/>
    <n v="775"/>
    <n v="314"/>
    <n v="13"/>
    <n v="23"/>
    <n v="37"/>
  </r>
  <r>
    <x v="7"/>
    <x v="5"/>
    <n v="4"/>
    <n v="26"/>
    <m/>
    <m/>
    <n v="3"/>
  </r>
  <r>
    <x v="4"/>
    <x v="8"/>
    <n v="682"/>
    <n v="315"/>
    <n v="16"/>
    <n v="19"/>
    <n v="30"/>
  </r>
  <r>
    <x v="0"/>
    <x v="6"/>
    <n v="213"/>
    <n v="691"/>
    <m/>
    <n v="56"/>
    <n v="97"/>
  </r>
  <r>
    <x v="1"/>
    <x v="5"/>
    <n v="3"/>
    <n v="23"/>
    <m/>
    <n v="4"/>
    <n v="4"/>
  </r>
  <r>
    <x v="5"/>
    <x v="5"/>
    <n v="2"/>
    <n v="27"/>
    <m/>
    <n v="3"/>
    <n v="5"/>
  </r>
  <r>
    <x v="7"/>
    <x v="3"/>
    <n v="6"/>
    <n v="78"/>
    <n v="8"/>
    <n v="11"/>
    <n v="10"/>
  </r>
  <r>
    <x v="6"/>
    <x v="0"/>
    <n v="329"/>
    <n v="399"/>
    <n v="8"/>
    <n v="19"/>
    <n v="33"/>
  </r>
  <r>
    <x v="4"/>
    <x v="1"/>
    <n v="704"/>
    <n v="262"/>
    <n v="11"/>
    <n v="18"/>
    <n v="35"/>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n v="3"/>
    <n v="8"/>
    <n v="0"/>
    <n v="0"/>
    <n v="2"/>
    <n v="0"/>
    <n v="13"/>
  </r>
  <r>
    <x v="0"/>
    <x v="1"/>
    <n v="0"/>
    <n v="0"/>
    <n v="0"/>
    <n v="0"/>
    <n v="4"/>
    <n v="0"/>
    <n v="4"/>
  </r>
  <r>
    <x v="0"/>
    <x v="2"/>
    <n v="4"/>
    <n v="2"/>
    <n v="0"/>
    <n v="0"/>
    <n v="1"/>
    <n v="0"/>
    <n v="7"/>
  </r>
  <r>
    <x v="0"/>
    <x v="3"/>
    <n v="13"/>
    <n v="144"/>
    <n v="0"/>
    <n v="9"/>
    <n v="49"/>
    <n v="32"/>
    <n v="247"/>
  </r>
  <r>
    <x v="0"/>
    <x v="4"/>
    <n v="46"/>
    <n v="12"/>
    <n v="0"/>
    <n v="1"/>
    <n v="3"/>
    <n v="3"/>
    <n v="65"/>
  </r>
  <r>
    <x v="0"/>
    <x v="5"/>
    <n v="110"/>
    <n v="18"/>
    <n v="0"/>
    <n v="4"/>
    <n v="12"/>
    <n v="3"/>
    <n v="147"/>
  </r>
  <r>
    <x v="0"/>
    <x v="6"/>
    <n v="0"/>
    <n v="0"/>
    <n v="0"/>
    <n v="0"/>
    <n v="12"/>
    <n v="0"/>
    <n v="12"/>
  </r>
  <r>
    <x v="0"/>
    <x v="7"/>
    <n v="8"/>
    <n v="4"/>
    <n v="0"/>
    <n v="0"/>
    <n v="1"/>
    <n v="0"/>
    <n v="13"/>
  </r>
  <r>
    <x v="0"/>
    <x v="8"/>
    <n v="2"/>
    <n v="0"/>
    <n v="0"/>
    <n v="0"/>
    <n v="0"/>
    <n v="0"/>
    <n v="2"/>
  </r>
  <r>
    <x v="0"/>
    <x v="9"/>
    <n v="0"/>
    <n v="0"/>
    <n v="0"/>
    <n v="0"/>
    <n v="47"/>
    <n v="0"/>
    <n v="47"/>
  </r>
  <r>
    <x v="0"/>
    <x v="10"/>
    <n v="0"/>
    <n v="0"/>
    <n v="0"/>
    <n v="0"/>
    <n v="17"/>
    <n v="0"/>
    <n v="17"/>
  </r>
  <r>
    <x v="1"/>
    <x v="0"/>
    <n v="4"/>
    <n v="2"/>
    <n v="0"/>
    <n v="0"/>
    <n v="1"/>
    <n v="0"/>
    <n v="7"/>
  </r>
  <r>
    <x v="1"/>
    <x v="1"/>
    <n v="0"/>
    <n v="0"/>
    <n v="0"/>
    <n v="0"/>
    <n v="7"/>
    <n v="0"/>
    <n v="7"/>
  </r>
  <r>
    <x v="1"/>
    <x v="2"/>
    <n v="2"/>
    <n v="4"/>
    <n v="0"/>
    <n v="1"/>
    <n v="0"/>
    <n v="2"/>
    <n v="9"/>
  </r>
  <r>
    <x v="1"/>
    <x v="3"/>
    <n v="21"/>
    <n v="163"/>
    <n v="0"/>
    <n v="5"/>
    <n v="29"/>
    <n v="18"/>
    <n v="236"/>
  </r>
  <r>
    <x v="1"/>
    <x v="4"/>
    <n v="16"/>
    <n v="3"/>
    <n v="0"/>
    <n v="0"/>
    <n v="1"/>
    <n v="1"/>
    <n v="21"/>
  </r>
  <r>
    <x v="1"/>
    <x v="5"/>
    <n v="152"/>
    <n v="41"/>
    <n v="0"/>
    <n v="6"/>
    <n v="14"/>
    <n v="4"/>
    <n v="217"/>
  </r>
  <r>
    <x v="1"/>
    <x v="7"/>
    <n v="7"/>
    <n v="5"/>
    <n v="0"/>
    <n v="1"/>
    <n v="1"/>
    <n v="0"/>
    <n v="14"/>
  </r>
  <r>
    <x v="2"/>
    <x v="0"/>
    <n v="3"/>
    <n v="6"/>
    <n v="0"/>
    <n v="2"/>
    <n v="1"/>
    <n v="0"/>
    <n v="12"/>
  </r>
  <r>
    <x v="2"/>
    <x v="1"/>
    <n v="0"/>
    <n v="0"/>
    <n v="0"/>
    <n v="2"/>
    <n v="7"/>
    <n v="0"/>
    <n v="9"/>
  </r>
  <r>
    <x v="2"/>
    <x v="2"/>
    <n v="2"/>
    <n v="3"/>
    <n v="0"/>
    <n v="0"/>
    <n v="2"/>
    <n v="0"/>
    <n v="7"/>
  </r>
  <r>
    <x v="2"/>
    <x v="3"/>
    <n v="8"/>
    <n v="130"/>
    <n v="0"/>
    <n v="0"/>
    <n v="20"/>
    <n v="17"/>
    <n v="175"/>
  </r>
  <r>
    <x v="2"/>
    <x v="5"/>
    <n v="175"/>
    <n v="44"/>
    <n v="0"/>
    <n v="5"/>
    <n v="13"/>
    <n v="2"/>
    <n v="239"/>
  </r>
  <r>
    <x v="2"/>
    <x v="6"/>
    <n v="0"/>
    <n v="1"/>
    <n v="0"/>
    <n v="0"/>
    <n v="0"/>
    <n v="1"/>
    <n v="2"/>
  </r>
  <r>
    <x v="2"/>
    <x v="7"/>
    <n v="5"/>
    <n v="5"/>
    <n v="0"/>
    <n v="1"/>
    <n v="1"/>
    <n v="0"/>
    <n v="12"/>
  </r>
  <r>
    <x v="3"/>
    <x v="0"/>
    <n v="1"/>
    <n v="9"/>
    <n v="0"/>
    <n v="0"/>
    <n v="1"/>
    <n v="0"/>
    <n v="11"/>
  </r>
  <r>
    <x v="3"/>
    <x v="1"/>
    <n v="1"/>
    <n v="0"/>
    <n v="0"/>
    <n v="1"/>
    <n v="12"/>
    <n v="0"/>
    <n v="14"/>
  </r>
  <r>
    <x v="3"/>
    <x v="2"/>
    <n v="2"/>
    <n v="2"/>
    <n v="0"/>
    <n v="0"/>
    <n v="2"/>
    <n v="0"/>
    <n v="6"/>
  </r>
  <r>
    <x v="3"/>
    <x v="3"/>
    <n v="19"/>
    <n v="174"/>
    <n v="0"/>
    <n v="10"/>
    <n v="42"/>
    <n v="26"/>
    <n v="271"/>
  </r>
  <r>
    <x v="3"/>
    <x v="5"/>
    <n v="173"/>
    <n v="61"/>
    <n v="0"/>
    <n v="8"/>
    <n v="15"/>
    <n v="6"/>
    <n v="263"/>
  </r>
  <r>
    <x v="3"/>
    <x v="7"/>
    <n v="3"/>
    <n v="2"/>
    <n v="0"/>
    <n v="1"/>
    <n v="4"/>
    <n v="0"/>
    <n v="10"/>
  </r>
  <r>
    <x v="3"/>
    <x v="8"/>
    <n v="2"/>
    <n v="0"/>
    <n v="0"/>
    <n v="0"/>
    <n v="0"/>
    <n v="0"/>
    <n v="2"/>
  </r>
  <r>
    <x v="4"/>
    <x v="0"/>
    <n v="2"/>
    <n v="5"/>
    <n v="0"/>
    <n v="1"/>
    <n v="3"/>
    <n v="0"/>
    <n v="11"/>
  </r>
  <r>
    <x v="4"/>
    <x v="1"/>
    <n v="0"/>
    <n v="0"/>
    <n v="0"/>
    <n v="1"/>
    <n v="3"/>
    <n v="0"/>
    <n v="4"/>
  </r>
  <r>
    <x v="4"/>
    <x v="2"/>
    <n v="3"/>
    <n v="3"/>
    <n v="0"/>
    <n v="1"/>
    <n v="2"/>
    <n v="0"/>
    <n v="9"/>
  </r>
  <r>
    <x v="4"/>
    <x v="3"/>
    <n v="39"/>
    <n v="145"/>
    <n v="2"/>
    <n v="18"/>
    <n v="67"/>
    <n v="25"/>
    <n v="296"/>
  </r>
  <r>
    <x v="4"/>
    <x v="5"/>
    <n v="289"/>
    <n v="56"/>
    <n v="0"/>
    <n v="7"/>
    <n v="17"/>
    <n v="3"/>
    <n v="372"/>
  </r>
  <r>
    <x v="4"/>
    <x v="6"/>
    <n v="0"/>
    <n v="0"/>
    <n v="0"/>
    <n v="0"/>
    <n v="1"/>
    <n v="0"/>
    <n v="1"/>
  </r>
  <r>
    <x v="4"/>
    <x v="7"/>
    <n v="2"/>
    <n v="7"/>
    <n v="0"/>
    <n v="0"/>
    <n v="0"/>
    <n v="0"/>
    <n v="9"/>
  </r>
  <r>
    <x v="4"/>
    <x v="8"/>
    <n v="1"/>
    <n v="0"/>
    <n v="0"/>
    <n v="0"/>
    <n v="0"/>
    <n v="0"/>
    <n v="1"/>
  </r>
  <r>
    <x v="5"/>
    <x v="0"/>
    <n v="4"/>
    <n v="5"/>
    <n v="1"/>
    <n v="0"/>
    <n v="1"/>
    <n v="0"/>
    <n v="11"/>
  </r>
  <r>
    <x v="5"/>
    <x v="1"/>
    <n v="0"/>
    <n v="0"/>
    <n v="0"/>
    <n v="0"/>
    <n v="16"/>
    <n v="0"/>
    <n v="16"/>
  </r>
  <r>
    <x v="5"/>
    <x v="2"/>
    <n v="3"/>
    <n v="2"/>
    <n v="0"/>
    <n v="0"/>
    <n v="0"/>
    <n v="0"/>
    <n v="5"/>
  </r>
  <r>
    <x v="5"/>
    <x v="11"/>
    <n v="0"/>
    <n v="0"/>
    <n v="0"/>
    <n v="0"/>
    <n v="0"/>
    <n v="2"/>
    <n v="2"/>
  </r>
  <r>
    <x v="5"/>
    <x v="3"/>
    <n v="28"/>
    <n v="175"/>
    <n v="1"/>
    <n v="13"/>
    <n v="39"/>
    <n v="13"/>
    <n v="269"/>
  </r>
  <r>
    <x v="5"/>
    <x v="4"/>
    <n v="0"/>
    <n v="1"/>
    <n v="0"/>
    <n v="0"/>
    <n v="0"/>
    <n v="0"/>
    <n v="1"/>
  </r>
  <r>
    <x v="5"/>
    <x v="5"/>
    <n v="117"/>
    <n v="57"/>
    <n v="0"/>
    <n v="1"/>
    <n v="20"/>
    <n v="2"/>
    <n v="197"/>
  </r>
  <r>
    <x v="5"/>
    <x v="7"/>
    <n v="4"/>
    <n v="3"/>
    <n v="0"/>
    <n v="0"/>
    <n v="0"/>
    <n v="0"/>
    <n v="7"/>
  </r>
  <r>
    <x v="5"/>
    <x v="8"/>
    <n v="2"/>
    <n v="0"/>
    <n v="0"/>
    <n v="0"/>
    <n v="0"/>
    <n v="0"/>
    <n v="2"/>
  </r>
  <r>
    <x v="6"/>
    <x v="0"/>
    <n v="6"/>
    <n v="2"/>
    <n v="0"/>
    <n v="1"/>
    <n v="2"/>
    <n v="0"/>
    <n v="11"/>
  </r>
  <r>
    <x v="6"/>
    <x v="1"/>
    <n v="0"/>
    <n v="1"/>
    <n v="0"/>
    <n v="0"/>
    <n v="8"/>
    <n v="0"/>
    <n v="9"/>
  </r>
  <r>
    <x v="6"/>
    <x v="2"/>
    <n v="2"/>
    <n v="2"/>
    <n v="0"/>
    <n v="0"/>
    <n v="0"/>
    <n v="0"/>
    <n v="4"/>
  </r>
  <r>
    <x v="6"/>
    <x v="3"/>
    <n v="37"/>
    <n v="154"/>
    <n v="1"/>
    <n v="7"/>
    <n v="31"/>
    <n v="15"/>
    <n v="245"/>
  </r>
  <r>
    <x v="6"/>
    <x v="4"/>
    <n v="1"/>
    <n v="0"/>
    <n v="0"/>
    <n v="0"/>
    <n v="0"/>
    <n v="0"/>
    <n v="1"/>
  </r>
  <r>
    <x v="6"/>
    <x v="5"/>
    <n v="132"/>
    <n v="62"/>
    <n v="0"/>
    <n v="7"/>
    <n v="22"/>
    <n v="3"/>
    <n v="226"/>
  </r>
  <r>
    <x v="6"/>
    <x v="7"/>
    <n v="1"/>
    <n v="4"/>
    <n v="1"/>
    <n v="0"/>
    <n v="1"/>
    <n v="0"/>
    <n v="7"/>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x v="0"/>
    <n v="4"/>
    <n v="33"/>
    <n v="80"/>
    <n v="147"/>
    <n v="0"/>
    <n v="0"/>
    <n v="0"/>
  </r>
  <r>
    <x v="1"/>
    <x v="0"/>
    <n v="6"/>
    <n v="31"/>
    <n v="80"/>
    <n v="153"/>
    <n v="0"/>
    <n v="0"/>
    <n v="0"/>
  </r>
  <r>
    <x v="2"/>
    <x v="0"/>
    <n v="5"/>
    <n v="35"/>
    <n v="79"/>
    <n v="152"/>
    <n v="0"/>
    <n v="0"/>
    <n v="0"/>
  </r>
  <r>
    <x v="3"/>
    <x v="0"/>
    <n v="5"/>
    <n v="35"/>
    <n v="76"/>
    <n v="157"/>
    <n v="0"/>
    <n v="0"/>
    <n v="0"/>
  </r>
  <r>
    <x v="4"/>
    <x v="0"/>
    <n v="5"/>
    <n v="31"/>
    <n v="78"/>
    <n v="148"/>
    <n v="0"/>
    <n v="0"/>
    <n v="0"/>
  </r>
  <r>
    <x v="5"/>
    <x v="0"/>
    <n v="5"/>
    <n v="31"/>
    <n v="71"/>
    <n v="156"/>
    <n v="0"/>
    <n v="0"/>
    <n v="0"/>
  </r>
  <r>
    <x v="6"/>
    <x v="0"/>
    <n v="5"/>
    <n v="30"/>
    <n v="72"/>
    <n v="160"/>
    <n v="0"/>
    <n v="0"/>
    <n v="0"/>
  </r>
  <r>
    <x v="0"/>
    <x v="1"/>
    <n v="0"/>
    <n v="0"/>
    <n v="0"/>
    <n v="0"/>
    <n v="234"/>
    <n v="95"/>
    <n v="29"/>
  </r>
  <r>
    <x v="1"/>
    <x v="1"/>
    <n v="0"/>
    <n v="0"/>
    <n v="0"/>
    <n v="0"/>
    <n v="232"/>
    <n v="91"/>
    <n v="28"/>
  </r>
  <r>
    <x v="2"/>
    <x v="1"/>
    <n v="0"/>
    <n v="0"/>
    <n v="0"/>
    <n v="0"/>
    <n v="231"/>
    <n v="91"/>
    <n v="26"/>
  </r>
  <r>
    <x v="3"/>
    <x v="1"/>
    <n v="0"/>
    <n v="0"/>
    <n v="0"/>
    <n v="0"/>
    <n v="234"/>
    <n v="88"/>
    <n v="27"/>
  </r>
  <r>
    <x v="4"/>
    <x v="1"/>
    <n v="0"/>
    <n v="0"/>
    <n v="0"/>
    <n v="0"/>
    <n v="225"/>
    <n v="81"/>
    <n v="21"/>
  </r>
  <r>
    <x v="5"/>
    <x v="1"/>
    <n v="0"/>
    <n v="0"/>
    <n v="0"/>
    <n v="0"/>
    <n v="232"/>
    <n v="82"/>
    <n v="21"/>
  </r>
  <r>
    <x v="6"/>
    <x v="1"/>
    <n v="0"/>
    <n v="0"/>
    <n v="0"/>
    <n v="0"/>
    <n v="236"/>
    <n v="73"/>
    <n v="23"/>
  </r>
  <r>
    <x v="0"/>
    <x v="2"/>
    <n v="0"/>
    <n v="0"/>
    <n v="0"/>
    <n v="0"/>
    <n v="377"/>
    <n v="592"/>
    <n v="1986"/>
  </r>
  <r>
    <x v="1"/>
    <x v="2"/>
    <n v="0"/>
    <n v="0"/>
    <n v="0"/>
    <n v="0"/>
    <n v="376"/>
    <n v="597"/>
    <n v="1993"/>
  </r>
  <r>
    <x v="2"/>
    <x v="2"/>
    <n v="0"/>
    <n v="0"/>
    <n v="0"/>
    <n v="0"/>
    <n v="372"/>
    <n v="596"/>
    <n v="1935"/>
  </r>
  <r>
    <x v="3"/>
    <x v="2"/>
    <n v="0"/>
    <n v="0"/>
    <n v="0"/>
    <n v="0"/>
    <n v="373"/>
    <n v="572"/>
    <n v="1898"/>
  </r>
  <r>
    <x v="4"/>
    <x v="2"/>
    <n v="0"/>
    <n v="0"/>
    <n v="0"/>
    <n v="0"/>
    <n v="376"/>
    <n v="574"/>
    <n v="1848"/>
  </r>
  <r>
    <x v="5"/>
    <x v="2"/>
    <n v="0"/>
    <n v="0"/>
    <n v="0"/>
    <n v="0"/>
    <n v="375"/>
    <n v="558"/>
    <n v="1890"/>
  </r>
  <r>
    <x v="6"/>
    <x v="2"/>
    <n v="0"/>
    <n v="0"/>
    <n v="0"/>
    <n v="0"/>
    <n v="369"/>
    <n v="549"/>
    <n v="1844"/>
  </r>
  <r>
    <x v="0"/>
    <x v="3"/>
    <n v="0"/>
    <n v="0"/>
    <n v="0"/>
    <n v="0"/>
    <n v="0"/>
    <n v="0"/>
    <n v="60"/>
  </r>
  <r>
    <x v="1"/>
    <x v="3"/>
    <n v="0"/>
    <n v="0"/>
    <n v="0"/>
    <n v="0"/>
    <n v="0"/>
    <n v="0"/>
    <n v="49"/>
  </r>
  <r>
    <x v="2"/>
    <x v="3"/>
    <n v="0"/>
    <n v="0"/>
    <n v="0"/>
    <n v="0"/>
    <n v="0"/>
    <n v="0"/>
    <n v="59"/>
  </r>
  <r>
    <x v="3"/>
    <x v="3"/>
    <n v="0"/>
    <n v="0"/>
    <n v="0"/>
    <n v="0"/>
    <n v="0"/>
    <n v="0"/>
    <n v="65"/>
  </r>
  <r>
    <x v="4"/>
    <x v="3"/>
    <n v="0"/>
    <n v="0"/>
    <n v="0"/>
    <n v="0"/>
    <n v="0"/>
    <n v="0"/>
    <n v="103"/>
  </r>
  <r>
    <x v="5"/>
    <x v="3"/>
    <n v="0"/>
    <n v="0"/>
    <n v="0"/>
    <n v="0"/>
    <n v="0"/>
    <n v="0"/>
    <n v="1"/>
  </r>
  <r>
    <x v="6"/>
    <x v="3"/>
    <n v="0"/>
    <n v="0"/>
    <n v="0"/>
    <n v="0"/>
    <n v="0"/>
    <n v="0"/>
    <n v="69"/>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2.7800000000000002E-2"/>
    <m/>
    <m/>
  </r>
  <r>
    <x v="1"/>
    <n v="2.63E-2"/>
    <m/>
    <m/>
  </r>
  <r>
    <x v="2"/>
    <n v="2.8399999999999998E-2"/>
    <n v="7.2999999999999995E-2"/>
    <m/>
  </r>
  <r>
    <x v="3"/>
    <n v="2.7900000000000001E-2"/>
    <n v="7.2900000000000006E-2"/>
    <m/>
  </r>
  <r>
    <x v="4"/>
    <n v="2.7300000000000001E-2"/>
    <n v="7.3700000000000002E-2"/>
    <n v="0.1079"/>
  </r>
  <r>
    <x v="5"/>
    <n v="2.6699999999999998E-2"/>
    <n v="7.17E-2"/>
    <n v="0.10869999999999999"/>
  </r>
  <r>
    <x v="6"/>
    <n v="2.6499999999999999E-2"/>
    <n v="7.0499999999999993E-2"/>
    <n v="0.1099"/>
  </r>
  <r>
    <x v="7"/>
    <n v="7.7000000000000002E-3"/>
    <n v="5.45E-2"/>
    <n v="9.4600000000000004E-2"/>
  </r>
  <r>
    <x v="8"/>
    <n v="1.6800000000000002E-2"/>
    <n v="4.6399999999999997E-2"/>
    <n v="8.6699999999999999E-2"/>
  </r>
  <r>
    <x v="9"/>
    <n v="1.4499999999999999E-2"/>
    <n v="3.4799999999999998E-2"/>
    <n v="7.6499999999999999E-2"/>
  </r>
  <r>
    <x v="10"/>
    <n v="1.38E-2"/>
    <n v="3.9699999999999999E-2"/>
    <n v="6.6400000000000001E-2"/>
  </r>
  <r>
    <x v="11"/>
    <n v="1.2800000000000001E-2"/>
    <n v="3.6600000000000001E-2"/>
    <n v="5.4800000000000001E-2"/>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7849"/>
    <n v="15907"/>
    <n v="12769"/>
    <n v="10233"/>
    <n v="8711"/>
    <x v="0"/>
    <n v="65469"/>
  </r>
  <r>
    <x v="1"/>
    <n v="18934"/>
    <n v="17394"/>
    <n v="14102"/>
    <n v="11770"/>
    <n v="9285"/>
    <x v="0"/>
    <n v="71485"/>
  </r>
  <r>
    <x v="2"/>
    <n v="17677"/>
    <n v="16791"/>
    <n v="14119"/>
    <n v="12424"/>
    <n v="9629"/>
    <x v="0"/>
    <n v="70640"/>
  </r>
  <r>
    <x v="3"/>
    <n v="18491"/>
    <n v="16335"/>
    <n v="13734"/>
    <n v="11938"/>
    <n v="9223"/>
    <x v="0"/>
    <n v="69721"/>
  </r>
  <r>
    <x v="4"/>
    <n v="19469"/>
    <n v="16459"/>
    <n v="13400"/>
    <n v="10896"/>
    <n v="8859"/>
    <x v="0"/>
    <n v="69083"/>
  </r>
  <r>
    <x v="5"/>
    <n v="19651"/>
    <n v="16030"/>
    <n v="13327"/>
    <n v="11303"/>
    <n v="8721"/>
    <x v="0"/>
    <n v="69032"/>
  </r>
  <r>
    <x v="6"/>
    <n v="5590"/>
    <n v="4810"/>
    <n v="3757"/>
    <n v="3261"/>
    <n v="2543"/>
    <x v="0"/>
    <n v="19961"/>
  </r>
  <r>
    <x v="7"/>
    <n v="10754"/>
    <n v="10456"/>
    <n v="8762"/>
    <n v="7730"/>
    <n v="6358"/>
    <x v="0"/>
    <n v="44060"/>
  </r>
  <r>
    <x v="8"/>
    <n v="10425"/>
    <n v="9677"/>
    <n v="7384"/>
    <n v="6176"/>
    <n v="4767"/>
    <x v="0"/>
    <n v="38429"/>
  </r>
  <r>
    <x v="9"/>
    <n v="9744"/>
    <n v="9303"/>
    <n v="6946"/>
    <n v="5766"/>
    <n v="4572"/>
    <x v="0"/>
    <n v="36331"/>
  </r>
  <r>
    <x v="10"/>
    <n v="9497"/>
    <n v="8242"/>
    <n v="5881"/>
    <n v="4988"/>
    <n v="4172"/>
    <x v="0"/>
    <n v="32780"/>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9"/>
    <n v="1.8"/>
    <n v="1.4"/>
    <n v="1.2"/>
    <n v="1"/>
    <n v="1.5"/>
  </r>
  <r>
    <x v="1"/>
    <n v="3.4"/>
    <n v="3.2"/>
    <n v="2.6"/>
    <n v="2.2000000000000002"/>
    <n v="1.9"/>
    <n v="2.7"/>
  </r>
  <r>
    <x v="2"/>
    <n v="3.5"/>
    <n v="3.2"/>
    <n v="2.8"/>
    <n v="2.4"/>
    <n v="2"/>
    <n v="2.8"/>
  </r>
  <r>
    <x v="3"/>
    <n v="3.7"/>
    <n v="3.1"/>
    <n v="2.6"/>
    <n v="2.2999999999999998"/>
    <n v="1.9"/>
    <n v="2.7"/>
  </r>
  <r>
    <x v="4"/>
    <n v="3.6"/>
    <n v="3.4"/>
    <n v="2.9"/>
    <n v="2.5"/>
    <n v="2"/>
    <n v="2.9"/>
  </r>
  <r>
    <x v="5"/>
    <n v="2"/>
    <n v="2"/>
    <n v="1.7"/>
    <n v="1.5"/>
    <n v="1.3"/>
    <n v="1.7"/>
  </r>
  <r>
    <x v="6"/>
    <n v="3.3"/>
    <n v="3.3"/>
    <n v="2.9"/>
    <n v="2.6"/>
    <n v="2.1"/>
    <n v="2.9"/>
  </r>
  <r>
    <x v="7"/>
    <n v="3.6"/>
    <n v="3.2"/>
    <n v="2.7"/>
    <n v="2.2000000000000002"/>
    <n v="1.9"/>
    <n v="2.8"/>
  </r>
  <r>
    <x v="8"/>
    <n v="1"/>
    <n v="0.9"/>
    <n v="0.7"/>
    <n v="0.6"/>
    <n v="0.5"/>
    <n v="0.8"/>
  </r>
  <r>
    <x v="9"/>
    <n v="1.8"/>
    <n v="1.8"/>
    <n v="1.3"/>
    <n v="1.1000000000000001"/>
    <n v="1"/>
    <n v="1.4"/>
  </r>
  <r>
    <x v="10"/>
    <n v="1.7"/>
    <n v="1.6"/>
    <n v="1.1000000000000001"/>
    <n v="0.9"/>
    <n v="0.9"/>
    <n v="1.2"/>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3528.43"/>
    <n v="2375.48"/>
    <n v="53"/>
    <n v="170.46"/>
    <n v="862.45999999999992"/>
  </r>
  <r>
    <x v="1"/>
    <n v="3635.9300000000003"/>
    <n v="2583.98"/>
    <n v="18"/>
    <n v="202.32999999999998"/>
    <n v="745.56000000000006"/>
  </r>
  <r>
    <x v="2"/>
    <n v="4001"/>
    <n v="2665"/>
    <m/>
    <n v="213"/>
    <n v="811"/>
  </r>
  <r>
    <x v="3"/>
    <n v="4151"/>
    <n v="2787"/>
    <m/>
    <n v="224"/>
    <n v="927"/>
  </r>
  <r>
    <x v="4"/>
    <n v="3644"/>
    <n v="2546"/>
    <m/>
    <n v="160"/>
    <n v="745"/>
  </r>
  <r>
    <x v="5"/>
    <n v="3427.08"/>
    <n v="2293.9200000000005"/>
    <n v="57"/>
    <n v="167.69"/>
    <n v="853.58999999999992"/>
  </r>
  <r>
    <x v="6"/>
    <n v="3690"/>
    <n v="2527"/>
    <m/>
    <n v="195"/>
    <n v="719"/>
  </r>
  <r>
    <x v="7"/>
    <n v="3633.93"/>
    <n v="2551.73"/>
    <n v="36"/>
    <n v="183.82999999999998"/>
    <n v="764.4"/>
  </r>
  <r>
    <x v="8"/>
    <n v="3487.43"/>
    <n v="2333.12"/>
    <n v="55"/>
    <n v="168.06"/>
    <n v="850.35"/>
  </r>
  <r>
    <x v="9"/>
    <n v="4159"/>
    <n v="2813"/>
    <m/>
    <n v="225"/>
    <n v="961"/>
  </r>
  <r>
    <x v="10"/>
    <n v="3856"/>
    <n v="2669"/>
    <m/>
    <n v="221"/>
    <n v="744"/>
  </r>
  <r>
    <x v="11"/>
    <n v="3544"/>
    <n v="2545"/>
    <m/>
    <n v="184"/>
    <n v="759"/>
  </r>
  <r>
    <x v="12"/>
    <n v="3578.43"/>
    <n v="2482.48"/>
    <n v="54"/>
    <n v="176.06"/>
    <n v="786.29"/>
  </r>
  <r>
    <x v="13"/>
    <n v="3419.08"/>
    <n v="2289.77"/>
    <n v="55"/>
    <n v="166.21"/>
    <n v="829.4"/>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x v="0"/>
    <x v="0"/>
    <n v="3"/>
    <m/>
    <m/>
    <m/>
    <n v="1"/>
    <n v="4"/>
  </r>
  <r>
    <x v="0"/>
    <x v="1"/>
    <m/>
    <n v="1"/>
    <m/>
    <m/>
    <n v="23"/>
    <n v="24"/>
  </r>
  <r>
    <x v="0"/>
    <x v="2"/>
    <m/>
    <n v="1"/>
    <m/>
    <m/>
    <n v="5"/>
    <n v="6"/>
  </r>
  <r>
    <x v="0"/>
    <x v="3"/>
    <m/>
    <n v="2"/>
    <m/>
    <n v="25"/>
    <n v="12"/>
    <n v="39"/>
  </r>
  <r>
    <x v="0"/>
    <x v="4"/>
    <n v="7"/>
    <m/>
    <m/>
    <m/>
    <n v="1"/>
    <n v="8"/>
  </r>
  <r>
    <x v="0"/>
    <x v="5"/>
    <m/>
    <n v="1"/>
    <m/>
    <m/>
    <n v="1"/>
    <n v="2"/>
  </r>
  <r>
    <x v="0"/>
    <x v="6"/>
    <m/>
    <n v="1"/>
    <m/>
    <n v="1"/>
    <n v="15"/>
    <n v="17"/>
  </r>
  <r>
    <x v="0"/>
    <x v="7"/>
    <n v="3"/>
    <n v="1"/>
    <m/>
    <m/>
    <m/>
    <n v="4"/>
  </r>
  <r>
    <x v="0"/>
    <x v="8"/>
    <n v="1"/>
    <m/>
    <m/>
    <m/>
    <n v="7"/>
    <n v="8"/>
  </r>
  <r>
    <x v="0"/>
    <x v="9"/>
    <n v="3"/>
    <m/>
    <m/>
    <m/>
    <m/>
    <n v="3"/>
  </r>
  <r>
    <x v="0"/>
    <x v="10"/>
    <n v="1"/>
    <m/>
    <m/>
    <m/>
    <n v="5"/>
    <n v="6"/>
  </r>
  <r>
    <x v="0"/>
    <x v="11"/>
    <n v="2"/>
    <m/>
    <m/>
    <m/>
    <m/>
    <n v="2"/>
  </r>
  <r>
    <x v="0"/>
    <x v="12"/>
    <m/>
    <n v="3"/>
    <m/>
    <m/>
    <n v="2"/>
    <n v="5"/>
  </r>
  <r>
    <x v="0"/>
    <x v="13"/>
    <n v="5"/>
    <m/>
    <m/>
    <m/>
    <n v="8"/>
    <n v="13"/>
  </r>
  <r>
    <x v="0"/>
    <x v="14"/>
    <n v="11"/>
    <m/>
    <m/>
    <m/>
    <m/>
    <n v="11"/>
  </r>
  <r>
    <x v="0"/>
    <x v="15"/>
    <m/>
    <n v="1"/>
    <m/>
    <n v="9"/>
    <n v="51"/>
    <n v="61"/>
  </r>
  <r>
    <x v="0"/>
    <x v="16"/>
    <m/>
    <n v="2"/>
    <m/>
    <m/>
    <n v="1"/>
    <n v="3"/>
  </r>
  <r>
    <x v="0"/>
    <x v="17"/>
    <n v="1"/>
    <m/>
    <m/>
    <m/>
    <n v="1"/>
    <n v="2"/>
  </r>
  <r>
    <x v="0"/>
    <x v="18"/>
    <m/>
    <n v="1"/>
    <m/>
    <n v="1"/>
    <n v="10"/>
    <n v="12"/>
  </r>
  <r>
    <x v="0"/>
    <x v="19"/>
    <m/>
    <m/>
    <m/>
    <m/>
    <n v="14"/>
    <n v="14"/>
  </r>
  <r>
    <x v="0"/>
    <x v="20"/>
    <n v="1"/>
    <n v="2"/>
    <m/>
    <n v="3"/>
    <n v="8"/>
    <n v="14"/>
  </r>
  <r>
    <x v="0"/>
    <x v="21"/>
    <n v="4"/>
    <m/>
    <m/>
    <m/>
    <n v="3"/>
    <n v="7"/>
  </r>
  <r>
    <x v="0"/>
    <x v="22"/>
    <m/>
    <m/>
    <m/>
    <m/>
    <n v="12"/>
    <n v="12"/>
  </r>
  <r>
    <x v="0"/>
    <x v="23"/>
    <n v="1"/>
    <m/>
    <m/>
    <n v="3"/>
    <n v="10"/>
    <n v="14"/>
  </r>
  <r>
    <x v="0"/>
    <x v="24"/>
    <n v="2"/>
    <n v="1"/>
    <m/>
    <m/>
    <m/>
    <n v="3"/>
  </r>
  <r>
    <x v="0"/>
    <x v="25"/>
    <m/>
    <n v="2"/>
    <m/>
    <m/>
    <n v="11"/>
    <n v="13"/>
  </r>
  <r>
    <x v="0"/>
    <x v="26"/>
    <m/>
    <m/>
    <m/>
    <m/>
    <n v="14"/>
    <n v="14"/>
  </r>
  <r>
    <x v="0"/>
    <x v="27"/>
    <m/>
    <n v="1"/>
    <m/>
    <m/>
    <n v="4"/>
    <n v="5"/>
  </r>
  <r>
    <x v="0"/>
    <x v="28"/>
    <n v="3"/>
    <n v="1"/>
    <m/>
    <n v="1"/>
    <n v="7"/>
    <n v="12"/>
  </r>
  <r>
    <x v="0"/>
    <x v="29"/>
    <n v="1"/>
    <m/>
    <m/>
    <m/>
    <n v="9"/>
    <n v="10"/>
  </r>
  <r>
    <x v="0"/>
    <x v="30"/>
    <n v="1"/>
    <n v="1"/>
    <m/>
    <m/>
    <n v="1"/>
    <n v="3"/>
  </r>
  <r>
    <x v="0"/>
    <x v="31"/>
    <m/>
    <n v="1"/>
    <n v="1"/>
    <m/>
    <n v="4"/>
    <n v="6"/>
  </r>
  <r>
    <x v="1"/>
    <x v="0"/>
    <n v="3"/>
    <m/>
    <m/>
    <m/>
    <n v="1"/>
    <n v="4"/>
  </r>
  <r>
    <x v="1"/>
    <x v="1"/>
    <m/>
    <n v="1"/>
    <m/>
    <m/>
    <n v="23"/>
    <n v="24"/>
  </r>
  <r>
    <x v="1"/>
    <x v="2"/>
    <m/>
    <n v="1"/>
    <m/>
    <m/>
    <n v="5"/>
    <n v="6"/>
  </r>
  <r>
    <x v="1"/>
    <x v="3"/>
    <m/>
    <n v="2"/>
    <m/>
    <n v="25"/>
    <n v="12"/>
    <n v="39"/>
  </r>
  <r>
    <x v="1"/>
    <x v="4"/>
    <n v="7"/>
    <m/>
    <m/>
    <m/>
    <n v="1"/>
    <n v="8"/>
  </r>
  <r>
    <x v="1"/>
    <x v="5"/>
    <m/>
    <n v="1"/>
    <m/>
    <m/>
    <n v="1"/>
    <n v="2"/>
  </r>
  <r>
    <x v="1"/>
    <x v="6"/>
    <m/>
    <n v="1"/>
    <m/>
    <n v="1"/>
    <n v="15"/>
    <n v="17"/>
  </r>
  <r>
    <x v="1"/>
    <x v="7"/>
    <n v="3"/>
    <n v="1"/>
    <m/>
    <m/>
    <m/>
    <n v="4"/>
  </r>
  <r>
    <x v="1"/>
    <x v="8"/>
    <n v="1"/>
    <m/>
    <m/>
    <m/>
    <n v="7"/>
    <n v="8"/>
  </r>
  <r>
    <x v="1"/>
    <x v="9"/>
    <n v="3"/>
    <m/>
    <m/>
    <m/>
    <m/>
    <n v="3"/>
  </r>
  <r>
    <x v="1"/>
    <x v="10"/>
    <n v="1"/>
    <m/>
    <m/>
    <m/>
    <n v="5"/>
    <n v="6"/>
  </r>
  <r>
    <x v="1"/>
    <x v="11"/>
    <n v="2"/>
    <m/>
    <m/>
    <m/>
    <m/>
    <n v="2"/>
  </r>
  <r>
    <x v="1"/>
    <x v="12"/>
    <m/>
    <n v="3"/>
    <m/>
    <m/>
    <n v="2"/>
    <n v="5"/>
  </r>
  <r>
    <x v="1"/>
    <x v="13"/>
    <n v="5"/>
    <m/>
    <m/>
    <m/>
    <n v="8"/>
    <n v="13"/>
  </r>
  <r>
    <x v="1"/>
    <x v="14"/>
    <n v="11"/>
    <m/>
    <m/>
    <m/>
    <m/>
    <n v="11"/>
  </r>
  <r>
    <x v="1"/>
    <x v="15"/>
    <m/>
    <n v="1"/>
    <m/>
    <n v="9"/>
    <n v="51"/>
    <n v="61"/>
  </r>
  <r>
    <x v="1"/>
    <x v="16"/>
    <m/>
    <n v="2"/>
    <m/>
    <m/>
    <n v="1"/>
    <n v="3"/>
  </r>
  <r>
    <x v="1"/>
    <x v="17"/>
    <n v="1"/>
    <m/>
    <m/>
    <m/>
    <n v="1"/>
    <n v="2"/>
  </r>
  <r>
    <x v="1"/>
    <x v="18"/>
    <m/>
    <n v="1"/>
    <m/>
    <n v="1"/>
    <n v="10"/>
    <n v="12"/>
  </r>
  <r>
    <x v="1"/>
    <x v="19"/>
    <m/>
    <m/>
    <m/>
    <m/>
    <n v="14"/>
    <n v="14"/>
  </r>
  <r>
    <x v="1"/>
    <x v="20"/>
    <n v="1"/>
    <n v="2"/>
    <m/>
    <n v="3"/>
    <n v="8"/>
    <n v="14"/>
  </r>
  <r>
    <x v="1"/>
    <x v="21"/>
    <n v="4"/>
    <m/>
    <m/>
    <m/>
    <n v="3"/>
    <n v="7"/>
  </r>
  <r>
    <x v="1"/>
    <x v="22"/>
    <m/>
    <m/>
    <m/>
    <m/>
    <n v="12"/>
    <n v="12"/>
  </r>
  <r>
    <x v="1"/>
    <x v="23"/>
    <n v="1"/>
    <m/>
    <m/>
    <n v="3"/>
    <n v="10"/>
    <n v="14"/>
  </r>
  <r>
    <x v="1"/>
    <x v="24"/>
    <n v="2"/>
    <n v="1"/>
    <m/>
    <m/>
    <m/>
    <n v="3"/>
  </r>
  <r>
    <x v="1"/>
    <x v="25"/>
    <m/>
    <n v="2"/>
    <m/>
    <m/>
    <n v="11"/>
    <n v="13"/>
  </r>
  <r>
    <x v="1"/>
    <x v="26"/>
    <m/>
    <m/>
    <m/>
    <m/>
    <n v="14"/>
    <n v="14"/>
  </r>
  <r>
    <x v="1"/>
    <x v="27"/>
    <m/>
    <n v="1"/>
    <m/>
    <m/>
    <n v="4"/>
    <n v="5"/>
  </r>
  <r>
    <x v="1"/>
    <x v="28"/>
    <n v="3"/>
    <n v="1"/>
    <m/>
    <n v="1"/>
    <n v="7"/>
    <n v="12"/>
  </r>
  <r>
    <x v="1"/>
    <x v="29"/>
    <n v="1"/>
    <m/>
    <m/>
    <m/>
    <n v="9"/>
    <n v="10"/>
  </r>
  <r>
    <x v="1"/>
    <x v="30"/>
    <n v="1"/>
    <n v="1"/>
    <m/>
    <m/>
    <n v="1"/>
    <n v="3"/>
  </r>
  <r>
    <x v="1"/>
    <x v="31"/>
    <m/>
    <n v="1"/>
    <n v="1"/>
    <m/>
    <n v="4"/>
    <n v="6"/>
  </r>
  <r>
    <x v="2"/>
    <x v="0"/>
    <n v="3"/>
    <m/>
    <m/>
    <m/>
    <n v="1"/>
    <n v="4"/>
  </r>
  <r>
    <x v="2"/>
    <x v="1"/>
    <m/>
    <n v="1"/>
    <m/>
    <m/>
    <n v="23"/>
    <n v="24"/>
  </r>
  <r>
    <x v="2"/>
    <x v="2"/>
    <m/>
    <n v="1"/>
    <m/>
    <m/>
    <n v="5"/>
    <n v="6"/>
  </r>
  <r>
    <x v="2"/>
    <x v="3"/>
    <m/>
    <n v="2"/>
    <m/>
    <n v="25"/>
    <n v="12"/>
    <n v="39"/>
  </r>
  <r>
    <x v="2"/>
    <x v="4"/>
    <n v="7"/>
    <m/>
    <m/>
    <m/>
    <n v="1"/>
    <n v="8"/>
  </r>
  <r>
    <x v="2"/>
    <x v="5"/>
    <m/>
    <n v="1"/>
    <m/>
    <m/>
    <n v="1"/>
    <n v="2"/>
  </r>
  <r>
    <x v="2"/>
    <x v="6"/>
    <m/>
    <n v="1"/>
    <m/>
    <n v="1"/>
    <n v="15"/>
    <n v="17"/>
  </r>
  <r>
    <x v="2"/>
    <x v="7"/>
    <n v="3"/>
    <n v="1"/>
    <m/>
    <m/>
    <m/>
    <n v="4"/>
  </r>
  <r>
    <x v="2"/>
    <x v="8"/>
    <n v="1"/>
    <m/>
    <m/>
    <m/>
    <n v="7"/>
    <n v="8"/>
  </r>
  <r>
    <x v="2"/>
    <x v="9"/>
    <n v="3"/>
    <m/>
    <m/>
    <m/>
    <m/>
    <n v="3"/>
  </r>
  <r>
    <x v="2"/>
    <x v="10"/>
    <n v="1"/>
    <m/>
    <m/>
    <m/>
    <n v="5"/>
    <n v="6"/>
  </r>
  <r>
    <x v="2"/>
    <x v="11"/>
    <n v="2"/>
    <m/>
    <m/>
    <m/>
    <m/>
    <n v="2"/>
  </r>
  <r>
    <x v="2"/>
    <x v="12"/>
    <m/>
    <n v="3"/>
    <m/>
    <m/>
    <n v="2"/>
    <n v="5"/>
  </r>
  <r>
    <x v="2"/>
    <x v="13"/>
    <n v="5"/>
    <m/>
    <m/>
    <m/>
    <n v="8"/>
    <n v="13"/>
  </r>
  <r>
    <x v="2"/>
    <x v="14"/>
    <n v="11"/>
    <m/>
    <m/>
    <m/>
    <m/>
    <n v="11"/>
  </r>
  <r>
    <x v="2"/>
    <x v="15"/>
    <m/>
    <n v="1"/>
    <m/>
    <n v="9"/>
    <n v="51"/>
    <n v="61"/>
  </r>
  <r>
    <x v="2"/>
    <x v="16"/>
    <m/>
    <n v="2"/>
    <m/>
    <m/>
    <n v="1"/>
    <n v="3"/>
  </r>
  <r>
    <x v="2"/>
    <x v="17"/>
    <n v="1"/>
    <m/>
    <m/>
    <m/>
    <n v="1"/>
    <n v="2"/>
  </r>
  <r>
    <x v="2"/>
    <x v="18"/>
    <m/>
    <n v="1"/>
    <m/>
    <n v="1"/>
    <n v="10"/>
    <n v="12"/>
  </r>
  <r>
    <x v="2"/>
    <x v="19"/>
    <m/>
    <m/>
    <m/>
    <m/>
    <n v="14"/>
    <n v="14"/>
  </r>
  <r>
    <x v="2"/>
    <x v="20"/>
    <n v="1"/>
    <n v="2"/>
    <m/>
    <n v="3"/>
    <n v="8"/>
    <n v="14"/>
  </r>
  <r>
    <x v="2"/>
    <x v="21"/>
    <n v="4"/>
    <m/>
    <m/>
    <m/>
    <n v="3"/>
    <n v="7"/>
  </r>
  <r>
    <x v="2"/>
    <x v="22"/>
    <m/>
    <m/>
    <m/>
    <m/>
    <n v="12"/>
    <n v="12"/>
  </r>
  <r>
    <x v="2"/>
    <x v="23"/>
    <n v="1"/>
    <m/>
    <m/>
    <n v="3"/>
    <n v="10"/>
    <n v="14"/>
  </r>
  <r>
    <x v="2"/>
    <x v="24"/>
    <n v="2"/>
    <n v="1"/>
    <m/>
    <m/>
    <m/>
    <n v="3"/>
  </r>
  <r>
    <x v="2"/>
    <x v="25"/>
    <m/>
    <n v="2"/>
    <m/>
    <m/>
    <n v="11"/>
    <n v="13"/>
  </r>
  <r>
    <x v="2"/>
    <x v="26"/>
    <m/>
    <m/>
    <m/>
    <m/>
    <n v="14"/>
    <n v="14"/>
  </r>
  <r>
    <x v="2"/>
    <x v="27"/>
    <m/>
    <n v="1"/>
    <m/>
    <m/>
    <n v="4"/>
    <n v="5"/>
  </r>
  <r>
    <x v="2"/>
    <x v="28"/>
    <n v="3"/>
    <n v="1"/>
    <m/>
    <n v="1"/>
    <n v="7"/>
    <n v="12"/>
  </r>
  <r>
    <x v="2"/>
    <x v="29"/>
    <n v="1"/>
    <m/>
    <m/>
    <m/>
    <n v="9"/>
    <n v="10"/>
  </r>
  <r>
    <x v="2"/>
    <x v="30"/>
    <n v="1"/>
    <n v="1"/>
    <m/>
    <m/>
    <n v="1"/>
    <n v="3"/>
  </r>
  <r>
    <x v="2"/>
    <x v="31"/>
    <m/>
    <n v="1"/>
    <n v="1"/>
    <m/>
    <n v="4"/>
    <n v="6"/>
  </r>
  <r>
    <x v="3"/>
    <x v="0"/>
    <n v="3"/>
    <m/>
    <m/>
    <m/>
    <n v="1"/>
    <n v="4"/>
  </r>
  <r>
    <x v="3"/>
    <x v="1"/>
    <m/>
    <n v="1"/>
    <m/>
    <m/>
    <n v="23"/>
    <n v="24"/>
  </r>
  <r>
    <x v="3"/>
    <x v="2"/>
    <m/>
    <n v="1"/>
    <m/>
    <m/>
    <n v="5"/>
    <n v="6"/>
  </r>
  <r>
    <x v="3"/>
    <x v="3"/>
    <m/>
    <n v="2"/>
    <m/>
    <n v="25"/>
    <n v="12"/>
    <n v="39"/>
  </r>
  <r>
    <x v="3"/>
    <x v="4"/>
    <n v="7"/>
    <m/>
    <m/>
    <m/>
    <n v="1"/>
    <n v="8"/>
  </r>
  <r>
    <x v="3"/>
    <x v="5"/>
    <m/>
    <n v="1"/>
    <m/>
    <m/>
    <n v="1"/>
    <n v="2"/>
  </r>
  <r>
    <x v="3"/>
    <x v="6"/>
    <m/>
    <n v="1"/>
    <m/>
    <n v="1"/>
    <n v="15"/>
    <n v="17"/>
  </r>
  <r>
    <x v="3"/>
    <x v="7"/>
    <n v="3"/>
    <n v="1"/>
    <m/>
    <m/>
    <m/>
    <n v="4"/>
  </r>
  <r>
    <x v="3"/>
    <x v="8"/>
    <n v="1"/>
    <m/>
    <m/>
    <m/>
    <n v="7"/>
    <n v="8"/>
  </r>
  <r>
    <x v="3"/>
    <x v="9"/>
    <n v="3"/>
    <m/>
    <m/>
    <m/>
    <m/>
    <n v="3"/>
  </r>
  <r>
    <x v="3"/>
    <x v="10"/>
    <n v="1"/>
    <m/>
    <m/>
    <m/>
    <n v="5"/>
    <n v="6"/>
  </r>
  <r>
    <x v="3"/>
    <x v="11"/>
    <n v="2"/>
    <m/>
    <m/>
    <m/>
    <m/>
    <n v="2"/>
  </r>
  <r>
    <x v="3"/>
    <x v="12"/>
    <m/>
    <n v="3"/>
    <m/>
    <m/>
    <n v="2"/>
    <n v="5"/>
  </r>
  <r>
    <x v="3"/>
    <x v="13"/>
    <n v="5"/>
    <m/>
    <m/>
    <m/>
    <n v="8"/>
    <n v="13"/>
  </r>
  <r>
    <x v="3"/>
    <x v="14"/>
    <n v="11"/>
    <m/>
    <m/>
    <m/>
    <m/>
    <n v="11"/>
  </r>
  <r>
    <x v="3"/>
    <x v="15"/>
    <m/>
    <n v="1"/>
    <m/>
    <n v="9"/>
    <n v="51"/>
    <n v="61"/>
  </r>
  <r>
    <x v="3"/>
    <x v="16"/>
    <m/>
    <n v="2"/>
    <m/>
    <m/>
    <n v="1"/>
    <n v="3"/>
  </r>
  <r>
    <x v="3"/>
    <x v="17"/>
    <n v="1"/>
    <m/>
    <m/>
    <m/>
    <n v="1"/>
    <n v="2"/>
  </r>
  <r>
    <x v="3"/>
    <x v="18"/>
    <m/>
    <n v="1"/>
    <m/>
    <n v="1"/>
    <n v="10"/>
    <n v="12"/>
  </r>
  <r>
    <x v="3"/>
    <x v="19"/>
    <m/>
    <m/>
    <m/>
    <m/>
    <n v="14"/>
    <n v="14"/>
  </r>
  <r>
    <x v="3"/>
    <x v="20"/>
    <n v="1"/>
    <n v="2"/>
    <m/>
    <n v="3"/>
    <n v="8"/>
    <n v="14"/>
  </r>
  <r>
    <x v="3"/>
    <x v="21"/>
    <n v="4"/>
    <m/>
    <m/>
    <m/>
    <n v="3"/>
    <n v="7"/>
  </r>
  <r>
    <x v="3"/>
    <x v="22"/>
    <m/>
    <m/>
    <m/>
    <m/>
    <n v="12"/>
    <n v="12"/>
  </r>
  <r>
    <x v="3"/>
    <x v="23"/>
    <n v="1"/>
    <m/>
    <m/>
    <n v="3"/>
    <n v="10"/>
    <n v="14"/>
  </r>
  <r>
    <x v="3"/>
    <x v="24"/>
    <n v="2"/>
    <n v="1"/>
    <m/>
    <m/>
    <m/>
    <n v="3"/>
  </r>
  <r>
    <x v="3"/>
    <x v="25"/>
    <m/>
    <n v="2"/>
    <m/>
    <m/>
    <n v="11"/>
    <n v="13"/>
  </r>
  <r>
    <x v="3"/>
    <x v="26"/>
    <m/>
    <m/>
    <m/>
    <m/>
    <n v="14"/>
    <n v="14"/>
  </r>
  <r>
    <x v="3"/>
    <x v="27"/>
    <m/>
    <n v="1"/>
    <m/>
    <m/>
    <n v="4"/>
    <n v="5"/>
  </r>
  <r>
    <x v="3"/>
    <x v="28"/>
    <n v="3"/>
    <n v="1"/>
    <m/>
    <n v="1"/>
    <n v="7"/>
    <n v="12"/>
  </r>
  <r>
    <x v="3"/>
    <x v="29"/>
    <n v="1"/>
    <m/>
    <m/>
    <m/>
    <n v="9"/>
    <n v="10"/>
  </r>
  <r>
    <x v="3"/>
    <x v="30"/>
    <n v="1"/>
    <n v="1"/>
    <m/>
    <m/>
    <n v="1"/>
    <n v="3"/>
  </r>
  <r>
    <x v="3"/>
    <x v="31"/>
    <m/>
    <n v="1"/>
    <n v="1"/>
    <m/>
    <n v="4"/>
    <n v="6"/>
  </r>
  <r>
    <x v="4"/>
    <x v="0"/>
    <n v="3"/>
    <m/>
    <m/>
    <m/>
    <n v="1"/>
    <n v="4"/>
  </r>
  <r>
    <x v="4"/>
    <x v="1"/>
    <m/>
    <n v="1"/>
    <m/>
    <m/>
    <n v="23"/>
    <n v="24"/>
  </r>
  <r>
    <x v="4"/>
    <x v="2"/>
    <m/>
    <n v="1"/>
    <m/>
    <m/>
    <n v="5"/>
    <n v="6"/>
  </r>
  <r>
    <x v="4"/>
    <x v="3"/>
    <m/>
    <n v="2"/>
    <m/>
    <n v="25"/>
    <n v="12"/>
    <n v="39"/>
  </r>
  <r>
    <x v="4"/>
    <x v="4"/>
    <n v="7"/>
    <m/>
    <m/>
    <m/>
    <n v="1"/>
    <n v="8"/>
  </r>
  <r>
    <x v="4"/>
    <x v="5"/>
    <m/>
    <n v="1"/>
    <m/>
    <m/>
    <n v="1"/>
    <n v="2"/>
  </r>
  <r>
    <x v="4"/>
    <x v="6"/>
    <m/>
    <n v="1"/>
    <m/>
    <n v="1"/>
    <n v="15"/>
    <n v="17"/>
  </r>
  <r>
    <x v="4"/>
    <x v="7"/>
    <n v="3"/>
    <n v="1"/>
    <m/>
    <m/>
    <m/>
    <n v="4"/>
  </r>
  <r>
    <x v="4"/>
    <x v="8"/>
    <n v="1"/>
    <m/>
    <m/>
    <m/>
    <n v="7"/>
    <n v="8"/>
  </r>
  <r>
    <x v="4"/>
    <x v="9"/>
    <n v="3"/>
    <m/>
    <m/>
    <m/>
    <m/>
    <n v="3"/>
  </r>
  <r>
    <x v="4"/>
    <x v="10"/>
    <n v="1"/>
    <m/>
    <m/>
    <m/>
    <n v="5"/>
    <n v="6"/>
  </r>
  <r>
    <x v="4"/>
    <x v="11"/>
    <n v="2"/>
    <m/>
    <m/>
    <m/>
    <m/>
    <n v="2"/>
  </r>
  <r>
    <x v="4"/>
    <x v="12"/>
    <m/>
    <n v="3"/>
    <m/>
    <m/>
    <n v="2"/>
    <n v="5"/>
  </r>
  <r>
    <x v="4"/>
    <x v="13"/>
    <n v="5"/>
    <m/>
    <m/>
    <m/>
    <n v="8"/>
    <n v="13"/>
  </r>
  <r>
    <x v="4"/>
    <x v="14"/>
    <n v="11"/>
    <m/>
    <m/>
    <m/>
    <m/>
    <n v="11"/>
  </r>
  <r>
    <x v="4"/>
    <x v="15"/>
    <m/>
    <n v="1"/>
    <m/>
    <n v="9"/>
    <n v="51"/>
    <n v="61"/>
  </r>
  <r>
    <x v="4"/>
    <x v="16"/>
    <m/>
    <n v="2"/>
    <m/>
    <m/>
    <n v="1"/>
    <n v="3"/>
  </r>
  <r>
    <x v="4"/>
    <x v="17"/>
    <n v="1"/>
    <m/>
    <m/>
    <m/>
    <n v="1"/>
    <n v="2"/>
  </r>
  <r>
    <x v="4"/>
    <x v="18"/>
    <m/>
    <n v="1"/>
    <m/>
    <n v="1"/>
    <n v="10"/>
    <n v="12"/>
  </r>
  <r>
    <x v="4"/>
    <x v="19"/>
    <m/>
    <m/>
    <m/>
    <m/>
    <n v="14"/>
    <n v="14"/>
  </r>
  <r>
    <x v="4"/>
    <x v="20"/>
    <n v="1"/>
    <n v="2"/>
    <m/>
    <n v="3"/>
    <n v="8"/>
    <n v="14"/>
  </r>
  <r>
    <x v="4"/>
    <x v="21"/>
    <n v="4"/>
    <m/>
    <m/>
    <m/>
    <n v="3"/>
    <n v="7"/>
  </r>
  <r>
    <x v="4"/>
    <x v="22"/>
    <m/>
    <m/>
    <m/>
    <m/>
    <n v="12"/>
    <n v="12"/>
  </r>
  <r>
    <x v="4"/>
    <x v="23"/>
    <n v="1"/>
    <m/>
    <m/>
    <n v="3"/>
    <n v="10"/>
    <n v="14"/>
  </r>
  <r>
    <x v="4"/>
    <x v="24"/>
    <n v="2"/>
    <n v="1"/>
    <m/>
    <m/>
    <m/>
    <n v="3"/>
  </r>
  <r>
    <x v="4"/>
    <x v="25"/>
    <m/>
    <n v="2"/>
    <m/>
    <m/>
    <n v="11"/>
    <n v="13"/>
  </r>
  <r>
    <x v="4"/>
    <x v="26"/>
    <m/>
    <m/>
    <m/>
    <m/>
    <n v="14"/>
    <n v="14"/>
  </r>
  <r>
    <x v="4"/>
    <x v="27"/>
    <m/>
    <n v="1"/>
    <m/>
    <m/>
    <n v="4"/>
    <n v="5"/>
  </r>
  <r>
    <x v="4"/>
    <x v="28"/>
    <n v="3"/>
    <n v="1"/>
    <m/>
    <n v="1"/>
    <n v="7"/>
    <n v="12"/>
  </r>
  <r>
    <x v="4"/>
    <x v="29"/>
    <n v="1"/>
    <m/>
    <m/>
    <m/>
    <n v="9"/>
    <n v="10"/>
  </r>
  <r>
    <x v="4"/>
    <x v="30"/>
    <n v="1"/>
    <n v="1"/>
    <m/>
    <m/>
    <n v="1"/>
    <n v="3"/>
  </r>
  <r>
    <x v="4"/>
    <x v="31"/>
    <m/>
    <n v="1"/>
    <n v="1"/>
    <m/>
    <n v="4"/>
    <n v="6"/>
  </r>
  <r>
    <x v="5"/>
    <x v="0"/>
    <n v="3"/>
    <m/>
    <m/>
    <m/>
    <n v="1"/>
    <n v="4"/>
  </r>
  <r>
    <x v="5"/>
    <x v="1"/>
    <m/>
    <n v="1"/>
    <m/>
    <m/>
    <n v="23"/>
    <n v="24"/>
  </r>
  <r>
    <x v="5"/>
    <x v="2"/>
    <m/>
    <n v="1"/>
    <m/>
    <m/>
    <n v="5"/>
    <n v="6"/>
  </r>
  <r>
    <x v="5"/>
    <x v="3"/>
    <m/>
    <n v="2"/>
    <m/>
    <n v="25"/>
    <n v="12"/>
    <n v="39"/>
  </r>
  <r>
    <x v="5"/>
    <x v="4"/>
    <n v="7"/>
    <m/>
    <m/>
    <m/>
    <n v="1"/>
    <n v="8"/>
  </r>
  <r>
    <x v="5"/>
    <x v="5"/>
    <m/>
    <n v="1"/>
    <m/>
    <m/>
    <n v="1"/>
    <n v="2"/>
  </r>
  <r>
    <x v="5"/>
    <x v="6"/>
    <m/>
    <n v="1"/>
    <m/>
    <n v="1"/>
    <n v="15"/>
    <n v="17"/>
  </r>
  <r>
    <x v="5"/>
    <x v="7"/>
    <n v="3"/>
    <n v="1"/>
    <m/>
    <m/>
    <m/>
    <n v="4"/>
  </r>
  <r>
    <x v="5"/>
    <x v="8"/>
    <n v="1"/>
    <m/>
    <m/>
    <m/>
    <n v="7"/>
    <n v="8"/>
  </r>
  <r>
    <x v="5"/>
    <x v="9"/>
    <n v="3"/>
    <m/>
    <m/>
    <m/>
    <m/>
    <n v="3"/>
  </r>
  <r>
    <x v="5"/>
    <x v="10"/>
    <n v="1"/>
    <m/>
    <m/>
    <m/>
    <n v="5"/>
    <n v="6"/>
  </r>
  <r>
    <x v="5"/>
    <x v="11"/>
    <n v="2"/>
    <m/>
    <m/>
    <m/>
    <m/>
    <n v="2"/>
  </r>
  <r>
    <x v="5"/>
    <x v="12"/>
    <m/>
    <n v="3"/>
    <m/>
    <m/>
    <n v="2"/>
    <n v="5"/>
  </r>
  <r>
    <x v="5"/>
    <x v="13"/>
    <n v="5"/>
    <m/>
    <m/>
    <m/>
    <n v="8"/>
    <n v="13"/>
  </r>
  <r>
    <x v="5"/>
    <x v="14"/>
    <n v="11"/>
    <m/>
    <m/>
    <m/>
    <m/>
    <n v="11"/>
  </r>
  <r>
    <x v="5"/>
    <x v="15"/>
    <m/>
    <n v="1"/>
    <m/>
    <n v="9"/>
    <n v="51"/>
    <n v="61"/>
  </r>
  <r>
    <x v="5"/>
    <x v="16"/>
    <m/>
    <n v="2"/>
    <m/>
    <m/>
    <n v="1"/>
    <n v="3"/>
  </r>
  <r>
    <x v="5"/>
    <x v="17"/>
    <n v="1"/>
    <m/>
    <m/>
    <m/>
    <n v="1"/>
    <n v="2"/>
  </r>
  <r>
    <x v="5"/>
    <x v="18"/>
    <m/>
    <n v="1"/>
    <m/>
    <n v="1"/>
    <n v="10"/>
    <n v="12"/>
  </r>
  <r>
    <x v="5"/>
    <x v="19"/>
    <m/>
    <m/>
    <m/>
    <m/>
    <n v="14"/>
    <n v="14"/>
  </r>
  <r>
    <x v="5"/>
    <x v="20"/>
    <n v="1"/>
    <n v="2"/>
    <m/>
    <n v="3"/>
    <n v="8"/>
    <n v="14"/>
  </r>
  <r>
    <x v="5"/>
    <x v="21"/>
    <n v="4"/>
    <m/>
    <m/>
    <m/>
    <n v="3"/>
    <n v="7"/>
  </r>
  <r>
    <x v="5"/>
    <x v="22"/>
    <m/>
    <m/>
    <m/>
    <m/>
    <n v="12"/>
    <n v="12"/>
  </r>
  <r>
    <x v="5"/>
    <x v="23"/>
    <n v="1"/>
    <m/>
    <m/>
    <n v="3"/>
    <n v="10"/>
    <n v="14"/>
  </r>
  <r>
    <x v="5"/>
    <x v="24"/>
    <n v="2"/>
    <n v="1"/>
    <m/>
    <m/>
    <m/>
    <n v="3"/>
  </r>
  <r>
    <x v="5"/>
    <x v="25"/>
    <m/>
    <n v="2"/>
    <m/>
    <m/>
    <n v="11"/>
    <n v="13"/>
  </r>
  <r>
    <x v="5"/>
    <x v="26"/>
    <m/>
    <m/>
    <m/>
    <m/>
    <n v="14"/>
    <n v="14"/>
  </r>
  <r>
    <x v="5"/>
    <x v="27"/>
    <m/>
    <n v="1"/>
    <m/>
    <m/>
    <n v="4"/>
    <n v="5"/>
  </r>
  <r>
    <x v="5"/>
    <x v="28"/>
    <n v="3"/>
    <n v="1"/>
    <m/>
    <m/>
    <n v="7"/>
    <n v="12"/>
  </r>
  <r>
    <x v="5"/>
    <x v="29"/>
    <n v="1"/>
    <m/>
    <m/>
    <m/>
    <n v="9"/>
    <n v="10"/>
  </r>
  <r>
    <x v="5"/>
    <x v="30"/>
    <n v="1"/>
    <n v="1"/>
    <m/>
    <m/>
    <n v="1"/>
    <n v="3"/>
  </r>
  <r>
    <x v="5"/>
    <x v="31"/>
    <m/>
    <n v="1"/>
    <n v="1"/>
    <m/>
    <n v="4"/>
    <n v="6"/>
  </r>
  <r>
    <x v="6"/>
    <x v="0"/>
    <n v="3"/>
    <m/>
    <m/>
    <m/>
    <n v="1"/>
    <n v="4"/>
  </r>
  <r>
    <x v="6"/>
    <x v="1"/>
    <m/>
    <n v="1"/>
    <m/>
    <m/>
    <n v="23"/>
    <n v="24"/>
  </r>
  <r>
    <x v="6"/>
    <x v="2"/>
    <m/>
    <n v="1"/>
    <m/>
    <m/>
    <n v="5"/>
    <n v="6"/>
  </r>
  <r>
    <x v="6"/>
    <x v="3"/>
    <m/>
    <n v="2"/>
    <m/>
    <n v="25"/>
    <n v="12"/>
    <n v="39"/>
  </r>
  <r>
    <x v="6"/>
    <x v="4"/>
    <n v="7"/>
    <m/>
    <m/>
    <m/>
    <n v="1"/>
    <n v="8"/>
  </r>
  <r>
    <x v="6"/>
    <x v="5"/>
    <m/>
    <n v="1"/>
    <m/>
    <m/>
    <n v="1"/>
    <n v="2"/>
  </r>
  <r>
    <x v="6"/>
    <x v="6"/>
    <m/>
    <n v="1"/>
    <m/>
    <n v="1"/>
    <n v="15"/>
    <n v="17"/>
  </r>
  <r>
    <x v="6"/>
    <x v="7"/>
    <n v="3"/>
    <n v="1"/>
    <m/>
    <m/>
    <m/>
    <n v="4"/>
  </r>
  <r>
    <x v="6"/>
    <x v="8"/>
    <n v="1"/>
    <m/>
    <m/>
    <m/>
    <n v="7"/>
    <n v="8"/>
  </r>
  <r>
    <x v="6"/>
    <x v="9"/>
    <n v="3"/>
    <m/>
    <m/>
    <m/>
    <m/>
    <n v="3"/>
  </r>
  <r>
    <x v="6"/>
    <x v="10"/>
    <n v="1"/>
    <m/>
    <m/>
    <m/>
    <n v="5"/>
    <n v="6"/>
  </r>
  <r>
    <x v="6"/>
    <x v="11"/>
    <n v="2"/>
    <m/>
    <m/>
    <m/>
    <m/>
    <n v="2"/>
  </r>
  <r>
    <x v="6"/>
    <x v="12"/>
    <m/>
    <n v="3"/>
    <m/>
    <m/>
    <n v="2"/>
    <n v="5"/>
  </r>
  <r>
    <x v="6"/>
    <x v="13"/>
    <n v="5"/>
    <m/>
    <m/>
    <m/>
    <n v="8"/>
    <n v="13"/>
  </r>
  <r>
    <x v="6"/>
    <x v="14"/>
    <n v="11"/>
    <m/>
    <m/>
    <m/>
    <m/>
    <n v="11"/>
  </r>
  <r>
    <x v="6"/>
    <x v="15"/>
    <m/>
    <n v="1"/>
    <m/>
    <n v="9"/>
    <n v="51"/>
    <n v="61"/>
  </r>
  <r>
    <x v="6"/>
    <x v="16"/>
    <m/>
    <n v="2"/>
    <m/>
    <m/>
    <n v="1"/>
    <n v="3"/>
  </r>
  <r>
    <x v="6"/>
    <x v="17"/>
    <n v="1"/>
    <m/>
    <m/>
    <m/>
    <n v="1"/>
    <n v="2"/>
  </r>
  <r>
    <x v="6"/>
    <x v="18"/>
    <m/>
    <n v="1"/>
    <m/>
    <n v="1"/>
    <n v="10"/>
    <n v="12"/>
  </r>
  <r>
    <x v="6"/>
    <x v="19"/>
    <m/>
    <m/>
    <m/>
    <m/>
    <n v="14"/>
    <n v="14"/>
  </r>
  <r>
    <x v="6"/>
    <x v="20"/>
    <n v="1"/>
    <n v="2"/>
    <m/>
    <n v="3"/>
    <n v="8"/>
    <n v="14"/>
  </r>
  <r>
    <x v="6"/>
    <x v="21"/>
    <n v="4"/>
    <m/>
    <m/>
    <m/>
    <n v="3"/>
    <n v="7"/>
  </r>
  <r>
    <x v="6"/>
    <x v="22"/>
    <m/>
    <m/>
    <m/>
    <m/>
    <n v="12"/>
    <n v="12"/>
  </r>
  <r>
    <x v="6"/>
    <x v="23"/>
    <n v="1"/>
    <m/>
    <m/>
    <n v="3"/>
    <n v="10"/>
    <n v="14"/>
  </r>
  <r>
    <x v="6"/>
    <x v="24"/>
    <n v="2"/>
    <n v="1"/>
    <m/>
    <m/>
    <m/>
    <n v="3"/>
  </r>
  <r>
    <x v="6"/>
    <x v="25"/>
    <m/>
    <n v="2"/>
    <m/>
    <m/>
    <n v="11"/>
    <n v="13"/>
  </r>
  <r>
    <x v="6"/>
    <x v="26"/>
    <m/>
    <m/>
    <m/>
    <m/>
    <n v="14"/>
    <n v="14"/>
  </r>
  <r>
    <x v="6"/>
    <x v="27"/>
    <m/>
    <n v="1"/>
    <m/>
    <m/>
    <n v="4"/>
    <n v="5"/>
  </r>
  <r>
    <x v="6"/>
    <x v="28"/>
    <n v="3"/>
    <n v="1"/>
    <m/>
    <m/>
    <n v="7"/>
    <n v="12"/>
  </r>
  <r>
    <x v="6"/>
    <x v="29"/>
    <n v="1"/>
    <m/>
    <m/>
    <m/>
    <n v="9"/>
    <n v="10"/>
  </r>
  <r>
    <x v="6"/>
    <x v="30"/>
    <n v="1"/>
    <n v="1"/>
    <m/>
    <m/>
    <n v="1"/>
    <n v="3"/>
  </r>
  <r>
    <x v="6"/>
    <x v="31"/>
    <m/>
    <n v="1"/>
    <n v="1"/>
    <m/>
    <n v="4"/>
    <n v="6"/>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
  <r>
    <x v="0"/>
    <x v="0"/>
    <n v="3"/>
    <n v="1"/>
    <m/>
    <n v="4"/>
  </r>
  <r>
    <x v="0"/>
    <x v="1"/>
    <n v="1"/>
    <n v="23"/>
    <m/>
    <n v="24"/>
  </r>
  <r>
    <x v="0"/>
    <x v="2"/>
    <n v="1"/>
    <n v="5"/>
    <m/>
    <n v="6"/>
  </r>
  <r>
    <x v="0"/>
    <x v="3"/>
    <n v="2"/>
    <n v="12"/>
    <n v="25"/>
    <n v="39"/>
  </r>
  <r>
    <x v="0"/>
    <x v="4"/>
    <n v="7"/>
    <n v="1"/>
    <m/>
    <n v="8"/>
  </r>
  <r>
    <x v="0"/>
    <x v="5"/>
    <n v="1"/>
    <n v="1"/>
    <m/>
    <n v="2"/>
  </r>
  <r>
    <x v="0"/>
    <x v="6"/>
    <n v="1"/>
    <n v="15"/>
    <n v="1"/>
    <n v="17"/>
  </r>
  <r>
    <x v="0"/>
    <x v="7"/>
    <n v="4"/>
    <m/>
    <m/>
    <n v="4"/>
  </r>
  <r>
    <x v="0"/>
    <x v="8"/>
    <n v="1"/>
    <n v="7"/>
    <m/>
    <n v="8"/>
  </r>
  <r>
    <x v="0"/>
    <x v="9"/>
    <n v="3"/>
    <m/>
    <m/>
    <n v="3"/>
  </r>
  <r>
    <x v="0"/>
    <x v="10"/>
    <n v="1"/>
    <n v="5"/>
    <m/>
    <n v="6"/>
  </r>
  <r>
    <x v="0"/>
    <x v="11"/>
    <n v="2"/>
    <m/>
    <m/>
    <n v="2"/>
  </r>
  <r>
    <x v="0"/>
    <x v="12"/>
    <n v="3"/>
    <n v="2"/>
    <m/>
    <n v="5"/>
  </r>
  <r>
    <x v="0"/>
    <x v="13"/>
    <n v="5"/>
    <n v="8"/>
    <m/>
    <n v="13"/>
  </r>
  <r>
    <x v="0"/>
    <x v="14"/>
    <n v="11"/>
    <m/>
    <m/>
    <n v="11"/>
  </r>
  <r>
    <x v="0"/>
    <x v="15"/>
    <n v="1"/>
    <n v="51"/>
    <n v="9"/>
    <n v="61"/>
  </r>
  <r>
    <x v="0"/>
    <x v="16"/>
    <n v="2"/>
    <n v="1"/>
    <m/>
    <n v="3"/>
  </r>
  <r>
    <x v="0"/>
    <x v="17"/>
    <n v="1"/>
    <n v="1"/>
    <m/>
    <n v="2"/>
  </r>
  <r>
    <x v="0"/>
    <x v="18"/>
    <n v="1"/>
    <n v="10"/>
    <n v="1"/>
    <n v="12"/>
  </r>
  <r>
    <x v="0"/>
    <x v="19"/>
    <m/>
    <n v="14"/>
    <m/>
    <n v="14"/>
  </r>
  <r>
    <x v="0"/>
    <x v="20"/>
    <n v="3"/>
    <n v="8"/>
    <n v="3"/>
    <n v="14"/>
  </r>
  <r>
    <x v="0"/>
    <x v="21"/>
    <n v="4"/>
    <n v="3"/>
    <m/>
    <n v="7"/>
  </r>
  <r>
    <x v="0"/>
    <x v="22"/>
    <m/>
    <n v="12"/>
    <m/>
    <n v="12"/>
  </r>
  <r>
    <x v="0"/>
    <x v="23"/>
    <n v="1"/>
    <n v="10"/>
    <n v="3"/>
    <n v="14"/>
  </r>
  <r>
    <x v="0"/>
    <x v="24"/>
    <n v="3"/>
    <m/>
    <m/>
    <n v="3"/>
  </r>
  <r>
    <x v="0"/>
    <x v="25"/>
    <n v="2"/>
    <n v="11"/>
    <m/>
    <n v="13"/>
  </r>
  <r>
    <x v="0"/>
    <x v="26"/>
    <m/>
    <n v="14"/>
    <m/>
    <n v="14"/>
  </r>
  <r>
    <x v="0"/>
    <x v="27"/>
    <n v="1"/>
    <n v="4"/>
    <m/>
    <n v="5"/>
  </r>
  <r>
    <x v="0"/>
    <x v="28"/>
    <n v="4"/>
    <n v="7"/>
    <n v="1"/>
    <n v="12"/>
  </r>
  <r>
    <x v="0"/>
    <x v="29"/>
    <n v="1"/>
    <n v="9"/>
    <m/>
    <n v="10"/>
  </r>
  <r>
    <x v="0"/>
    <x v="30"/>
    <n v="2"/>
    <n v="1"/>
    <m/>
    <n v="3"/>
  </r>
  <r>
    <x v="0"/>
    <x v="31"/>
    <n v="2"/>
    <n v="4"/>
    <m/>
    <n v="6"/>
  </r>
  <r>
    <x v="1"/>
    <x v="0"/>
    <n v="3"/>
    <n v="1"/>
    <m/>
    <n v="4"/>
  </r>
  <r>
    <x v="1"/>
    <x v="1"/>
    <n v="1"/>
    <n v="23"/>
    <m/>
    <n v="24"/>
  </r>
  <r>
    <x v="1"/>
    <x v="2"/>
    <n v="1"/>
    <n v="5"/>
    <m/>
    <n v="6"/>
  </r>
  <r>
    <x v="1"/>
    <x v="3"/>
    <n v="2"/>
    <n v="12"/>
    <n v="25"/>
    <n v="39"/>
  </r>
  <r>
    <x v="1"/>
    <x v="4"/>
    <n v="7"/>
    <n v="1"/>
    <m/>
    <n v="8"/>
  </r>
  <r>
    <x v="1"/>
    <x v="5"/>
    <n v="1"/>
    <n v="1"/>
    <m/>
    <n v="2"/>
  </r>
  <r>
    <x v="1"/>
    <x v="6"/>
    <n v="1"/>
    <n v="15"/>
    <n v="1"/>
    <n v="17"/>
  </r>
  <r>
    <x v="1"/>
    <x v="7"/>
    <n v="4"/>
    <m/>
    <m/>
    <n v="4"/>
  </r>
  <r>
    <x v="1"/>
    <x v="8"/>
    <n v="1"/>
    <n v="7"/>
    <m/>
    <n v="8"/>
  </r>
  <r>
    <x v="1"/>
    <x v="9"/>
    <n v="3"/>
    <m/>
    <m/>
    <n v="3"/>
  </r>
  <r>
    <x v="1"/>
    <x v="10"/>
    <n v="1"/>
    <n v="5"/>
    <m/>
    <n v="6"/>
  </r>
  <r>
    <x v="1"/>
    <x v="11"/>
    <n v="2"/>
    <m/>
    <m/>
    <n v="2"/>
  </r>
  <r>
    <x v="1"/>
    <x v="12"/>
    <n v="3"/>
    <n v="2"/>
    <m/>
    <n v="5"/>
  </r>
  <r>
    <x v="1"/>
    <x v="13"/>
    <n v="5"/>
    <n v="8"/>
    <m/>
    <n v="13"/>
  </r>
  <r>
    <x v="1"/>
    <x v="14"/>
    <n v="11"/>
    <m/>
    <m/>
    <n v="11"/>
  </r>
  <r>
    <x v="1"/>
    <x v="15"/>
    <n v="1"/>
    <n v="51"/>
    <n v="9"/>
    <n v="61"/>
  </r>
  <r>
    <x v="1"/>
    <x v="16"/>
    <n v="2"/>
    <n v="1"/>
    <m/>
    <n v="3"/>
  </r>
  <r>
    <x v="1"/>
    <x v="17"/>
    <n v="1"/>
    <n v="1"/>
    <m/>
    <n v="2"/>
  </r>
  <r>
    <x v="1"/>
    <x v="18"/>
    <n v="1"/>
    <n v="10"/>
    <n v="1"/>
    <n v="12"/>
  </r>
  <r>
    <x v="1"/>
    <x v="19"/>
    <m/>
    <n v="14"/>
    <m/>
    <n v="14"/>
  </r>
  <r>
    <x v="1"/>
    <x v="20"/>
    <n v="3"/>
    <n v="8"/>
    <n v="3"/>
    <n v="14"/>
  </r>
  <r>
    <x v="1"/>
    <x v="21"/>
    <n v="4"/>
    <n v="3"/>
    <m/>
    <n v="7"/>
  </r>
  <r>
    <x v="1"/>
    <x v="22"/>
    <m/>
    <n v="12"/>
    <m/>
    <n v="12"/>
  </r>
  <r>
    <x v="1"/>
    <x v="23"/>
    <n v="1"/>
    <n v="10"/>
    <n v="3"/>
    <n v="14"/>
  </r>
  <r>
    <x v="1"/>
    <x v="24"/>
    <n v="3"/>
    <m/>
    <m/>
    <n v="3"/>
  </r>
  <r>
    <x v="1"/>
    <x v="25"/>
    <n v="2"/>
    <n v="11"/>
    <m/>
    <n v="13"/>
  </r>
  <r>
    <x v="1"/>
    <x v="26"/>
    <m/>
    <n v="14"/>
    <m/>
    <n v="14"/>
  </r>
  <r>
    <x v="1"/>
    <x v="27"/>
    <n v="1"/>
    <n v="4"/>
    <m/>
    <n v="5"/>
  </r>
  <r>
    <x v="1"/>
    <x v="28"/>
    <n v="4"/>
    <n v="7"/>
    <n v="1"/>
    <n v="12"/>
  </r>
  <r>
    <x v="1"/>
    <x v="29"/>
    <n v="1"/>
    <n v="9"/>
    <m/>
    <n v="10"/>
  </r>
  <r>
    <x v="1"/>
    <x v="30"/>
    <n v="2"/>
    <n v="1"/>
    <m/>
    <n v="3"/>
  </r>
  <r>
    <x v="1"/>
    <x v="31"/>
    <n v="2"/>
    <n v="4"/>
    <m/>
    <n v="6"/>
  </r>
  <r>
    <x v="2"/>
    <x v="0"/>
    <n v="3"/>
    <n v="1"/>
    <m/>
    <n v="4"/>
  </r>
  <r>
    <x v="2"/>
    <x v="1"/>
    <n v="1"/>
    <n v="23"/>
    <m/>
    <n v="24"/>
  </r>
  <r>
    <x v="2"/>
    <x v="2"/>
    <n v="1"/>
    <n v="5"/>
    <m/>
    <n v="6"/>
  </r>
  <r>
    <x v="2"/>
    <x v="3"/>
    <n v="2"/>
    <n v="12"/>
    <n v="25"/>
    <n v="39"/>
  </r>
  <r>
    <x v="2"/>
    <x v="4"/>
    <n v="7"/>
    <n v="1"/>
    <m/>
    <n v="8"/>
  </r>
  <r>
    <x v="2"/>
    <x v="5"/>
    <n v="1"/>
    <n v="1"/>
    <m/>
    <n v="2"/>
  </r>
  <r>
    <x v="2"/>
    <x v="6"/>
    <n v="1"/>
    <n v="15"/>
    <n v="1"/>
    <n v="17"/>
  </r>
  <r>
    <x v="2"/>
    <x v="7"/>
    <n v="4"/>
    <m/>
    <m/>
    <n v="4"/>
  </r>
  <r>
    <x v="2"/>
    <x v="8"/>
    <n v="1"/>
    <n v="7"/>
    <m/>
    <n v="8"/>
  </r>
  <r>
    <x v="2"/>
    <x v="9"/>
    <n v="3"/>
    <m/>
    <m/>
    <n v="3"/>
  </r>
  <r>
    <x v="2"/>
    <x v="10"/>
    <n v="1"/>
    <n v="5"/>
    <m/>
    <n v="6"/>
  </r>
  <r>
    <x v="2"/>
    <x v="11"/>
    <n v="2"/>
    <m/>
    <m/>
    <n v="2"/>
  </r>
  <r>
    <x v="2"/>
    <x v="12"/>
    <n v="3"/>
    <n v="2"/>
    <m/>
    <n v="5"/>
  </r>
  <r>
    <x v="2"/>
    <x v="13"/>
    <n v="5"/>
    <n v="8"/>
    <m/>
    <n v="13"/>
  </r>
  <r>
    <x v="2"/>
    <x v="14"/>
    <n v="11"/>
    <m/>
    <m/>
    <n v="11"/>
  </r>
  <r>
    <x v="2"/>
    <x v="15"/>
    <n v="1"/>
    <n v="51"/>
    <n v="9"/>
    <n v="61"/>
  </r>
  <r>
    <x v="2"/>
    <x v="16"/>
    <n v="2"/>
    <n v="1"/>
    <m/>
    <n v="3"/>
  </r>
  <r>
    <x v="2"/>
    <x v="17"/>
    <n v="1"/>
    <n v="1"/>
    <m/>
    <n v="2"/>
  </r>
  <r>
    <x v="2"/>
    <x v="18"/>
    <n v="1"/>
    <n v="10"/>
    <n v="1"/>
    <n v="12"/>
  </r>
  <r>
    <x v="2"/>
    <x v="19"/>
    <m/>
    <n v="14"/>
    <m/>
    <n v="14"/>
  </r>
  <r>
    <x v="2"/>
    <x v="20"/>
    <n v="3"/>
    <n v="8"/>
    <n v="3"/>
    <n v="14"/>
  </r>
  <r>
    <x v="2"/>
    <x v="21"/>
    <n v="4"/>
    <n v="3"/>
    <m/>
    <n v="7"/>
  </r>
  <r>
    <x v="2"/>
    <x v="22"/>
    <m/>
    <n v="12"/>
    <m/>
    <n v="12"/>
  </r>
  <r>
    <x v="2"/>
    <x v="23"/>
    <n v="1"/>
    <n v="10"/>
    <n v="3"/>
    <n v="14"/>
  </r>
  <r>
    <x v="2"/>
    <x v="24"/>
    <n v="3"/>
    <m/>
    <m/>
    <n v="3"/>
  </r>
  <r>
    <x v="2"/>
    <x v="25"/>
    <n v="2"/>
    <n v="11"/>
    <m/>
    <n v="13"/>
  </r>
  <r>
    <x v="2"/>
    <x v="26"/>
    <m/>
    <n v="14"/>
    <m/>
    <n v="14"/>
  </r>
  <r>
    <x v="2"/>
    <x v="27"/>
    <n v="1"/>
    <n v="4"/>
    <m/>
    <n v="5"/>
  </r>
  <r>
    <x v="2"/>
    <x v="28"/>
    <n v="4"/>
    <n v="7"/>
    <n v="1"/>
    <n v="12"/>
  </r>
  <r>
    <x v="2"/>
    <x v="29"/>
    <n v="1"/>
    <n v="9"/>
    <m/>
    <n v="10"/>
  </r>
  <r>
    <x v="2"/>
    <x v="30"/>
    <n v="2"/>
    <n v="1"/>
    <m/>
    <n v="3"/>
  </r>
  <r>
    <x v="2"/>
    <x v="31"/>
    <n v="2"/>
    <n v="4"/>
    <m/>
    <n v="6"/>
  </r>
  <r>
    <x v="3"/>
    <x v="0"/>
    <n v="3"/>
    <n v="1"/>
    <m/>
    <n v="4"/>
  </r>
  <r>
    <x v="3"/>
    <x v="1"/>
    <n v="1"/>
    <n v="23"/>
    <m/>
    <n v="24"/>
  </r>
  <r>
    <x v="3"/>
    <x v="2"/>
    <n v="1"/>
    <n v="5"/>
    <m/>
    <n v="6"/>
  </r>
  <r>
    <x v="3"/>
    <x v="3"/>
    <n v="2"/>
    <n v="12"/>
    <n v="25"/>
    <n v="39"/>
  </r>
  <r>
    <x v="3"/>
    <x v="4"/>
    <n v="7"/>
    <n v="1"/>
    <m/>
    <n v="8"/>
  </r>
  <r>
    <x v="3"/>
    <x v="5"/>
    <n v="1"/>
    <n v="1"/>
    <m/>
    <n v="2"/>
  </r>
  <r>
    <x v="3"/>
    <x v="6"/>
    <n v="1"/>
    <n v="15"/>
    <n v="1"/>
    <n v="17"/>
  </r>
  <r>
    <x v="3"/>
    <x v="7"/>
    <n v="4"/>
    <m/>
    <m/>
    <n v="4"/>
  </r>
  <r>
    <x v="3"/>
    <x v="8"/>
    <n v="1"/>
    <n v="7"/>
    <m/>
    <n v="8"/>
  </r>
  <r>
    <x v="3"/>
    <x v="9"/>
    <n v="3"/>
    <m/>
    <m/>
    <n v="3"/>
  </r>
  <r>
    <x v="3"/>
    <x v="10"/>
    <n v="1"/>
    <n v="5"/>
    <m/>
    <n v="6"/>
  </r>
  <r>
    <x v="3"/>
    <x v="11"/>
    <n v="2"/>
    <m/>
    <m/>
    <n v="2"/>
  </r>
  <r>
    <x v="3"/>
    <x v="12"/>
    <n v="3"/>
    <n v="2"/>
    <m/>
    <n v="5"/>
  </r>
  <r>
    <x v="3"/>
    <x v="13"/>
    <n v="5"/>
    <n v="8"/>
    <m/>
    <n v="13"/>
  </r>
  <r>
    <x v="3"/>
    <x v="14"/>
    <n v="11"/>
    <m/>
    <m/>
    <n v="11"/>
  </r>
  <r>
    <x v="3"/>
    <x v="15"/>
    <n v="1"/>
    <n v="51"/>
    <n v="9"/>
    <n v="61"/>
  </r>
  <r>
    <x v="3"/>
    <x v="16"/>
    <n v="2"/>
    <n v="1"/>
    <m/>
    <n v="3"/>
  </r>
  <r>
    <x v="3"/>
    <x v="17"/>
    <n v="1"/>
    <n v="1"/>
    <m/>
    <n v="2"/>
  </r>
  <r>
    <x v="3"/>
    <x v="18"/>
    <n v="1"/>
    <n v="10"/>
    <n v="1"/>
    <n v="12"/>
  </r>
  <r>
    <x v="3"/>
    <x v="19"/>
    <m/>
    <n v="14"/>
    <m/>
    <n v="14"/>
  </r>
  <r>
    <x v="3"/>
    <x v="20"/>
    <n v="3"/>
    <n v="8"/>
    <n v="3"/>
    <n v="14"/>
  </r>
  <r>
    <x v="3"/>
    <x v="21"/>
    <n v="4"/>
    <n v="3"/>
    <m/>
    <n v="7"/>
  </r>
  <r>
    <x v="3"/>
    <x v="22"/>
    <m/>
    <n v="12"/>
    <m/>
    <n v="12"/>
  </r>
  <r>
    <x v="3"/>
    <x v="23"/>
    <n v="1"/>
    <n v="10"/>
    <n v="3"/>
    <n v="14"/>
  </r>
  <r>
    <x v="3"/>
    <x v="24"/>
    <n v="3"/>
    <m/>
    <m/>
    <n v="3"/>
  </r>
  <r>
    <x v="3"/>
    <x v="25"/>
    <n v="2"/>
    <n v="11"/>
    <m/>
    <n v="13"/>
  </r>
  <r>
    <x v="3"/>
    <x v="26"/>
    <m/>
    <n v="14"/>
    <m/>
    <n v="14"/>
  </r>
  <r>
    <x v="3"/>
    <x v="27"/>
    <n v="1"/>
    <n v="4"/>
    <m/>
    <n v="5"/>
  </r>
  <r>
    <x v="3"/>
    <x v="28"/>
    <n v="4"/>
    <n v="7"/>
    <n v="1"/>
    <n v="12"/>
  </r>
  <r>
    <x v="3"/>
    <x v="29"/>
    <n v="1"/>
    <n v="9"/>
    <m/>
    <n v="10"/>
  </r>
  <r>
    <x v="3"/>
    <x v="30"/>
    <n v="2"/>
    <n v="1"/>
    <m/>
    <n v="3"/>
  </r>
  <r>
    <x v="3"/>
    <x v="31"/>
    <n v="2"/>
    <n v="4"/>
    <m/>
    <n v="6"/>
  </r>
  <r>
    <x v="4"/>
    <x v="0"/>
    <n v="3"/>
    <n v="1"/>
    <m/>
    <n v="4"/>
  </r>
  <r>
    <x v="4"/>
    <x v="1"/>
    <n v="1"/>
    <n v="23"/>
    <m/>
    <n v="24"/>
  </r>
  <r>
    <x v="4"/>
    <x v="2"/>
    <n v="1"/>
    <n v="5"/>
    <m/>
    <n v="6"/>
  </r>
  <r>
    <x v="4"/>
    <x v="3"/>
    <n v="2"/>
    <n v="12"/>
    <n v="25"/>
    <n v="39"/>
  </r>
  <r>
    <x v="4"/>
    <x v="4"/>
    <n v="7"/>
    <n v="1"/>
    <m/>
    <n v="8"/>
  </r>
  <r>
    <x v="4"/>
    <x v="5"/>
    <n v="1"/>
    <n v="1"/>
    <m/>
    <n v="2"/>
  </r>
  <r>
    <x v="4"/>
    <x v="6"/>
    <n v="1"/>
    <n v="15"/>
    <n v="1"/>
    <n v="17"/>
  </r>
  <r>
    <x v="4"/>
    <x v="7"/>
    <n v="4"/>
    <m/>
    <m/>
    <n v="4"/>
  </r>
  <r>
    <x v="4"/>
    <x v="8"/>
    <n v="1"/>
    <n v="7"/>
    <m/>
    <n v="8"/>
  </r>
  <r>
    <x v="4"/>
    <x v="9"/>
    <n v="3"/>
    <m/>
    <m/>
    <n v="3"/>
  </r>
  <r>
    <x v="4"/>
    <x v="10"/>
    <n v="1"/>
    <n v="5"/>
    <m/>
    <n v="6"/>
  </r>
  <r>
    <x v="4"/>
    <x v="11"/>
    <n v="2"/>
    <m/>
    <m/>
    <n v="2"/>
  </r>
  <r>
    <x v="4"/>
    <x v="12"/>
    <n v="3"/>
    <n v="2"/>
    <m/>
    <n v="5"/>
  </r>
  <r>
    <x v="4"/>
    <x v="13"/>
    <n v="5"/>
    <n v="8"/>
    <m/>
    <n v="13"/>
  </r>
  <r>
    <x v="4"/>
    <x v="14"/>
    <n v="11"/>
    <m/>
    <m/>
    <n v="11"/>
  </r>
  <r>
    <x v="4"/>
    <x v="15"/>
    <n v="1"/>
    <n v="51"/>
    <n v="9"/>
    <n v="61"/>
  </r>
  <r>
    <x v="4"/>
    <x v="16"/>
    <n v="2"/>
    <n v="1"/>
    <m/>
    <n v="3"/>
  </r>
  <r>
    <x v="4"/>
    <x v="17"/>
    <n v="1"/>
    <n v="1"/>
    <m/>
    <n v="2"/>
  </r>
  <r>
    <x v="4"/>
    <x v="18"/>
    <n v="1"/>
    <n v="10"/>
    <n v="1"/>
    <n v="12"/>
  </r>
  <r>
    <x v="4"/>
    <x v="19"/>
    <m/>
    <n v="14"/>
    <m/>
    <n v="14"/>
  </r>
  <r>
    <x v="4"/>
    <x v="20"/>
    <n v="3"/>
    <n v="8"/>
    <n v="3"/>
    <n v="14"/>
  </r>
  <r>
    <x v="4"/>
    <x v="21"/>
    <n v="4"/>
    <n v="3"/>
    <m/>
    <n v="7"/>
  </r>
  <r>
    <x v="4"/>
    <x v="22"/>
    <m/>
    <n v="12"/>
    <m/>
    <n v="12"/>
  </r>
  <r>
    <x v="4"/>
    <x v="23"/>
    <n v="1"/>
    <n v="10"/>
    <n v="3"/>
    <n v="14"/>
  </r>
  <r>
    <x v="4"/>
    <x v="24"/>
    <n v="3"/>
    <m/>
    <m/>
    <n v="3"/>
  </r>
  <r>
    <x v="4"/>
    <x v="25"/>
    <n v="2"/>
    <n v="11"/>
    <m/>
    <n v="13"/>
  </r>
  <r>
    <x v="4"/>
    <x v="26"/>
    <m/>
    <n v="14"/>
    <m/>
    <n v="14"/>
  </r>
  <r>
    <x v="4"/>
    <x v="27"/>
    <n v="1"/>
    <n v="4"/>
    <m/>
    <n v="5"/>
  </r>
  <r>
    <x v="4"/>
    <x v="28"/>
    <n v="4"/>
    <n v="7"/>
    <n v="1"/>
    <n v="12"/>
  </r>
  <r>
    <x v="4"/>
    <x v="29"/>
    <n v="1"/>
    <n v="9"/>
    <m/>
    <n v="10"/>
  </r>
  <r>
    <x v="4"/>
    <x v="30"/>
    <n v="2"/>
    <n v="1"/>
    <m/>
    <n v="3"/>
  </r>
  <r>
    <x v="4"/>
    <x v="31"/>
    <n v="2"/>
    <n v="4"/>
    <m/>
    <n v="6"/>
  </r>
  <r>
    <x v="5"/>
    <x v="0"/>
    <n v="3"/>
    <n v="1"/>
    <m/>
    <n v="4"/>
  </r>
  <r>
    <x v="5"/>
    <x v="1"/>
    <n v="1"/>
    <n v="23"/>
    <m/>
    <n v="24"/>
  </r>
  <r>
    <x v="5"/>
    <x v="2"/>
    <n v="1"/>
    <n v="5"/>
    <m/>
    <n v="6"/>
  </r>
  <r>
    <x v="5"/>
    <x v="3"/>
    <n v="2"/>
    <n v="12"/>
    <n v="25"/>
    <n v="39"/>
  </r>
  <r>
    <x v="5"/>
    <x v="4"/>
    <n v="7"/>
    <n v="1"/>
    <m/>
    <n v="8"/>
  </r>
  <r>
    <x v="5"/>
    <x v="5"/>
    <n v="1"/>
    <n v="1"/>
    <m/>
    <n v="2"/>
  </r>
  <r>
    <x v="5"/>
    <x v="6"/>
    <n v="1"/>
    <n v="15"/>
    <n v="1"/>
    <n v="17"/>
  </r>
  <r>
    <x v="5"/>
    <x v="7"/>
    <n v="4"/>
    <m/>
    <m/>
    <n v="4"/>
  </r>
  <r>
    <x v="5"/>
    <x v="8"/>
    <n v="1"/>
    <n v="7"/>
    <m/>
    <n v="8"/>
  </r>
  <r>
    <x v="5"/>
    <x v="9"/>
    <n v="3"/>
    <m/>
    <m/>
    <n v="3"/>
  </r>
  <r>
    <x v="5"/>
    <x v="10"/>
    <n v="1"/>
    <n v="5"/>
    <m/>
    <n v="6"/>
  </r>
  <r>
    <x v="5"/>
    <x v="11"/>
    <n v="2"/>
    <m/>
    <m/>
    <n v="2"/>
  </r>
  <r>
    <x v="5"/>
    <x v="12"/>
    <n v="3"/>
    <n v="2"/>
    <m/>
    <n v="5"/>
  </r>
  <r>
    <x v="5"/>
    <x v="13"/>
    <n v="5"/>
    <n v="8"/>
    <m/>
    <n v="13"/>
  </r>
  <r>
    <x v="5"/>
    <x v="14"/>
    <n v="11"/>
    <m/>
    <m/>
    <n v="11"/>
  </r>
  <r>
    <x v="5"/>
    <x v="15"/>
    <n v="1"/>
    <n v="51"/>
    <n v="9"/>
    <n v="61"/>
  </r>
  <r>
    <x v="5"/>
    <x v="16"/>
    <n v="2"/>
    <n v="1"/>
    <m/>
    <n v="3"/>
  </r>
  <r>
    <x v="5"/>
    <x v="17"/>
    <n v="1"/>
    <n v="1"/>
    <m/>
    <n v="2"/>
  </r>
  <r>
    <x v="5"/>
    <x v="18"/>
    <n v="1"/>
    <n v="10"/>
    <n v="1"/>
    <n v="12"/>
  </r>
  <r>
    <x v="5"/>
    <x v="19"/>
    <m/>
    <n v="14"/>
    <m/>
    <n v="14"/>
  </r>
  <r>
    <x v="5"/>
    <x v="20"/>
    <n v="3"/>
    <n v="8"/>
    <n v="3"/>
    <n v="14"/>
  </r>
  <r>
    <x v="5"/>
    <x v="21"/>
    <n v="4"/>
    <n v="3"/>
    <m/>
    <n v="7"/>
  </r>
  <r>
    <x v="5"/>
    <x v="22"/>
    <m/>
    <n v="12"/>
    <m/>
    <n v="12"/>
  </r>
  <r>
    <x v="5"/>
    <x v="23"/>
    <n v="1"/>
    <n v="10"/>
    <n v="3"/>
    <n v="14"/>
  </r>
  <r>
    <x v="5"/>
    <x v="24"/>
    <n v="3"/>
    <m/>
    <m/>
    <n v="3"/>
  </r>
  <r>
    <x v="5"/>
    <x v="25"/>
    <n v="2"/>
    <n v="11"/>
    <m/>
    <n v="13"/>
  </r>
  <r>
    <x v="5"/>
    <x v="26"/>
    <m/>
    <n v="14"/>
    <m/>
    <n v="14"/>
  </r>
  <r>
    <x v="5"/>
    <x v="27"/>
    <n v="1"/>
    <n v="4"/>
    <m/>
    <n v="5"/>
  </r>
  <r>
    <x v="5"/>
    <x v="28"/>
    <n v="4"/>
    <n v="7"/>
    <n v="1"/>
    <n v="12"/>
  </r>
  <r>
    <x v="5"/>
    <x v="29"/>
    <n v="1"/>
    <n v="9"/>
    <m/>
    <n v="10"/>
  </r>
  <r>
    <x v="5"/>
    <x v="30"/>
    <n v="2"/>
    <n v="1"/>
    <m/>
    <n v="3"/>
  </r>
  <r>
    <x v="5"/>
    <x v="31"/>
    <n v="2"/>
    <n v="4"/>
    <m/>
    <n v="6"/>
  </r>
  <r>
    <x v="6"/>
    <x v="0"/>
    <n v="3"/>
    <n v="1"/>
    <m/>
    <n v="4"/>
  </r>
  <r>
    <x v="6"/>
    <x v="1"/>
    <n v="1"/>
    <n v="23"/>
    <m/>
    <n v="24"/>
  </r>
  <r>
    <x v="6"/>
    <x v="2"/>
    <n v="1"/>
    <n v="5"/>
    <m/>
    <n v="6"/>
  </r>
  <r>
    <x v="6"/>
    <x v="3"/>
    <n v="2"/>
    <n v="12"/>
    <n v="25"/>
    <n v="39"/>
  </r>
  <r>
    <x v="6"/>
    <x v="4"/>
    <n v="7"/>
    <n v="1"/>
    <m/>
    <n v="8"/>
  </r>
  <r>
    <x v="6"/>
    <x v="5"/>
    <n v="1"/>
    <n v="1"/>
    <m/>
    <n v="2"/>
  </r>
  <r>
    <x v="6"/>
    <x v="6"/>
    <n v="1"/>
    <n v="15"/>
    <n v="1"/>
    <n v="17"/>
  </r>
  <r>
    <x v="6"/>
    <x v="7"/>
    <n v="4"/>
    <m/>
    <m/>
    <n v="4"/>
  </r>
  <r>
    <x v="6"/>
    <x v="8"/>
    <n v="1"/>
    <n v="7"/>
    <m/>
    <n v="8"/>
  </r>
  <r>
    <x v="6"/>
    <x v="9"/>
    <n v="3"/>
    <m/>
    <m/>
    <n v="3"/>
  </r>
  <r>
    <x v="6"/>
    <x v="10"/>
    <n v="1"/>
    <n v="5"/>
    <m/>
    <n v="6"/>
  </r>
  <r>
    <x v="6"/>
    <x v="11"/>
    <n v="2"/>
    <m/>
    <m/>
    <n v="2"/>
  </r>
  <r>
    <x v="6"/>
    <x v="12"/>
    <n v="3"/>
    <n v="2"/>
    <m/>
    <n v="5"/>
  </r>
  <r>
    <x v="6"/>
    <x v="13"/>
    <n v="5"/>
    <n v="8"/>
    <m/>
    <n v="13"/>
  </r>
  <r>
    <x v="6"/>
    <x v="14"/>
    <n v="11"/>
    <m/>
    <m/>
    <n v="11"/>
  </r>
  <r>
    <x v="6"/>
    <x v="15"/>
    <n v="1"/>
    <n v="51"/>
    <n v="9"/>
    <n v="61"/>
  </r>
  <r>
    <x v="6"/>
    <x v="16"/>
    <n v="2"/>
    <n v="1"/>
    <m/>
    <n v="3"/>
  </r>
  <r>
    <x v="6"/>
    <x v="17"/>
    <n v="1"/>
    <n v="1"/>
    <m/>
    <n v="2"/>
  </r>
  <r>
    <x v="6"/>
    <x v="18"/>
    <n v="1"/>
    <n v="10"/>
    <n v="1"/>
    <n v="12"/>
  </r>
  <r>
    <x v="6"/>
    <x v="19"/>
    <m/>
    <n v="14"/>
    <m/>
    <n v="14"/>
  </r>
  <r>
    <x v="6"/>
    <x v="20"/>
    <n v="3"/>
    <n v="8"/>
    <n v="3"/>
    <n v="14"/>
  </r>
  <r>
    <x v="6"/>
    <x v="21"/>
    <n v="4"/>
    <n v="3"/>
    <m/>
    <n v="7"/>
  </r>
  <r>
    <x v="6"/>
    <x v="22"/>
    <m/>
    <n v="12"/>
    <m/>
    <n v="12"/>
  </r>
  <r>
    <x v="6"/>
    <x v="23"/>
    <n v="1"/>
    <n v="10"/>
    <n v="3"/>
    <n v="14"/>
  </r>
  <r>
    <x v="6"/>
    <x v="24"/>
    <n v="3"/>
    <m/>
    <m/>
    <n v="3"/>
  </r>
  <r>
    <x v="6"/>
    <x v="25"/>
    <n v="2"/>
    <n v="11"/>
    <m/>
    <n v="13"/>
  </r>
  <r>
    <x v="6"/>
    <x v="26"/>
    <m/>
    <n v="14"/>
    <m/>
    <n v="14"/>
  </r>
  <r>
    <x v="6"/>
    <x v="27"/>
    <n v="1"/>
    <n v="4"/>
    <m/>
    <n v="5"/>
  </r>
  <r>
    <x v="6"/>
    <x v="28"/>
    <n v="4"/>
    <n v="7"/>
    <n v="1"/>
    <n v="12"/>
  </r>
  <r>
    <x v="6"/>
    <x v="29"/>
    <n v="1"/>
    <n v="9"/>
    <m/>
    <n v="10"/>
  </r>
  <r>
    <x v="6"/>
    <x v="30"/>
    <n v="2"/>
    <n v="1"/>
    <m/>
    <n v="3"/>
  </r>
  <r>
    <x v="6"/>
    <x v="31"/>
    <n v="2"/>
    <n v="4"/>
    <m/>
    <n v="6"/>
  </r>
  <r>
    <x v="7"/>
    <x v="0"/>
    <n v="3"/>
    <n v="1"/>
    <m/>
    <n v="4"/>
  </r>
  <r>
    <x v="7"/>
    <x v="1"/>
    <n v="1"/>
    <n v="23"/>
    <m/>
    <n v="24"/>
  </r>
  <r>
    <x v="7"/>
    <x v="2"/>
    <n v="1"/>
    <n v="5"/>
    <m/>
    <n v="6"/>
  </r>
  <r>
    <x v="7"/>
    <x v="3"/>
    <n v="2"/>
    <n v="12"/>
    <n v="25"/>
    <n v="39"/>
  </r>
  <r>
    <x v="7"/>
    <x v="4"/>
    <n v="7"/>
    <n v="1"/>
    <m/>
    <n v="8"/>
  </r>
  <r>
    <x v="7"/>
    <x v="5"/>
    <n v="1"/>
    <n v="1"/>
    <m/>
    <n v="2"/>
  </r>
  <r>
    <x v="7"/>
    <x v="6"/>
    <n v="1"/>
    <n v="15"/>
    <n v="1"/>
    <n v="17"/>
  </r>
  <r>
    <x v="7"/>
    <x v="7"/>
    <n v="4"/>
    <m/>
    <m/>
    <n v="4"/>
  </r>
  <r>
    <x v="7"/>
    <x v="8"/>
    <n v="1"/>
    <n v="7"/>
    <m/>
    <n v="8"/>
  </r>
  <r>
    <x v="7"/>
    <x v="9"/>
    <n v="3"/>
    <m/>
    <m/>
    <n v="3"/>
  </r>
  <r>
    <x v="7"/>
    <x v="10"/>
    <n v="1"/>
    <n v="5"/>
    <m/>
    <n v="6"/>
  </r>
  <r>
    <x v="7"/>
    <x v="11"/>
    <n v="2"/>
    <m/>
    <m/>
    <n v="2"/>
  </r>
  <r>
    <x v="7"/>
    <x v="12"/>
    <n v="3"/>
    <n v="2"/>
    <m/>
    <n v="5"/>
  </r>
  <r>
    <x v="7"/>
    <x v="13"/>
    <n v="5"/>
    <n v="8"/>
    <m/>
    <n v="13"/>
  </r>
  <r>
    <x v="7"/>
    <x v="14"/>
    <n v="11"/>
    <m/>
    <m/>
    <n v="11"/>
  </r>
  <r>
    <x v="7"/>
    <x v="15"/>
    <n v="1"/>
    <n v="51"/>
    <n v="9"/>
    <n v="61"/>
  </r>
  <r>
    <x v="7"/>
    <x v="16"/>
    <n v="2"/>
    <n v="1"/>
    <m/>
    <n v="3"/>
  </r>
  <r>
    <x v="7"/>
    <x v="17"/>
    <n v="1"/>
    <n v="1"/>
    <m/>
    <n v="2"/>
  </r>
  <r>
    <x v="7"/>
    <x v="18"/>
    <n v="1"/>
    <n v="10"/>
    <n v="1"/>
    <n v="12"/>
  </r>
  <r>
    <x v="7"/>
    <x v="19"/>
    <m/>
    <n v="14"/>
    <m/>
    <n v="14"/>
  </r>
  <r>
    <x v="7"/>
    <x v="20"/>
    <n v="3"/>
    <n v="8"/>
    <n v="3"/>
    <n v="14"/>
  </r>
  <r>
    <x v="7"/>
    <x v="21"/>
    <n v="4"/>
    <n v="3"/>
    <m/>
    <n v="7"/>
  </r>
  <r>
    <x v="7"/>
    <x v="22"/>
    <m/>
    <n v="12"/>
    <m/>
    <n v="12"/>
  </r>
  <r>
    <x v="7"/>
    <x v="23"/>
    <n v="1"/>
    <n v="10"/>
    <n v="3"/>
    <n v="14"/>
  </r>
  <r>
    <x v="7"/>
    <x v="24"/>
    <n v="3"/>
    <m/>
    <m/>
    <n v="3"/>
  </r>
  <r>
    <x v="7"/>
    <x v="25"/>
    <n v="2"/>
    <n v="11"/>
    <m/>
    <n v="13"/>
  </r>
  <r>
    <x v="7"/>
    <x v="26"/>
    <m/>
    <n v="14"/>
    <m/>
    <n v="14"/>
  </r>
  <r>
    <x v="7"/>
    <x v="27"/>
    <n v="1"/>
    <n v="4"/>
    <m/>
    <n v="5"/>
  </r>
  <r>
    <x v="7"/>
    <x v="28"/>
    <n v="4"/>
    <n v="7"/>
    <n v="1"/>
    <n v="12"/>
  </r>
  <r>
    <x v="7"/>
    <x v="29"/>
    <n v="1"/>
    <n v="9"/>
    <m/>
    <n v="10"/>
  </r>
  <r>
    <x v="7"/>
    <x v="30"/>
    <n v="2"/>
    <n v="1"/>
    <m/>
    <n v="3"/>
  </r>
  <r>
    <x v="7"/>
    <x v="31"/>
    <n v="2"/>
    <n v="4"/>
    <m/>
    <n v="6"/>
  </r>
  <r>
    <x v="8"/>
    <x v="0"/>
    <n v="3"/>
    <n v="1"/>
    <m/>
    <n v="4"/>
  </r>
  <r>
    <x v="8"/>
    <x v="1"/>
    <n v="1"/>
    <n v="23"/>
    <m/>
    <n v="24"/>
  </r>
  <r>
    <x v="8"/>
    <x v="2"/>
    <n v="1"/>
    <n v="5"/>
    <m/>
    <n v="6"/>
  </r>
  <r>
    <x v="8"/>
    <x v="3"/>
    <n v="2"/>
    <n v="12"/>
    <n v="25"/>
    <n v="39"/>
  </r>
  <r>
    <x v="8"/>
    <x v="4"/>
    <n v="7"/>
    <n v="1"/>
    <m/>
    <n v="8"/>
  </r>
  <r>
    <x v="8"/>
    <x v="5"/>
    <n v="1"/>
    <n v="1"/>
    <m/>
    <n v="2"/>
  </r>
  <r>
    <x v="8"/>
    <x v="6"/>
    <n v="1"/>
    <n v="15"/>
    <n v="1"/>
    <n v="17"/>
  </r>
  <r>
    <x v="8"/>
    <x v="7"/>
    <n v="4"/>
    <m/>
    <m/>
    <n v="4"/>
  </r>
  <r>
    <x v="8"/>
    <x v="8"/>
    <n v="1"/>
    <n v="7"/>
    <m/>
    <n v="8"/>
  </r>
  <r>
    <x v="8"/>
    <x v="9"/>
    <n v="3"/>
    <m/>
    <m/>
    <n v="3"/>
  </r>
  <r>
    <x v="8"/>
    <x v="10"/>
    <n v="1"/>
    <n v="5"/>
    <m/>
    <n v="6"/>
  </r>
  <r>
    <x v="8"/>
    <x v="11"/>
    <n v="2"/>
    <m/>
    <m/>
    <n v="2"/>
  </r>
  <r>
    <x v="8"/>
    <x v="12"/>
    <n v="3"/>
    <n v="2"/>
    <m/>
    <n v="5"/>
  </r>
  <r>
    <x v="8"/>
    <x v="13"/>
    <n v="5"/>
    <n v="8"/>
    <m/>
    <n v="13"/>
  </r>
  <r>
    <x v="8"/>
    <x v="14"/>
    <n v="11"/>
    <m/>
    <m/>
    <n v="11"/>
  </r>
  <r>
    <x v="8"/>
    <x v="15"/>
    <n v="1"/>
    <n v="51"/>
    <n v="9"/>
    <n v="61"/>
  </r>
  <r>
    <x v="8"/>
    <x v="16"/>
    <n v="2"/>
    <n v="1"/>
    <m/>
    <n v="3"/>
  </r>
  <r>
    <x v="8"/>
    <x v="17"/>
    <n v="1"/>
    <n v="1"/>
    <m/>
    <n v="2"/>
  </r>
  <r>
    <x v="8"/>
    <x v="18"/>
    <n v="1"/>
    <n v="10"/>
    <n v="1"/>
    <n v="12"/>
  </r>
  <r>
    <x v="8"/>
    <x v="19"/>
    <m/>
    <n v="14"/>
    <m/>
    <n v="14"/>
  </r>
  <r>
    <x v="8"/>
    <x v="20"/>
    <n v="3"/>
    <n v="8"/>
    <n v="3"/>
    <n v="14"/>
  </r>
  <r>
    <x v="8"/>
    <x v="21"/>
    <n v="4"/>
    <n v="3"/>
    <m/>
    <n v="7"/>
  </r>
  <r>
    <x v="8"/>
    <x v="22"/>
    <m/>
    <n v="12"/>
    <m/>
    <n v="12"/>
  </r>
  <r>
    <x v="8"/>
    <x v="23"/>
    <n v="1"/>
    <n v="10"/>
    <n v="3"/>
    <n v="14"/>
  </r>
  <r>
    <x v="8"/>
    <x v="24"/>
    <n v="3"/>
    <m/>
    <m/>
    <n v="3"/>
  </r>
  <r>
    <x v="8"/>
    <x v="25"/>
    <n v="2"/>
    <n v="11"/>
    <m/>
    <n v="13"/>
  </r>
  <r>
    <x v="8"/>
    <x v="26"/>
    <m/>
    <n v="14"/>
    <m/>
    <n v="14"/>
  </r>
  <r>
    <x v="8"/>
    <x v="27"/>
    <n v="1"/>
    <n v="4"/>
    <m/>
    <n v="5"/>
  </r>
  <r>
    <x v="8"/>
    <x v="28"/>
    <n v="4"/>
    <n v="7"/>
    <n v="1"/>
    <n v="12"/>
  </r>
  <r>
    <x v="8"/>
    <x v="29"/>
    <n v="1"/>
    <n v="9"/>
    <m/>
    <n v="10"/>
  </r>
  <r>
    <x v="8"/>
    <x v="30"/>
    <n v="2"/>
    <n v="1"/>
    <m/>
    <n v="3"/>
  </r>
  <r>
    <x v="8"/>
    <x v="31"/>
    <n v="2"/>
    <n v="4"/>
    <m/>
    <n v="6"/>
  </r>
  <r>
    <x v="9"/>
    <x v="0"/>
    <n v="3"/>
    <n v="1"/>
    <m/>
    <n v="4"/>
  </r>
  <r>
    <x v="9"/>
    <x v="1"/>
    <n v="1"/>
    <n v="23"/>
    <m/>
    <n v="24"/>
  </r>
  <r>
    <x v="9"/>
    <x v="2"/>
    <n v="1"/>
    <n v="5"/>
    <m/>
    <n v="6"/>
  </r>
  <r>
    <x v="9"/>
    <x v="3"/>
    <n v="2"/>
    <n v="12"/>
    <n v="25"/>
    <n v="39"/>
  </r>
  <r>
    <x v="9"/>
    <x v="4"/>
    <n v="7"/>
    <n v="1"/>
    <m/>
    <n v="8"/>
  </r>
  <r>
    <x v="9"/>
    <x v="5"/>
    <n v="1"/>
    <n v="1"/>
    <m/>
    <n v="2"/>
  </r>
  <r>
    <x v="9"/>
    <x v="6"/>
    <n v="1"/>
    <n v="15"/>
    <n v="1"/>
    <n v="17"/>
  </r>
  <r>
    <x v="9"/>
    <x v="7"/>
    <n v="4"/>
    <m/>
    <m/>
    <n v="4"/>
  </r>
  <r>
    <x v="9"/>
    <x v="8"/>
    <n v="1"/>
    <n v="7"/>
    <m/>
    <n v="8"/>
  </r>
  <r>
    <x v="9"/>
    <x v="9"/>
    <n v="3"/>
    <m/>
    <m/>
    <n v="3"/>
  </r>
  <r>
    <x v="9"/>
    <x v="10"/>
    <n v="1"/>
    <n v="5"/>
    <m/>
    <n v="6"/>
  </r>
  <r>
    <x v="9"/>
    <x v="11"/>
    <n v="2"/>
    <m/>
    <m/>
    <n v="2"/>
  </r>
  <r>
    <x v="9"/>
    <x v="12"/>
    <n v="3"/>
    <n v="2"/>
    <m/>
    <n v="5"/>
  </r>
  <r>
    <x v="9"/>
    <x v="13"/>
    <n v="5"/>
    <n v="8"/>
    <m/>
    <n v="13"/>
  </r>
  <r>
    <x v="9"/>
    <x v="14"/>
    <n v="11"/>
    <m/>
    <m/>
    <n v="11"/>
  </r>
  <r>
    <x v="9"/>
    <x v="15"/>
    <n v="1"/>
    <n v="51"/>
    <n v="9"/>
    <n v="61"/>
  </r>
  <r>
    <x v="9"/>
    <x v="16"/>
    <n v="2"/>
    <n v="1"/>
    <m/>
    <n v="3"/>
  </r>
  <r>
    <x v="9"/>
    <x v="17"/>
    <n v="1"/>
    <n v="1"/>
    <m/>
    <n v="2"/>
  </r>
  <r>
    <x v="9"/>
    <x v="18"/>
    <n v="1"/>
    <n v="10"/>
    <n v="1"/>
    <n v="12"/>
  </r>
  <r>
    <x v="9"/>
    <x v="19"/>
    <m/>
    <n v="14"/>
    <m/>
    <n v="14"/>
  </r>
  <r>
    <x v="9"/>
    <x v="20"/>
    <n v="3"/>
    <n v="8"/>
    <n v="3"/>
    <n v="14"/>
  </r>
  <r>
    <x v="9"/>
    <x v="21"/>
    <n v="4"/>
    <n v="3"/>
    <m/>
    <n v="7"/>
  </r>
  <r>
    <x v="9"/>
    <x v="22"/>
    <m/>
    <n v="12"/>
    <m/>
    <n v="12"/>
  </r>
  <r>
    <x v="9"/>
    <x v="23"/>
    <n v="1"/>
    <n v="10"/>
    <n v="3"/>
    <n v="14"/>
  </r>
  <r>
    <x v="9"/>
    <x v="24"/>
    <n v="3"/>
    <m/>
    <m/>
    <n v="3"/>
  </r>
  <r>
    <x v="9"/>
    <x v="25"/>
    <n v="2"/>
    <n v="11"/>
    <m/>
    <n v="13"/>
  </r>
  <r>
    <x v="9"/>
    <x v="26"/>
    <m/>
    <n v="14"/>
    <m/>
    <n v="14"/>
  </r>
  <r>
    <x v="9"/>
    <x v="27"/>
    <n v="1"/>
    <n v="4"/>
    <m/>
    <n v="5"/>
  </r>
  <r>
    <x v="9"/>
    <x v="28"/>
    <n v="4"/>
    <n v="7"/>
    <m/>
    <n v="12"/>
  </r>
  <r>
    <x v="9"/>
    <x v="29"/>
    <n v="1"/>
    <n v="9"/>
    <m/>
    <n v="10"/>
  </r>
  <r>
    <x v="9"/>
    <x v="30"/>
    <n v="2"/>
    <n v="1"/>
    <m/>
    <n v="3"/>
  </r>
  <r>
    <x v="9"/>
    <x v="31"/>
    <n v="2"/>
    <n v="4"/>
    <m/>
    <n v="6"/>
  </r>
  <r>
    <x v="10"/>
    <x v="0"/>
    <n v="3"/>
    <n v="1"/>
    <m/>
    <n v="4"/>
  </r>
  <r>
    <x v="10"/>
    <x v="1"/>
    <n v="1"/>
    <n v="23"/>
    <m/>
    <n v="24"/>
  </r>
  <r>
    <x v="10"/>
    <x v="2"/>
    <n v="1"/>
    <n v="5"/>
    <m/>
    <n v="6"/>
  </r>
  <r>
    <x v="10"/>
    <x v="3"/>
    <n v="2"/>
    <n v="12"/>
    <n v="25"/>
    <n v="39"/>
  </r>
  <r>
    <x v="10"/>
    <x v="4"/>
    <n v="7"/>
    <n v="1"/>
    <m/>
    <n v="8"/>
  </r>
  <r>
    <x v="10"/>
    <x v="5"/>
    <n v="1"/>
    <n v="1"/>
    <m/>
    <n v="2"/>
  </r>
  <r>
    <x v="10"/>
    <x v="6"/>
    <n v="1"/>
    <n v="15"/>
    <n v="1"/>
    <n v="17"/>
  </r>
  <r>
    <x v="10"/>
    <x v="7"/>
    <n v="4"/>
    <m/>
    <m/>
    <n v="4"/>
  </r>
  <r>
    <x v="10"/>
    <x v="8"/>
    <n v="1"/>
    <n v="7"/>
    <m/>
    <n v="8"/>
  </r>
  <r>
    <x v="10"/>
    <x v="9"/>
    <n v="3"/>
    <m/>
    <m/>
    <n v="3"/>
  </r>
  <r>
    <x v="10"/>
    <x v="10"/>
    <n v="1"/>
    <n v="5"/>
    <m/>
    <n v="6"/>
  </r>
  <r>
    <x v="10"/>
    <x v="11"/>
    <n v="2"/>
    <m/>
    <m/>
    <n v="2"/>
  </r>
  <r>
    <x v="10"/>
    <x v="12"/>
    <n v="3"/>
    <n v="2"/>
    <m/>
    <n v="5"/>
  </r>
  <r>
    <x v="10"/>
    <x v="13"/>
    <n v="5"/>
    <n v="8"/>
    <m/>
    <n v="13"/>
  </r>
  <r>
    <x v="10"/>
    <x v="14"/>
    <n v="11"/>
    <m/>
    <m/>
    <n v="11"/>
  </r>
  <r>
    <x v="10"/>
    <x v="15"/>
    <n v="1"/>
    <n v="51"/>
    <n v="9"/>
    <n v="61"/>
  </r>
  <r>
    <x v="10"/>
    <x v="16"/>
    <n v="2"/>
    <n v="1"/>
    <m/>
    <n v="3"/>
  </r>
  <r>
    <x v="10"/>
    <x v="17"/>
    <n v="1"/>
    <n v="1"/>
    <m/>
    <n v="2"/>
  </r>
  <r>
    <x v="10"/>
    <x v="18"/>
    <n v="1"/>
    <n v="10"/>
    <n v="1"/>
    <n v="12"/>
  </r>
  <r>
    <x v="10"/>
    <x v="19"/>
    <m/>
    <n v="14"/>
    <m/>
    <n v="14"/>
  </r>
  <r>
    <x v="10"/>
    <x v="20"/>
    <n v="3"/>
    <n v="8"/>
    <n v="3"/>
    <n v="14"/>
  </r>
  <r>
    <x v="10"/>
    <x v="21"/>
    <n v="4"/>
    <n v="3"/>
    <m/>
    <n v="7"/>
  </r>
  <r>
    <x v="10"/>
    <x v="22"/>
    <m/>
    <n v="12"/>
    <m/>
    <n v="12"/>
  </r>
  <r>
    <x v="10"/>
    <x v="23"/>
    <n v="1"/>
    <n v="10"/>
    <n v="3"/>
    <n v="14"/>
  </r>
  <r>
    <x v="10"/>
    <x v="24"/>
    <n v="3"/>
    <m/>
    <m/>
    <n v="3"/>
  </r>
  <r>
    <x v="10"/>
    <x v="25"/>
    <n v="2"/>
    <n v="11"/>
    <m/>
    <n v="13"/>
  </r>
  <r>
    <x v="10"/>
    <x v="26"/>
    <m/>
    <n v="14"/>
    <m/>
    <n v="14"/>
  </r>
  <r>
    <x v="10"/>
    <x v="27"/>
    <n v="1"/>
    <n v="4"/>
    <m/>
    <n v="5"/>
  </r>
  <r>
    <x v="10"/>
    <x v="28"/>
    <n v="4"/>
    <n v="7"/>
    <m/>
    <n v="12"/>
  </r>
  <r>
    <x v="10"/>
    <x v="29"/>
    <n v="1"/>
    <n v="9"/>
    <m/>
    <n v="10"/>
  </r>
  <r>
    <x v="10"/>
    <x v="30"/>
    <n v="2"/>
    <n v="1"/>
    <m/>
    <n v="3"/>
  </r>
  <r>
    <x v="10"/>
    <x v="31"/>
    <n v="2"/>
    <n v="4"/>
    <m/>
    <n v="6"/>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9522"/>
    <n v="8378"/>
    <n v="6148"/>
    <n v="21422"/>
    <n v="45974"/>
    <n v="43449"/>
    <n v="0"/>
    <n v="134893"/>
  </r>
  <r>
    <x v="1"/>
    <n v="9301"/>
    <n v="8100"/>
    <n v="5611"/>
    <n v="17596"/>
    <n v="41757"/>
    <n v="43048"/>
    <n v="0"/>
    <n v="125413"/>
  </r>
  <r>
    <x v="2"/>
    <n v="9270"/>
    <n v="8385"/>
    <n v="5779"/>
    <n v="17567"/>
    <n v="43991"/>
    <n v="49733"/>
    <n v="0"/>
    <n v="134725"/>
  </r>
  <r>
    <x v="3"/>
    <n v="7684"/>
    <n v="7945"/>
    <n v="5617"/>
    <n v="13019"/>
    <n v="42665"/>
    <n v="52260"/>
    <n v="0"/>
    <n v="129190"/>
  </r>
  <r>
    <x v="4"/>
    <n v="7694"/>
    <n v="7954"/>
    <n v="5364"/>
    <n v="13881"/>
    <n v="42205"/>
    <n v="50848"/>
    <n v="0"/>
    <n v="127946"/>
  </r>
  <r>
    <x v="5"/>
    <n v="7266"/>
    <n v="7987"/>
    <n v="5517"/>
    <n v="13947"/>
    <n v="41141"/>
    <n v="48727"/>
    <n v="0"/>
    <n v="124585"/>
  </r>
  <r>
    <x v="6"/>
    <n v="7040"/>
    <n v="7889"/>
    <n v="5512"/>
    <n v="13665"/>
    <n v="40173"/>
    <n v="48769"/>
    <n v="0"/>
    <n v="123048"/>
  </r>
  <r>
    <x v="7"/>
    <n v="1270"/>
    <n v="1639"/>
    <n v="1291"/>
    <n v="2992"/>
    <n v="9416"/>
    <n v="16017"/>
    <n v="0"/>
    <n v="32625"/>
  </r>
  <r>
    <x v="8"/>
    <n v="2198"/>
    <n v="2826"/>
    <n v="2403"/>
    <n v="5628"/>
    <n v="18596"/>
    <n v="39107"/>
    <n v="0"/>
    <n v="70758"/>
  </r>
  <r>
    <x v="9"/>
    <n v="2300"/>
    <n v="3133"/>
    <n v="2463"/>
    <n v="5787"/>
    <n v="18149"/>
    <n v="30792"/>
    <n v="0"/>
    <n v="62624"/>
  </r>
  <r>
    <x v="10"/>
    <n v="2410"/>
    <n v="3147"/>
    <n v="2485"/>
    <n v="6086"/>
    <n v="18432"/>
    <n v="28179"/>
    <n v="0"/>
    <n v="60739"/>
  </r>
  <r>
    <x v="11"/>
    <n v="1993"/>
    <n v="2601"/>
    <n v="2090"/>
    <n v="5412"/>
    <n v="16549"/>
    <n v="25840"/>
    <n v="38"/>
    <n v="54523"/>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n v="146"/>
    <n v="4055"/>
    <n v="160"/>
    <n v="2879"/>
    <m/>
    <m/>
    <n v="199"/>
    <n v="34"/>
    <n v="650"/>
    <n v="464"/>
    <n v="63"/>
    <n v="374"/>
  </r>
  <r>
    <x v="1"/>
    <n v="175"/>
    <n v="3371"/>
    <n v="171"/>
    <n v="2692"/>
    <m/>
    <m/>
    <n v="158"/>
    <n v="31"/>
    <n v="476"/>
    <n v="370"/>
    <n v="55"/>
    <n v="277"/>
  </r>
  <r>
    <x v="2"/>
    <n v="159"/>
    <n v="3842"/>
    <n v="178"/>
    <n v="2762"/>
    <m/>
    <m/>
    <n v="199"/>
    <n v="24"/>
    <n v="545"/>
    <n v="416"/>
    <n v="52"/>
    <n v="307"/>
  </r>
  <r>
    <x v="3"/>
    <n v="164"/>
    <n v="3692"/>
    <n v="172"/>
    <n v="2778"/>
    <m/>
    <m/>
    <n v="192"/>
    <n v="38"/>
    <n v="480"/>
    <n v="387"/>
    <n v="56"/>
    <n v="322"/>
  </r>
  <r>
    <x v="4"/>
    <n v="167"/>
    <n v="3523"/>
    <n v="163"/>
    <n v="2707"/>
    <m/>
    <m/>
    <n v="171"/>
    <n v="32"/>
    <n v="463"/>
    <n v="365"/>
    <n v="56"/>
    <n v="286"/>
  </r>
  <r>
    <x v="5"/>
    <n v="196"/>
    <n v="3441"/>
    <n v="201"/>
    <n v="2734"/>
    <n v="1"/>
    <n v="17"/>
    <n v="172"/>
    <n v="35"/>
    <n v="427"/>
    <n v="365"/>
    <n v="54"/>
    <n v="263"/>
  </r>
  <r>
    <x v="6"/>
    <n v="222"/>
    <n v="3414"/>
    <n v="208"/>
    <n v="2729"/>
    <n v="7"/>
    <n v="29"/>
    <n v="156"/>
    <n v="32"/>
    <n v="447"/>
    <n v="370"/>
    <n v="54"/>
    <n v="261"/>
  </r>
  <r>
    <x v="7"/>
    <n v="178"/>
    <n v="3467"/>
    <n v="158"/>
    <n v="2712"/>
    <m/>
    <m/>
    <n v="139"/>
    <n v="26"/>
    <n v="466"/>
    <n v="372"/>
    <n v="48"/>
    <n v="268"/>
  </r>
  <r>
    <x v="8"/>
    <n v="220"/>
    <n v="3202"/>
    <n v="191"/>
    <n v="2517"/>
    <n v="8"/>
    <n v="47"/>
    <n v="142"/>
    <n v="29"/>
    <n v="482"/>
    <n v="405"/>
    <n v="42"/>
    <n v="227"/>
  </r>
  <r>
    <x v="9"/>
    <n v="158"/>
    <n v="3993"/>
    <n v="173"/>
    <n v="2903"/>
    <m/>
    <m/>
    <n v="203"/>
    <n v="31"/>
    <n v="604"/>
    <n v="482"/>
    <n v="52"/>
    <n v="365"/>
  </r>
  <r>
    <x v="10"/>
    <n v="225"/>
    <n v="3305"/>
    <n v="191"/>
    <n v="2567"/>
    <n v="10"/>
    <n v="43"/>
    <n v="146"/>
    <n v="28"/>
    <n v="501"/>
    <n v="419"/>
    <n v="46"/>
    <n v="231"/>
  </r>
  <r>
    <x v="11"/>
    <n v="227"/>
    <n v="3263"/>
    <n v="185"/>
    <n v="2550"/>
    <n v="9"/>
    <n v="46"/>
    <n v="144"/>
    <n v="28"/>
    <n v="484"/>
    <n v="417"/>
    <n v="40"/>
    <n v="226"/>
  </r>
  <r>
    <x v="12"/>
    <n v="148"/>
    <n v="4011"/>
    <n v="182"/>
    <n v="2870"/>
    <m/>
    <m/>
    <n v="202"/>
    <n v="32"/>
    <n v="649"/>
    <n v="487"/>
    <n v="59"/>
    <n v="400"/>
  </r>
  <r>
    <x v="13"/>
    <n v="219"/>
    <n v="3362"/>
    <n v="197"/>
    <n v="2675"/>
    <n v="11"/>
    <n v="43"/>
    <n v="151"/>
    <n v="31"/>
    <n v="461"/>
    <n v="374"/>
    <n v="52"/>
    <n v="251"/>
  </r>
  <r>
    <x v="14"/>
    <n v="220"/>
    <n v="3210"/>
    <n v="203"/>
    <n v="2502"/>
    <n v="7"/>
    <n v="53"/>
    <n v="139"/>
    <n v="32"/>
    <n v="492"/>
    <n v="425"/>
    <n v="42"/>
    <n v="231"/>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x v="0"/>
    <n v="14"/>
    <n v="38"/>
    <n v="24"/>
    <n v="38"/>
    <n v="8"/>
    <n v="122"/>
  </r>
  <r>
    <x v="0"/>
    <x v="1"/>
    <n v="180"/>
    <n v="209"/>
    <n v="5"/>
    <n v="54"/>
    <n v="16"/>
    <n v="464"/>
  </r>
  <r>
    <x v="1"/>
    <x v="0"/>
    <n v="21"/>
    <n v="23"/>
    <n v="0"/>
    <n v="38"/>
    <n v="6"/>
    <n v="88"/>
  </r>
  <r>
    <x v="1"/>
    <x v="1"/>
    <n v="98"/>
    <n v="200"/>
    <n v="0"/>
    <n v="29"/>
    <n v="15"/>
    <n v="342"/>
  </r>
  <r>
    <x v="2"/>
    <x v="0"/>
    <n v="3"/>
    <n v="7"/>
    <n v="4"/>
    <n v="33"/>
    <n v="1"/>
    <n v="48"/>
  </r>
  <r>
    <x v="2"/>
    <x v="1"/>
    <n v="106"/>
    <n v="126"/>
    <n v="0"/>
    <n v="23"/>
    <n v="7"/>
    <n v="262"/>
  </r>
  <r>
    <x v="3"/>
    <x v="0"/>
    <n v="10"/>
    <n v="21"/>
    <n v="7"/>
    <n v="69"/>
    <n v="2"/>
    <n v="109"/>
  </r>
  <r>
    <x v="3"/>
    <x v="1"/>
    <n v="124"/>
    <n v="140"/>
    <n v="2"/>
    <n v="66"/>
    <n v="8"/>
    <n v="340"/>
  </r>
  <r>
    <x v="4"/>
    <x v="0"/>
    <n v="14"/>
    <n v="16"/>
    <n v="12"/>
    <n v="29"/>
    <n v="0"/>
    <n v="71"/>
  </r>
  <r>
    <x v="4"/>
    <x v="1"/>
    <n v="212"/>
    <n v="183"/>
    <n v="6"/>
    <n v="35"/>
    <n v="15"/>
    <n v="451"/>
  </r>
  <r>
    <x v="5"/>
    <x v="0"/>
    <n v="13"/>
    <n v="26"/>
    <n v="1"/>
    <n v="32"/>
    <n v="3"/>
    <n v="75"/>
  </r>
  <r>
    <x v="5"/>
    <x v="1"/>
    <n v="79"/>
    <n v="222"/>
    <n v="0"/>
    <n v="41"/>
    <n v="15"/>
    <n v="357"/>
  </r>
  <r>
    <x v="6"/>
    <x v="0"/>
    <n v="10"/>
    <n v="27"/>
    <n v="8"/>
    <n v="22"/>
    <n v="5"/>
    <n v="72"/>
  </r>
  <r>
    <x v="6"/>
    <x v="1"/>
    <n v="122"/>
    <n v="179"/>
    <n v="2"/>
    <n v="33"/>
    <n v="17"/>
    <n v="353"/>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x v="0"/>
    <n v="26"/>
    <n v="56"/>
    <n v="8"/>
    <n v="11"/>
    <n v="4"/>
    <n v="105"/>
  </r>
  <r>
    <x v="0"/>
    <x v="1"/>
    <n v="61"/>
    <n v="50"/>
    <n v="9"/>
    <n v="12"/>
    <n v="5"/>
    <n v="137"/>
  </r>
  <r>
    <x v="0"/>
    <x v="2"/>
    <n v="61"/>
    <n v="50"/>
    <n v="7"/>
    <n v="8"/>
    <n v="3"/>
    <n v="129"/>
  </r>
  <r>
    <x v="0"/>
    <x v="3"/>
    <n v="25"/>
    <n v="30"/>
    <n v="5"/>
    <n v="7"/>
    <n v="3"/>
    <n v="70"/>
  </r>
  <r>
    <x v="0"/>
    <x v="4"/>
    <n v="13"/>
    <n v="28"/>
    <n v="0"/>
    <n v="12"/>
    <n v="2"/>
    <n v="55"/>
  </r>
  <r>
    <x v="0"/>
    <x v="5"/>
    <n v="7"/>
    <n v="16"/>
    <n v="0"/>
    <n v="13"/>
    <n v="3"/>
    <n v="39"/>
  </r>
  <r>
    <x v="0"/>
    <x v="6"/>
    <n v="1"/>
    <n v="11"/>
    <n v="0"/>
    <n v="9"/>
    <n v="3"/>
    <n v="24"/>
  </r>
  <r>
    <x v="0"/>
    <x v="7"/>
    <n v="0"/>
    <n v="2"/>
    <n v="0"/>
    <n v="11"/>
    <n v="0"/>
    <n v="13"/>
  </r>
  <r>
    <x v="0"/>
    <x v="8"/>
    <n v="0"/>
    <n v="0"/>
    <n v="0"/>
    <n v="6"/>
    <n v="0"/>
    <n v="6"/>
  </r>
  <r>
    <x v="0"/>
    <x v="9"/>
    <n v="0"/>
    <n v="0"/>
    <n v="0"/>
    <n v="1"/>
    <n v="1"/>
    <n v="2"/>
  </r>
  <r>
    <x v="0"/>
    <x v="10"/>
    <n v="0"/>
    <n v="4"/>
    <n v="0"/>
    <n v="2"/>
    <n v="0"/>
    <n v="6"/>
  </r>
  <r>
    <x v="1"/>
    <x v="0"/>
    <n v="7"/>
    <n v="52"/>
    <n v="0"/>
    <n v="6"/>
    <n v="4"/>
    <n v="69"/>
  </r>
  <r>
    <x v="1"/>
    <x v="1"/>
    <n v="41"/>
    <n v="43"/>
    <n v="0"/>
    <n v="14"/>
    <n v="2"/>
    <n v="100"/>
  </r>
  <r>
    <x v="1"/>
    <x v="2"/>
    <n v="43"/>
    <n v="42"/>
    <n v="0"/>
    <n v="5"/>
    <n v="6"/>
    <n v="96"/>
  </r>
  <r>
    <x v="1"/>
    <x v="3"/>
    <n v="14"/>
    <n v="40"/>
    <n v="0"/>
    <n v="10"/>
    <n v="2"/>
    <n v="66"/>
  </r>
  <r>
    <x v="1"/>
    <x v="4"/>
    <n v="9"/>
    <n v="11"/>
    <n v="0"/>
    <n v="10"/>
    <n v="1"/>
    <n v="31"/>
  </r>
  <r>
    <x v="1"/>
    <x v="5"/>
    <n v="3"/>
    <n v="16"/>
    <n v="0"/>
    <n v="5"/>
    <n v="3"/>
    <n v="27"/>
  </r>
  <r>
    <x v="1"/>
    <x v="6"/>
    <n v="1"/>
    <n v="8"/>
    <n v="0"/>
    <n v="7"/>
    <n v="3"/>
    <n v="19"/>
  </r>
  <r>
    <x v="1"/>
    <x v="7"/>
    <n v="1"/>
    <n v="3"/>
    <n v="0"/>
    <n v="6"/>
    <n v="0"/>
    <n v="10"/>
  </r>
  <r>
    <x v="1"/>
    <x v="8"/>
    <n v="0"/>
    <n v="0"/>
    <n v="0"/>
    <n v="1"/>
    <n v="0"/>
    <n v="1"/>
  </r>
  <r>
    <x v="1"/>
    <x v="10"/>
    <n v="0"/>
    <n v="8"/>
    <n v="0"/>
    <n v="3"/>
    <n v="0"/>
    <n v="11"/>
  </r>
  <r>
    <x v="2"/>
    <x v="0"/>
    <n v="11"/>
    <n v="26"/>
    <n v="1"/>
    <n v="4"/>
    <n v="0"/>
    <n v="42"/>
  </r>
  <r>
    <x v="2"/>
    <x v="1"/>
    <n v="37"/>
    <n v="33"/>
    <n v="0"/>
    <n v="8"/>
    <n v="2"/>
    <n v="80"/>
  </r>
  <r>
    <x v="2"/>
    <x v="2"/>
    <n v="35"/>
    <n v="31"/>
    <n v="1"/>
    <n v="13"/>
    <n v="2"/>
    <n v="82"/>
  </r>
  <r>
    <x v="2"/>
    <x v="3"/>
    <n v="17"/>
    <n v="22"/>
    <n v="0"/>
    <n v="6"/>
    <n v="1"/>
    <n v="46"/>
  </r>
  <r>
    <x v="2"/>
    <x v="4"/>
    <n v="6"/>
    <n v="5"/>
    <n v="1"/>
    <n v="3"/>
    <n v="0"/>
    <n v="15"/>
  </r>
  <r>
    <x v="2"/>
    <x v="5"/>
    <n v="2"/>
    <n v="6"/>
    <n v="0"/>
    <n v="3"/>
    <n v="2"/>
    <n v="13"/>
  </r>
  <r>
    <x v="2"/>
    <x v="6"/>
    <n v="0"/>
    <n v="6"/>
    <n v="0"/>
    <n v="8"/>
    <n v="0"/>
    <n v="14"/>
  </r>
  <r>
    <x v="2"/>
    <x v="7"/>
    <n v="1"/>
    <n v="3"/>
    <n v="0"/>
    <n v="6"/>
    <n v="1"/>
    <n v="11"/>
  </r>
  <r>
    <x v="2"/>
    <x v="8"/>
    <n v="0"/>
    <n v="0"/>
    <n v="1"/>
    <n v="4"/>
    <n v="0"/>
    <n v="5"/>
  </r>
  <r>
    <x v="2"/>
    <x v="10"/>
    <n v="0"/>
    <n v="1"/>
    <n v="0"/>
    <n v="1"/>
    <n v="0"/>
    <n v="2"/>
  </r>
  <r>
    <x v="3"/>
    <x v="0"/>
    <n v="17"/>
    <n v="39"/>
    <n v="3"/>
    <n v="14"/>
    <n v="0"/>
    <n v="73"/>
  </r>
  <r>
    <x v="3"/>
    <x v="1"/>
    <n v="44"/>
    <n v="38"/>
    <n v="2"/>
    <n v="18"/>
    <n v="1"/>
    <n v="103"/>
  </r>
  <r>
    <x v="3"/>
    <x v="2"/>
    <n v="44"/>
    <n v="35"/>
    <n v="2"/>
    <n v="16"/>
    <n v="2"/>
    <n v="99"/>
  </r>
  <r>
    <x v="3"/>
    <x v="3"/>
    <n v="17"/>
    <n v="16"/>
    <n v="2"/>
    <n v="9"/>
    <n v="2"/>
    <n v="46"/>
  </r>
  <r>
    <x v="3"/>
    <x v="4"/>
    <n v="8"/>
    <n v="14"/>
    <n v="0"/>
    <n v="15"/>
    <n v="3"/>
    <n v="40"/>
  </r>
  <r>
    <x v="3"/>
    <x v="5"/>
    <n v="3"/>
    <n v="9"/>
    <n v="0"/>
    <n v="12"/>
    <n v="0"/>
    <n v="24"/>
  </r>
  <r>
    <x v="3"/>
    <x v="6"/>
    <n v="1"/>
    <n v="5"/>
    <n v="0"/>
    <n v="14"/>
    <n v="2"/>
    <n v="22"/>
  </r>
  <r>
    <x v="3"/>
    <x v="7"/>
    <n v="0"/>
    <n v="1"/>
    <n v="0"/>
    <n v="21"/>
    <n v="0"/>
    <n v="22"/>
  </r>
  <r>
    <x v="3"/>
    <x v="8"/>
    <n v="0"/>
    <n v="1"/>
    <n v="0"/>
    <n v="14"/>
    <n v="0"/>
    <n v="15"/>
  </r>
  <r>
    <x v="3"/>
    <x v="9"/>
    <n v="0"/>
    <n v="0"/>
    <n v="0"/>
    <n v="2"/>
    <n v="0"/>
    <n v="2"/>
  </r>
  <r>
    <x v="3"/>
    <x v="10"/>
    <n v="0"/>
    <n v="3"/>
    <n v="0"/>
    <n v="0"/>
    <n v="0"/>
    <n v="3"/>
  </r>
  <r>
    <x v="4"/>
    <x v="0"/>
    <n v="27"/>
    <n v="39"/>
    <n v="1"/>
    <n v="3"/>
    <n v="3"/>
    <n v="73"/>
  </r>
  <r>
    <x v="4"/>
    <x v="1"/>
    <n v="67"/>
    <n v="39"/>
    <n v="6"/>
    <n v="8"/>
    <n v="1"/>
    <n v="121"/>
  </r>
  <r>
    <x v="4"/>
    <x v="2"/>
    <n v="68"/>
    <n v="44"/>
    <n v="5"/>
    <n v="16"/>
    <n v="2"/>
    <n v="135"/>
  </r>
  <r>
    <x v="4"/>
    <x v="3"/>
    <n v="41"/>
    <n v="29"/>
    <n v="2"/>
    <n v="7"/>
    <n v="2"/>
    <n v="81"/>
  </r>
  <r>
    <x v="4"/>
    <x v="4"/>
    <n v="16"/>
    <n v="21"/>
    <n v="2"/>
    <n v="4"/>
    <n v="2"/>
    <n v="45"/>
  </r>
  <r>
    <x v="4"/>
    <x v="5"/>
    <n v="3"/>
    <n v="5"/>
    <n v="1"/>
    <n v="3"/>
    <n v="1"/>
    <n v="13"/>
  </r>
  <r>
    <x v="4"/>
    <x v="6"/>
    <n v="3"/>
    <n v="6"/>
    <n v="1"/>
    <n v="11"/>
    <n v="1"/>
    <n v="22"/>
  </r>
  <r>
    <x v="4"/>
    <x v="7"/>
    <n v="1"/>
    <n v="11"/>
    <n v="0"/>
    <n v="10"/>
    <n v="3"/>
    <n v="25"/>
  </r>
  <r>
    <x v="4"/>
    <x v="8"/>
    <n v="0"/>
    <n v="2"/>
    <n v="0"/>
    <n v="1"/>
    <n v="0"/>
    <n v="3"/>
  </r>
  <r>
    <x v="4"/>
    <x v="9"/>
    <n v="0"/>
    <n v="0"/>
    <n v="0"/>
    <n v="1"/>
    <n v="0"/>
    <n v="1"/>
  </r>
  <r>
    <x v="4"/>
    <x v="10"/>
    <n v="0"/>
    <n v="3"/>
    <n v="0"/>
    <n v="0"/>
    <n v="0"/>
    <n v="3"/>
  </r>
  <r>
    <x v="5"/>
    <x v="0"/>
    <n v="10"/>
    <n v="58"/>
    <n v="1"/>
    <n v="2"/>
    <n v="1"/>
    <n v="72"/>
  </r>
  <r>
    <x v="5"/>
    <x v="1"/>
    <n v="34"/>
    <n v="51"/>
    <n v="0"/>
    <n v="8"/>
    <n v="4"/>
    <n v="97"/>
  </r>
  <r>
    <x v="5"/>
    <x v="2"/>
    <n v="20"/>
    <n v="44"/>
    <n v="0"/>
    <n v="10"/>
    <n v="1"/>
    <n v="75"/>
  </r>
  <r>
    <x v="5"/>
    <x v="3"/>
    <n v="17"/>
    <n v="34"/>
    <n v="0"/>
    <n v="6"/>
    <n v="2"/>
    <n v="59"/>
  </r>
  <r>
    <x v="5"/>
    <x v="4"/>
    <n v="4"/>
    <n v="23"/>
    <n v="0"/>
    <n v="6"/>
    <n v="2"/>
    <n v="35"/>
  </r>
  <r>
    <x v="5"/>
    <x v="5"/>
    <n v="2"/>
    <n v="16"/>
    <n v="0"/>
    <n v="11"/>
    <n v="4"/>
    <n v="33"/>
  </r>
  <r>
    <x v="5"/>
    <x v="6"/>
    <n v="4"/>
    <n v="6"/>
    <n v="0"/>
    <n v="10"/>
    <n v="2"/>
    <n v="22"/>
  </r>
  <r>
    <x v="5"/>
    <x v="7"/>
    <n v="1"/>
    <n v="4"/>
    <n v="0"/>
    <n v="15"/>
    <n v="2"/>
    <n v="22"/>
  </r>
  <r>
    <x v="5"/>
    <x v="8"/>
    <n v="0"/>
    <n v="1"/>
    <n v="0"/>
    <n v="2"/>
    <n v="0"/>
    <n v="3"/>
  </r>
  <r>
    <x v="5"/>
    <x v="9"/>
    <n v="0"/>
    <n v="1"/>
    <n v="0"/>
    <n v="0"/>
    <n v="0"/>
    <n v="1"/>
  </r>
  <r>
    <x v="5"/>
    <x v="11"/>
    <n v="0"/>
    <n v="1"/>
    <n v="0"/>
    <n v="0"/>
    <n v="0"/>
    <n v="1"/>
  </r>
  <r>
    <x v="5"/>
    <x v="10"/>
    <n v="0"/>
    <n v="9"/>
    <n v="0"/>
    <n v="3"/>
    <n v="0"/>
    <n v="12"/>
  </r>
  <r>
    <x v="6"/>
    <x v="0"/>
    <n v="12"/>
    <n v="56"/>
    <n v="3"/>
    <n v="5"/>
    <n v="3"/>
    <n v="79"/>
  </r>
  <r>
    <x v="6"/>
    <x v="1"/>
    <n v="45"/>
    <n v="36"/>
    <n v="1"/>
    <n v="10"/>
    <n v="1"/>
    <n v="93"/>
  </r>
  <r>
    <x v="6"/>
    <x v="2"/>
    <n v="34"/>
    <n v="29"/>
    <n v="1"/>
    <n v="5"/>
    <n v="1"/>
    <n v="70"/>
  </r>
  <r>
    <x v="6"/>
    <x v="3"/>
    <n v="26"/>
    <n v="41"/>
    <n v="2"/>
    <n v="5"/>
    <n v="5"/>
    <n v="79"/>
  </r>
  <r>
    <x v="6"/>
    <x v="4"/>
    <n v="15"/>
    <n v="12"/>
    <n v="0"/>
    <n v="6"/>
    <n v="4"/>
    <n v="37"/>
  </r>
  <r>
    <x v="6"/>
    <x v="5"/>
    <n v="0"/>
    <n v="12"/>
    <n v="1"/>
    <n v="5"/>
    <n v="1"/>
    <n v="19"/>
  </r>
  <r>
    <x v="6"/>
    <x v="6"/>
    <n v="0"/>
    <n v="5"/>
    <n v="0"/>
    <n v="7"/>
    <n v="4"/>
    <n v="16"/>
  </r>
  <r>
    <x v="6"/>
    <x v="7"/>
    <n v="0"/>
    <n v="7"/>
    <n v="1"/>
    <n v="8"/>
    <n v="2"/>
    <n v="18"/>
  </r>
  <r>
    <x v="6"/>
    <x v="8"/>
    <n v="0"/>
    <n v="3"/>
    <n v="0"/>
    <n v="2"/>
    <n v="1"/>
    <n v="6"/>
  </r>
  <r>
    <x v="6"/>
    <x v="10"/>
    <n v="0"/>
    <n v="5"/>
    <n v="1"/>
    <n v="2"/>
    <n v="0"/>
    <n v="8"/>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
  <r>
    <x v="0"/>
    <x v="0"/>
    <m/>
    <n v="1.6194331983805668"/>
    <m/>
    <n v="2.1739130434782608"/>
    <m/>
  </r>
  <r>
    <x v="1"/>
    <x v="0"/>
    <m/>
    <n v="0.89686098654708524"/>
    <m/>
    <m/>
    <m/>
  </r>
  <r>
    <x v="2"/>
    <x v="0"/>
    <n v="0.92592592592592582"/>
    <n v="0.75187969924812026"/>
    <m/>
    <n v="5.3571428571428568"/>
    <m/>
  </r>
  <r>
    <x v="3"/>
    <x v="0"/>
    <n v="1.4705882352941175"/>
    <n v="0.6211180124223602"/>
    <m/>
    <n v="6.0150375939849621"/>
    <m/>
  </r>
  <r>
    <x v="4"/>
    <x v="0"/>
    <m/>
    <m/>
    <m/>
    <n v="2.7397260273972601"/>
    <m/>
  </r>
  <r>
    <x v="0"/>
    <x v="1"/>
    <n v="59.27835051546392"/>
    <n v="44.534412955465584"/>
    <n v="62.068965517241381"/>
    <n v="43.478260869565219"/>
    <n v="100"/>
  </r>
  <r>
    <x v="1"/>
    <x v="1"/>
    <n v="85.714285714285708"/>
    <n v="88.340807174887885"/>
    <m/>
    <n v="62.68656716417911"/>
    <n v="95.238095238095227"/>
  </r>
  <r>
    <x v="2"/>
    <x v="1"/>
    <n v="77.777777777777786"/>
    <n v="90.977443609022558"/>
    <n v="40"/>
    <n v="55.357142857142854"/>
    <n v="100"/>
  </r>
  <r>
    <x v="3"/>
    <x v="1"/>
    <n v="81.617647058823522"/>
    <n v="94.409937888198755"/>
    <n v="77.777777777777786"/>
    <n v="58.646616541353382"/>
    <n v="100"/>
  </r>
  <r>
    <x v="5"/>
    <x v="1"/>
    <n v="82.222222222222214"/>
    <n v="92.964824120603012"/>
    <n v="90"/>
    <n v="73.015873015873012"/>
    <n v="93.333333333333329"/>
  </r>
  <r>
    <x v="4"/>
    <x v="1"/>
    <n v="95.061728395061735"/>
    <n v="94.354838709677423"/>
    <n v="100"/>
    <n v="69.863013698630141"/>
    <n v="100"/>
  </r>
  <r>
    <x v="6"/>
    <x v="1"/>
    <n v="100"/>
    <n v="100"/>
    <n v="100"/>
    <n v="100"/>
    <n v="100"/>
  </r>
  <r>
    <x v="0"/>
    <x v="2"/>
    <n v="40.72164948453608"/>
    <n v="53.846153846153847"/>
    <n v="37.931034482758619"/>
    <n v="54.347826086956516"/>
    <m/>
  </r>
  <r>
    <x v="1"/>
    <x v="2"/>
    <n v="14.285714285714285"/>
    <n v="10.762331838565023"/>
    <m/>
    <n v="37.313432835820898"/>
    <n v="4.7619047619047619"/>
  </r>
  <r>
    <x v="2"/>
    <x v="2"/>
    <n v="21.296296296296298"/>
    <n v="8.2706766917293226"/>
    <n v="60"/>
    <n v="39.285714285714285"/>
    <m/>
  </r>
  <r>
    <x v="3"/>
    <x v="2"/>
    <n v="16.911764705882355"/>
    <n v="4.9689440993788816"/>
    <n v="22.222222222222221"/>
    <n v="35.338345864661655"/>
    <m/>
  </r>
  <r>
    <x v="5"/>
    <x v="2"/>
    <n v="17.777777777777779"/>
    <n v="7.0351758793969852"/>
    <n v="10"/>
    <n v="26.984126984126984"/>
    <n v="6.666666666666667"/>
  </r>
  <r>
    <x v="4"/>
    <x v="2"/>
    <n v="4.9382716049382713"/>
    <n v="5.6451612903225801"/>
    <m/>
    <n v="27.397260273972602"/>
    <m/>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
  <r>
    <x v="0"/>
    <x v="0"/>
    <n v="3.608247422680412"/>
    <n v="1.214574898785425"/>
    <m/>
    <n v="2.1739130434782608"/>
    <m/>
  </r>
  <r>
    <x v="1"/>
    <x v="0"/>
    <n v="0.84033613445378152"/>
    <n v="0.44843049327354262"/>
    <m/>
    <n v="4.4776119402985071"/>
    <m/>
  </r>
  <r>
    <x v="2"/>
    <x v="0"/>
    <m/>
    <m/>
    <m/>
    <n v="3.5714285714285712"/>
    <m/>
  </r>
  <r>
    <x v="3"/>
    <x v="0"/>
    <n v="1.3333333333333335"/>
    <m/>
    <m/>
    <m/>
    <m/>
  </r>
  <r>
    <x v="4"/>
    <x v="0"/>
    <m/>
    <m/>
    <m/>
    <n v="2.7397260273972601"/>
    <m/>
  </r>
  <r>
    <x v="0"/>
    <x v="1"/>
    <n v="38.144329896907216"/>
    <n v="54.251012145748987"/>
    <n v="34.482758620689658"/>
    <n v="48.913043478260867"/>
    <m/>
  </r>
  <r>
    <x v="1"/>
    <x v="1"/>
    <n v="9.2436974789915975"/>
    <n v="8.5201793721973083"/>
    <m/>
    <n v="23.880597014925371"/>
    <m/>
  </r>
  <r>
    <x v="2"/>
    <x v="1"/>
    <n v="15.74074074074074"/>
    <n v="7.518796992481203"/>
    <n v="60"/>
    <n v="30.357142857142854"/>
    <m/>
  </r>
  <r>
    <x v="5"/>
    <x v="1"/>
    <n v="16.911764705882355"/>
    <n v="3.7267080745341614"/>
    <n v="22.222222222222221"/>
    <n v="31.578947368421051"/>
    <m/>
  </r>
  <r>
    <x v="3"/>
    <x v="1"/>
    <n v="16"/>
    <n v="4.5226130653266337"/>
    <n v="10"/>
    <n v="20.634920634920633"/>
    <m/>
  </r>
  <r>
    <x v="4"/>
    <x v="1"/>
    <n v="4.9382716049382713"/>
    <n v="3.225806451612903"/>
    <m/>
    <n v="16.43835616438356"/>
    <m/>
  </r>
  <r>
    <x v="0"/>
    <x v="2"/>
    <n v="58.247422680412377"/>
    <n v="44.534412955465584"/>
    <n v="65.517241379310349"/>
    <n v="48.913043478260867"/>
    <n v="100"/>
  </r>
  <r>
    <x v="1"/>
    <x v="2"/>
    <n v="89.915966386554629"/>
    <n v="91.031390134529147"/>
    <m/>
    <n v="71.641791044776113"/>
    <n v="100"/>
  </r>
  <r>
    <x v="2"/>
    <x v="2"/>
    <n v="84.259259259259252"/>
    <n v="92.481203007518801"/>
    <n v="40"/>
    <n v="66.071428571428569"/>
    <n v="100"/>
  </r>
  <r>
    <x v="5"/>
    <x v="2"/>
    <n v="83.088235294117652"/>
    <n v="96.273291925465841"/>
    <n v="77.777777777777786"/>
    <n v="68.421052631578945"/>
    <n v="100"/>
  </r>
  <r>
    <x v="3"/>
    <x v="2"/>
    <n v="82.666666666666671"/>
    <n v="95.477386934673376"/>
    <n v="90"/>
    <n v="79.365079365079367"/>
    <n v="100"/>
  </r>
  <r>
    <x v="4"/>
    <x v="2"/>
    <n v="95.061728395061735"/>
    <n v="96.774193548387103"/>
    <n v="100"/>
    <n v="80.821917808219183"/>
    <n v="100"/>
  </r>
  <r>
    <x v="6"/>
    <x v="2"/>
    <n v="100"/>
    <n v="100"/>
    <n v="100"/>
    <n v="100"/>
    <n v="100"/>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2">
  <r>
    <x v="0"/>
    <x v="0"/>
    <x v="0"/>
    <s v="S12000038"/>
    <n v="99"/>
    <n v="0"/>
    <n v="0"/>
    <n v="0"/>
  </r>
  <r>
    <x v="0"/>
    <x v="0"/>
    <x v="1"/>
    <s v="S40000004"/>
    <n v="56"/>
    <n v="0"/>
    <n v="0"/>
    <n v="0"/>
  </r>
  <r>
    <x v="0"/>
    <x v="1"/>
    <x v="2"/>
    <s v="S40000004"/>
    <n v="0"/>
    <n v="10"/>
    <n v="20"/>
    <n v="0"/>
  </r>
  <r>
    <x v="1"/>
    <x v="0"/>
    <x v="3"/>
    <s v="S40000005"/>
    <n v="182"/>
    <n v="0"/>
    <n v="0"/>
    <n v="0"/>
  </r>
  <r>
    <x v="1"/>
    <x v="0"/>
    <x v="4"/>
    <s v="S40000005"/>
    <n v="71"/>
    <n v="0"/>
    <n v="0"/>
    <n v="0"/>
  </r>
  <r>
    <x v="1"/>
    <x v="0"/>
    <x v="5"/>
    <s v="S40000003"/>
    <n v="70"/>
    <n v="0"/>
    <n v="0"/>
    <n v="0"/>
  </r>
  <r>
    <x v="1"/>
    <x v="0"/>
    <x v="6"/>
    <s v="S40000003"/>
    <n v="163"/>
    <n v="0"/>
    <n v="0"/>
    <n v="0"/>
  </r>
  <r>
    <x v="1"/>
    <x v="0"/>
    <x v="0"/>
    <s v="S40000003"/>
    <n v="102"/>
    <n v="0"/>
    <n v="0"/>
    <n v="0"/>
  </r>
  <r>
    <x v="1"/>
    <x v="0"/>
    <x v="7"/>
    <s v="S40000003"/>
    <n v="73"/>
    <n v="0"/>
    <n v="0"/>
    <n v="0"/>
  </r>
  <r>
    <x v="1"/>
    <x v="1"/>
    <x v="8"/>
    <s v="S40000004"/>
    <n v="0"/>
    <n v="9"/>
    <n v="10"/>
    <n v="0"/>
  </r>
  <r>
    <x v="1"/>
    <x v="1"/>
    <x v="9"/>
    <s v="S40000004"/>
    <n v="0"/>
    <n v="9"/>
    <n v="10"/>
    <n v="0"/>
  </r>
  <r>
    <x v="2"/>
    <x v="0"/>
    <x v="10"/>
    <s v="S40000003"/>
    <n v="51"/>
    <n v="0"/>
    <n v="0"/>
    <n v="0"/>
  </r>
  <r>
    <x v="2"/>
    <x v="0"/>
    <x v="11"/>
    <s v="S40000003"/>
    <n v="76"/>
    <n v="0"/>
    <n v="0"/>
    <n v="0"/>
  </r>
  <r>
    <x v="2"/>
    <x v="0"/>
    <x v="12"/>
    <s v="S40000004"/>
    <n v="26"/>
    <n v="0"/>
    <n v="0"/>
    <n v="0"/>
  </r>
  <r>
    <x v="2"/>
    <x v="0"/>
    <x v="13"/>
    <s v="S40000003"/>
    <n v="75"/>
    <n v="0"/>
    <n v="0"/>
    <n v="0"/>
  </r>
  <r>
    <x v="2"/>
    <x v="1"/>
    <x v="14"/>
    <s v="S40000003"/>
    <n v="0"/>
    <n v="15"/>
    <n v="11"/>
    <n v="0"/>
  </r>
  <r>
    <x v="2"/>
    <x v="2"/>
    <x v="15"/>
    <s v="S40000004"/>
    <n v="0"/>
    <n v="0"/>
    <n v="6"/>
    <n v="0"/>
  </r>
  <r>
    <x v="3"/>
    <x v="1"/>
    <x v="2"/>
    <m/>
    <n v="0"/>
    <n v="9"/>
    <n v="13"/>
    <n v="0"/>
  </r>
  <r>
    <x v="3"/>
    <x v="2"/>
    <x v="15"/>
    <s v="S40000004"/>
    <n v="0"/>
    <n v="0"/>
    <n v="3"/>
    <n v="0"/>
  </r>
  <r>
    <x v="4"/>
    <x v="0"/>
    <x v="16"/>
    <m/>
    <n v="150"/>
    <n v="0"/>
    <n v="5"/>
    <n v="0"/>
  </r>
  <r>
    <x v="4"/>
    <x v="0"/>
    <x v="17"/>
    <s v="S40000004"/>
    <n v="24"/>
    <n v="0"/>
    <n v="1"/>
    <n v="0"/>
  </r>
  <r>
    <x v="4"/>
    <x v="0"/>
    <x v="5"/>
    <m/>
    <n v="67"/>
    <n v="0"/>
    <n v="0"/>
    <n v="0"/>
  </r>
  <r>
    <x v="4"/>
    <x v="0"/>
    <x v="1"/>
    <m/>
    <n v="0"/>
    <n v="0"/>
    <n v="2"/>
    <n v="0"/>
  </r>
  <r>
    <x v="4"/>
    <x v="1"/>
    <x v="18"/>
    <m/>
    <n v="0"/>
    <n v="15"/>
    <n v="9"/>
    <n v="0"/>
  </r>
  <r>
    <x v="4"/>
    <x v="1"/>
    <x v="19"/>
    <m/>
    <n v="0"/>
    <n v="12"/>
    <n v="11"/>
    <n v="0"/>
  </r>
  <r>
    <x v="5"/>
    <x v="0"/>
    <x v="12"/>
    <s v="S40000004"/>
    <n v="25"/>
    <n v="0"/>
    <n v="0"/>
    <n v="0"/>
  </r>
  <r>
    <x v="5"/>
    <x v="0"/>
    <x v="20"/>
    <s v="S40000004"/>
    <n v="26"/>
    <n v="0"/>
    <n v="3"/>
    <n v="0"/>
  </r>
  <r>
    <x v="5"/>
    <x v="1"/>
    <x v="21"/>
    <m/>
    <n v="0"/>
    <n v="10"/>
    <n v="0"/>
    <n v="0"/>
  </r>
  <r>
    <x v="5"/>
    <x v="3"/>
    <x v="22"/>
    <m/>
    <n v="0"/>
    <n v="12"/>
    <n v="40"/>
    <n v="0"/>
  </r>
  <r>
    <x v="5"/>
    <x v="2"/>
    <x v="15"/>
    <s v="S92000003"/>
    <n v="0"/>
    <n v="56"/>
    <n v="28"/>
    <n v="0"/>
  </r>
  <r>
    <x v="6"/>
    <x v="0"/>
    <x v="23"/>
    <m/>
    <n v="26"/>
    <n v="0"/>
    <n v="0"/>
    <n v="0"/>
  </r>
  <r>
    <x v="6"/>
    <x v="0"/>
    <x v="10"/>
    <m/>
    <n v="52"/>
    <n v="0"/>
    <n v="0"/>
    <n v="0"/>
  </r>
  <r>
    <x v="6"/>
    <x v="0"/>
    <x v="13"/>
    <m/>
    <n v="72"/>
    <n v="0"/>
    <n v="0"/>
    <n v="0"/>
  </r>
  <r>
    <x v="6"/>
    <x v="1"/>
    <x v="14"/>
    <m/>
    <n v="0"/>
    <n v="13"/>
    <n v="7"/>
    <n v="0"/>
  </r>
  <r>
    <x v="6"/>
    <x v="3"/>
    <x v="22"/>
    <m/>
    <n v="0"/>
    <n v="14"/>
    <n v="44"/>
    <n v="6"/>
  </r>
  <r>
    <x v="0"/>
    <x v="0"/>
    <x v="10"/>
    <s v="S12000006"/>
    <n v="53"/>
    <n v="0"/>
    <n v="0"/>
    <n v="0"/>
  </r>
  <r>
    <x v="0"/>
    <x v="0"/>
    <x v="12"/>
    <s v="S40000004"/>
    <n v="24"/>
    <n v="0"/>
    <n v="0"/>
    <n v="0"/>
  </r>
  <r>
    <x v="0"/>
    <x v="0"/>
    <x v="4"/>
    <s v="S12000017"/>
    <n v="70"/>
    <n v="0"/>
    <n v="0"/>
    <n v="0"/>
  </r>
  <r>
    <x v="0"/>
    <x v="0"/>
    <x v="24"/>
    <s v="S12000029"/>
    <n v="167"/>
    <n v="0"/>
    <n v="0"/>
    <n v="0"/>
  </r>
  <r>
    <x v="0"/>
    <x v="0"/>
    <x v="7"/>
    <s v="S12000039"/>
    <n v="73"/>
    <n v="0"/>
    <n v="0"/>
    <n v="0"/>
  </r>
  <r>
    <x v="0"/>
    <x v="1"/>
    <x v="25"/>
    <s v="S40000004"/>
    <n v="0"/>
    <n v="8"/>
    <n v="10"/>
    <n v="0"/>
  </r>
  <r>
    <x v="0"/>
    <x v="1"/>
    <x v="21"/>
    <s v="S39000017"/>
    <n v="0"/>
    <n v="9"/>
    <n v="7"/>
    <n v="0"/>
  </r>
  <r>
    <x v="1"/>
    <x v="0"/>
    <x v="26"/>
    <s v="S40000003"/>
    <n v="49"/>
    <n v="0"/>
    <n v="0"/>
    <n v="0"/>
  </r>
  <r>
    <x v="1"/>
    <x v="0"/>
    <x v="27"/>
    <s v="S40000005"/>
    <n v="67"/>
    <n v="0"/>
    <n v="0"/>
    <n v="0"/>
  </r>
  <r>
    <x v="1"/>
    <x v="1"/>
    <x v="28"/>
    <s v="S40000003"/>
    <n v="0"/>
    <n v="12"/>
    <n v="16"/>
    <n v="0"/>
  </r>
  <r>
    <x v="1"/>
    <x v="1"/>
    <x v="19"/>
    <s v="S40000005"/>
    <n v="0"/>
    <n v="14"/>
    <n v="17"/>
    <n v="0"/>
  </r>
  <r>
    <x v="1"/>
    <x v="1"/>
    <x v="6"/>
    <s v="S40000003"/>
    <n v="0"/>
    <n v="8"/>
    <n v="8"/>
    <n v="0"/>
  </r>
  <r>
    <x v="1"/>
    <x v="3"/>
    <x v="29"/>
    <s v="S40000003"/>
    <n v="0"/>
    <n v="27"/>
    <n v="76"/>
    <n v="0"/>
  </r>
  <r>
    <x v="1"/>
    <x v="2"/>
    <x v="15"/>
    <s v="S92000003"/>
    <n v="0"/>
    <n v="34"/>
    <n v="7"/>
    <n v="49"/>
  </r>
  <r>
    <x v="2"/>
    <x v="0"/>
    <x v="30"/>
    <s v="S40000003"/>
    <n v="48"/>
    <n v="0"/>
    <n v="0"/>
    <n v="0"/>
  </r>
  <r>
    <x v="2"/>
    <x v="1"/>
    <x v="31"/>
    <s v="S40000004"/>
    <n v="0"/>
    <n v="11"/>
    <n v="17"/>
    <n v="0"/>
  </r>
  <r>
    <x v="3"/>
    <x v="0"/>
    <x v="10"/>
    <m/>
    <n v="50"/>
    <n v="0"/>
    <n v="0"/>
    <n v="0"/>
  </r>
  <r>
    <x v="3"/>
    <x v="0"/>
    <x v="3"/>
    <m/>
    <n v="174"/>
    <n v="0"/>
    <n v="0"/>
    <n v="0"/>
  </r>
  <r>
    <x v="3"/>
    <x v="0"/>
    <x v="11"/>
    <m/>
    <n v="75"/>
    <n v="0"/>
    <n v="0"/>
    <n v="0"/>
  </r>
  <r>
    <x v="3"/>
    <x v="0"/>
    <x v="12"/>
    <s v="S40000004"/>
    <n v="24"/>
    <n v="0"/>
    <n v="0"/>
    <n v="0"/>
  </r>
  <r>
    <x v="3"/>
    <x v="0"/>
    <x v="30"/>
    <m/>
    <n v="47"/>
    <n v="0"/>
    <n v="0"/>
    <n v="0"/>
  </r>
  <r>
    <x v="3"/>
    <x v="0"/>
    <x v="4"/>
    <m/>
    <n v="70"/>
    <n v="0"/>
    <n v="0"/>
    <n v="0"/>
  </r>
  <r>
    <x v="3"/>
    <x v="0"/>
    <x v="27"/>
    <m/>
    <n v="66"/>
    <n v="0"/>
    <n v="0"/>
    <n v="0"/>
  </r>
  <r>
    <x v="3"/>
    <x v="0"/>
    <x v="32"/>
    <m/>
    <n v="47"/>
    <n v="0"/>
    <n v="0"/>
    <n v="0"/>
  </r>
  <r>
    <x v="3"/>
    <x v="0"/>
    <x v="33"/>
    <s v="S40000004"/>
    <n v="48"/>
    <n v="0"/>
    <n v="0"/>
    <n v="0"/>
  </r>
  <r>
    <x v="3"/>
    <x v="1"/>
    <x v="4"/>
    <m/>
    <n v="0"/>
    <n v="15"/>
    <n v="18"/>
    <n v="0"/>
  </r>
  <r>
    <x v="3"/>
    <x v="1"/>
    <x v="34"/>
    <m/>
    <n v="0"/>
    <n v="15"/>
    <n v="15"/>
    <n v="0"/>
  </r>
  <r>
    <x v="3"/>
    <x v="1"/>
    <x v="31"/>
    <m/>
    <n v="0"/>
    <n v="10"/>
    <n v="12"/>
    <n v="0"/>
  </r>
  <r>
    <x v="3"/>
    <x v="1"/>
    <x v="9"/>
    <m/>
    <n v="0"/>
    <n v="14"/>
    <n v="13"/>
    <n v="0"/>
  </r>
  <r>
    <x v="4"/>
    <x v="0"/>
    <x v="20"/>
    <s v="S40000004"/>
    <n v="25"/>
    <n v="0"/>
    <n v="0"/>
    <n v="0"/>
  </r>
  <r>
    <x v="4"/>
    <x v="0"/>
    <x v="24"/>
    <m/>
    <n v="164"/>
    <n v="0"/>
    <n v="0"/>
    <n v="0"/>
  </r>
  <r>
    <x v="4"/>
    <x v="1"/>
    <x v="2"/>
    <m/>
    <n v="0"/>
    <n v="12"/>
    <n v="13"/>
    <n v="0"/>
  </r>
  <r>
    <x v="4"/>
    <x v="3"/>
    <x v="29"/>
    <m/>
    <n v="0"/>
    <n v="18"/>
    <n v="53"/>
    <n v="48"/>
  </r>
  <r>
    <x v="5"/>
    <x v="0"/>
    <x v="35"/>
    <m/>
    <n v="30"/>
    <n v="0"/>
    <n v="0"/>
    <n v="0"/>
  </r>
  <r>
    <x v="5"/>
    <x v="1"/>
    <x v="21"/>
    <m/>
    <n v="0"/>
    <n v="1"/>
    <n v="0"/>
    <n v="0"/>
  </r>
  <r>
    <x v="6"/>
    <x v="0"/>
    <x v="36"/>
    <s v="S40000004"/>
    <n v="83"/>
    <n v="0"/>
    <n v="0"/>
    <n v="0"/>
  </r>
  <r>
    <x v="6"/>
    <x v="0"/>
    <x v="37"/>
    <m/>
    <n v="0"/>
    <n v="0"/>
    <n v="3"/>
    <n v="0"/>
  </r>
  <r>
    <x v="6"/>
    <x v="0"/>
    <x v="38"/>
    <s v="S40000004"/>
    <n v="58"/>
    <n v="0"/>
    <n v="0"/>
    <n v="0"/>
  </r>
  <r>
    <x v="6"/>
    <x v="1"/>
    <x v="18"/>
    <m/>
    <n v="0"/>
    <n v="15"/>
    <n v="5"/>
    <n v="0"/>
  </r>
  <r>
    <x v="6"/>
    <x v="1"/>
    <x v="21"/>
    <m/>
    <n v="0"/>
    <n v="11"/>
    <n v="0"/>
    <n v="0"/>
  </r>
  <r>
    <x v="0"/>
    <x v="0"/>
    <x v="20"/>
    <s v="S40000004"/>
    <n v="26"/>
    <n v="0"/>
    <n v="0"/>
    <n v="0"/>
  </r>
  <r>
    <x v="0"/>
    <x v="0"/>
    <x v="38"/>
    <s v="S40000004"/>
    <n v="56"/>
    <n v="0"/>
    <n v="0"/>
    <n v="0"/>
  </r>
  <r>
    <x v="1"/>
    <x v="0"/>
    <x v="16"/>
    <s v="S40000005"/>
    <n v="155"/>
    <n v="0"/>
    <n v="0"/>
    <n v="0"/>
  </r>
  <r>
    <x v="1"/>
    <x v="0"/>
    <x v="23"/>
    <s v="S40000005"/>
    <n v="27"/>
    <n v="0"/>
    <n v="0"/>
    <n v="0"/>
  </r>
  <r>
    <x v="1"/>
    <x v="0"/>
    <x v="36"/>
    <s v="S40000004"/>
    <n v="88"/>
    <n v="0"/>
    <n v="0"/>
    <n v="0"/>
  </r>
  <r>
    <x v="1"/>
    <x v="0"/>
    <x v="33"/>
    <s v="S40000004"/>
    <n v="51"/>
    <n v="0"/>
    <n v="0"/>
    <n v="0"/>
  </r>
  <r>
    <x v="1"/>
    <x v="1"/>
    <x v="16"/>
    <s v="S40000005"/>
    <n v="0"/>
    <n v="6"/>
    <n v="7"/>
    <n v="0"/>
  </r>
  <r>
    <x v="1"/>
    <x v="3"/>
    <x v="22"/>
    <s v="S40000005"/>
    <n v="0"/>
    <n v="12"/>
    <n v="30"/>
    <n v="0"/>
  </r>
  <r>
    <x v="2"/>
    <x v="0"/>
    <x v="39"/>
    <s v="S40000005"/>
    <n v="29"/>
    <n v="0"/>
    <n v="0"/>
    <n v="0"/>
  </r>
  <r>
    <x v="2"/>
    <x v="0"/>
    <x v="2"/>
    <s v="S40000004"/>
    <n v="300"/>
    <n v="0"/>
    <n v="0"/>
    <n v="0"/>
  </r>
  <r>
    <x v="2"/>
    <x v="0"/>
    <x v="20"/>
    <s v="S40000004"/>
    <n v="27"/>
    <n v="0"/>
    <n v="0"/>
    <n v="0"/>
  </r>
  <r>
    <x v="2"/>
    <x v="0"/>
    <x v="35"/>
    <s v="S40000005"/>
    <n v="30"/>
    <n v="0"/>
    <n v="0"/>
    <n v="0"/>
  </r>
  <r>
    <x v="2"/>
    <x v="0"/>
    <x v="24"/>
    <s v="S40000003"/>
    <n v="168"/>
    <n v="0"/>
    <n v="0"/>
    <n v="0"/>
  </r>
  <r>
    <x v="2"/>
    <x v="0"/>
    <x v="1"/>
    <s v="S40000004"/>
    <n v="57"/>
    <n v="0"/>
    <n v="0"/>
    <n v="0"/>
  </r>
  <r>
    <x v="2"/>
    <x v="3"/>
    <x v="40"/>
    <s v="S40000004"/>
    <n v="0"/>
    <n v="8"/>
    <n v="38"/>
    <n v="20"/>
  </r>
  <r>
    <x v="2"/>
    <x v="3"/>
    <x v="29"/>
    <s v="S40000003"/>
    <n v="0"/>
    <n v="13"/>
    <n v="53"/>
    <n v="25"/>
  </r>
  <r>
    <x v="3"/>
    <x v="0"/>
    <x v="39"/>
    <m/>
    <n v="28"/>
    <n v="0"/>
    <n v="0"/>
    <n v="0"/>
  </r>
  <r>
    <x v="3"/>
    <x v="0"/>
    <x v="2"/>
    <s v="S40000004"/>
    <n v="295"/>
    <n v="0"/>
    <n v="0"/>
    <n v="0"/>
  </r>
  <r>
    <x v="3"/>
    <x v="0"/>
    <x v="25"/>
    <s v="S40000004"/>
    <n v="254"/>
    <n v="0"/>
    <n v="0"/>
    <n v="0"/>
  </r>
  <r>
    <x v="3"/>
    <x v="0"/>
    <x v="14"/>
    <m/>
    <n v="493"/>
    <n v="0"/>
    <n v="0"/>
    <n v="0"/>
  </r>
  <r>
    <x v="3"/>
    <x v="0"/>
    <x v="33"/>
    <m/>
    <n v="1"/>
    <n v="0"/>
    <n v="0"/>
    <n v="0"/>
  </r>
  <r>
    <x v="3"/>
    <x v="1"/>
    <x v="2"/>
    <s v="S40000004"/>
    <n v="0"/>
    <n v="2"/>
    <n v="3"/>
    <n v="0"/>
  </r>
  <r>
    <x v="3"/>
    <x v="1"/>
    <x v="41"/>
    <m/>
    <n v="0"/>
    <n v="10"/>
    <n v="9"/>
    <n v="0"/>
  </r>
  <r>
    <x v="3"/>
    <x v="1"/>
    <x v="8"/>
    <m/>
    <n v="0"/>
    <n v="7"/>
    <n v="9"/>
    <n v="0"/>
  </r>
  <r>
    <x v="3"/>
    <x v="1"/>
    <x v="31"/>
    <s v="S40000004"/>
    <n v="0"/>
    <n v="1"/>
    <n v="6"/>
    <n v="0"/>
  </r>
  <r>
    <x v="4"/>
    <x v="0"/>
    <x v="3"/>
    <m/>
    <n v="167"/>
    <n v="0"/>
    <n v="2"/>
    <n v="0"/>
  </r>
  <r>
    <x v="4"/>
    <x v="0"/>
    <x v="30"/>
    <m/>
    <n v="47"/>
    <n v="0"/>
    <n v="0"/>
    <n v="0"/>
  </r>
  <r>
    <x v="4"/>
    <x v="0"/>
    <x v="4"/>
    <m/>
    <n v="73"/>
    <n v="0"/>
    <n v="0"/>
    <n v="0"/>
  </r>
  <r>
    <x v="4"/>
    <x v="0"/>
    <x v="42"/>
    <m/>
    <n v="0"/>
    <n v="0"/>
    <n v="1"/>
    <n v="0"/>
  </r>
  <r>
    <x v="4"/>
    <x v="0"/>
    <x v="27"/>
    <m/>
    <n v="69"/>
    <n v="0"/>
    <n v="0"/>
    <n v="0"/>
  </r>
  <r>
    <x v="4"/>
    <x v="0"/>
    <x v="32"/>
    <m/>
    <n v="48"/>
    <n v="0"/>
    <n v="0"/>
    <n v="0"/>
  </r>
  <r>
    <x v="4"/>
    <x v="0"/>
    <x v="33"/>
    <s v="S40000004"/>
    <n v="46"/>
    <n v="0"/>
    <n v="0"/>
    <n v="0"/>
  </r>
  <r>
    <x v="4"/>
    <x v="1"/>
    <x v="31"/>
    <s v="S40000004"/>
    <n v="0"/>
    <n v="0"/>
    <n v="5"/>
    <n v="0"/>
  </r>
  <r>
    <x v="4"/>
    <x v="1"/>
    <x v="34"/>
    <m/>
    <n v="0"/>
    <n v="12"/>
    <n v="15"/>
    <n v="0"/>
  </r>
  <r>
    <x v="5"/>
    <x v="0"/>
    <x v="16"/>
    <m/>
    <n v="155"/>
    <n v="0"/>
    <n v="7"/>
    <n v="0"/>
  </r>
  <r>
    <x v="5"/>
    <x v="0"/>
    <x v="17"/>
    <s v="S40000004"/>
    <n v="26"/>
    <n v="0"/>
    <n v="1"/>
    <n v="0"/>
  </r>
  <r>
    <x v="5"/>
    <x v="0"/>
    <x v="24"/>
    <m/>
    <n v="161"/>
    <n v="0"/>
    <n v="0"/>
    <n v="0"/>
  </r>
  <r>
    <x v="5"/>
    <x v="0"/>
    <x v="1"/>
    <s v="S40000004"/>
    <n v="60"/>
    <n v="0"/>
    <n v="3"/>
    <n v="0"/>
  </r>
  <r>
    <x v="5"/>
    <x v="1"/>
    <x v="28"/>
    <m/>
    <n v="0"/>
    <n v="14"/>
    <n v="14"/>
    <n v="0"/>
  </r>
  <r>
    <x v="5"/>
    <x v="1"/>
    <x v="19"/>
    <m/>
    <n v="0"/>
    <n v="14"/>
    <n v="9"/>
    <n v="0"/>
  </r>
  <r>
    <x v="5"/>
    <x v="3"/>
    <x v="29"/>
    <m/>
    <n v="0"/>
    <n v="13"/>
    <n v="46"/>
    <n v="1"/>
  </r>
  <r>
    <x v="6"/>
    <x v="0"/>
    <x v="16"/>
    <m/>
    <n v="150"/>
    <n v="0"/>
    <n v="7"/>
    <n v="0"/>
  </r>
  <r>
    <x v="6"/>
    <x v="0"/>
    <x v="17"/>
    <s v="S40000004"/>
    <n v="25"/>
    <n v="0"/>
    <n v="1"/>
    <n v="0"/>
  </r>
  <r>
    <x v="6"/>
    <x v="0"/>
    <x v="24"/>
    <m/>
    <n v="155"/>
    <n v="0"/>
    <n v="0"/>
    <n v="0"/>
  </r>
  <r>
    <x v="6"/>
    <x v="0"/>
    <x v="1"/>
    <s v="S40000004"/>
    <n v="61"/>
    <n v="0"/>
    <n v="3"/>
    <n v="0"/>
  </r>
  <r>
    <x v="6"/>
    <x v="3"/>
    <x v="29"/>
    <m/>
    <n v="0"/>
    <n v="12"/>
    <n v="73"/>
    <n v="47"/>
  </r>
  <r>
    <x v="6"/>
    <x v="2"/>
    <x v="15"/>
    <s v="S92000003"/>
    <n v="0"/>
    <n v="57"/>
    <n v="33"/>
    <n v="0"/>
  </r>
  <r>
    <x v="0"/>
    <x v="0"/>
    <x v="3"/>
    <s v="S12000042"/>
    <n v="177"/>
    <n v="0"/>
    <n v="0"/>
    <n v="0"/>
  </r>
  <r>
    <x v="0"/>
    <x v="0"/>
    <x v="11"/>
    <s v="S12000045"/>
    <n v="78"/>
    <n v="0"/>
    <n v="0"/>
    <n v="0"/>
  </r>
  <r>
    <x v="0"/>
    <x v="0"/>
    <x v="36"/>
    <s v="S40000004"/>
    <n v="88"/>
    <n v="0"/>
    <n v="0"/>
    <n v="0"/>
  </r>
  <r>
    <x v="0"/>
    <x v="1"/>
    <x v="4"/>
    <s v="S39000013"/>
    <n v="0"/>
    <n v="19"/>
    <n v="26"/>
    <n v="0"/>
  </r>
  <r>
    <x v="1"/>
    <x v="0"/>
    <x v="11"/>
    <s v="S40000003"/>
    <n v="79"/>
    <n v="0"/>
    <n v="0"/>
    <n v="0"/>
  </r>
  <r>
    <x v="1"/>
    <x v="0"/>
    <x v="12"/>
    <s v="S40000004"/>
    <n v="25"/>
    <n v="0"/>
    <n v="0"/>
    <n v="0"/>
  </r>
  <r>
    <x v="1"/>
    <x v="0"/>
    <x v="30"/>
    <s v="S40000003"/>
    <n v="50"/>
    <n v="0"/>
    <n v="0"/>
    <n v="0"/>
  </r>
  <r>
    <x v="1"/>
    <x v="0"/>
    <x v="38"/>
    <s v="S40000004"/>
    <n v="53"/>
    <n v="0"/>
    <n v="0"/>
    <n v="0"/>
  </r>
  <r>
    <x v="1"/>
    <x v="0"/>
    <x v="32"/>
    <s v="S40000003"/>
    <n v="50"/>
    <n v="0"/>
    <n v="0"/>
    <n v="0"/>
  </r>
  <r>
    <x v="1"/>
    <x v="1"/>
    <x v="43"/>
    <s v="S40000005"/>
    <n v="0"/>
    <n v="13"/>
    <n v="12"/>
    <n v="0"/>
  </r>
  <r>
    <x v="1"/>
    <x v="1"/>
    <x v="31"/>
    <s v="S40000004"/>
    <n v="0"/>
    <n v="11"/>
    <n v="18"/>
    <n v="0"/>
  </r>
  <r>
    <x v="1"/>
    <x v="1"/>
    <x v="4"/>
    <s v="S40000005"/>
    <n v="0"/>
    <n v="18"/>
    <n v="20"/>
    <n v="0"/>
  </r>
  <r>
    <x v="1"/>
    <x v="1"/>
    <x v="9"/>
    <m/>
    <n v="0"/>
    <n v="8"/>
    <n v="11"/>
    <n v="0"/>
  </r>
  <r>
    <x v="2"/>
    <x v="0"/>
    <x v="44"/>
    <s v="S40000003"/>
    <n v="52"/>
    <n v="0"/>
    <n v="0"/>
    <n v="0"/>
  </r>
  <r>
    <x v="2"/>
    <x v="0"/>
    <x v="3"/>
    <s v="S40000005"/>
    <n v="182"/>
    <n v="0"/>
    <n v="0"/>
    <n v="0"/>
  </r>
  <r>
    <x v="2"/>
    <x v="0"/>
    <x v="26"/>
    <s v="S40000003"/>
    <n v="47"/>
    <n v="0"/>
    <n v="0"/>
    <n v="0"/>
  </r>
  <r>
    <x v="2"/>
    <x v="0"/>
    <x v="14"/>
    <s v="S40000003"/>
    <n v="499"/>
    <n v="0"/>
    <n v="0"/>
    <n v="0"/>
  </r>
  <r>
    <x v="2"/>
    <x v="0"/>
    <x v="7"/>
    <s v="S40000003"/>
    <n v="73"/>
    <n v="0"/>
    <n v="0"/>
    <n v="0"/>
  </r>
  <r>
    <x v="2"/>
    <x v="1"/>
    <x v="19"/>
    <s v="S40000005"/>
    <n v="0"/>
    <n v="13"/>
    <n v="15"/>
    <n v="0"/>
  </r>
  <r>
    <x v="2"/>
    <x v="1"/>
    <x v="21"/>
    <s v="S40000005"/>
    <n v="0"/>
    <n v="11"/>
    <n v="4"/>
    <n v="0"/>
  </r>
  <r>
    <x v="2"/>
    <x v="2"/>
    <x v="15"/>
    <s v="S92000003"/>
    <n v="0"/>
    <n v="59"/>
    <n v="24"/>
    <n v="1"/>
  </r>
  <r>
    <x v="3"/>
    <x v="0"/>
    <x v="17"/>
    <s v="S40000004"/>
    <n v="24"/>
    <n v="0"/>
    <n v="0"/>
    <n v="0"/>
  </r>
  <r>
    <x v="3"/>
    <x v="0"/>
    <x v="5"/>
    <m/>
    <n v="68"/>
    <n v="0"/>
    <n v="0"/>
    <n v="0"/>
  </r>
  <r>
    <x v="3"/>
    <x v="0"/>
    <x v="24"/>
    <m/>
    <n v="155"/>
    <n v="0"/>
    <n v="0"/>
    <n v="0"/>
  </r>
  <r>
    <x v="3"/>
    <x v="0"/>
    <x v="1"/>
    <s v="S40000004"/>
    <n v="58"/>
    <n v="0"/>
    <n v="0"/>
    <n v="0"/>
  </r>
  <r>
    <x v="3"/>
    <x v="1"/>
    <x v="19"/>
    <m/>
    <n v="0"/>
    <n v="13"/>
    <n v="18"/>
    <n v="0"/>
  </r>
  <r>
    <x v="3"/>
    <x v="3"/>
    <x v="29"/>
    <m/>
    <n v="0"/>
    <n v="14"/>
    <n v="59"/>
    <n v="34"/>
  </r>
  <r>
    <x v="3"/>
    <x v="2"/>
    <x v="15"/>
    <s v="S92000003"/>
    <n v="0"/>
    <n v="60"/>
    <n v="25"/>
    <n v="0"/>
  </r>
  <r>
    <x v="4"/>
    <x v="0"/>
    <x v="37"/>
    <m/>
    <n v="0"/>
    <n v="0"/>
    <n v="3"/>
    <n v="0"/>
  </r>
  <r>
    <x v="4"/>
    <x v="0"/>
    <x v="0"/>
    <m/>
    <n v="95"/>
    <n v="0"/>
    <n v="0"/>
    <n v="0"/>
  </r>
  <r>
    <x v="4"/>
    <x v="0"/>
    <x v="45"/>
    <m/>
    <n v="0"/>
    <n v="0"/>
    <n v="1"/>
    <n v="0"/>
  </r>
  <r>
    <x v="4"/>
    <x v="1"/>
    <x v="2"/>
    <s v="S40000004"/>
    <n v="0"/>
    <n v="0"/>
    <n v="1"/>
    <n v="0"/>
  </r>
  <r>
    <x v="4"/>
    <x v="1"/>
    <x v="21"/>
    <m/>
    <n v="0"/>
    <n v="1"/>
    <n v="0"/>
    <n v="0"/>
  </r>
  <r>
    <x v="4"/>
    <x v="1"/>
    <x v="9"/>
    <m/>
    <n v="0"/>
    <n v="13"/>
    <n v="13"/>
    <n v="0"/>
  </r>
  <r>
    <x v="5"/>
    <x v="0"/>
    <x v="2"/>
    <s v="S40000004"/>
    <n v="293"/>
    <n v="0"/>
    <n v="0"/>
    <n v="0"/>
  </r>
  <r>
    <x v="5"/>
    <x v="0"/>
    <x v="14"/>
    <m/>
    <n v="452"/>
    <n v="0"/>
    <n v="11"/>
    <n v="0"/>
  </r>
  <r>
    <x v="5"/>
    <x v="1"/>
    <x v="41"/>
    <m/>
    <n v="0"/>
    <n v="10"/>
    <n v="8"/>
    <n v="0"/>
  </r>
  <r>
    <x v="5"/>
    <x v="1"/>
    <x v="8"/>
    <m/>
    <n v="0"/>
    <n v="9"/>
    <n v="10"/>
    <n v="0"/>
  </r>
  <r>
    <x v="5"/>
    <x v="1"/>
    <x v="14"/>
    <m/>
    <n v="0"/>
    <n v="13"/>
    <n v="10"/>
    <n v="0"/>
  </r>
  <r>
    <x v="5"/>
    <x v="1"/>
    <x v="9"/>
    <s v="S40000004"/>
    <n v="0"/>
    <n v="2"/>
    <n v="2"/>
    <n v="0"/>
  </r>
  <r>
    <x v="6"/>
    <x v="0"/>
    <x v="2"/>
    <s v="S40000004"/>
    <n v="288"/>
    <n v="0"/>
    <n v="0"/>
    <n v="0"/>
  </r>
  <r>
    <x v="6"/>
    <x v="0"/>
    <x v="26"/>
    <m/>
    <n v="54"/>
    <n v="0"/>
    <n v="1"/>
    <n v="0"/>
  </r>
  <r>
    <x v="6"/>
    <x v="0"/>
    <x v="25"/>
    <s v="S40000004"/>
    <n v="211"/>
    <n v="0"/>
    <n v="0"/>
    <n v="0"/>
  </r>
  <r>
    <x v="6"/>
    <x v="0"/>
    <x v="14"/>
    <m/>
    <n v="438"/>
    <n v="0"/>
    <n v="10"/>
    <n v="0"/>
  </r>
  <r>
    <x v="6"/>
    <x v="0"/>
    <x v="20"/>
    <s v="S40000004"/>
    <n v="28"/>
    <n v="0"/>
    <n v="0"/>
    <n v="0"/>
  </r>
  <r>
    <x v="6"/>
    <x v="1"/>
    <x v="41"/>
    <m/>
    <n v="0"/>
    <n v="9"/>
    <n v="6"/>
    <n v="0"/>
  </r>
  <r>
    <x v="6"/>
    <x v="1"/>
    <x v="8"/>
    <m/>
    <n v="0"/>
    <n v="9"/>
    <n v="6"/>
    <n v="0"/>
  </r>
  <r>
    <x v="0"/>
    <x v="0"/>
    <x v="23"/>
    <s v="S12000041"/>
    <n v="28"/>
    <n v="0"/>
    <n v="0"/>
    <n v="0"/>
  </r>
  <r>
    <x v="0"/>
    <x v="0"/>
    <x v="2"/>
    <s v="S40000004"/>
    <n v="297"/>
    <n v="0"/>
    <n v="0"/>
    <n v="0"/>
  </r>
  <r>
    <x v="0"/>
    <x v="0"/>
    <x v="17"/>
    <s v="S40000004"/>
    <n v="25"/>
    <n v="0"/>
    <n v="0"/>
    <n v="0"/>
  </r>
  <r>
    <x v="0"/>
    <x v="0"/>
    <x v="14"/>
    <s v="S12000046"/>
    <n v="515"/>
    <n v="0"/>
    <n v="0"/>
    <n v="0"/>
  </r>
  <r>
    <x v="0"/>
    <x v="1"/>
    <x v="16"/>
    <s v="S39000001"/>
    <n v="0"/>
    <n v="7"/>
    <n v="9"/>
    <n v="0"/>
  </r>
  <r>
    <x v="0"/>
    <x v="1"/>
    <x v="28"/>
    <s v="S39000003"/>
    <n v="0"/>
    <n v="12"/>
    <n v="14"/>
    <n v="0"/>
  </r>
  <r>
    <x v="0"/>
    <x v="1"/>
    <x v="19"/>
    <s v="S39000018"/>
    <n v="0"/>
    <n v="13"/>
    <n v="16"/>
    <n v="0"/>
  </r>
  <r>
    <x v="0"/>
    <x v="1"/>
    <x v="31"/>
    <s v="S40000004"/>
    <n v="0"/>
    <n v="11"/>
    <n v="14"/>
    <n v="0"/>
  </r>
  <r>
    <x v="0"/>
    <x v="1"/>
    <x v="6"/>
    <s v="S39000014"/>
    <n v="0"/>
    <n v="8"/>
    <n v="9"/>
    <n v="0"/>
  </r>
  <r>
    <x v="0"/>
    <x v="1"/>
    <x v="24"/>
    <s v="S39000015"/>
    <n v="0"/>
    <n v="9"/>
    <n v="7"/>
    <n v="0"/>
  </r>
  <r>
    <x v="0"/>
    <x v="1"/>
    <x v="46"/>
    <s v="S40000004"/>
    <n v="0"/>
    <n v="9"/>
    <n v="9"/>
    <n v="0"/>
  </r>
  <r>
    <x v="1"/>
    <x v="0"/>
    <x v="39"/>
    <s v="S40000005"/>
    <n v="32"/>
    <n v="0"/>
    <n v="0"/>
    <n v="0"/>
  </r>
  <r>
    <x v="1"/>
    <x v="0"/>
    <x v="10"/>
    <s v="S40000003"/>
    <n v="52"/>
    <n v="0"/>
    <n v="0"/>
    <n v="0"/>
  </r>
  <r>
    <x v="1"/>
    <x v="0"/>
    <x v="13"/>
    <s v="S40000003"/>
    <n v="75"/>
    <n v="0"/>
    <n v="0"/>
    <n v="0"/>
  </r>
  <r>
    <x v="1"/>
    <x v="0"/>
    <x v="1"/>
    <s v="S40000004"/>
    <n v="58"/>
    <n v="0"/>
    <n v="0"/>
    <n v="0"/>
  </r>
  <r>
    <x v="1"/>
    <x v="1"/>
    <x v="2"/>
    <s v="S40000004"/>
    <n v="0"/>
    <n v="10"/>
    <n v="18"/>
    <n v="0"/>
  </r>
  <r>
    <x v="1"/>
    <x v="1"/>
    <x v="14"/>
    <s v="S40000003"/>
    <n v="0"/>
    <n v="16"/>
    <n v="9"/>
    <n v="0"/>
  </r>
  <r>
    <x v="2"/>
    <x v="0"/>
    <x v="17"/>
    <s v="S40000004"/>
    <n v="24"/>
    <n v="0"/>
    <n v="0"/>
    <n v="0"/>
  </r>
  <r>
    <x v="2"/>
    <x v="0"/>
    <x v="4"/>
    <s v="S40000005"/>
    <n v="74"/>
    <n v="0"/>
    <n v="0"/>
    <n v="0"/>
  </r>
  <r>
    <x v="2"/>
    <x v="0"/>
    <x v="5"/>
    <s v="S40000003"/>
    <n v="70"/>
    <n v="0"/>
    <n v="0"/>
    <n v="0"/>
  </r>
  <r>
    <x v="2"/>
    <x v="0"/>
    <x v="0"/>
    <s v="S40000003"/>
    <n v="100"/>
    <n v="0"/>
    <n v="0"/>
    <n v="0"/>
  </r>
  <r>
    <x v="2"/>
    <x v="0"/>
    <x v="38"/>
    <s v="S40000004"/>
    <n v="51"/>
    <n v="0"/>
    <n v="0"/>
    <n v="0"/>
  </r>
  <r>
    <x v="2"/>
    <x v="1"/>
    <x v="47"/>
    <s v="S40000003"/>
    <n v="0"/>
    <n v="9"/>
    <n v="12"/>
    <n v="0"/>
  </r>
  <r>
    <x v="2"/>
    <x v="1"/>
    <x v="48"/>
    <s v="S40000003"/>
    <n v="0"/>
    <n v="13"/>
    <n v="14"/>
    <n v="0"/>
  </r>
  <r>
    <x v="2"/>
    <x v="1"/>
    <x v="4"/>
    <s v="S40000005"/>
    <n v="0"/>
    <n v="17"/>
    <n v="18"/>
    <n v="0"/>
  </r>
  <r>
    <x v="2"/>
    <x v="1"/>
    <x v="24"/>
    <s v="S40000003"/>
    <n v="0"/>
    <n v="9"/>
    <n v="7"/>
    <n v="0"/>
  </r>
  <r>
    <x v="2"/>
    <x v="1"/>
    <x v="9"/>
    <s v="S40000004"/>
    <n v="0"/>
    <n v="4"/>
    <n v="11"/>
    <n v="0"/>
  </r>
  <r>
    <x v="3"/>
    <x v="0"/>
    <x v="26"/>
    <m/>
    <n v="46"/>
    <n v="0"/>
    <n v="0"/>
    <n v="0"/>
  </r>
  <r>
    <x v="3"/>
    <x v="0"/>
    <x v="6"/>
    <m/>
    <n v="156"/>
    <n v="0"/>
    <n v="0"/>
    <n v="0"/>
  </r>
  <r>
    <x v="3"/>
    <x v="0"/>
    <x v="0"/>
    <m/>
    <n v="99"/>
    <n v="0"/>
    <n v="0"/>
    <n v="0"/>
  </r>
  <r>
    <x v="3"/>
    <x v="0"/>
    <x v="7"/>
    <m/>
    <n v="69"/>
    <n v="0"/>
    <n v="0"/>
    <n v="0"/>
  </r>
  <r>
    <x v="3"/>
    <x v="1"/>
    <x v="47"/>
    <m/>
    <n v="0"/>
    <n v="9"/>
    <n v="13"/>
    <n v="0"/>
  </r>
  <r>
    <x v="3"/>
    <x v="1"/>
    <x v="9"/>
    <s v="S40000004"/>
    <n v="0"/>
    <n v="4"/>
    <n v="7"/>
    <n v="0"/>
  </r>
  <r>
    <x v="3"/>
    <x v="3"/>
    <x v="40"/>
    <s v="S40000004"/>
    <n v="0"/>
    <n v="8"/>
    <n v="37"/>
    <n v="21"/>
  </r>
  <r>
    <x v="4"/>
    <x v="0"/>
    <x v="36"/>
    <s v="S40000004"/>
    <n v="84"/>
    <n v="0"/>
    <n v="0"/>
    <n v="0"/>
  </r>
  <r>
    <x v="4"/>
    <x v="0"/>
    <x v="25"/>
    <s v="S40000004"/>
    <n v="238"/>
    <n v="0"/>
    <n v="1"/>
    <n v="0"/>
  </r>
  <r>
    <x v="4"/>
    <x v="0"/>
    <x v="4"/>
    <m/>
    <n v="0"/>
    <n v="0"/>
    <n v="11"/>
    <n v="0"/>
  </r>
  <r>
    <x v="4"/>
    <x v="1"/>
    <x v="41"/>
    <m/>
    <n v="0"/>
    <n v="10"/>
    <n v="9"/>
    <n v="0"/>
  </r>
  <r>
    <x v="4"/>
    <x v="1"/>
    <x v="8"/>
    <m/>
    <n v="0"/>
    <n v="8"/>
    <n v="11"/>
    <n v="0"/>
  </r>
  <r>
    <x v="4"/>
    <x v="1"/>
    <x v="4"/>
    <m/>
    <n v="0"/>
    <n v="15"/>
    <n v="5"/>
    <n v="0"/>
  </r>
  <r>
    <x v="4"/>
    <x v="1"/>
    <x v="21"/>
    <m/>
    <n v="0"/>
    <n v="9"/>
    <n v="0"/>
    <n v="0"/>
  </r>
  <r>
    <x v="5"/>
    <x v="0"/>
    <x v="3"/>
    <m/>
    <n v="166"/>
    <n v="0"/>
    <n v="2"/>
    <n v="0"/>
  </r>
  <r>
    <x v="5"/>
    <x v="0"/>
    <x v="5"/>
    <m/>
    <n v="63"/>
    <n v="0"/>
    <n v="0"/>
    <n v="0"/>
  </r>
  <r>
    <x v="5"/>
    <x v="0"/>
    <x v="38"/>
    <s v="S40000004"/>
    <n v="57"/>
    <n v="0"/>
    <n v="0"/>
    <n v="0"/>
  </r>
  <r>
    <x v="5"/>
    <x v="1"/>
    <x v="18"/>
    <m/>
    <n v="0"/>
    <n v="16"/>
    <n v="6"/>
    <n v="0"/>
  </r>
  <r>
    <x v="5"/>
    <x v="1"/>
    <x v="48"/>
    <m/>
    <n v="0"/>
    <n v="13"/>
    <n v="12"/>
    <n v="0"/>
  </r>
  <r>
    <x v="6"/>
    <x v="0"/>
    <x v="35"/>
    <m/>
    <n v="30"/>
    <n v="0"/>
    <n v="0"/>
    <n v="0"/>
  </r>
  <r>
    <x v="6"/>
    <x v="1"/>
    <x v="28"/>
    <m/>
    <n v="0"/>
    <n v="14"/>
    <n v="6"/>
    <n v="0"/>
  </r>
  <r>
    <x v="6"/>
    <x v="1"/>
    <x v="48"/>
    <m/>
    <n v="0"/>
    <n v="13"/>
    <n v="5"/>
    <n v="0"/>
  </r>
  <r>
    <x v="6"/>
    <x v="1"/>
    <x v="34"/>
    <m/>
    <n v="0"/>
    <n v="13"/>
    <n v="10"/>
    <n v="0"/>
  </r>
  <r>
    <x v="0"/>
    <x v="0"/>
    <x v="16"/>
    <s v="S12000033"/>
    <n v="154"/>
    <n v="0"/>
    <n v="0"/>
    <n v="0"/>
  </r>
  <r>
    <x v="0"/>
    <x v="0"/>
    <x v="44"/>
    <s v="S12000035"/>
    <n v="54"/>
    <n v="0"/>
    <n v="0"/>
    <n v="0"/>
  </r>
  <r>
    <x v="0"/>
    <x v="0"/>
    <x v="25"/>
    <s v="S40000004"/>
    <n v="274"/>
    <n v="0"/>
    <n v="0"/>
    <n v="0"/>
  </r>
  <r>
    <x v="0"/>
    <x v="0"/>
    <x v="35"/>
    <s v="S12000020"/>
    <n v="30"/>
    <n v="0"/>
    <n v="0"/>
    <n v="0"/>
  </r>
  <r>
    <x v="0"/>
    <x v="0"/>
    <x v="32"/>
    <s v="S12000028"/>
    <n v="50"/>
    <n v="0"/>
    <n v="0"/>
    <n v="0"/>
  </r>
  <r>
    <x v="0"/>
    <x v="1"/>
    <x v="43"/>
    <s v="S39000002"/>
    <n v="0"/>
    <n v="11"/>
    <n v="14"/>
    <n v="0"/>
  </r>
  <r>
    <x v="0"/>
    <x v="1"/>
    <x v="47"/>
    <s v="S39000004"/>
    <n v="0"/>
    <n v="9"/>
    <n v="13"/>
    <n v="0"/>
  </r>
  <r>
    <x v="0"/>
    <x v="1"/>
    <x v="48"/>
    <s v="S39000006"/>
    <n v="0"/>
    <n v="13"/>
    <n v="12"/>
    <n v="0"/>
  </r>
  <r>
    <x v="0"/>
    <x v="1"/>
    <x v="8"/>
    <s v="S40000004"/>
    <n v="0"/>
    <n v="9"/>
    <n v="11"/>
    <n v="0"/>
  </r>
  <r>
    <x v="0"/>
    <x v="1"/>
    <x v="14"/>
    <s v="S39000012"/>
    <n v="0"/>
    <n v="14"/>
    <n v="11"/>
    <n v="0"/>
  </r>
  <r>
    <x v="0"/>
    <x v="3"/>
    <x v="40"/>
    <s v="S40000004"/>
    <n v="0"/>
    <n v="11"/>
    <n v="26"/>
    <n v="0"/>
  </r>
  <r>
    <x v="1"/>
    <x v="0"/>
    <x v="44"/>
    <s v="S40000003"/>
    <n v="53"/>
    <n v="0"/>
    <n v="0"/>
    <n v="0"/>
  </r>
  <r>
    <x v="1"/>
    <x v="0"/>
    <x v="2"/>
    <s v="S40000004"/>
    <n v="306"/>
    <n v="0"/>
    <n v="0"/>
    <n v="0"/>
  </r>
  <r>
    <x v="1"/>
    <x v="0"/>
    <x v="14"/>
    <s v="S40000003"/>
    <n v="517"/>
    <n v="0"/>
    <n v="0"/>
    <n v="0"/>
  </r>
  <r>
    <x v="1"/>
    <x v="0"/>
    <x v="20"/>
    <s v="S40000004"/>
    <n v="26"/>
    <n v="0"/>
    <n v="0"/>
    <n v="0"/>
  </r>
  <r>
    <x v="1"/>
    <x v="0"/>
    <x v="35"/>
    <s v="S40000005"/>
    <n v="30"/>
    <n v="0"/>
    <n v="0"/>
    <n v="0"/>
  </r>
  <r>
    <x v="1"/>
    <x v="0"/>
    <x v="24"/>
    <s v="S40000003"/>
    <n v="168"/>
    <n v="0"/>
    <n v="0"/>
    <n v="0"/>
  </r>
  <r>
    <x v="1"/>
    <x v="1"/>
    <x v="41"/>
    <s v="S40000003"/>
    <n v="0"/>
    <n v="9"/>
    <n v="4"/>
    <n v="0"/>
  </r>
  <r>
    <x v="1"/>
    <x v="1"/>
    <x v="24"/>
    <s v="S40000003"/>
    <n v="0"/>
    <n v="9"/>
    <n v="7"/>
    <n v="0"/>
  </r>
  <r>
    <x v="1"/>
    <x v="1"/>
    <x v="21"/>
    <s v="S40000005"/>
    <n v="0"/>
    <n v="9"/>
    <n v="5"/>
    <n v="0"/>
  </r>
  <r>
    <x v="2"/>
    <x v="0"/>
    <x v="16"/>
    <s v="S40000005"/>
    <n v="149"/>
    <n v="0"/>
    <n v="0"/>
    <n v="0"/>
  </r>
  <r>
    <x v="2"/>
    <x v="0"/>
    <x v="23"/>
    <s v="S40000005"/>
    <n v="27"/>
    <n v="0"/>
    <n v="0"/>
    <n v="0"/>
  </r>
  <r>
    <x v="2"/>
    <x v="0"/>
    <x v="32"/>
    <s v="S40000003"/>
    <n v="51"/>
    <n v="0"/>
    <n v="0"/>
    <n v="0"/>
  </r>
  <r>
    <x v="2"/>
    <x v="0"/>
    <x v="33"/>
    <s v="S40000004"/>
    <n v="52"/>
    <n v="0"/>
    <n v="0"/>
    <n v="0"/>
  </r>
  <r>
    <x v="2"/>
    <x v="1"/>
    <x v="16"/>
    <s v="S40000005"/>
    <n v="0"/>
    <n v="6"/>
    <n v="6"/>
    <n v="0"/>
  </r>
  <r>
    <x v="2"/>
    <x v="1"/>
    <x v="43"/>
    <s v="S40000005"/>
    <n v="0"/>
    <n v="13"/>
    <n v="13"/>
    <n v="0"/>
  </r>
  <r>
    <x v="2"/>
    <x v="1"/>
    <x v="2"/>
    <s v="S40000004"/>
    <n v="0"/>
    <n v="11"/>
    <n v="17"/>
    <n v="0"/>
  </r>
  <r>
    <x v="2"/>
    <x v="1"/>
    <x v="9"/>
    <m/>
    <n v="0"/>
    <n v="12"/>
    <n v="10"/>
    <n v="0"/>
  </r>
  <r>
    <x v="2"/>
    <x v="3"/>
    <x v="22"/>
    <s v="S40000005"/>
    <n v="0"/>
    <n v="10"/>
    <n v="32"/>
    <n v="13"/>
  </r>
  <r>
    <x v="3"/>
    <x v="0"/>
    <x v="36"/>
    <s v="S40000004"/>
    <n v="87"/>
    <n v="0"/>
    <n v="0"/>
    <n v="0"/>
  </r>
  <r>
    <x v="3"/>
    <x v="0"/>
    <x v="38"/>
    <s v="S40000004"/>
    <n v="53"/>
    <n v="0"/>
    <n v="0"/>
    <n v="0"/>
  </r>
  <r>
    <x v="3"/>
    <x v="1"/>
    <x v="18"/>
    <m/>
    <n v="0"/>
    <n v="17"/>
    <n v="19"/>
    <n v="0"/>
  </r>
  <r>
    <x v="3"/>
    <x v="1"/>
    <x v="21"/>
    <m/>
    <n v="0"/>
    <n v="12"/>
    <n v="5"/>
    <n v="0"/>
  </r>
  <r>
    <x v="4"/>
    <x v="0"/>
    <x v="7"/>
    <m/>
    <n v="68"/>
    <n v="0"/>
    <n v="0"/>
    <n v="0"/>
  </r>
  <r>
    <x v="4"/>
    <x v="0"/>
    <x v="1"/>
    <s v="S40000004"/>
    <n v="57"/>
    <n v="0"/>
    <n v="0"/>
    <n v="0"/>
  </r>
  <r>
    <x v="4"/>
    <x v="1"/>
    <x v="31"/>
    <m/>
    <n v="0"/>
    <n v="11"/>
    <n v="16"/>
    <n v="0"/>
  </r>
  <r>
    <x v="4"/>
    <x v="1"/>
    <x v="9"/>
    <s v="S40000004"/>
    <n v="0"/>
    <n v="2"/>
    <n v="3"/>
    <n v="0"/>
  </r>
  <r>
    <x v="4"/>
    <x v="2"/>
    <x v="15"/>
    <s v="S92000003"/>
    <n v="0"/>
    <n v="52"/>
    <n v="17"/>
    <n v="0"/>
  </r>
  <r>
    <x v="5"/>
    <x v="0"/>
    <x v="44"/>
    <m/>
    <n v="54"/>
    <n v="0"/>
    <n v="1"/>
    <n v="0"/>
  </r>
  <r>
    <x v="5"/>
    <x v="0"/>
    <x v="10"/>
    <m/>
    <n v="53"/>
    <n v="0"/>
    <n v="0"/>
    <n v="0"/>
  </r>
  <r>
    <x v="5"/>
    <x v="0"/>
    <x v="11"/>
    <m/>
    <n v="76"/>
    <n v="0"/>
    <n v="0"/>
    <n v="0"/>
  </r>
  <r>
    <x v="5"/>
    <x v="0"/>
    <x v="30"/>
    <m/>
    <n v="53"/>
    <n v="0"/>
    <n v="0"/>
    <n v="0"/>
  </r>
  <r>
    <x v="5"/>
    <x v="0"/>
    <x v="4"/>
    <m/>
    <n v="72"/>
    <n v="0"/>
    <n v="8"/>
    <n v="0"/>
  </r>
  <r>
    <x v="5"/>
    <x v="0"/>
    <x v="37"/>
    <m/>
    <n v="0"/>
    <n v="0"/>
    <n v="3"/>
    <n v="0"/>
  </r>
  <r>
    <x v="5"/>
    <x v="0"/>
    <x v="13"/>
    <m/>
    <n v="85"/>
    <n v="0"/>
    <n v="0"/>
    <n v="0"/>
  </r>
  <r>
    <x v="5"/>
    <x v="0"/>
    <x v="27"/>
    <m/>
    <n v="65"/>
    <n v="0"/>
    <n v="1"/>
    <n v="0"/>
  </r>
  <r>
    <x v="5"/>
    <x v="0"/>
    <x v="32"/>
    <m/>
    <n v="51"/>
    <n v="0"/>
    <n v="1"/>
    <n v="0"/>
  </r>
  <r>
    <x v="5"/>
    <x v="0"/>
    <x v="33"/>
    <s v="S40000004"/>
    <n v="49"/>
    <n v="0"/>
    <n v="0"/>
    <n v="0"/>
  </r>
  <r>
    <x v="5"/>
    <x v="1"/>
    <x v="2"/>
    <m/>
    <n v="0"/>
    <n v="11"/>
    <n v="16"/>
    <n v="0"/>
  </r>
  <r>
    <x v="5"/>
    <x v="1"/>
    <x v="47"/>
    <m/>
    <n v="0"/>
    <n v="8"/>
    <n v="14"/>
    <n v="0"/>
  </r>
  <r>
    <x v="5"/>
    <x v="1"/>
    <x v="4"/>
    <m/>
    <n v="0"/>
    <n v="17"/>
    <n v="6"/>
    <n v="0"/>
  </r>
  <r>
    <x v="5"/>
    <x v="1"/>
    <x v="34"/>
    <m/>
    <n v="0"/>
    <n v="14"/>
    <n v="13"/>
    <n v="0"/>
  </r>
  <r>
    <x v="5"/>
    <x v="1"/>
    <x v="31"/>
    <m/>
    <n v="0"/>
    <n v="10"/>
    <n v="16"/>
    <n v="0"/>
  </r>
  <r>
    <x v="5"/>
    <x v="1"/>
    <x v="9"/>
    <m/>
    <n v="0"/>
    <n v="12"/>
    <n v="17"/>
    <n v="0"/>
  </r>
  <r>
    <x v="6"/>
    <x v="0"/>
    <x v="44"/>
    <m/>
    <n v="52"/>
    <n v="0"/>
    <n v="1"/>
    <n v="0"/>
  </r>
  <r>
    <x v="6"/>
    <x v="0"/>
    <x v="3"/>
    <m/>
    <n v="162"/>
    <n v="0"/>
    <n v="0"/>
    <n v="0"/>
  </r>
  <r>
    <x v="6"/>
    <x v="0"/>
    <x v="11"/>
    <m/>
    <n v="75"/>
    <n v="0"/>
    <n v="0"/>
    <n v="0"/>
  </r>
  <r>
    <x v="6"/>
    <x v="0"/>
    <x v="12"/>
    <s v="S40000004"/>
    <n v="26"/>
    <n v="0"/>
    <n v="0"/>
    <n v="0"/>
  </r>
  <r>
    <x v="6"/>
    <x v="0"/>
    <x v="30"/>
    <m/>
    <n v="52"/>
    <n v="0"/>
    <n v="0"/>
    <n v="0"/>
  </r>
  <r>
    <x v="6"/>
    <x v="0"/>
    <x v="4"/>
    <m/>
    <n v="70"/>
    <n v="0"/>
    <n v="3"/>
    <n v="0"/>
  </r>
  <r>
    <x v="0"/>
    <x v="0"/>
    <x v="5"/>
    <s v="S12000018"/>
    <n v="72"/>
    <n v="0"/>
    <n v="0"/>
    <n v="0"/>
  </r>
  <r>
    <x v="0"/>
    <x v="0"/>
    <x v="6"/>
    <s v="S12000044"/>
    <n v="166"/>
    <n v="0"/>
    <n v="0"/>
    <n v="0"/>
  </r>
  <r>
    <x v="0"/>
    <x v="0"/>
    <x v="27"/>
    <s v="S12000048"/>
    <n v="69"/>
    <n v="0"/>
    <n v="0"/>
    <n v="0"/>
  </r>
  <r>
    <x v="1"/>
    <x v="0"/>
    <x v="25"/>
    <s v="S40000004"/>
    <n v="269"/>
    <n v="0"/>
    <n v="0"/>
    <n v="0"/>
  </r>
  <r>
    <x v="2"/>
    <x v="0"/>
    <x v="6"/>
    <s v="S40000003"/>
    <n v="160"/>
    <n v="0"/>
    <n v="0"/>
    <n v="0"/>
  </r>
  <r>
    <x v="2"/>
    <x v="1"/>
    <x v="28"/>
    <s v="S40000003"/>
    <n v="0"/>
    <n v="11"/>
    <n v="15"/>
    <n v="0"/>
  </r>
  <r>
    <x v="2"/>
    <x v="1"/>
    <x v="8"/>
    <s v="S40000004"/>
    <n v="0"/>
    <n v="8"/>
    <n v="11"/>
    <n v="0"/>
  </r>
  <r>
    <x v="2"/>
    <x v="1"/>
    <x v="6"/>
    <s v="S40000003"/>
    <n v="0"/>
    <n v="8"/>
    <n v="7"/>
    <n v="0"/>
  </r>
  <r>
    <x v="3"/>
    <x v="0"/>
    <x v="16"/>
    <m/>
    <n v="154"/>
    <n v="0"/>
    <n v="0"/>
    <n v="0"/>
  </r>
  <r>
    <x v="3"/>
    <x v="0"/>
    <x v="35"/>
    <m/>
    <n v="30"/>
    <n v="0"/>
    <n v="0"/>
    <n v="0"/>
  </r>
  <r>
    <x v="3"/>
    <x v="1"/>
    <x v="28"/>
    <m/>
    <n v="0"/>
    <n v="13"/>
    <n v="15"/>
    <n v="0"/>
  </r>
  <r>
    <x v="3"/>
    <x v="1"/>
    <x v="48"/>
    <m/>
    <n v="0"/>
    <n v="15"/>
    <n v="12"/>
    <n v="0"/>
  </r>
  <r>
    <x v="3"/>
    <x v="1"/>
    <x v="8"/>
    <s v="S40000004"/>
    <n v="0"/>
    <n v="0"/>
    <n v="2"/>
    <n v="0"/>
  </r>
  <r>
    <x v="4"/>
    <x v="0"/>
    <x v="23"/>
    <m/>
    <n v="24"/>
    <n v="0"/>
    <n v="0"/>
    <n v="0"/>
  </r>
  <r>
    <x v="4"/>
    <x v="0"/>
    <x v="44"/>
    <m/>
    <n v="50"/>
    <n v="0"/>
    <n v="0"/>
    <n v="0"/>
  </r>
  <r>
    <x v="4"/>
    <x v="0"/>
    <x v="10"/>
    <m/>
    <n v="51"/>
    <n v="0"/>
    <n v="0"/>
    <n v="0"/>
  </r>
  <r>
    <x v="4"/>
    <x v="0"/>
    <x v="11"/>
    <m/>
    <n v="71"/>
    <n v="0"/>
    <n v="0"/>
    <n v="0"/>
  </r>
  <r>
    <x v="4"/>
    <x v="0"/>
    <x v="12"/>
    <s v="S40000004"/>
    <n v="24"/>
    <n v="0"/>
    <n v="0"/>
    <n v="0"/>
  </r>
  <r>
    <x v="4"/>
    <x v="0"/>
    <x v="14"/>
    <m/>
    <n v="481"/>
    <n v="0"/>
    <n v="10"/>
    <n v="0"/>
  </r>
  <r>
    <x v="4"/>
    <x v="0"/>
    <x v="13"/>
    <m/>
    <n v="75"/>
    <n v="0"/>
    <n v="0"/>
    <n v="0"/>
  </r>
  <r>
    <x v="4"/>
    <x v="1"/>
    <x v="14"/>
    <m/>
    <n v="0"/>
    <n v="14"/>
    <n v="9"/>
    <n v="0"/>
  </r>
  <r>
    <x v="4"/>
    <x v="3"/>
    <x v="22"/>
    <m/>
    <n v="0"/>
    <n v="11"/>
    <n v="34"/>
    <n v="25"/>
  </r>
  <r>
    <x v="5"/>
    <x v="0"/>
    <x v="39"/>
    <m/>
    <n v="28"/>
    <n v="0"/>
    <n v="0"/>
    <n v="0"/>
  </r>
  <r>
    <x v="5"/>
    <x v="0"/>
    <x v="26"/>
    <m/>
    <n v="47"/>
    <n v="0"/>
    <n v="1"/>
    <n v="0"/>
  </r>
  <r>
    <x v="5"/>
    <x v="0"/>
    <x v="6"/>
    <m/>
    <n v="167"/>
    <n v="0"/>
    <n v="2"/>
    <n v="0"/>
  </r>
  <r>
    <x v="5"/>
    <x v="0"/>
    <x v="0"/>
    <m/>
    <n v="102"/>
    <n v="0"/>
    <n v="0"/>
    <n v="0"/>
  </r>
  <r>
    <x v="5"/>
    <x v="0"/>
    <x v="7"/>
    <m/>
    <n v="75"/>
    <n v="0"/>
    <n v="0"/>
    <n v="0"/>
  </r>
  <r>
    <x v="5"/>
    <x v="3"/>
    <x v="40"/>
    <s v="S40000004"/>
    <n v="0"/>
    <n v="8"/>
    <n v="21"/>
    <n v="0"/>
  </r>
  <r>
    <x v="6"/>
    <x v="0"/>
    <x v="39"/>
    <m/>
    <n v="31"/>
    <n v="0"/>
    <n v="0"/>
    <n v="0"/>
  </r>
  <r>
    <x v="6"/>
    <x v="0"/>
    <x v="5"/>
    <m/>
    <n v="64"/>
    <n v="0"/>
    <n v="0"/>
    <n v="0"/>
  </r>
  <r>
    <x v="6"/>
    <x v="0"/>
    <x v="6"/>
    <m/>
    <n v="163"/>
    <n v="0"/>
    <n v="0"/>
    <n v="0"/>
  </r>
  <r>
    <x v="6"/>
    <x v="0"/>
    <x v="0"/>
    <m/>
    <n v="102"/>
    <n v="0"/>
    <n v="0"/>
    <n v="0"/>
  </r>
  <r>
    <x v="6"/>
    <x v="0"/>
    <x v="7"/>
    <m/>
    <n v="75"/>
    <n v="0"/>
    <n v="0"/>
    <n v="0"/>
  </r>
  <r>
    <x v="6"/>
    <x v="1"/>
    <x v="47"/>
    <m/>
    <n v="0"/>
    <n v="1"/>
    <n v="0"/>
    <n v="0"/>
  </r>
  <r>
    <x v="6"/>
    <x v="1"/>
    <x v="19"/>
    <m/>
    <n v="0"/>
    <n v="13"/>
    <n v="12"/>
    <n v="0"/>
  </r>
  <r>
    <x v="6"/>
    <x v="1"/>
    <x v="9"/>
    <s v="S40000004"/>
    <n v="0"/>
    <n v="2"/>
    <n v="0"/>
    <n v="0"/>
  </r>
  <r>
    <x v="6"/>
    <x v="3"/>
    <x v="40"/>
    <s v="S40000004"/>
    <n v="0"/>
    <n v="11"/>
    <n v="46"/>
    <n v="16"/>
  </r>
  <r>
    <x v="6"/>
    <x v="0"/>
    <x v="20"/>
    <m/>
    <n v="1"/>
    <n v="0"/>
    <n v="0"/>
    <n v="0"/>
  </r>
  <r>
    <x v="6"/>
    <x v="0"/>
    <x v="27"/>
    <m/>
    <n v="59"/>
    <n v="0"/>
    <n v="0"/>
    <n v="0"/>
  </r>
  <r>
    <x v="6"/>
    <x v="0"/>
    <x v="32"/>
    <m/>
    <n v="52"/>
    <n v="0"/>
    <n v="1"/>
    <n v="0"/>
  </r>
  <r>
    <x v="6"/>
    <x v="0"/>
    <x v="33"/>
    <s v="S40000004"/>
    <n v="47"/>
    <n v="0"/>
    <n v="0"/>
    <n v="0"/>
  </r>
  <r>
    <x v="6"/>
    <x v="1"/>
    <x v="47"/>
    <m/>
    <n v="0"/>
    <n v="8"/>
    <n v="7"/>
    <n v="0"/>
  </r>
  <r>
    <x v="6"/>
    <x v="1"/>
    <x v="4"/>
    <m/>
    <n v="0"/>
    <n v="19"/>
    <n v="6"/>
    <n v="0"/>
  </r>
  <r>
    <x v="6"/>
    <x v="1"/>
    <x v="31"/>
    <m/>
    <n v="0"/>
    <n v="10"/>
    <n v="10"/>
    <n v="0"/>
  </r>
  <r>
    <x v="6"/>
    <x v="1"/>
    <x v="9"/>
    <m/>
    <n v="0"/>
    <n v="13"/>
    <n v="11"/>
    <n v="0"/>
  </r>
  <r>
    <x v="0"/>
    <x v="0"/>
    <x v="39"/>
    <s v="S12000034"/>
    <n v="30"/>
    <n v="0"/>
    <n v="0"/>
    <n v="0"/>
  </r>
  <r>
    <x v="0"/>
    <x v="0"/>
    <x v="26"/>
    <s v="S12000008"/>
    <n v="47"/>
    <n v="0"/>
    <n v="0"/>
    <n v="0"/>
  </r>
  <r>
    <x v="0"/>
    <x v="0"/>
    <x v="30"/>
    <s v="S12000011"/>
    <n v="52"/>
    <n v="0"/>
    <n v="0"/>
    <n v="0"/>
  </r>
  <r>
    <x v="0"/>
    <x v="0"/>
    <x v="13"/>
    <s v="S12000021"/>
    <n v="76"/>
    <n v="0"/>
    <n v="0"/>
    <n v="0"/>
  </r>
  <r>
    <x v="0"/>
    <x v="0"/>
    <x v="33"/>
    <s v="S40000004"/>
    <n v="49"/>
    <n v="0"/>
    <n v="0"/>
    <n v="0"/>
  </r>
  <r>
    <x v="0"/>
    <x v="1"/>
    <x v="41"/>
    <s v="S39000008"/>
    <n v="0"/>
    <n v="9"/>
    <n v="5"/>
    <n v="0"/>
  </r>
  <r>
    <x v="0"/>
    <x v="3"/>
    <x v="22"/>
    <s v="S40000005"/>
    <n v="0"/>
    <n v="12"/>
    <n v="18"/>
    <n v="0"/>
  </r>
  <r>
    <x v="0"/>
    <x v="3"/>
    <x v="29"/>
    <s v="S40000003"/>
    <n v="0"/>
    <n v="18"/>
    <n v="61"/>
    <n v="0"/>
  </r>
  <r>
    <x v="0"/>
    <x v="2"/>
    <x v="15"/>
    <s v="S92000003"/>
    <n v="0"/>
    <n v="43"/>
    <n v="46"/>
    <n v="60"/>
  </r>
  <r>
    <x v="1"/>
    <x v="0"/>
    <x v="17"/>
    <s v="S40000004"/>
    <n v="25"/>
    <n v="0"/>
    <n v="0"/>
    <n v="0"/>
  </r>
  <r>
    <x v="1"/>
    <x v="1"/>
    <x v="47"/>
    <s v="S40000003"/>
    <n v="0"/>
    <n v="9"/>
    <n v="13"/>
    <n v="0"/>
  </r>
  <r>
    <x v="1"/>
    <x v="1"/>
    <x v="48"/>
    <s v="S40000003"/>
    <n v="0"/>
    <n v="14"/>
    <n v="14"/>
    <n v="0"/>
  </r>
  <r>
    <x v="1"/>
    <x v="3"/>
    <x v="40"/>
    <s v="S40000004"/>
    <n v="0"/>
    <n v="13"/>
    <n v="39"/>
    <n v="0"/>
  </r>
  <r>
    <x v="2"/>
    <x v="0"/>
    <x v="36"/>
    <s v="S40000004"/>
    <n v="88"/>
    <n v="0"/>
    <n v="0"/>
    <n v="0"/>
  </r>
  <r>
    <x v="2"/>
    <x v="0"/>
    <x v="25"/>
    <s v="S40000004"/>
    <n v="254"/>
    <n v="0"/>
    <n v="0"/>
    <n v="0"/>
  </r>
  <r>
    <x v="2"/>
    <x v="0"/>
    <x v="27"/>
    <s v="S40000005"/>
    <n v="63"/>
    <n v="0"/>
    <n v="0"/>
    <n v="0"/>
  </r>
  <r>
    <x v="2"/>
    <x v="1"/>
    <x v="41"/>
    <s v="S40000003"/>
    <n v="0"/>
    <n v="10"/>
    <n v="7"/>
    <n v="0"/>
  </r>
  <r>
    <x v="3"/>
    <x v="0"/>
    <x v="23"/>
    <m/>
    <n v="26"/>
    <n v="0"/>
    <n v="0"/>
    <n v="0"/>
  </r>
  <r>
    <x v="3"/>
    <x v="0"/>
    <x v="44"/>
    <m/>
    <n v="46"/>
    <n v="0"/>
    <n v="0"/>
    <n v="0"/>
  </r>
  <r>
    <x v="3"/>
    <x v="0"/>
    <x v="20"/>
    <s v="S40000004"/>
    <n v="26"/>
    <n v="0"/>
    <n v="0"/>
    <n v="0"/>
  </r>
  <r>
    <x v="3"/>
    <x v="0"/>
    <x v="13"/>
    <m/>
    <n v="74"/>
    <n v="0"/>
    <n v="0"/>
    <n v="0"/>
  </r>
  <r>
    <x v="3"/>
    <x v="1"/>
    <x v="14"/>
    <m/>
    <n v="0"/>
    <n v="14"/>
    <n v="9"/>
    <n v="0"/>
  </r>
  <r>
    <x v="3"/>
    <x v="3"/>
    <x v="22"/>
    <m/>
    <n v="0"/>
    <n v="11"/>
    <n v="27"/>
    <n v="10"/>
  </r>
  <r>
    <x v="4"/>
    <x v="0"/>
    <x v="39"/>
    <m/>
    <n v="28"/>
    <n v="0"/>
    <n v="0"/>
    <n v="0"/>
  </r>
  <r>
    <x v="4"/>
    <x v="0"/>
    <x v="2"/>
    <s v="S40000004"/>
    <n v="283"/>
    <n v="0"/>
    <n v="0"/>
    <n v="0"/>
  </r>
  <r>
    <x v="4"/>
    <x v="0"/>
    <x v="26"/>
    <m/>
    <n v="46"/>
    <n v="0"/>
    <n v="1"/>
    <n v="0"/>
  </r>
  <r>
    <x v="4"/>
    <x v="0"/>
    <x v="35"/>
    <m/>
    <n v="29"/>
    <n v="0"/>
    <n v="0"/>
    <n v="0"/>
  </r>
  <r>
    <x v="4"/>
    <x v="0"/>
    <x v="6"/>
    <m/>
    <n v="158"/>
    <n v="0"/>
    <n v="1"/>
    <n v="0"/>
  </r>
  <r>
    <x v="4"/>
    <x v="0"/>
    <x v="38"/>
    <s v="S40000004"/>
    <n v="56"/>
    <n v="0"/>
    <n v="0"/>
    <n v="0"/>
  </r>
  <r>
    <x v="4"/>
    <x v="1"/>
    <x v="28"/>
    <m/>
    <n v="0"/>
    <n v="15"/>
    <n v="15"/>
    <n v="0"/>
  </r>
  <r>
    <x v="4"/>
    <x v="1"/>
    <x v="47"/>
    <m/>
    <n v="0"/>
    <n v="9"/>
    <n v="9"/>
    <n v="0"/>
  </r>
  <r>
    <x v="4"/>
    <x v="1"/>
    <x v="48"/>
    <m/>
    <n v="0"/>
    <n v="15"/>
    <n v="11"/>
    <n v="0"/>
  </r>
  <r>
    <x v="4"/>
    <x v="3"/>
    <x v="40"/>
    <s v="S40000004"/>
    <n v="0"/>
    <n v="8"/>
    <n v="29"/>
    <n v="30"/>
  </r>
  <r>
    <x v="5"/>
    <x v="0"/>
    <x v="23"/>
    <m/>
    <n v="27"/>
    <n v="0"/>
    <n v="0"/>
    <n v="0"/>
  </r>
  <r>
    <x v="5"/>
    <x v="0"/>
    <x v="36"/>
    <s v="S40000004"/>
    <n v="91"/>
    <n v="0"/>
    <n v="0"/>
    <n v="0"/>
  </r>
  <r>
    <x v="5"/>
    <x v="0"/>
    <x v="25"/>
    <s v="S40000004"/>
    <n v="214"/>
    <n v="0"/>
    <n v="2"/>
    <n v="0"/>
  </r>
  <r>
    <x v="5"/>
    <x v="0"/>
    <x v="45"/>
    <m/>
    <n v="0"/>
    <n v="0"/>
    <n v="1"/>
    <n v="0"/>
  </r>
  <r>
    <x v="6"/>
    <x v="1"/>
    <x v="2"/>
    <m/>
    <n v="0"/>
    <n v="10"/>
    <n v="15"/>
    <n v="0"/>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x v="0"/>
    <m/>
    <m/>
    <m/>
    <n v="13"/>
    <n v="416"/>
    <n v="608"/>
    <n v="2355"/>
    <m/>
  </r>
  <r>
    <x v="1"/>
    <x v="1"/>
    <m/>
    <n v="14"/>
    <n v="62"/>
    <n v="91"/>
    <n v="133"/>
    <n v="50"/>
    <n v="35"/>
    <m/>
  </r>
  <r>
    <x v="2"/>
    <x v="2"/>
    <n v="5"/>
    <n v="16"/>
    <n v="20"/>
    <n v="19"/>
    <n v="28"/>
    <m/>
    <m/>
    <n v="88"/>
  </r>
  <r>
    <x v="3"/>
    <x v="0"/>
    <m/>
    <m/>
    <m/>
    <m/>
    <n v="403"/>
    <n v="585"/>
    <n v="1849"/>
    <n v="2837"/>
  </r>
  <r>
    <x v="4"/>
    <x v="3"/>
    <m/>
    <n v="3"/>
    <n v="14"/>
    <n v="24"/>
    <n v="64"/>
    <n v="41"/>
    <m/>
    <n v="146"/>
  </r>
  <r>
    <x v="5"/>
    <x v="3"/>
    <m/>
    <n v="6"/>
    <n v="9"/>
    <n v="16"/>
    <n v="87"/>
    <n v="36"/>
    <n v="58"/>
    <n v="212"/>
  </r>
  <r>
    <x v="2"/>
    <x v="0"/>
    <m/>
    <m/>
    <m/>
    <m/>
    <n v="373"/>
    <n v="572"/>
    <n v="1898"/>
    <n v="2843"/>
  </r>
  <r>
    <x v="6"/>
    <x v="1"/>
    <m/>
    <n v="14"/>
    <n v="47"/>
    <n v="112"/>
    <n v="77"/>
    <n v="8"/>
    <n v="21"/>
    <n v="279"/>
  </r>
  <r>
    <x v="0"/>
    <x v="2"/>
    <n v="6"/>
    <n v="5"/>
    <n v="22"/>
    <n v="5"/>
    <n v="11"/>
    <n v="7"/>
    <m/>
    <m/>
  </r>
  <r>
    <x v="1"/>
    <x v="2"/>
    <n v="4"/>
    <n v="18"/>
    <n v="19"/>
    <n v="19"/>
    <n v="93"/>
    <n v="26"/>
    <n v="16"/>
    <n v="195"/>
  </r>
  <r>
    <x v="7"/>
    <x v="1"/>
    <m/>
    <n v="16"/>
    <n v="47"/>
    <n v="116"/>
    <n v="119"/>
    <n v="61"/>
    <n v="30"/>
    <m/>
  </r>
  <r>
    <x v="8"/>
    <x v="0"/>
    <m/>
    <m/>
    <m/>
    <m/>
    <n v="375"/>
    <n v="588"/>
    <n v="1905"/>
    <m/>
  </r>
  <r>
    <x v="8"/>
    <x v="3"/>
    <m/>
    <n v="3"/>
    <n v="15"/>
    <n v="29"/>
    <n v="71"/>
    <n v="38"/>
    <m/>
    <m/>
  </r>
  <r>
    <x v="5"/>
    <x v="2"/>
    <n v="5"/>
    <n v="13"/>
    <n v="21"/>
    <n v="20"/>
    <n v="30"/>
    <m/>
    <n v="1"/>
    <n v="90"/>
  </r>
  <r>
    <x v="9"/>
    <x v="0"/>
    <m/>
    <m/>
    <m/>
    <m/>
    <n v="376"/>
    <n v="597"/>
    <n v="1993"/>
    <n v="2966"/>
  </r>
  <r>
    <x v="9"/>
    <x v="2"/>
    <n v="6"/>
    <n v="9"/>
    <n v="13"/>
    <n v="6"/>
    <n v="7"/>
    <m/>
    <n v="49"/>
    <n v="90"/>
  </r>
  <r>
    <x v="3"/>
    <x v="1"/>
    <m/>
    <n v="14"/>
    <n v="48"/>
    <n v="111"/>
    <n v="92"/>
    <n v="43"/>
    <n v="20"/>
    <n v="328"/>
  </r>
  <r>
    <x v="10"/>
    <x v="3"/>
    <m/>
    <n v="5"/>
    <n v="8"/>
    <n v="20"/>
    <n v="79"/>
    <n v="28"/>
    <n v="1"/>
    <n v="141"/>
  </r>
  <r>
    <x v="1"/>
    <x v="0"/>
    <m/>
    <m/>
    <m/>
    <n v="2"/>
    <n v="305"/>
    <n v="511"/>
    <n v="2207"/>
    <m/>
  </r>
  <r>
    <x v="1"/>
    <x v="3"/>
    <m/>
    <n v="3"/>
    <n v="9"/>
    <n v="14"/>
    <n v="46"/>
    <n v="13"/>
    <m/>
    <m/>
  </r>
  <r>
    <x v="8"/>
    <x v="1"/>
    <m/>
    <n v="16"/>
    <n v="46"/>
    <n v="115"/>
    <n v="110"/>
    <n v="63"/>
    <n v="29"/>
    <m/>
  </r>
  <r>
    <x v="4"/>
    <x v="0"/>
    <m/>
    <m/>
    <m/>
    <m/>
    <n v="377"/>
    <n v="592"/>
    <n v="1986"/>
    <n v="2955"/>
  </r>
  <r>
    <x v="2"/>
    <x v="1"/>
    <m/>
    <n v="14"/>
    <n v="47"/>
    <n v="119"/>
    <n v="115"/>
    <n v="56"/>
    <n v="27"/>
    <n v="378"/>
  </r>
  <r>
    <x v="2"/>
    <x v="3"/>
    <m/>
    <n v="5"/>
    <n v="9"/>
    <n v="19"/>
    <n v="91"/>
    <n v="32"/>
    <n v="65"/>
    <n v="221"/>
  </r>
  <r>
    <x v="3"/>
    <x v="3"/>
    <m/>
    <n v="5"/>
    <n v="11"/>
    <n v="21"/>
    <n v="90"/>
    <n v="26"/>
    <n v="103"/>
    <n v="256"/>
  </r>
  <r>
    <x v="10"/>
    <x v="1"/>
    <m/>
    <n v="15"/>
    <n v="47"/>
    <n v="112"/>
    <n v="93"/>
    <n v="42"/>
    <n v="18"/>
    <n v="327"/>
  </r>
  <r>
    <x v="6"/>
    <x v="2"/>
    <n v="5"/>
    <n v="12"/>
    <n v="16"/>
    <n v="24"/>
    <n v="31"/>
    <n v="1"/>
    <n v="1"/>
    <n v="90"/>
  </r>
  <r>
    <x v="0"/>
    <x v="1"/>
    <m/>
    <n v="17"/>
    <n v="69"/>
    <n v="85"/>
    <n v="94"/>
    <n v="5"/>
    <n v="15"/>
    <m/>
  </r>
  <r>
    <x v="11"/>
    <x v="0"/>
    <m/>
    <m/>
    <m/>
    <n v="14"/>
    <n v="416"/>
    <n v="592"/>
    <n v="2263"/>
    <m/>
  </r>
  <r>
    <x v="7"/>
    <x v="3"/>
    <m/>
    <n v="3"/>
    <n v="12"/>
    <n v="25"/>
    <n v="86"/>
    <n v="22"/>
    <n v="3"/>
    <m/>
  </r>
  <r>
    <x v="0"/>
    <x v="3"/>
    <n v="3"/>
    <n v="6"/>
    <n v="24"/>
    <n v="33"/>
    <n v="158"/>
    <n v="40"/>
    <n v="4"/>
    <n v="268"/>
  </r>
  <r>
    <x v="11"/>
    <x v="3"/>
    <m/>
    <n v="4"/>
    <n v="26"/>
    <n v="31"/>
    <n v="147"/>
    <n v="34"/>
    <n v="7"/>
    <m/>
  </r>
  <r>
    <x v="11"/>
    <x v="2"/>
    <n v="7"/>
    <n v="11"/>
    <n v="12"/>
    <n v="6"/>
    <n v="11"/>
    <n v="4"/>
    <n v="1"/>
    <n v="52"/>
  </r>
  <r>
    <x v="7"/>
    <x v="0"/>
    <m/>
    <m/>
    <m/>
    <n v="1"/>
    <n v="343"/>
    <n v="552"/>
    <n v="2027"/>
    <m/>
  </r>
  <r>
    <x v="7"/>
    <x v="2"/>
    <n v="4"/>
    <n v="15"/>
    <n v="11"/>
    <n v="9"/>
    <n v="42"/>
    <m/>
    <n v="101"/>
    <m/>
  </r>
  <r>
    <x v="8"/>
    <x v="2"/>
    <n v="4"/>
    <n v="15"/>
    <n v="13"/>
    <n v="9"/>
    <n v="47"/>
    <m/>
    <n v="55"/>
    <m/>
  </r>
  <r>
    <x v="4"/>
    <x v="1"/>
    <m/>
    <n v="16"/>
    <n v="49"/>
    <n v="115"/>
    <n v="124"/>
    <n v="54"/>
    <n v="29"/>
    <n v="387"/>
  </r>
  <r>
    <x v="4"/>
    <x v="2"/>
    <n v="4"/>
    <n v="14"/>
    <n v="17"/>
    <n v="8"/>
    <n v="46"/>
    <m/>
    <n v="60"/>
    <n v="149"/>
  </r>
  <r>
    <x v="5"/>
    <x v="1"/>
    <m/>
    <n v="16"/>
    <n v="49"/>
    <n v="116"/>
    <n v="114"/>
    <n v="55"/>
    <n v="26"/>
    <n v="376"/>
  </r>
  <r>
    <x v="11"/>
    <x v="1"/>
    <m/>
    <n v="18"/>
    <n v="65"/>
    <n v="79"/>
    <n v="90"/>
    <n v="4"/>
    <n v="14"/>
    <m/>
  </r>
  <r>
    <x v="9"/>
    <x v="1"/>
    <m/>
    <n v="16"/>
    <n v="50"/>
    <n v="118"/>
    <n v="113"/>
    <n v="58"/>
    <n v="28"/>
    <n v="383"/>
  </r>
  <r>
    <x v="9"/>
    <x v="3"/>
    <m/>
    <n v="6"/>
    <n v="17"/>
    <n v="29"/>
    <n v="112"/>
    <n v="33"/>
    <m/>
    <n v="197"/>
  </r>
  <r>
    <x v="5"/>
    <x v="0"/>
    <m/>
    <m/>
    <m/>
    <m/>
    <n v="372"/>
    <n v="596"/>
    <n v="1935"/>
    <n v="2903"/>
  </r>
  <r>
    <x v="3"/>
    <x v="2"/>
    <n v="5"/>
    <n v="12"/>
    <n v="19"/>
    <n v="16"/>
    <n v="16"/>
    <n v="1"/>
    <m/>
    <n v="69"/>
  </r>
  <r>
    <x v="10"/>
    <x v="0"/>
    <m/>
    <m/>
    <m/>
    <m/>
    <n v="408"/>
    <n v="569"/>
    <n v="1893"/>
    <n v="2870"/>
  </r>
  <r>
    <x v="10"/>
    <x v="2"/>
    <n v="5"/>
    <n v="11"/>
    <n v="16"/>
    <n v="24"/>
    <n v="27"/>
    <n v="1"/>
    <m/>
    <n v="84"/>
  </r>
  <r>
    <x v="6"/>
    <x v="0"/>
    <m/>
    <m/>
    <m/>
    <m/>
    <n v="396"/>
    <n v="551"/>
    <n v="1845"/>
    <n v="2792"/>
  </r>
  <r>
    <x v="6"/>
    <x v="3"/>
    <m/>
    <n v="4"/>
    <n v="9"/>
    <n v="24"/>
    <n v="101"/>
    <n v="62"/>
    <n v="69"/>
    <n v="269"/>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1">
  <r>
    <x v="0"/>
    <x v="0"/>
    <s v="S12000005"/>
    <x v="0"/>
    <m/>
    <m/>
    <n v="9"/>
    <n v="30"/>
    <m/>
    <n v="0"/>
    <n v="4"/>
  </r>
  <r>
    <x v="0"/>
    <x v="0"/>
    <s v="S12000006"/>
    <x v="1"/>
    <m/>
    <m/>
    <n v="11"/>
    <n v="53"/>
    <m/>
    <n v="0"/>
    <n v="5"/>
  </r>
  <r>
    <x v="0"/>
    <x v="0"/>
    <s v="S12000008"/>
    <x v="2"/>
    <m/>
    <m/>
    <n v="11"/>
    <n v="40"/>
    <m/>
    <n v="0"/>
    <n v="8"/>
  </r>
  <r>
    <x v="0"/>
    <x v="0"/>
    <s v="S12000010"/>
    <x v="3"/>
    <m/>
    <m/>
    <n v="5"/>
    <n v="21"/>
    <m/>
    <n v="0"/>
    <n v="3"/>
  </r>
  <r>
    <x v="0"/>
    <x v="0"/>
    <s v="S12000011"/>
    <x v="4"/>
    <m/>
    <m/>
    <n v="14"/>
    <n v="34"/>
    <m/>
    <n v="0"/>
    <n v="11"/>
  </r>
  <r>
    <x v="0"/>
    <x v="0"/>
    <s v="S12000013"/>
    <x v="5"/>
    <m/>
    <m/>
    <n v="0"/>
    <n v="0"/>
    <m/>
    <n v="0"/>
    <n v="0"/>
  </r>
  <r>
    <x v="0"/>
    <x v="0"/>
    <s v="S12000014"/>
    <x v="6"/>
    <m/>
    <m/>
    <n v="18"/>
    <n v="65"/>
    <m/>
    <n v="1"/>
    <n v="12"/>
  </r>
  <r>
    <x v="0"/>
    <x v="0"/>
    <s v="S12000017"/>
    <x v="7"/>
    <m/>
    <m/>
    <n v="9"/>
    <n v="60"/>
    <m/>
    <n v="2"/>
    <n v="10"/>
  </r>
  <r>
    <x v="0"/>
    <x v="0"/>
    <s v="S12000018"/>
    <x v="8"/>
    <m/>
    <m/>
    <n v="18"/>
    <n v="49"/>
    <m/>
    <n v="0"/>
    <n v="11"/>
  </r>
  <r>
    <x v="0"/>
    <x v="0"/>
    <s v="S12000019"/>
    <x v="9"/>
    <m/>
    <m/>
    <n v="4"/>
    <n v="26"/>
    <m/>
    <n v="0"/>
    <n v="5"/>
  </r>
  <r>
    <x v="0"/>
    <x v="0"/>
    <s v="S12000020"/>
    <x v="10"/>
    <m/>
    <m/>
    <n v="2"/>
    <n v="15"/>
    <m/>
    <n v="0"/>
    <n v="3"/>
  </r>
  <r>
    <x v="0"/>
    <x v="0"/>
    <s v="S12000021"/>
    <x v="11"/>
    <m/>
    <m/>
    <n v="13"/>
    <n v="50"/>
    <m/>
    <n v="0"/>
    <n v="13"/>
  </r>
  <r>
    <x v="0"/>
    <x v="0"/>
    <s v="S12000023"/>
    <x v="12"/>
    <m/>
    <m/>
    <n v="0"/>
    <n v="0"/>
    <m/>
    <n v="0"/>
    <n v="0"/>
  </r>
  <r>
    <x v="0"/>
    <x v="0"/>
    <s v="S12000024"/>
    <x v="13"/>
    <m/>
    <m/>
    <n v="14"/>
    <n v="61"/>
    <m/>
    <n v="2"/>
    <n v="11"/>
  </r>
  <r>
    <x v="0"/>
    <x v="0"/>
    <s v="S12000026"/>
    <x v="14"/>
    <m/>
    <m/>
    <n v="11"/>
    <n v="54"/>
    <m/>
    <n v="0"/>
    <n v="10"/>
  </r>
  <r>
    <x v="0"/>
    <x v="0"/>
    <s v="S12000027"/>
    <x v="15"/>
    <m/>
    <m/>
    <n v="0"/>
    <n v="0"/>
    <m/>
    <n v="0"/>
    <n v="0"/>
  </r>
  <r>
    <x v="0"/>
    <x v="0"/>
    <s v="S12000028"/>
    <x v="16"/>
    <m/>
    <m/>
    <n v="10"/>
    <n v="47"/>
    <m/>
    <n v="0"/>
    <n v="8"/>
  </r>
  <r>
    <x v="0"/>
    <x v="0"/>
    <s v="S12000029"/>
    <x v="17"/>
    <m/>
    <m/>
    <n v="33"/>
    <n v="129"/>
    <m/>
    <n v="2"/>
    <n v="26"/>
  </r>
  <r>
    <x v="0"/>
    <x v="0"/>
    <s v="S12000030"/>
    <x v="18"/>
    <m/>
    <m/>
    <n v="10"/>
    <n v="42"/>
    <m/>
    <n v="0"/>
    <n v="10"/>
  </r>
  <r>
    <x v="0"/>
    <x v="0"/>
    <s v="S12000033"/>
    <x v="19"/>
    <m/>
    <m/>
    <n v="24"/>
    <n v="128"/>
    <m/>
    <n v="0"/>
    <n v="22"/>
  </r>
  <r>
    <x v="0"/>
    <x v="0"/>
    <s v="S12000034"/>
    <x v="20"/>
    <m/>
    <m/>
    <n v="3"/>
    <n v="16"/>
    <m/>
    <n v="0"/>
    <n v="4"/>
  </r>
  <r>
    <x v="0"/>
    <x v="0"/>
    <s v="S12000035"/>
    <x v="21"/>
    <m/>
    <m/>
    <n v="10"/>
    <n v="31"/>
    <m/>
    <n v="2"/>
    <n v="15"/>
  </r>
  <r>
    <x v="0"/>
    <x v="0"/>
    <s v="S12000036"/>
    <x v="22"/>
    <m/>
    <m/>
    <n v="70"/>
    <n v="275"/>
    <m/>
    <n v="0"/>
    <n v="25"/>
  </r>
  <r>
    <x v="0"/>
    <x v="0"/>
    <s v="S12000038"/>
    <x v="23"/>
    <m/>
    <m/>
    <n v="22"/>
    <n v="74"/>
    <m/>
    <n v="1"/>
    <n v="19"/>
  </r>
  <r>
    <x v="0"/>
    <x v="0"/>
    <s v="S12000039"/>
    <x v="24"/>
    <m/>
    <m/>
    <n v="18"/>
    <n v="52"/>
    <m/>
    <n v="0"/>
    <n v="10"/>
  </r>
  <r>
    <x v="0"/>
    <x v="0"/>
    <s v="S12000040"/>
    <x v="25"/>
    <m/>
    <m/>
    <n v="14"/>
    <n v="61"/>
    <m/>
    <n v="0"/>
    <n v="10"/>
  </r>
  <r>
    <x v="0"/>
    <x v="0"/>
    <s v="S12000041"/>
    <x v="26"/>
    <m/>
    <m/>
    <n v="0"/>
    <n v="25"/>
    <m/>
    <n v="1"/>
    <n v="9"/>
  </r>
  <r>
    <x v="0"/>
    <x v="0"/>
    <s v="S12000042"/>
    <x v="27"/>
    <m/>
    <m/>
    <n v="29"/>
    <n v="162"/>
    <m/>
    <n v="1"/>
    <n v="23"/>
  </r>
  <r>
    <x v="0"/>
    <x v="0"/>
    <s v="S12000044"/>
    <x v="28"/>
    <m/>
    <m/>
    <n v="34"/>
    <n v="129"/>
    <m/>
    <n v="1"/>
    <n v="24"/>
  </r>
  <r>
    <x v="0"/>
    <x v="0"/>
    <s v="S12000045"/>
    <x v="29"/>
    <m/>
    <m/>
    <n v="15"/>
    <n v="45"/>
    <m/>
    <n v="0"/>
    <n v="14"/>
  </r>
  <r>
    <x v="0"/>
    <x v="0"/>
    <s v="S12000046"/>
    <x v="30"/>
    <m/>
    <m/>
    <n v="119"/>
    <n v="373"/>
    <m/>
    <n v="0"/>
    <n v="68"/>
  </r>
  <r>
    <x v="0"/>
    <x v="0"/>
    <s v="S12000047"/>
    <x v="31"/>
    <m/>
    <m/>
    <n v="58"/>
    <n v="208"/>
    <m/>
    <n v="0"/>
    <n v="23"/>
  </r>
  <r>
    <x v="0"/>
    <x v="1"/>
    <s v="S39000001"/>
    <x v="19"/>
    <n v="1"/>
    <m/>
    <n v="0"/>
    <n v="1"/>
    <n v="7"/>
    <n v="6"/>
    <n v="8"/>
  </r>
  <r>
    <x v="0"/>
    <x v="1"/>
    <s v="S39000002"/>
    <x v="32"/>
    <n v="1"/>
    <m/>
    <n v="0"/>
    <n v="0"/>
    <n v="2"/>
    <n v="4"/>
    <n v="8"/>
  </r>
  <r>
    <x v="0"/>
    <x v="1"/>
    <s v="S39000003"/>
    <x v="33"/>
    <n v="1"/>
    <m/>
    <n v="1"/>
    <n v="1"/>
    <n v="3"/>
    <n v="6"/>
    <n v="10"/>
  </r>
  <r>
    <x v="0"/>
    <x v="1"/>
    <s v="S39000004"/>
    <x v="1"/>
    <n v="0"/>
    <m/>
    <n v="0"/>
    <n v="0"/>
    <n v="2"/>
    <n v="5"/>
    <n v="9"/>
  </r>
  <r>
    <x v="0"/>
    <x v="1"/>
    <s v="S39000006"/>
    <x v="34"/>
    <n v="1"/>
    <m/>
    <n v="0"/>
    <n v="5"/>
    <n v="7"/>
    <n v="0"/>
    <n v="8"/>
  </r>
  <r>
    <x v="0"/>
    <x v="1"/>
    <s v="S39000007"/>
    <x v="35"/>
    <n v="1"/>
    <m/>
    <n v="0"/>
    <n v="1"/>
    <n v="3"/>
    <n v="5"/>
    <n v="2"/>
  </r>
  <r>
    <x v="0"/>
    <x v="1"/>
    <s v="S39000008"/>
    <x v="36"/>
    <n v="1"/>
    <m/>
    <n v="0"/>
    <n v="0"/>
    <n v="9"/>
    <n v="7"/>
    <n v="6"/>
  </r>
  <r>
    <x v="0"/>
    <x v="1"/>
    <s v="S39000009"/>
    <x v="37"/>
    <n v="2"/>
    <m/>
    <n v="3"/>
    <n v="2"/>
    <n v="9"/>
    <n v="3"/>
    <n v="7"/>
  </r>
  <r>
    <x v="0"/>
    <x v="1"/>
    <s v="S39000010"/>
    <x v="38"/>
    <n v="1"/>
    <m/>
    <n v="0"/>
    <n v="2"/>
    <n v="2"/>
    <n v="2"/>
    <n v="6"/>
  </r>
  <r>
    <x v="0"/>
    <x v="1"/>
    <s v="S39000012"/>
    <x v="30"/>
    <n v="1"/>
    <m/>
    <n v="0"/>
    <n v="3"/>
    <n v="4"/>
    <n v="10"/>
    <n v="10"/>
  </r>
  <r>
    <x v="0"/>
    <x v="1"/>
    <s v="S39000013"/>
    <x v="39"/>
    <n v="1"/>
    <m/>
    <n v="0"/>
    <n v="0"/>
    <n v="4"/>
    <n v="7"/>
    <n v="1"/>
  </r>
  <r>
    <x v="0"/>
    <x v="1"/>
    <s v="S39000014"/>
    <x v="28"/>
    <n v="1"/>
    <m/>
    <n v="1"/>
    <n v="0"/>
    <n v="2"/>
    <n v="6"/>
    <n v="4"/>
  </r>
  <r>
    <x v="0"/>
    <x v="1"/>
    <s v="S39000015"/>
    <x v="17"/>
    <n v="1"/>
    <m/>
    <n v="0"/>
    <n v="0"/>
    <n v="3"/>
    <n v="4"/>
    <n v="2"/>
  </r>
  <r>
    <x v="0"/>
    <x v="1"/>
    <s v="S39000016"/>
    <x v="40"/>
    <n v="1"/>
    <m/>
    <n v="0"/>
    <n v="0"/>
    <n v="3"/>
    <n v="4"/>
    <n v="0"/>
  </r>
  <r>
    <x v="0"/>
    <x v="1"/>
    <s v="S39000017"/>
    <x v="41"/>
    <n v="1"/>
    <m/>
    <n v="0"/>
    <n v="0"/>
    <n v="3"/>
    <n v="5"/>
    <n v="0"/>
  </r>
  <r>
    <x v="0"/>
    <x v="1"/>
    <s v="S39000018"/>
    <x v="42"/>
    <n v="1"/>
    <m/>
    <n v="0"/>
    <n v="0"/>
    <n v="3"/>
    <n v="5"/>
    <n v="2"/>
  </r>
  <r>
    <x v="0"/>
    <x v="1"/>
    <s v="S39000019"/>
    <x v="31"/>
    <n v="1"/>
    <m/>
    <n v="0"/>
    <n v="0"/>
    <n v="3"/>
    <n v="6"/>
    <n v="11"/>
  </r>
  <r>
    <x v="0"/>
    <x v="2"/>
    <s v="S40000003"/>
    <x v="43"/>
    <n v="3"/>
    <n v="1"/>
    <n v="8"/>
    <n v="0"/>
    <n v="12"/>
    <n v="8"/>
    <n v="79"/>
  </r>
  <r>
    <x v="0"/>
    <x v="2"/>
    <s v="S40000004"/>
    <x v="44"/>
    <n v="1"/>
    <n v="1"/>
    <n v="8"/>
    <n v="3"/>
    <n v="3"/>
    <n v="15"/>
    <n v="49"/>
  </r>
  <r>
    <x v="0"/>
    <x v="2"/>
    <s v="S40000005"/>
    <x v="45"/>
    <n v="2"/>
    <n v="1"/>
    <n v="24"/>
    <n v="1"/>
    <n v="9"/>
    <n v="10"/>
    <n v="30"/>
  </r>
  <r>
    <x v="0"/>
    <x v="3"/>
    <s v="S92000003"/>
    <x v="46"/>
    <n v="5"/>
    <n v="6"/>
    <n v="7"/>
    <n v="0"/>
    <n v="22"/>
    <n v="5"/>
    <n v="11"/>
  </r>
  <r>
    <x v="1"/>
    <x v="0"/>
    <s v="S12000005"/>
    <x v="0"/>
    <m/>
    <m/>
    <n v="8"/>
    <n v="25"/>
    <m/>
    <n v="0"/>
    <n v="4"/>
  </r>
  <r>
    <x v="1"/>
    <x v="0"/>
    <s v="S12000006"/>
    <x v="1"/>
    <m/>
    <m/>
    <n v="11"/>
    <n v="52"/>
    <m/>
    <n v="0"/>
    <n v="6"/>
  </r>
  <r>
    <x v="1"/>
    <x v="0"/>
    <s v="S12000008"/>
    <x v="2"/>
    <m/>
    <m/>
    <n v="9"/>
    <n v="39"/>
    <m/>
    <n v="0"/>
    <n v="8"/>
  </r>
  <r>
    <x v="1"/>
    <x v="0"/>
    <s v="S12000010"/>
    <x v="3"/>
    <m/>
    <m/>
    <n v="3"/>
    <n v="21"/>
    <m/>
    <n v="0"/>
    <n v="4"/>
  </r>
  <r>
    <x v="1"/>
    <x v="0"/>
    <s v="S12000011"/>
    <x v="4"/>
    <m/>
    <m/>
    <n v="13"/>
    <n v="35"/>
    <m/>
    <n v="0"/>
    <n v="9"/>
  </r>
  <r>
    <x v="1"/>
    <x v="0"/>
    <s v="S12000013"/>
    <x v="5"/>
    <m/>
    <m/>
    <n v="0"/>
    <n v="0"/>
    <m/>
    <n v="0"/>
    <n v="0"/>
  </r>
  <r>
    <x v="1"/>
    <x v="0"/>
    <s v="S12000014"/>
    <x v="6"/>
    <m/>
    <m/>
    <n v="17"/>
    <n v="60"/>
    <m/>
    <n v="2"/>
    <n v="15"/>
  </r>
  <r>
    <x v="1"/>
    <x v="0"/>
    <s v="S12000017"/>
    <x v="7"/>
    <m/>
    <m/>
    <n v="11"/>
    <n v="57"/>
    <m/>
    <n v="1"/>
    <n v="12"/>
  </r>
  <r>
    <x v="1"/>
    <x v="0"/>
    <s v="S12000018"/>
    <x v="8"/>
    <m/>
    <m/>
    <n v="16"/>
    <n v="49"/>
    <m/>
    <n v="0"/>
    <n v="12"/>
  </r>
  <r>
    <x v="1"/>
    <x v="0"/>
    <s v="S12000019"/>
    <x v="9"/>
    <m/>
    <m/>
    <n v="4"/>
    <n v="26"/>
    <m/>
    <n v="0"/>
    <n v="5"/>
  </r>
  <r>
    <x v="1"/>
    <x v="0"/>
    <s v="S12000020"/>
    <x v="10"/>
    <m/>
    <m/>
    <n v="3"/>
    <n v="14"/>
    <m/>
    <n v="0"/>
    <n v="4"/>
  </r>
  <r>
    <x v="1"/>
    <x v="0"/>
    <s v="S12000021"/>
    <x v="11"/>
    <m/>
    <m/>
    <n v="14"/>
    <n v="50"/>
    <m/>
    <n v="0"/>
    <n v="14"/>
  </r>
  <r>
    <x v="1"/>
    <x v="0"/>
    <s v="S12000023"/>
    <x v="12"/>
    <m/>
    <m/>
    <n v="0"/>
    <n v="0"/>
    <m/>
    <n v="0"/>
    <n v="0"/>
  </r>
  <r>
    <x v="1"/>
    <x v="0"/>
    <s v="S12000024"/>
    <x v="13"/>
    <m/>
    <m/>
    <n v="16"/>
    <n v="58"/>
    <m/>
    <n v="1"/>
    <n v="11"/>
  </r>
  <r>
    <x v="1"/>
    <x v="0"/>
    <s v="S12000026"/>
    <x v="14"/>
    <m/>
    <m/>
    <n v="11"/>
    <n v="51"/>
    <m/>
    <n v="0"/>
    <n v="11"/>
  </r>
  <r>
    <x v="1"/>
    <x v="0"/>
    <s v="S12000027"/>
    <x v="15"/>
    <m/>
    <m/>
    <n v="0"/>
    <n v="0"/>
    <m/>
    <n v="0"/>
    <n v="0"/>
  </r>
  <r>
    <x v="1"/>
    <x v="0"/>
    <s v="S12000028"/>
    <x v="16"/>
    <m/>
    <m/>
    <n v="9"/>
    <n v="43"/>
    <m/>
    <n v="0"/>
    <n v="8"/>
  </r>
  <r>
    <x v="1"/>
    <x v="0"/>
    <s v="S12000029"/>
    <x v="17"/>
    <m/>
    <m/>
    <n v="35"/>
    <n v="126"/>
    <m/>
    <n v="2"/>
    <n v="24"/>
  </r>
  <r>
    <x v="1"/>
    <x v="0"/>
    <s v="S12000030"/>
    <x v="18"/>
    <m/>
    <m/>
    <n v="10"/>
    <n v="37"/>
    <m/>
    <n v="0"/>
    <n v="8"/>
  </r>
  <r>
    <x v="1"/>
    <x v="0"/>
    <s v="S12000033"/>
    <x v="19"/>
    <m/>
    <m/>
    <n v="25"/>
    <n v="122"/>
    <m/>
    <n v="0"/>
    <n v="26"/>
  </r>
  <r>
    <x v="1"/>
    <x v="0"/>
    <s v="S12000034"/>
    <x v="20"/>
    <m/>
    <m/>
    <n v="3"/>
    <n v="18"/>
    <m/>
    <n v="0"/>
    <n v="2"/>
  </r>
  <r>
    <x v="1"/>
    <x v="0"/>
    <s v="S12000035"/>
    <x v="21"/>
    <m/>
    <m/>
    <n v="10"/>
    <n v="27"/>
    <m/>
    <n v="2"/>
    <n v="15"/>
  </r>
  <r>
    <x v="1"/>
    <x v="0"/>
    <s v="S12000036"/>
    <x v="22"/>
    <m/>
    <m/>
    <n v="64"/>
    <n v="257"/>
    <m/>
    <n v="1"/>
    <n v="26"/>
  </r>
  <r>
    <x v="1"/>
    <x v="0"/>
    <s v="S12000038"/>
    <x v="23"/>
    <m/>
    <m/>
    <n v="23"/>
    <n v="72"/>
    <m/>
    <n v="0"/>
    <n v="20"/>
  </r>
  <r>
    <x v="1"/>
    <x v="0"/>
    <s v="S12000039"/>
    <x v="24"/>
    <m/>
    <m/>
    <n v="20"/>
    <n v="45"/>
    <m/>
    <n v="0"/>
    <n v="9"/>
  </r>
  <r>
    <x v="1"/>
    <x v="0"/>
    <s v="S12000040"/>
    <x v="25"/>
    <m/>
    <m/>
    <n v="9"/>
    <n v="59"/>
    <m/>
    <n v="1"/>
    <n v="10"/>
  </r>
  <r>
    <x v="1"/>
    <x v="0"/>
    <s v="S12000041"/>
    <x v="26"/>
    <m/>
    <m/>
    <n v="0"/>
    <n v="22"/>
    <m/>
    <n v="1"/>
    <n v="4"/>
  </r>
  <r>
    <x v="1"/>
    <x v="0"/>
    <s v="S12000042"/>
    <x v="27"/>
    <m/>
    <m/>
    <n v="27"/>
    <n v="158"/>
    <m/>
    <n v="1"/>
    <n v="21"/>
  </r>
  <r>
    <x v="1"/>
    <x v="0"/>
    <s v="S12000044"/>
    <x v="28"/>
    <m/>
    <m/>
    <n v="37"/>
    <n v="125"/>
    <m/>
    <n v="1"/>
    <n v="24"/>
  </r>
  <r>
    <x v="1"/>
    <x v="0"/>
    <s v="S12000045"/>
    <x v="29"/>
    <m/>
    <m/>
    <n v="14"/>
    <n v="44"/>
    <m/>
    <n v="0"/>
    <n v="14"/>
  </r>
  <r>
    <x v="1"/>
    <x v="0"/>
    <s v="S12000046"/>
    <x v="30"/>
    <m/>
    <m/>
    <n v="116"/>
    <n v="362"/>
    <m/>
    <n v="1"/>
    <n v="65"/>
  </r>
  <r>
    <x v="1"/>
    <x v="0"/>
    <s v="S12000047"/>
    <x v="31"/>
    <m/>
    <m/>
    <n v="54"/>
    <n v="209"/>
    <m/>
    <n v="0"/>
    <n v="25"/>
  </r>
  <r>
    <x v="1"/>
    <x v="1"/>
    <s v="S39000001"/>
    <x v="19"/>
    <n v="1"/>
    <m/>
    <n v="0"/>
    <n v="0"/>
    <n v="3"/>
    <n v="7"/>
    <n v="7"/>
  </r>
  <r>
    <x v="1"/>
    <x v="1"/>
    <s v="S39000002"/>
    <x v="32"/>
    <n v="1"/>
    <m/>
    <n v="0"/>
    <n v="2"/>
    <n v="1"/>
    <n v="4"/>
    <n v="10"/>
  </r>
  <r>
    <x v="1"/>
    <x v="1"/>
    <s v="S39000003"/>
    <x v="33"/>
    <n v="1"/>
    <m/>
    <n v="0"/>
    <n v="1"/>
    <n v="7"/>
    <n v="5"/>
    <n v="7"/>
  </r>
  <r>
    <x v="1"/>
    <x v="1"/>
    <s v="S39000004"/>
    <x v="1"/>
    <n v="0"/>
    <m/>
    <n v="0"/>
    <n v="1"/>
    <n v="2"/>
    <n v="5"/>
    <n v="10"/>
  </r>
  <r>
    <x v="1"/>
    <x v="1"/>
    <s v="S39000006"/>
    <x v="34"/>
    <n v="1"/>
    <m/>
    <n v="0"/>
    <n v="0"/>
    <n v="7"/>
    <n v="7"/>
    <n v="5"/>
  </r>
  <r>
    <x v="1"/>
    <x v="1"/>
    <s v="S39000007"/>
    <x v="35"/>
    <n v="1"/>
    <m/>
    <n v="0"/>
    <n v="4"/>
    <n v="5"/>
    <n v="1"/>
    <n v="6"/>
  </r>
  <r>
    <x v="1"/>
    <x v="1"/>
    <s v="S39000008"/>
    <x v="36"/>
    <n v="1"/>
    <m/>
    <n v="0"/>
    <n v="0"/>
    <n v="3"/>
    <n v="5"/>
    <n v="3"/>
  </r>
  <r>
    <x v="1"/>
    <x v="1"/>
    <s v="S39000009"/>
    <x v="37"/>
    <n v="2"/>
    <m/>
    <n v="2"/>
    <n v="2"/>
    <n v="8"/>
    <n v="4"/>
    <n v="6"/>
  </r>
  <r>
    <x v="1"/>
    <x v="1"/>
    <s v="S39000010"/>
    <x v="38"/>
    <n v="1"/>
    <m/>
    <n v="0"/>
    <n v="1"/>
    <n v="3"/>
    <n v="3"/>
    <n v="5"/>
  </r>
  <r>
    <x v="1"/>
    <x v="1"/>
    <s v="S39000012"/>
    <x v="30"/>
    <n v="1"/>
    <m/>
    <n v="1"/>
    <n v="2"/>
    <n v="4"/>
    <n v="8"/>
    <n v="9"/>
  </r>
  <r>
    <x v="1"/>
    <x v="1"/>
    <s v="S39000013"/>
    <x v="39"/>
    <n v="1"/>
    <m/>
    <n v="0"/>
    <n v="0"/>
    <n v="6"/>
    <n v="5"/>
    <n v="1"/>
  </r>
  <r>
    <x v="1"/>
    <x v="1"/>
    <s v="S39000014"/>
    <x v="28"/>
    <n v="2"/>
    <m/>
    <n v="1"/>
    <n v="1"/>
    <n v="3"/>
    <n v="5"/>
    <n v="4"/>
  </r>
  <r>
    <x v="1"/>
    <x v="1"/>
    <s v="S39000015"/>
    <x v="17"/>
    <n v="1"/>
    <m/>
    <n v="0"/>
    <n v="0"/>
    <n v="4"/>
    <n v="2"/>
    <n v="3"/>
  </r>
  <r>
    <x v="1"/>
    <x v="1"/>
    <s v="S39000016"/>
    <x v="40"/>
    <n v="0"/>
    <m/>
    <n v="0"/>
    <n v="0"/>
    <n v="1"/>
    <n v="4"/>
    <n v="0"/>
  </r>
  <r>
    <x v="1"/>
    <x v="1"/>
    <s v="S39000017"/>
    <x v="41"/>
    <n v="1"/>
    <m/>
    <n v="0"/>
    <n v="0"/>
    <n v="3"/>
    <n v="3"/>
    <n v="0"/>
  </r>
  <r>
    <x v="1"/>
    <x v="1"/>
    <s v="S39000018"/>
    <x v="42"/>
    <n v="1"/>
    <m/>
    <n v="0"/>
    <n v="0"/>
    <n v="3"/>
    <n v="5"/>
    <n v="3"/>
  </r>
  <r>
    <x v="1"/>
    <x v="1"/>
    <s v="S39000019"/>
    <x v="31"/>
    <n v="2"/>
    <m/>
    <n v="0"/>
    <n v="0"/>
    <n v="2"/>
    <n v="6"/>
    <n v="11"/>
  </r>
  <r>
    <x v="1"/>
    <x v="2"/>
    <s v="S40000003"/>
    <x v="43"/>
    <n v="2"/>
    <m/>
    <n v="9"/>
    <n v="0"/>
    <n v="15"/>
    <n v="4"/>
    <n v="75"/>
  </r>
  <r>
    <x v="1"/>
    <x v="2"/>
    <s v="S40000004"/>
    <x v="44"/>
    <n v="1"/>
    <m/>
    <n v="4"/>
    <n v="6"/>
    <n v="4"/>
    <n v="17"/>
    <n v="46"/>
  </r>
  <r>
    <x v="1"/>
    <x v="2"/>
    <s v="S40000005"/>
    <x v="45"/>
    <n v="1"/>
    <m/>
    <n v="21"/>
    <n v="1"/>
    <n v="7"/>
    <n v="10"/>
    <n v="26"/>
  </r>
  <r>
    <x v="1"/>
    <x v="3"/>
    <s v="S92000003"/>
    <x v="46"/>
    <n v="11"/>
    <n v="7"/>
    <n v="4"/>
    <n v="1"/>
    <n v="12"/>
    <n v="6"/>
    <n v="11"/>
  </r>
  <r>
    <x v="2"/>
    <x v="0"/>
    <s v="S12000005"/>
    <x v="0"/>
    <m/>
    <m/>
    <n v="5"/>
    <n v="17"/>
    <m/>
    <n v="0"/>
    <n v="4"/>
  </r>
  <r>
    <x v="2"/>
    <x v="0"/>
    <s v="S12000006"/>
    <x v="1"/>
    <m/>
    <m/>
    <n v="14"/>
    <n v="48"/>
    <m/>
    <n v="0"/>
    <n v="3"/>
  </r>
  <r>
    <x v="2"/>
    <x v="0"/>
    <s v="S12000008"/>
    <x v="2"/>
    <m/>
    <m/>
    <n v="7"/>
    <n v="41"/>
    <m/>
    <n v="0"/>
    <n v="5"/>
  </r>
  <r>
    <x v="2"/>
    <x v="0"/>
    <s v="S12000010"/>
    <x v="3"/>
    <m/>
    <m/>
    <n v="4"/>
    <n v="19"/>
    <m/>
    <n v="0"/>
    <n v="4"/>
  </r>
  <r>
    <x v="2"/>
    <x v="0"/>
    <s v="S12000011"/>
    <x v="4"/>
    <m/>
    <m/>
    <n v="10"/>
    <n v="34"/>
    <m/>
    <n v="0"/>
    <n v="9"/>
  </r>
  <r>
    <x v="2"/>
    <x v="0"/>
    <s v="S12000013"/>
    <x v="5"/>
    <m/>
    <m/>
    <n v="0"/>
    <n v="0"/>
    <m/>
    <n v="0"/>
    <n v="0"/>
  </r>
  <r>
    <x v="2"/>
    <x v="0"/>
    <s v="S12000014"/>
    <x v="6"/>
    <m/>
    <m/>
    <n v="17"/>
    <n v="66"/>
    <m/>
    <n v="0"/>
    <n v="12"/>
  </r>
  <r>
    <x v="2"/>
    <x v="0"/>
    <s v="S12000017"/>
    <x v="7"/>
    <m/>
    <m/>
    <n v="11"/>
    <n v="53"/>
    <m/>
    <n v="0"/>
    <n v="4"/>
  </r>
  <r>
    <x v="2"/>
    <x v="0"/>
    <s v="S12000018"/>
    <x v="8"/>
    <m/>
    <m/>
    <n v="12"/>
    <n v="48"/>
    <m/>
    <n v="1"/>
    <n v="9"/>
  </r>
  <r>
    <x v="2"/>
    <x v="0"/>
    <s v="S12000019"/>
    <x v="9"/>
    <m/>
    <m/>
    <n v="4"/>
    <n v="16"/>
    <m/>
    <n v="0"/>
    <n v="3"/>
  </r>
  <r>
    <x v="2"/>
    <x v="0"/>
    <s v="S12000020"/>
    <x v="10"/>
    <m/>
    <m/>
    <n v="5"/>
    <n v="21"/>
    <m/>
    <n v="0"/>
    <n v="5"/>
  </r>
  <r>
    <x v="2"/>
    <x v="0"/>
    <s v="S12000021"/>
    <x v="11"/>
    <m/>
    <m/>
    <n v="14"/>
    <n v="52"/>
    <m/>
    <n v="0"/>
    <n v="12"/>
  </r>
  <r>
    <x v="2"/>
    <x v="0"/>
    <s v="S12000023"/>
    <x v="12"/>
    <m/>
    <m/>
    <n v="0"/>
    <n v="0"/>
    <m/>
    <n v="0"/>
    <n v="0"/>
  </r>
  <r>
    <x v="2"/>
    <x v="0"/>
    <s v="S12000024"/>
    <x v="13"/>
    <m/>
    <m/>
    <n v="13"/>
    <n v="56"/>
    <m/>
    <n v="0"/>
    <n v="4"/>
  </r>
  <r>
    <x v="2"/>
    <x v="0"/>
    <s v="S12000026"/>
    <x v="14"/>
    <m/>
    <m/>
    <n v="12"/>
    <n v="50"/>
    <m/>
    <n v="0"/>
    <n v="9"/>
  </r>
  <r>
    <x v="2"/>
    <x v="0"/>
    <s v="S12000027"/>
    <x v="15"/>
    <m/>
    <m/>
    <n v="0"/>
    <n v="0"/>
    <m/>
    <n v="0"/>
    <n v="0"/>
  </r>
  <r>
    <x v="2"/>
    <x v="0"/>
    <s v="S12000028"/>
    <x v="16"/>
    <m/>
    <m/>
    <n v="10"/>
    <n v="40"/>
    <m/>
    <n v="0"/>
    <n v="5"/>
  </r>
  <r>
    <x v="2"/>
    <x v="0"/>
    <s v="S12000029"/>
    <x v="17"/>
    <m/>
    <m/>
    <n v="28"/>
    <n v="132"/>
    <m/>
    <n v="0"/>
    <n v="18"/>
  </r>
  <r>
    <x v="2"/>
    <x v="0"/>
    <s v="S12000030"/>
    <x v="18"/>
    <m/>
    <m/>
    <n v="9"/>
    <n v="40"/>
    <m/>
    <n v="0"/>
    <n v="2"/>
  </r>
  <r>
    <x v="2"/>
    <x v="0"/>
    <s v="S12000033"/>
    <x v="19"/>
    <m/>
    <m/>
    <n v="22"/>
    <n v="109"/>
    <m/>
    <n v="0"/>
    <n v="13"/>
  </r>
  <r>
    <x v="2"/>
    <x v="0"/>
    <s v="S12000034"/>
    <x v="20"/>
    <m/>
    <m/>
    <n v="6"/>
    <n v="22"/>
    <m/>
    <n v="0"/>
    <n v="4"/>
  </r>
  <r>
    <x v="2"/>
    <x v="0"/>
    <s v="S12000035"/>
    <x v="21"/>
    <m/>
    <m/>
    <n v="8"/>
    <n v="37"/>
    <m/>
    <n v="0"/>
    <n v="10"/>
  </r>
  <r>
    <x v="2"/>
    <x v="0"/>
    <s v="S12000036"/>
    <x v="22"/>
    <m/>
    <m/>
    <n v="48"/>
    <n v="248"/>
    <m/>
    <n v="0"/>
    <n v="19"/>
  </r>
  <r>
    <x v="2"/>
    <x v="0"/>
    <s v="S12000038"/>
    <x v="23"/>
    <m/>
    <m/>
    <n v="15"/>
    <n v="62"/>
    <m/>
    <n v="0"/>
    <n v="15"/>
  </r>
  <r>
    <x v="2"/>
    <x v="0"/>
    <s v="S12000039"/>
    <x v="24"/>
    <m/>
    <m/>
    <n v="11"/>
    <n v="49"/>
    <m/>
    <n v="0"/>
    <n v="10"/>
  </r>
  <r>
    <x v="2"/>
    <x v="0"/>
    <s v="S12000040"/>
    <x v="25"/>
    <m/>
    <m/>
    <n v="9"/>
    <n v="44"/>
    <m/>
    <n v="0"/>
    <n v="8"/>
  </r>
  <r>
    <x v="2"/>
    <x v="0"/>
    <s v="S12000041"/>
    <x v="26"/>
    <m/>
    <m/>
    <n v="8"/>
    <n v="25"/>
    <m/>
    <n v="0"/>
    <n v="3"/>
  </r>
  <r>
    <x v="2"/>
    <x v="0"/>
    <s v="S12000042"/>
    <x v="27"/>
    <m/>
    <m/>
    <n v="26"/>
    <n v="135"/>
    <m/>
    <n v="1"/>
    <n v="14"/>
  </r>
  <r>
    <x v="2"/>
    <x v="0"/>
    <s v="S12000044"/>
    <x v="28"/>
    <m/>
    <m/>
    <n v="28"/>
    <n v="136"/>
    <m/>
    <n v="0"/>
    <n v="16"/>
  </r>
  <r>
    <x v="2"/>
    <x v="0"/>
    <s v="S12000045"/>
    <x v="29"/>
    <m/>
    <m/>
    <n v="9"/>
    <n v="46"/>
    <m/>
    <n v="0"/>
    <n v="15"/>
  </r>
  <r>
    <x v="2"/>
    <x v="0"/>
    <s v="S12000046"/>
    <x v="30"/>
    <m/>
    <m/>
    <n v="99"/>
    <n v="350"/>
    <m/>
    <n v="0"/>
    <n v="50"/>
  </r>
  <r>
    <x v="2"/>
    <x v="0"/>
    <s v="S12000047"/>
    <x v="31"/>
    <m/>
    <m/>
    <n v="47"/>
    <n v="211"/>
    <m/>
    <n v="0"/>
    <n v="20"/>
  </r>
  <r>
    <x v="2"/>
    <x v="1"/>
    <s v="S39000001"/>
    <x v="19"/>
    <n v="1"/>
    <m/>
    <n v="0"/>
    <n v="3"/>
    <n v="3"/>
    <n v="2"/>
    <n v="7"/>
  </r>
  <r>
    <x v="2"/>
    <x v="1"/>
    <s v="S39000002"/>
    <x v="32"/>
    <n v="1"/>
    <m/>
    <n v="7"/>
    <n v="1"/>
    <n v="2"/>
    <n v="6"/>
    <n v="10"/>
  </r>
  <r>
    <x v="2"/>
    <x v="1"/>
    <s v="S39000003"/>
    <x v="33"/>
    <n v="1"/>
    <m/>
    <n v="2"/>
    <n v="4"/>
    <n v="5"/>
    <n v="7"/>
    <n v="6"/>
  </r>
  <r>
    <x v="2"/>
    <x v="1"/>
    <s v="S39000004"/>
    <x v="1"/>
    <n v="0"/>
    <m/>
    <n v="0"/>
    <n v="2"/>
    <n v="2"/>
    <n v="5"/>
    <n v="10"/>
  </r>
  <r>
    <x v="2"/>
    <x v="1"/>
    <s v="S39000006"/>
    <x v="34"/>
    <n v="1"/>
    <m/>
    <n v="4"/>
    <n v="2"/>
    <n v="6"/>
    <n v="7"/>
    <n v="9"/>
  </r>
  <r>
    <x v="2"/>
    <x v="1"/>
    <s v="S39000007"/>
    <x v="35"/>
    <n v="1"/>
    <m/>
    <n v="10"/>
    <n v="5"/>
    <n v="5"/>
    <n v="6"/>
    <n v="11"/>
  </r>
  <r>
    <x v="2"/>
    <x v="1"/>
    <s v="S39000008"/>
    <x v="36"/>
    <n v="1"/>
    <m/>
    <n v="1"/>
    <n v="3"/>
    <n v="2"/>
    <n v="3"/>
    <n v="7"/>
  </r>
  <r>
    <x v="2"/>
    <x v="1"/>
    <s v="S39000009"/>
    <x v="37"/>
    <n v="0"/>
    <m/>
    <n v="5"/>
    <n v="4"/>
    <n v="7"/>
    <n v="2"/>
    <n v="9"/>
  </r>
  <r>
    <x v="2"/>
    <x v="1"/>
    <s v="S39000010"/>
    <x v="38"/>
    <n v="1"/>
    <m/>
    <n v="1"/>
    <n v="2"/>
    <n v="2"/>
    <n v="3"/>
    <n v="7"/>
  </r>
  <r>
    <x v="2"/>
    <x v="1"/>
    <s v="S39000012"/>
    <x v="30"/>
    <n v="1"/>
    <m/>
    <n v="1"/>
    <n v="2"/>
    <n v="5"/>
    <n v="8"/>
    <n v="15"/>
  </r>
  <r>
    <x v="2"/>
    <x v="1"/>
    <s v="S39000013"/>
    <x v="39"/>
    <n v="1"/>
    <m/>
    <n v="7"/>
    <n v="0"/>
    <n v="6"/>
    <n v="8"/>
    <n v="7"/>
  </r>
  <r>
    <x v="2"/>
    <x v="1"/>
    <s v="S39000014"/>
    <x v="28"/>
    <n v="1"/>
    <m/>
    <n v="3"/>
    <n v="0"/>
    <n v="3"/>
    <n v="4"/>
    <n v="9"/>
  </r>
  <r>
    <x v="2"/>
    <x v="1"/>
    <s v="S39000015"/>
    <x v="17"/>
    <n v="1"/>
    <m/>
    <n v="3"/>
    <n v="1"/>
    <n v="3"/>
    <n v="5"/>
    <n v="3"/>
  </r>
  <r>
    <x v="2"/>
    <x v="1"/>
    <s v="S39000016"/>
    <x v="40"/>
    <n v="0"/>
    <m/>
    <n v="2"/>
    <n v="1"/>
    <n v="2"/>
    <n v="5"/>
    <n v="3"/>
  </r>
  <r>
    <x v="2"/>
    <x v="1"/>
    <s v="S39000017"/>
    <x v="41"/>
    <n v="1"/>
    <m/>
    <n v="1"/>
    <n v="0"/>
    <n v="3"/>
    <n v="5"/>
    <n v="1"/>
  </r>
  <r>
    <x v="2"/>
    <x v="1"/>
    <s v="S39000018"/>
    <x v="42"/>
    <n v="1"/>
    <m/>
    <n v="0"/>
    <n v="1"/>
    <n v="4"/>
    <n v="10"/>
    <n v="8"/>
  </r>
  <r>
    <x v="2"/>
    <x v="1"/>
    <s v="S39000019"/>
    <x v="31"/>
    <n v="1"/>
    <m/>
    <n v="3"/>
    <n v="4"/>
    <n v="2"/>
    <n v="5"/>
    <n v="11"/>
  </r>
  <r>
    <x v="2"/>
    <x v="2"/>
    <s v="S40000003"/>
    <x v="43"/>
    <n v="1"/>
    <m/>
    <n v="3"/>
    <m/>
    <n v="5"/>
    <n v="3"/>
    <n v="4"/>
  </r>
  <r>
    <x v="2"/>
    <x v="2"/>
    <s v="S40000004"/>
    <x v="44"/>
    <n v="1"/>
    <m/>
    <n v="2"/>
    <m/>
    <n v="2"/>
    <n v="3"/>
    <n v="17"/>
  </r>
  <r>
    <x v="2"/>
    <x v="2"/>
    <s v="S40000005"/>
    <x v="45"/>
    <n v="1"/>
    <m/>
    <n v="8"/>
    <m/>
    <n v="2"/>
    <n v="8"/>
    <n v="25"/>
  </r>
  <r>
    <x v="2"/>
    <x v="3"/>
    <s v="S92000003"/>
    <x v="46"/>
    <n v="18"/>
    <n v="4"/>
    <n v="26"/>
    <n v="16"/>
    <n v="19"/>
    <n v="19"/>
    <n v="93"/>
  </r>
  <r>
    <x v="3"/>
    <x v="0"/>
    <s v="S12000005"/>
    <x v="0"/>
    <m/>
    <m/>
    <n v="4"/>
    <n v="14"/>
    <m/>
    <m/>
    <n v="4"/>
  </r>
  <r>
    <x v="3"/>
    <x v="0"/>
    <s v="S12000006"/>
    <x v="1"/>
    <m/>
    <m/>
    <n v="11"/>
    <n v="48"/>
    <m/>
    <m/>
    <n v="4"/>
  </r>
  <r>
    <x v="3"/>
    <x v="0"/>
    <s v="S12000008"/>
    <x v="2"/>
    <m/>
    <m/>
    <n v="9"/>
    <n v="32"/>
    <m/>
    <m/>
    <n v="5"/>
  </r>
  <r>
    <x v="3"/>
    <x v="0"/>
    <s v="S12000010"/>
    <x v="3"/>
    <m/>
    <m/>
    <n v="4"/>
    <n v="19"/>
    <m/>
    <m/>
    <n v="4"/>
  </r>
  <r>
    <x v="3"/>
    <x v="0"/>
    <s v="S12000011"/>
    <x v="4"/>
    <m/>
    <m/>
    <n v="10"/>
    <n v="30"/>
    <m/>
    <m/>
    <n v="10"/>
  </r>
  <r>
    <x v="3"/>
    <x v="0"/>
    <s v="S12000013"/>
    <x v="5"/>
    <m/>
    <m/>
    <n v="0"/>
    <n v="0"/>
    <m/>
    <m/>
    <n v="0"/>
  </r>
  <r>
    <x v="3"/>
    <x v="0"/>
    <s v="S12000014"/>
    <x v="6"/>
    <m/>
    <m/>
    <n v="16"/>
    <n v="57"/>
    <m/>
    <m/>
    <n v="13"/>
  </r>
  <r>
    <x v="3"/>
    <x v="0"/>
    <s v="S12000017"/>
    <x v="7"/>
    <m/>
    <m/>
    <n v="11"/>
    <n v="52"/>
    <m/>
    <m/>
    <n v="4"/>
  </r>
  <r>
    <x v="3"/>
    <x v="0"/>
    <s v="S12000018"/>
    <x v="8"/>
    <m/>
    <m/>
    <n v="13"/>
    <n v="43"/>
    <m/>
    <n v="1"/>
    <n v="11"/>
  </r>
  <r>
    <x v="3"/>
    <x v="0"/>
    <s v="S12000019"/>
    <x v="9"/>
    <m/>
    <m/>
    <n v="4"/>
    <n v="14"/>
    <m/>
    <m/>
    <n v="4"/>
  </r>
  <r>
    <x v="3"/>
    <x v="0"/>
    <s v="S12000020"/>
    <x v="10"/>
    <m/>
    <m/>
    <n v="4"/>
    <n v="19"/>
    <m/>
    <m/>
    <n v="4"/>
  </r>
  <r>
    <x v="3"/>
    <x v="0"/>
    <s v="S12000021"/>
    <x v="11"/>
    <m/>
    <m/>
    <n v="17"/>
    <n v="46"/>
    <m/>
    <m/>
    <n v="15"/>
  </r>
  <r>
    <x v="3"/>
    <x v="0"/>
    <s v="S12000023"/>
    <x v="12"/>
    <m/>
    <m/>
    <n v="0"/>
    <n v="0"/>
    <m/>
    <m/>
    <n v="0"/>
  </r>
  <r>
    <x v="3"/>
    <x v="0"/>
    <s v="S12000024"/>
    <x v="13"/>
    <m/>
    <m/>
    <n v="12"/>
    <n v="52"/>
    <m/>
    <m/>
    <n v="4"/>
  </r>
  <r>
    <x v="3"/>
    <x v="0"/>
    <s v="S12000026"/>
    <x v="14"/>
    <m/>
    <m/>
    <n v="8"/>
    <n v="40"/>
    <m/>
    <m/>
    <n v="8"/>
  </r>
  <r>
    <x v="3"/>
    <x v="0"/>
    <s v="S12000027"/>
    <x v="15"/>
    <m/>
    <m/>
    <n v="0"/>
    <n v="0"/>
    <m/>
    <m/>
    <n v="0"/>
  </r>
  <r>
    <x v="3"/>
    <x v="0"/>
    <s v="S12000028"/>
    <x v="16"/>
    <m/>
    <m/>
    <n v="10"/>
    <n v="39"/>
    <m/>
    <m/>
    <n v="5"/>
  </r>
  <r>
    <x v="3"/>
    <x v="0"/>
    <s v="S12000029"/>
    <x v="17"/>
    <m/>
    <m/>
    <n v="34"/>
    <n v="117"/>
    <m/>
    <m/>
    <n v="20"/>
  </r>
  <r>
    <x v="3"/>
    <x v="0"/>
    <s v="S12000030"/>
    <x v="18"/>
    <m/>
    <m/>
    <n v="9"/>
    <n v="40"/>
    <m/>
    <m/>
    <n v="4"/>
  </r>
  <r>
    <x v="3"/>
    <x v="0"/>
    <s v="S12000033"/>
    <x v="19"/>
    <m/>
    <m/>
    <n v="26"/>
    <n v="113"/>
    <m/>
    <m/>
    <n v="16"/>
  </r>
  <r>
    <x v="3"/>
    <x v="0"/>
    <s v="S12000034"/>
    <x v="20"/>
    <m/>
    <m/>
    <n v="4"/>
    <n v="17"/>
    <m/>
    <m/>
    <n v="4"/>
  </r>
  <r>
    <x v="3"/>
    <x v="0"/>
    <s v="S12000035"/>
    <x v="21"/>
    <m/>
    <m/>
    <n v="9"/>
    <n v="24"/>
    <m/>
    <m/>
    <n v="10"/>
  </r>
  <r>
    <x v="3"/>
    <x v="0"/>
    <s v="S12000036"/>
    <x v="22"/>
    <m/>
    <m/>
    <n v="60"/>
    <n v="227"/>
    <m/>
    <m/>
    <n v="26"/>
  </r>
  <r>
    <x v="3"/>
    <x v="0"/>
    <s v="S12000038"/>
    <x v="23"/>
    <m/>
    <m/>
    <n v="21"/>
    <n v="60"/>
    <m/>
    <m/>
    <n v="16"/>
  </r>
  <r>
    <x v="3"/>
    <x v="0"/>
    <s v="S12000039"/>
    <x v="24"/>
    <m/>
    <m/>
    <n v="15"/>
    <n v="44"/>
    <m/>
    <m/>
    <n v="10"/>
  </r>
  <r>
    <x v="3"/>
    <x v="0"/>
    <s v="S12000040"/>
    <x v="25"/>
    <m/>
    <m/>
    <n v="10"/>
    <n v="42"/>
    <m/>
    <m/>
    <n v="8"/>
  </r>
  <r>
    <x v="3"/>
    <x v="0"/>
    <s v="S12000041"/>
    <x v="26"/>
    <m/>
    <m/>
    <n v="4"/>
    <n v="18"/>
    <m/>
    <m/>
    <n v="3"/>
  </r>
  <r>
    <x v="3"/>
    <x v="0"/>
    <s v="S12000042"/>
    <x v="27"/>
    <m/>
    <m/>
    <n v="30"/>
    <n v="144"/>
    <m/>
    <m/>
    <n v="18"/>
  </r>
  <r>
    <x v="3"/>
    <x v="0"/>
    <s v="S12000044"/>
    <x v="28"/>
    <m/>
    <m/>
    <n v="30"/>
    <n v="123"/>
    <m/>
    <m/>
    <n v="20"/>
  </r>
  <r>
    <x v="3"/>
    <x v="0"/>
    <s v="S12000045"/>
    <x v="29"/>
    <m/>
    <m/>
    <n v="14"/>
    <n v="39"/>
    <m/>
    <m/>
    <n v="15"/>
  </r>
  <r>
    <x v="3"/>
    <x v="0"/>
    <s v="S12000046"/>
    <x v="30"/>
    <m/>
    <m/>
    <n v="105"/>
    <n v="313"/>
    <m/>
    <m/>
    <n v="57"/>
  </r>
  <r>
    <x v="3"/>
    <x v="0"/>
    <s v="S12000047"/>
    <x v="31"/>
    <m/>
    <m/>
    <n v="48"/>
    <n v="201"/>
    <m/>
    <m/>
    <n v="21"/>
  </r>
  <r>
    <x v="3"/>
    <x v="1"/>
    <s v="S39000001"/>
    <x v="19"/>
    <n v="1"/>
    <m/>
    <n v="2"/>
    <n v="2"/>
    <n v="1"/>
    <n v="3"/>
    <n v="5"/>
  </r>
  <r>
    <x v="3"/>
    <x v="1"/>
    <s v="S39000002"/>
    <x v="32"/>
    <n v="1"/>
    <m/>
    <n v="5"/>
    <n v="0"/>
    <n v="2"/>
    <n v="8"/>
    <n v="9"/>
  </r>
  <r>
    <x v="3"/>
    <x v="1"/>
    <s v="S39000003"/>
    <x v="33"/>
    <n v="1"/>
    <m/>
    <n v="4"/>
    <n v="2"/>
    <n v="3"/>
    <n v="9"/>
    <n v="7"/>
  </r>
  <r>
    <x v="3"/>
    <x v="1"/>
    <s v="S39000004"/>
    <x v="1"/>
    <n v="1"/>
    <m/>
    <n v="3"/>
    <n v="1"/>
    <n v="2"/>
    <n v="6"/>
    <n v="9"/>
  </r>
  <r>
    <x v="3"/>
    <x v="1"/>
    <s v="S39000006"/>
    <x v="34"/>
    <n v="1"/>
    <m/>
    <n v="5"/>
    <n v="2"/>
    <n v="4"/>
    <n v="9"/>
    <n v="9"/>
  </r>
  <r>
    <x v="3"/>
    <x v="1"/>
    <s v="S39000007"/>
    <x v="35"/>
    <n v="1"/>
    <m/>
    <n v="5"/>
    <n v="5"/>
    <n v="4"/>
    <n v="8"/>
    <n v="8"/>
  </r>
  <r>
    <x v="3"/>
    <x v="1"/>
    <s v="S39000008"/>
    <x v="36"/>
    <n v="1"/>
    <m/>
    <n v="2"/>
    <n v="1"/>
    <n v="3"/>
    <n v="4"/>
    <n v="7"/>
  </r>
  <r>
    <x v="3"/>
    <x v="1"/>
    <s v="S39000009"/>
    <x v="37"/>
    <n v="1"/>
    <m/>
    <n v="2"/>
    <n v="4"/>
    <n v="3"/>
    <n v="6"/>
    <n v="11"/>
  </r>
  <r>
    <x v="3"/>
    <x v="1"/>
    <s v="S39000010"/>
    <x v="38"/>
    <n v="1"/>
    <m/>
    <n v="3"/>
    <n v="2"/>
    <n v="2"/>
    <n v="6"/>
    <n v="7"/>
  </r>
  <r>
    <x v="3"/>
    <x v="1"/>
    <s v="S39000012"/>
    <x v="30"/>
    <n v="1"/>
    <m/>
    <n v="3"/>
    <n v="2"/>
    <n v="4"/>
    <n v="9"/>
    <n v="6"/>
  </r>
  <r>
    <x v="3"/>
    <x v="1"/>
    <s v="S39000013"/>
    <x v="39"/>
    <n v="1"/>
    <m/>
    <n v="10"/>
    <n v="1"/>
    <n v="4"/>
    <n v="13"/>
    <n v="8"/>
  </r>
  <r>
    <x v="3"/>
    <x v="1"/>
    <s v="S39000014"/>
    <x v="28"/>
    <n v="1"/>
    <m/>
    <n v="1"/>
    <n v="1"/>
    <n v="2"/>
    <n v="5"/>
    <n v="5"/>
  </r>
  <r>
    <x v="3"/>
    <x v="1"/>
    <s v="S39000015"/>
    <x v="17"/>
    <n v="1"/>
    <m/>
    <n v="2"/>
    <n v="1"/>
    <n v="2"/>
    <n v="5"/>
    <n v="4"/>
  </r>
  <r>
    <x v="3"/>
    <x v="1"/>
    <s v="S39000016"/>
    <x v="40"/>
    <n v="0"/>
    <m/>
    <n v="3"/>
    <n v="1"/>
    <n v="2"/>
    <n v="4"/>
    <n v="5"/>
  </r>
  <r>
    <x v="3"/>
    <x v="1"/>
    <s v="S39000017"/>
    <x v="41"/>
    <n v="1"/>
    <m/>
    <n v="6"/>
    <n v="0"/>
    <n v="3"/>
    <n v="5"/>
    <n v="1"/>
  </r>
  <r>
    <x v="3"/>
    <x v="1"/>
    <s v="S39000018"/>
    <x v="42"/>
    <n v="1"/>
    <m/>
    <n v="2"/>
    <n v="2"/>
    <n v="4"/>
    <n v="9"/>
    <n v="10"/>
  </r>
  <r>
    <x v="3"/>
    <x v="1"/>
    <s v="S39000019"/>
    <x v="31"/>
    <n v="1"/>
    <m/>
    <n v="3"/>
    <n v="3"/>
    <n v="2"/>
    <n v="7"/>
    <n v="8"/>
  </r>
  <r>
    <x v="3"/>
    <x v="2"/>
    <s v="S40000003"/>
    <x v="43"/>
    <n v="1"/>
    <m/>
    <n v="10"/>
    <n v="1"/>
    <n v="3"/>
    <n v="11"/>
    <n v="42"/>
  </r>
  <r>
    <x v="3"/>
    <x v="2"/>
    <s v="S40000004"/>
    <x v="44"/>
    <n v="1"/>
    <m/>
    <n v="6"/>
    <n v="1"/>
    <n v="5"/>
    <n v="5"/>
    <n v="20"/>
  </r>
  <r>
    <x v="3"/>
    <x v="2"/>
    <s v="S40000005"/>
    <x v="45"/>
    <n v="1"/>
    <m/>
    <n v="6"/>
    <n v="1"/>
    <n v="4"/>
    <n v="9"/>
    <n v="24"/>
  </r>
  <r>
    <x v="3"/>
    <x v="3"/>
    <s v="S92000003"/>
    <x v="46"/>
    <n v="15"/>
    <n v="4"/>
    <n v="0"/>
    <n v="101"/>
    <n v="11"/>
    <n v="9"/>
    <n v="42"/>
  </r>
  <r>
    <x v="4"/>
    <x v="0"/>
    <s v="S12000005"/>
    <x v="0"/>
    <m/>
    <m/>
    <n v="5"/>
    <n v="15"/>
    <m/>
    <m/>
    <n v="5"/>
  </r>
  <r>
    <x v="4"/>
    <x v="0"/>
    <s v="S12000006"/>
    <x v="1"/>
    <m/>
    <m/>
    <n v="11"/>
    <n v="38"/>
    <m/>
    <m/>
    <n v="5"/>
  </r>
  <r>
    <x v="4"/>
    <x v="0"/>
    <s v="S12000008"/>
    <x v="2"/>
    <m/>
    <m/>
    <n v="10"/>
    <n v="34"/>
    <m/>
    <m/>
    <n v="5"/>
  </r>
  <r>
    <x v="4"/>
    <x v="0"/>
    <s v="S12000010"/>
    <x v="3"/>
    <m/>
    <m/>
    <n v="5"/>
    <n v="13"/>
    <m/>
    <m/>
    <n v="5"/>
  </r>
  <r>
    <x v="4"/>
    <x v="0"/>
    <s v="S12000011"/>
    <x v="4"/>
    <m/>
    <m/>
    <n v="10"/>
    <n v="30"/>
    <m/>
    <m/>
    <n v="11"/>
  </r>
  <r>
    <x v="4"/>
    <x v="0"/>
    <s v="S12000014"/>
    <x v="6"/>
    <m/>
    <m/>
    <n v="22"/>
    <n v="49"/>
    <m/>
    <m/>
    <n v="16"/>
  </r>
  <r>
    <x v="4"/>
    <x v="0"/>
    <s v="S12000017"/>
    <x v="7"/>
    <m/>
    <m/>
    <n v="15"/>
    <n v="49"/>
    <m/>
    <m/>
    <n v="4"/>
  </r>
  <r>
    <x v="4"/>
    <x v="0"/>
    <s v="S12000018"/>
    <x v="8"/>
    <m/>
    <m/>
    <n v="15"/>
    <n v="44"/>
    <m/>
    <m/>
    <n v="13"/>
  </r>
  <r>
    <x v="4"/>
    <x v="0"/>
    <s v="S12000019"/>
    <x v="9"/>
    <m/>
    <m/>
    <n v="5"/>
    <n v="18"/>
    <m/>
    <m/>
    <n v="5"/>
  </r>
  <r>
    <x v="4"/>
    <x v="0"/>
    <s v="S12000020"/>
    <x v="10"/>
    <m/>
    <m/>
    <n v="5"/>
    <n v="19"/>
    <m/>
    <m/>
    <n v="5"/>
  </r>
  <r>
    <x v="4"/>
    <x v="0"/>
    <s v="S12000021"/>
    <x v="11"/>
    <m/>
    <m/>
    <n v="16"/>
    <n v="45"/>
    <m/>
    <m/>
    <n v="15"/>
  </r>
  <r>
    <x v="4"/>
    <x v="0"/>
    <s v="S12000024"/>
    <x v="13"/>
    <m/>
    <m/>
    <n v="10"/>
    <n v="54"/>
    <m/>
    <m/>
    <n v="5"/>
  </r>
  <r>
    <x v="4"/>
    <x v="0"/>
    <s v="S12000026"/>
    <x v="14"/>
    <m/>
    <m/>
    <n v="9"/>
    <n v="32"/>
    <m/>
    <m/>
    <n v="10"/>
  </r>
  <r>
    <x v="4"/>
    <x v="0"/>
    <s v="S12000028"/>
    <x v="16"/>
    <m/>
    <m/>
    <n v="10"/>
    <n v="35"/>
    <m/>
    <m/>
    <n v="5"/>
  </r>
  <r>
    <x v="4"/>
    <x v="0"/>
    <s v="S12000029"/>
    <x v="17"/>
    <m/>
    <m/>
    <n v="35"/>
    <n v="111"/>
    <m/>
    <m/>
    <n v="20"/>
  </r>
  <r>
    <x v="4"/>
    <x v="0"/>
    <s v="S12000030"/>
    <x v="18"/>
    <m/>
    <m/>
    <n v="9"/>
    <n v="34"/>
    <m/>
    <m/>
    <n v="5"/>
  </r>
  <r>
    <x v="4"/>
    <x v="0"/>
    <s v="S12000033"/>
    <x v="19"/>
    <m/>
    <m/>
    <n v="33"/>
    <n v="97"/>
    <m/>
    <m/>
    <n v="15"/>
  </r>
  <r>
    <x v="4"/>
    <x v="0"/>
    <s v="S12000034"/>
    <x v="20"/>
    <m/>
    <m/>
    <n v="5"/>
    <n v="14"/>
    <m/>
    <m/>
    <n v="5"/>
  </r>
  <r>
    <x v="4"/>
    <x v="0"/>
    <s v="S12000035"/>
    <x v="21"/>
    <m/>
    <m/>
    <n v="10"/>
    <n v="30"/>
    <m/>
    <m/>
    <n v="10"/>
  </r>
  <r>
    <x v="4"/>
    <x v="0"/>
    <s v="S12000036"/>
    <x v="22"/>
    <m/>
    <m/>
    <n v="54"/>
    <n v="204"/>
    <m/>
    <m/>
    <n v="35"/>
  </r>
  <r>
    <x v="4"/>
    <x v="0"/>
    <s v="S12000038"/>
    <x v="23"/>
    <m/>
    <m/>
    <n v="20"/>
    <n v="59"/>
    <m/>
    <m/>
    <n v="15"/>
  </r>
  <r>
    <x v="4"/>
    <x v="0"/>
    <s v="S12000039"/>
    <x v="24"/>
    <m/>
    <m/>
    <n v="15"/>
    <n v="43"/>
    <m/>
    <m/>
    <n v="10"/>
  </r>
  <r>
    <x v="4"/>
    <x v="0"/>
    <s v="S12000040"/>
    <x v="25"/>
    <m/>
    <m/>
    <n v="11"/>
    <n v="37"/>
    <m/>
    <m/>
    <n v="10"/>
  </r>
  <r>
    <x v="4"/>
    <x v="0"/>
    <s v="S12000041"/>
    <x v="26"/>
    <m/>
    <m/>
    <n v="5"/>
    <n v="18"/>
    <m/>
    <m/>
    <n v="5"/>
  </r>
  <r>
    <x v="4"/>
    <x v="0"/>
    <s v="S12000042"/>
    <x v="27"/>
    <m/>
    <m/>
    <n v="35"/>
    <n v="122"/>
    <m/>
    <m/>
    <n v="21"/>
  </r>
  <r>
    <x v="4"/>
    <x v="0"/>
    <s v="S12000044"/>
    <x v="28"/>
    <m/>
    <m/>
    <n v="31"/>
    <n v="113"/>
    <m/>
    <m/>
    <n v="19"/>
  </r>
  <r>
    <x v="4"/>
    <x v="0"/>
    <s v="S12000045"/>
    <x v="29"/>
    <m/>
    <m/>
    <n v="15"/>
    <n v="48"/>
    <m/>
    <m/>
    <n v="15"/>
  </r>
  <r>
    <x v="4"/>
    <x v="0"/>
    <s v="S12000046"/>
    <x v="30"/>
    <m/>
    <m/>
    <n v="113"/>
    <n v="319"/>
    <m/>
    <m/>
    <n v="57"/>
  </r>
  <r>
    <x v="4"/>
    <x v="0"/>
    <s v="S12000047"/>
    <x v="31"/>
    <m/>
    <m/>
    <n v="49"/>
    <n v="181"/>
    <m/>
    <m/>
    <n v="24"/>
  </r>
  <r>
    <x v="4"/>
    <x v="1"/>
    <s v="S39000001"/>
    <x v="19"/>
    <n v="1"/>
    <m/>
    <n v="2"/>
    <n v="2"/>
    <n v="2"/>
    <n v="3"/>
    <n v="5"/>
  </r>
  <r>
    <x v="4"/>
    <x v="1"/>
    <s v="S39000002"/>
    <x v="32"/>
    <n v="1"/>
    <m/>
    <n v="7"/>
    <m/>
    <n v="2"/>
    <n v="7"/>
    <n v="8"/>
  </r>
  <r>
    <x v="4"/>
    <x v="1"/>
    <s v="S39000003"/>
    <x v="33"/>
    <n v="1"/>
    <m/>
    <n v="6"/>
    <n v="1"/>
    <n v="3"/>
    <n v="9"/>
    <n v="6"/>
  </r>
  <r>
    <x v="4"/>
    <x v="1"/>
    <s v="S39000004"/>
    <x v="1"/>
    <n v="1"/>
    <m/>
    <n v="4"/>
    <n v="2"/>
    <n v="2"/>
    <n v="6"/>
    <n v="7"/>
  </r>
  <r>
    <x v="4"/>
    <x v="1"/>
    <s v="S39000006"/>
    <x v="34"/>
    <n v="1"/>
    <m/>
    <n v="5"/>
    <n v="1"/>
    <n v="3"/>
    <n v="9"/>
    <n v="8"/>
  </r>
  <r>
    <x v="4"/>
    <x v="1"/>
    <s v="S39000007"/>
    <x v="35"/>
    <n v="1"/>
    <m/>
    <n v="3"/>
    <n v="5"/>
    <n v="3"/>
    <n v="7"/>
    <n v="8"/>
  </r>
  <r>
    <x v="4"/>
    <x v="1"/>
    <s v="S39000008"/>
    <x v="36"/>
    <n v="1"/>
    <m/>
    <n v="2"/>
    <n v="2"/>
    <n v="3"/>
    <n v="4"/>
    <n v="4"/>
  </r>
  <r>
    <x v="4"/>
    <x v="1"/>
    <s v="S39000009"/>
    <x v="37"/>
    <n v="1"/>
    <m/>
    <n v="6"/>
    <n v="3"/>
    <n v="3"/>
    <n v="7"/>
    <n v="11"/>
  </r>
  <r>
    <x v="4"/>
    <x v="1"/>
    <s v="S39000010"/>
    <x v="38"/>
    <n v="1"/>
    <m/>
    <n v="3"/>
    <n v="2"/>
    <n v="2"/>
    <n v="5"/>
    <n v="6"/>
  </r>
  <r>
    <x v="4"/>
    <x v="1"/>
    <s v="S39000012"/>
    <x v="30"/>
    <n v="1"/>
    <m/>
    <n v="2"/>
    <n v="1"/>
    <n v="4"/>
    <n v="8"/>
    <n v="6"/>
  </r>
  <r>
    <x v="4"/>
    <x v="1"/>
    <s v="S39000013"/>
    <x v="39"/>
    <n v="1"/>
    <m/>
    <n v="7"/>
    <n v="1"/>
    <n v="4"/>
    <n v="12"/>
    <n v="7"/>
  </r>
  <r>
    <x v="4"/>
    <x v="1"/>
    <s v="S39000014"/>
    <x v="28"/>
    <n v="1"/>
    <m/>
    <n v="2"/>
    <n v="1"/>
    <n v="2"/>
    <n v="6"/>
    <n v="5"/>
  </r>
  <r>
    <x v="4"/>
    <x v="1"/>
    <s v="S39000015"/>
    <x v="17"/>
    <n v="1"/>
    <m/>
    <n v="2"/>
    <n v="1"/>
    <n v="2"/>
    <n v="6"/>
    <n v="4"/>
  </r>
  <r>
    <x v="4"/>
    <x v="1"/>
    <s v="S39000016"/>
    <x v="40"/>
    <n v="1"/>
    <m/>
    <n v="3"/>
    <n v="1"/>
    <n v="3"/>
    <n v="5"/>
    <n v="5"/>
  </r>
  <r>
    <x v="4"/>
    <x v="1"/>
    <s v="S39000017"/>
    <x v="41"/>
    <n v="1"/>
    <m/>
    <n v="5"/>
    <m/>
    <n v="2"/>
    <n v="6"/>
    <n v="5"/>
  </r>
  <r>
    <x v="4"/>
    <x v="1"/>
    <s v="S39000018"/>
    <x v="42"/>
    <n v="1"/>
    <m/>
    <n v="3"/>
    <n v="2"/>
    <n v="4"/>
    <n v="9"/>
    <n v="9"/>
  </r>
  <r>
    <x v="4"/>
    <x v="1"/>
    <s v="S39000019"/>
    <x v="31"/>
    <m/>
    <m/>
    <n v="1"/>
    <n v="4"/>
    <n v="2"/>
    <n v="6"/>
    <n v="6"/>
  </r>
  <r>
    <x v="4"/>
    <x v="2"/>
    <s v="S40000003"/>
    <x v="43"/>
    <n v="1"/>
    <m/>
    <n v="18"/>
    <m/>
    <n v="4"/>
    <n v="13"/>
    <n v="37"/>
  </r>
  <r>
    <x v="4"/>
    <x v="2"/>
    <s v="S40000004"/>
    <x v="44"/>
    <n v="1"/>
    <m/>
    <n v="9"/>
    <m/>
    <n v="5"/>
    <n v="6"/>
    <n v="16"/>
  </r>
  <r>
    <x v="4"/>
    <x v="2"/>
    <s v="S40000005"/>
    <x v="45"/>
    <n v="1"/>
    <m/>
    <n v="11"/>
    <m/>
    <n v="6"/>
    <n v="10"/>
    <n v="18"/>
  </r>
  <r>
    <x v="4"/>
    <x v="3"/>
    <s v="S92000003"/>
    <x v="46"/>
    <n v="15"/>
    <n v="4"/>
    <m/>
    <n v="55"/>
    <n v="13"/>
    <n v="9"/>
    <n v="47"/>
  </r>
  <r>
    <x v="5"/>
    <x v="0"/>
    <s v="S12000006"/>
    <x v="1"/>
    <n v="0"/>
    <n v="0"/>
    <n v="10"/>
    <n v="38"/>
    <n v="0"/>
    <n v="0"/>
    <n v="5"/>
  </r>
  <r>
    <x v="5"/>
    <x v="0"/>
    <s v="S12000008"/>
    <x v="2"/>
    <n v="0"/>
    <n v="0"/>
    <n v="10"/>
    <n v="32"/>
    <n v="0"/>
    <n v="0"/>
    <n v="5"/>
  </r>
  <r>
    <x v="5"/>
    <x v="0"/>
    <s v="S12000011"/>
    <x v="4"/>
    <n v="0"/>
    <n v="0"/>
    <n v="10"/>
    <n v="31"/>
    <n v="0"/>
    <n v="0"/>
    <n v="11"/>
  </r>
  <r>
    <x v="5"/>
    <x v="0"/>
    <s v="S12000017"/>
    <x v="7"/>
    <n v="0"/>
    <n v="0"/>
    <n v="15"/>
    <n v="50"/>
    <n v="0"/>
    <n v="0"/>
    <n v="5"/>
  </r>
  <r>
    <x v="5"/>
    <x v="0"/>
    <s v="S12000018"/>
    <x v="8"/>
    <n v="0"/>
    <n v="0"/>
    <n v="15"/>
    <n v="47"/>
    <n v="0"/>
    <n v="0"/>
    <n v="10"/>
  </r>
  <r>
    <x v="5"/>
    <x v="0"/>
    <s v="S12000020"/>
    <x v="10"/>
    <n v="0"/>
    <n v="0"/>
    <n v="5"/>
    <n v="20"/>
    <n v="0"/>
    <n v="0"/>
    <n v="5"/>
  </r>
  <r>
    <x v="5"/>
    <x v="0"/>
    <s v="S12000021"/>
    <x v="11"/>
    <n v="0"/>
    <n v="0"/>
    <n v="15"/>
    <n v="45"/>
    <n v="0"/>
    <n v="0"/>
    <n v="16"/>
  </r>
  <r>
    <x v="5"/>
    <x v="0"/>
    <s v="S12000028"/>
    <x v="16"/>
    <n v="0"/>
    <n v="0"/>
    <n v="11"/>
    <n v="34"/>
    <n v="0"/>
    <n v="0"/>
    <n v="5"/>
  </r>
  <r>
    <x v="5"/>
    <x v="0"/>
    <s v="S12000029"/>
    <x v="17"/>
    <n v="0"/>
    <n v="0"/>
    <n v="36"/>
    <n v="111"/>
    <n v="0"/>
    <n v="0"/>
    <n v="20"/>
  </r>
  <r>
    <x v="5"/>
    <x v="0"/>
    <s v="S12000033"/>
    <x v="19"/>
    <n v="0"/>
    <n v="0"/>
    <n v="35"/>
    <n v="104"/>
    <n v="0"/>
    <n v="0"/>
    <n v="15"/>
  </r>
  <r>
    <x v="5"/>
    <x v="0"/>
    <s v="S12000034"/>
    <x v="20"/>
    <n v="0"/>
    <n v="0"/>
    <n v="5"/>
    <n v="20"/>
    <n v="0"/>
    <n v="0"/>
    <n v="5"/>
  </r>
  <r>
    <x v="5"/>
    <x v="0"/>
    <s v="S12000035"/>
    <x v="21"/>
    <n v="0"/>
    <n v="0"/>
    <n v="11"/>
    <n v="33"/>
    <n v="0"/>
    <n v="0"/>
    <n v="10"/>
  </r>
  <r>
    <x v="5"/>
    <x v="0"/>
    <s v="S12000038"/>
    <x v="23"/>
    <n v="0"/>
    <n v="0"/>
    <n v="18"/>
    <n v="65"/>
    <n v="0"/>
    <n v="0"/>
    <n v="16"/>
  </r>
  <r>
    <x v="5"/>
    <x v="0"/>
    <s v="S12000039"/>
    <x v="24"/>
    <n v="0"/>
    <n v="0"/>
    <n v="15"/>
    <n v="48"/>
    <n v="0"/>
    <n v="0"/>
    <n v="10"/>
  </r>
  <r>
    <x v="5"/>
    <x v="0"/>
    <s v="S12000041"/>
    <x v="26"/>
    <n v="0"/>
    <n v="0"/>
    <n v="5"/>
    <n v="18"/>
    <n v="0"/>
    <n v="0"/>
    <n v="5"/>
  </r>
  <r>
    <x v="5"/>
    <x v="0"/>
    <s v="S12000042"/>
    <x v="27"/>
    <n v="0"/>
    <n v="0"/>
    <n v="35"/>
    <n v="122"/>
    <n v="0"/>
    <n v="0"/>
    <n v="20"/>
  </r>
  <r>
    <x v="5"/>
    <x v="0"/>
    <s v="S12000044"/>
    <x v="28"/>
    <n v="0"/>
    <n v="0"/>
    <n v="35"/>
    <n v="111"/>
    <n v="0"/>
    <n v="0"/>
    <n v="20"/>
  </r>
  <r>
    <x v="5"/>
    <x v="0"/>
    <s v="S12000045"/>
    <x v="29"/>
    <n v="0"/>
    <n v="0"/>
    <n v="15"/>
    <n v="47"/>
    <n v="0"/>
    <n v="0"/>
    <n v="16"/>
  </r>
  <r>
    <x v="5"/>
    <x v="0"/>
    <s v="S12000046"/>
    <x v="30"/>
    <n v="0"/>
    <n v="0"/>
    <n v="110"/>
    <n v="349"/>
    <n v="0"/>
    <n v="0"/>
    <n v="56"/>
  </r>
  <r>
    <x v="5"/>
    <x v="0"/>
    <s v="S12000048"/>
    <x v="13"/>
    <n v="0"/>
    <n v="0"/>
    <n v="10"/>
    <n v="54"/>
    <n v="0"/>
    <n v="0"/>
    <n v="5"/>
  </r>
  <r>
    <x v="5"/>
    <x v="0"/>
    <s v="S40000004"/>
    <x v="22"/>
    <n v="0"/>
    <n v="0"/>
    <n v="59"/>
    <n v="203"/>
    <n v="0"/>
    <n v="0"/>
    <n v="35"/>
  </r>
  <r>
    <x v="5"/>
    <x v="0"/>
    <s v="S40000004"/>
    <x v="0"/>
    <n v="0"/>
    <n v="0"/>
    <n v="5"/>
    <n v="15"/>
    <n v="0"/>
    <n v="0"/>
    <n v="5"/>
  </r>
  <r>
    <x v="5"/>
    <x v="0"/>
    <s v="S40000004"/>
    <x v="3"/>
    <n v="0"/>
    <n v="0"/>
    <n v="5"/>
    <n v="14"/>
    <n v="0"/>
    <n v="0"/>
    <n v="5"/>
  </r>
  <r>
    <x v="5"/>
    <x v="0"/>
    <s v="S40000004"/>
    <x v="6"/>
    <n v="0"/>
    <n v="0"/>
    <n v="20"/>
    <n v="53"/>
    <n v="0"/>
    <n v="0"/>
    <n v="15"/>
  </r>
  <r>
    <x v="5"/>
    <x v="0"/>
    <s v="S40000004"/>
    <x v="31"/>
    <n v="0"/>
    <n v="0"/>
    <n v="48"/>
    <n v="199"/>
    <n v="0"/>
    <n v="0"/>
    <n v="27"/>
  </r>
  <r>
    <x v="5"/>
    <x v="0"/>
    <s v="S40000004"/>
    <x v="9"/>
    <n v="0"/>
    <n v="0"/>
    <n v="4"/>
    <n v="17"/>
    <n v="0"/>
    <n v="0"/>
    <n v="5"/>
  </r>
  <r>
    <x v="5"/>
    <x v="0"/>
    <s v="S40000004"/>
    <x v="14"/>
    <n v="0"/>
    <n v="0"/>
    <n v="10"/>
    <n v="36"/>
    <n v="0"/>
    <n v="0"/>
    <n v="10"/>
  </r>
  <r>
    <x v="5"/>
    <x v="0"/>
    <s v="S40000004"/>
    <x v="18"/>
    <n v="0"/>
    <n v="0"/>
    <n v="10"/>
    <n v="34"/>
    <n v="0"/>
    <n v="0"/>
    <n v="5"/>
  </r>
  <r>
    <x v="5"/>
    <x v="0"/>
    <s v="S40000004"/>
    <x v="25"/>
    <n v="0"/>
    <n v="0"/>
    <n v="10"/>
    <n v="36"/>
    <n v="0"/>
    <n v="0"/>
    <n v="10"/>
  </r>
  <r>
    <x v="5"/>
    <x v="1"/>
    <s v="S39000001"/>
    <x v="19"/>
    <n v="1"/>
    <n v="0"/>
    <n v="2"/>
    <n v="1"/>
    <n v="2"/>
    <n v="4"/>
    <n v="6"/>
  </r>
  <r>
    <x v="5"/>
    <x v="1"/>
    <s v="S39000002"/>
    <x v="32"/>
    <n v="1"/>
    <n v="0"/>
    <n v="6"/>
    <n v="0"/>
    <n v="2"/>
    <n v="8"/>
    <n v="8"/>
  </r>
  <r>
    <x v="5"/>
    <x v="1"/>
    <s v="S39000003"/>
    <x v="33"/>
    <n v="1"/>
    <n v="0"/>
    <n v="6"/>
    <n v="2"/>
    <n v="3"/>
    <n v="8"/>
    <n v="6"/>
  </r>
  <r>
    <x v="5"/>
    <x v="1"/>
    <s v="S39000004"/>
    <x v="1"/>
    <n v="1"/>
    <n v="0"/>
    <n v="4"/>
    <n v="2"/>
    <n v="2"/>
    <n v="6"/>
    <n v="7"/>
  </r>
  <r>
    <x v="5"/>
    <x v="1"/>
    <s v="S39000006"/>
    <x v="34"/>
    <n v="1"/>
    <n v="0"/>
    <n v="2"/>
    <n v="2"/>
    <n v="3"/>
    <n v="9"/>
    <n v="8"/>
  </r>
  <r>
    <x v="5"/>
    <x v="1"/>
    <s v="S39000007"/>
    <x v="35"/>
    <n v="1"/>
    <n v="0"/>
    <n v="2"/>
    <n v="3"/>
    <n v="3"/>
    <n v="7"/>
    <n v="9"/>
  </r>
  <r>
    <x v="5"/>
    <x v="1"/>
    <s v="S39000008"/>
    <x v="36"/>
    <n v="1"/>
    <n v="0"/>
    <n v="0"/>
    <n v="2"/>
    <n v="4"/>
    <n v="4"/>
    <n v="3"/>
  </r>
  <r>
    <x v="5"/>
    <x v="1"/>
    <s v="S39000009"/>
    <x v="37"/>
    <n v="1"/>
    <n v="0"/>
    <n v="5"/>
    <n v="3"/>
    <n v="5"/>
    <n v="4"/>
    <n v="12"/>
  </r>
  <r>
    <x v="5"/>
    <x v="1"/>
    <s v="S39000010"/>
    <x v="38"/>
    <n v="1"/>
    <n v="0"/>
    <n v="3"/>
    <n v="2"/>
    <n v="2"/>
    <n v="6"/>
    <n v="6"/>
  </r>
  <r>
    <x v="5"/>
    <x v="1"/>
    <s v="S39000012"/>
    <x v="30"/>
    <n v="1"/>
    <n v="0"/>
    <n v="2"/>
    <n v="2"/>
    <n v="4"/>
    <n v="9"/>
    <n v="7"/>
  </r>
  <r>
    <x v="5"/>
    <x v="1"/>
    <s v="S39000013"/>
    <x v="39"/>
    <n v="1"/>
    <n v="0"/>
    <n v="9"/>
    <n v="1"/>
    <n v="4"/>
    <n v="14"/>
    <n v="16"/>
  </r>
  <r>
    <x v="5"/>
    <x v="1"/>
    <s v="S39000014"/>
    <x v="28"/>
    <n v="1"/>
    <n v="0"/>
    <n v="2"/>
    <n v="1"/>
    <n v="2"/>
    <n v="5"/>
    <n v="6"/>
  </r>
  <r>
    <x v="5"/>
    <x v="1"/>
    <s v="S39000015"/>
    <x v="17"/>
    <n v="1"/>
    <n v="0"/>
    <n v="2"/>
    <n v="1"/>
    <n v="2"/>
    <n v="6"/>
    <n v="4"/>
  </r>
  <r>
    <x v="5"/>
    <x v="1"/>
    <s v="S39000016"/>
    <x v="40"/>
    <n v="1"/>
    <n v="0"/>
    <n v="3"/>
    <n v="1"/>
    <n v="2"/>
    <n v="6"/>
    <n v="5"/>
  </r>
  <r>
    <x v="5"/>
    <x v="1"/>
    <s v="S39000017"/>
    <x v="41"/>
    <n v="1"/>
    <n v="0"/>
    <n v="3"/>
    <n v="0"/>
    <n v="3"/>
    <n v="5"/>
    <n v="4"/>
  </r>
  <r>
    <x v="5"/>
    <x v="1"/>
    <s v="S39000018"/>
    <x v="42"/>
    <n v="1"/>
    <n v="0"/>
    <n v="3"/>
    <n v="2"/>
    <n v="4"/>
    <n v="8"/>
    <n v="11"/>
  </r>
  <r>
    <x v="5"/>
    <x v="1"/>
    <s v="S39000019"/>
    <x v="31"/>
    <n v="0"/>
    <n v="0"/>
    <n v="0"/>
    <n v="4"/>
    <n v="2"/>
    <n v="6"/>
    <n v="6"/>
  </r>
  <r>
    <x v="5"/>
    <x v="2"/>
    <s v="S40000003"/>
    <x v="43"/>
    <n v="1"/>
    <n v="0"/>
    <n v="26"/>
    <n v="0"/>
    <n v="5"/>
    <n v="12"/>
    <n v="35"/>
  </r>
  <r>
    <x v="5"/>
    <x v="2"/>
    <s v="S40000004"/>
    <x v="44"/>
    <n v="1"/>
    <n v="0"/>
    <n v="8"/>
    <n v="0"/>
    <n v="5"/>
    <n v="5"/>
    <n v="18"/>
  </r>
  <r>
    <x v="5"/>
    <x v="2"/>
    <s v="S40000005"/>
    <x v="45"/>
    <n v="1"/>
    <n v="0"/>
    <n v="7"/>
    <n v="0"/>
    <n v="4"/>
    <n v="7"/>
    <n v="11"/>
  </r>
  <r>
    <x v="5"/>
    <x v="3"/>
    <s v="S92000003"/>
    <x v="46"/>
    <n v="14"/>
    <n v="4"/>
    <n v="0"/>
    <n v="60"/>
    <n v="17"/>
    <n v="8"/>
    <n v="46"/>
  </r>
  <r>
    <x v="6"/>
    <x v="0"/>
    <s v="S40000003"/>
    <x v="21"/>
    <n v="0"/>
    <n v="0"/>
    <n v="10"/>
    <n v="33"/>
    <n v="0"/>
    <n v="0"/>
    <n v="10"/>
  </r>
  <r>
    <x v="6"/>
    <x v="0"/>
    <s v="S40000003"/>
    <x v="1"/>
    <n v="0"/>
    <n v="0"/>
    <n v="10"/>
    <n v="37"/>
    <n v="0"/>
    <n v="0"/>
    <n v="5"/>
  </r>
  <r>
    <x v="6"/>
    <x v="0"/>
    <s v="S40000003"/>
    <x v="2"/>
    <n v="0"/>
    <n v="0"/>
    <n v="10"/>
    <n v="34"/>
    <n v="0"/>
    <n v="0"/>
    <n v="5"/>
  </r>
  <r>
    <x v="6"/>
    <x v="0"/>
    <s v="S40000003"/>
    <x v="29"/>
    <n v="0"/>
    <n v="0"/>
    <n v="15"/>
    <n v="49"/>
    <n v="0"/>
    <n v="0"/>
    <n v="15"/>
  </r>
  <r>
    <x v="6"/>
    <x v="0"/>
    <s v="S40000003"/>
    <x v="4"/>
    <n v="0"/>
    <n v="0"/>
    <n v="10"/>
    <n v="30"/>
    <n v="0"/>
    <n v="0"/>
    <n v="10"/>
  </r>
  <r>
    <x v="6"/>
    <x v="0"/>
    <s v="S40000003"/>
    <x v="30"/>
    <n v="0"/>
    <n v="0"/>
    <n v="114"/>
    <n v="346"/>
    <n v="0"/>
    <n v="0"/>
    <n v="57"/>
  </r>
  <r>
    <x v="6"/>
    <x v="0"/>
    <s v="S40000003"/>
    <x v="8"/>
    <n v="0"/>
    <n v="0"/>
    <n v="15"/>
    <n v="45"/>
    <n v="0"/>
    <n v="0"/>
    <n v="10"/>
  </r>
  <r>
    <x v="6"/>
    <x v="0"/>
    <s v="S40000003"/>
    <x v="11"/>
    <n v="0"/>
    <n v="0"/>
    <n v="15"/>
    <n v="45"/>
    <n v="0"/>
    <n v="0"/>
    <n v="15"/>
  </r>
  <r>
    <x v="6"/>
    <x v="0"/>
    <s v="S40000003"/>
    <x v="28"/>
    <n v="0"/>
    <n v="0"/>
    <n v="37"/>
    <n v="105"/>
    <n v="0"/>
    <n v="0"/>
    <n v="21"/>
  </r>
  <r>
    <x v="6"/>
    <x v="0"/>
    <s v="S40000003"/>
    <x v="23"/>
    <n v="0"/>
    <n v="0"/>
    <n v="21"/>
    <n v="66"/>
    <n v="0"/>
    <n v="0"/>
    <n v="15"/>
  </r>
  <r>
    <x v="6"/>
    <x v="0"/>
    <s v="S40000003"/>
    <x v="16"/>
    <n v="0"/>
    <n v="0"/>
    <n v="9"/>
    <n v="36"/>
    <n v="0"/>
    <n v="0"/>
    <n v="5"/>
  </r>
  <r>
    <x v="6"/>
    <x v="0"/>
    <s v="S40000003"/>
    <x v="17"/>
    <n v="0"/>
    <n v="0"/>
    <n v="37"/>
    <n v="111"/>
    <n v="0"/>
    <n v="0"/>
    <n v="20"/>
  </r>
  <r>
    <x v="6"/>
    <x v="0"/>
    <s v="S40000003"/>
    <x v="24"/>
    <n v="0"/>
    <n v="0"/>
    <n v="15"/>
    <n v="48"/>
    <n v="0"/>
    <n v="0"/>
    <n v="10"/>
  </r>
  <r>
    <x v="6"/>
    <x v="0"/>
    <s v="S40000004"/>
    <x v="22"/>
    <n v="0"/>
    <n v="0"/>
    <n v="56"/>
    <n v="214"/>
    <n v="0"/>
    <n v="0"/>
    <n v="36"/>
  </r>
  <r>
    <x v="6"/>
    <x v="0"/>
    <s v="S40000004"/>
    <x v="0"/>
    <n v="0"/>
    <n v="0"/>
    <n v="5"/>
    <n v="15"/>
    <n v="0"/>
    <n v="0"/>
    <n v="5"/>
  </r>
  <r>
    <x v="6"/>
    <x v="0"/>
    <s v="S40000004"/>
    <x v="3"/>
    <n v="0"/>
    <n v="0"/>
    <n v="5"/>
    <n v="15"/>
    <n v="0"/>
    <n v="0"/>
    <n v="5"/>
  </r>
  <r>
    <x v="6"/>
    <x v="0"/>
    <s v="S40000004"/>
    <x v="6"/>
    <n v="0"/>
    <n v="0"/>
    <n v="19"/>
    <n v="54"/>
    <n v="0"/>
    <n v="0"/>
    <n v="15"/>
  </r>
  <r>
    <x v="6"/>
    <x v="0"/>
    <s v="S40000004"/>
    <x v="31"/>
    <n v="0"/>
    <n v="0"/>
    <n v="51"/>
    <n v="192"/>
    <n v="0"/>
    <n v="0"/>
    <n v="26"/>
  </r>
  <r>
    <x v="6"/>
    <x v="0"/>
    <s v="S40000004"/>
    <x v="9"/>
    <n v="0"/>
    <n v="0"/>
    <n v="4"/>
    <n v="17"/>
    <n v="0"/>
    <n v="0"/>
    <n v="5"/>
  </r>
  <r>
    <x v="6"/>
    <x v="0"/>
    <s v="S40000004"/>
    <x v="14"/>
    <n v="0"/>
    <n v="0"/>
    <n v="10"/>
    <n v="33"/>
    <n v="0"/>
    <n v="0"/>
    <n v="10"/>
  </r>
  <r>
    <x v="6"/>
    <x v="0"/>
    <s v="S40000004"/>
    <x v="18"/>
    <n v="0"/>
    <n v="0"/>
    <n v="10"/>
    <n v="36"/>
    <n v="0"/>
    <n v="0"/>
    <n v="5"/>
  </r>
  <r>
    <x v="6"/>
    <x v="0"/>
    <s v="S40000004"/>
    <x v="25"/>
    <n v="0"/>
    <n v="0"/>
    <n v="10"/>
    <n v="38"/>
    <n v="0"/>
    <n v="0"/>
    <n v="10"/>
  </r>
  <r>
    <x v="6"/>
    <x v="0"/>
    <s v="S40000005"/>
    <x v="19"/>
    <n v="0"/>
    <n v="0"/>
    <n v="35"/>
    <n v="105"/>
    <n v="0"/>
    <n v="0"/>
    <n v="15"/>
  </r>
  <r>
    <x v="6"/>
    <x v="0"/>
    <s v="S40000005"/>
    <x v="20"/>
    <n v="0"/>
    <n v="0"/>
    <n v="4"/>
    <n v="22"/>
    <n v="0"/>
    <n v="0"/>
    <n v="6"/>
  </r>
  <r>
    <x v="6"/>
    <x v="0"/>
    <s v="S40000005"/>
    <x v="26"/>
    <n v="0"/>
    <n v="0"/>
    <n v="5"/>
    <n v="17"/>
    <n v="0"/>
    <n v="0"/>
    <n v="5"/>
  </r>
  <r>
    <x v="6"/>
    <x v="0"/>
    <s v="S40000005"/>
    <x v="27"/>
    <n v="0"/>
    <n v="0"/>
    <n v="36"/>
    <n v="126"/>
    <n v="0"/>
    <n v="0"/>
    <n v="20"/>
  </r>
  <r>
    <x v="6"/>
    <x v="0"/>
    <s v="S40000005"/>
    <x v="7"/>
    <n v="0"/>
    <n v="0"/>
    <n v="14"/>
    <n v="52"/>
    <n v="0"/>
    <n v="0"/>
    <n v="5"/>
  </r>
  <r>
    <x v="6"/>
    <x v="0"/>
    <s v="S40000005"/>
    <x v="10"/>
    <n v="0"/>
    <n v="0"/>
    <n v="5"/>
    <n v="20"/>
    <n v="0"/>
    <n v="0"/>
    <n v="5"/>
  </r>
  <r>
    <x v="6"/>
    <x v="0"/>
    <s v="S40000005"/>
    <x v="13"/>
    <n v="0"/>
    <n v="0"/>
    <n v="10"/>
    <n v="52"/>
    <n v="0"/>
    <n v="0"/>
    <n v="5"/>
  </r>
  <r>
    <x v="6"/>
    <x v="1"/>
    <m/>
    <x v="47"/>
    <n v="1"/>
    <n v="0"/>
    <n v="6"/>
    <n v="4"/>
    <n v="4"/>
    <n v="12"/>
    <n v="11"/>
  </r>
  <r>
    <x v="6"/>
    <x v="1"/>
    <s v="S40000003"/>
    <x v="33"/>
    <n v="1"/>
    <n v="0"/>
    <n v="7"/>
    <n v="2"/>
    <n v="3"/>
    <n v="8"/>
    <n v="7"/>
  </r>
  <r>
    <x v="6"/>
    <x v="1"/>
    <s v="S40000003"/>
    <x v="1"/>
    <n v="1"/>
    <n v="0"/>
    <n v="3"/>
    <n v="2"/>
    <n v="2"/>
    <n v="6"/>
    <n v="8"/>
  </r>
  <r>
    <x v="6"/>
    <x v="1"/>
    <s v="S40000003"/>
    <x v="34"/>
    <n v="1"/>
    <n v="0"/>
    <n v="5"/>
    <n v="1"/>
    <n v="3"/>
    <n v="10"/>
    <n v="8"/>
  </r>
  <r>
    <x v="6"/>
    <x v="1"/>
    <s v="S40000003"/>
    <x v="36"/>
    <n v="1"/>
    <n v="0"/>
    <n v="0"/>
    <n v="1"/>
    <n v="4"/>
    <n v="4"/>
    <n v="3"/>
  </r>
  <r>
    <x v="6"/>
    <x v="1"/>
    <s v="S40000003"/>
    <x v="30"/>
    <n v="1"/>
    <n v="0"/>
    <n v="2"/>
    <n v="2"/>
    <n v="5"/>
    <n v="10"/>
    <n v="5"/>
  </r>
  <r>
    <x v="6"/>
    <x v="1"/>
    <s v="S40000003"/>
    <x v="28"/>
    <n v="1"/>
    <n v="0"/>
    <n v="2"/>
    <n v="1"/>
    <n v="2"/>
    <n v="5"/>
    <n v="5"/>
  </r>
  <r>
    <x v="6"/>
    <x v="1"/>
    <s v="S40000003"/>
    <x v="17"/>
    <n v="1"/>
    <n v="0"/>
    <n v="3"/>
    <n v="0"/>
    <n v="2"/>
    <n v="6"/>
    <n v="4"/>
  </r>
  <r>
    <x v="6"/>
    <x v="1"/>
    <s v="S40000004"/>
    <x v="35"/>
    <n v="1"/>
    <n v="0"/>
    <n v="5"/>
    <n v="4"/>
    <n v="3"/>
    <n v="7"/>
    <n v="9"/>
  </r>
  <r>
    <x v="6"/>
    <x v="1"/>
    <s v="S40000004"/>
    <x v="37"/>
    <n v="1"/>
    <n v="0"/>
    <n v="4"/>
    <n v="4"/>
    <n v="4"/>
    <n v="5"/>
    <n v="10"/>
  </r>
  <r>
    <x v="6"/>
    <x v="1"/>
    <s v="S40000004"/>
    <x v="38"/>
    <n v="1"/>
    <n v="0"/>
    <n v="2"/>
    <n v="2"/>
    <n v="2"/>
    <n v="6"/>
    <n v="6"/>
  </r>
  <r>
    <x v="6"/>
    <x v="1"/>
    <s v="S40000005"/>
    <x v="19"/>
    <n v="1"/>
    <n v="0"/>
    <n v="2"/>
    <n v="1"/>
    <n v="2"/>
    <n v="3"/>
    <n v="4"/>
  </r>
  <r>
    <x v="6"/>
    <x v="1"/>
    <s v="S40000005"/>
    <x v="32"/>
    <n v="1"/>
    <n v="0"/>
    <n v="4"/>
    <n v="1"/>
    <n v="3"/>
    <n v="9"/>
    <n v="7"/>
  </r>
  <r>
    <x v="6"/>
    <x v="1"/>
    <s v="S40000005"/>
    <x v="42"/>
    <n v="1"/>
    <n v="0"/>
    <n v="4"/>
    <n v="2"/>
    <n v="4"/>
    <n v="9"/>
    <n v="11"/>
  </r>
  <r>
    <x v="6"/>
    <x v="1"/>
    <s v="S40000005"/>
    <x v="39"/>
    <n v="1"/>
    <n v="0"/>
    <n v="8"/>
    <n v="1"/>
    <n v="4"/>
    <n v="13"/>
    <n v="11"/>
  </r>
  <r>
    <x v="6"/>
    <x v="1"/>
    <s v="S40000005"/>
    <x v="41"/>
    <n v="1"/>
    <n v="0"/>
    <n v="1"/>
    <n v="0"/>
    <n v="3"/>
    <n v="5"/>
    <n v="4"/>
  </r>
  <r>
    <x v="6"/>
    <x v="2"/>
    <s v="S40000003"/>
    <x v="43"/>
    <n v="3"/>
    <n v="0"/>
    <n v="21"/>
    <n v="0"/>
    <n v="10"/>
    <n v="14"/>
    <n v="55"/>
  </r>
  <r>
    <x v="6"/>
    <x v="2"/>
    <s v="S40000004"/>
    <x v="44"/>
    <n v="1"/>
    <n v="0"/>
    <n v="6"/>
    <n v="0"/>
    <n v="4"/>
    <n v="8"/>
    <n v="33"/>
  </r>
  <r>
    <x v="6"/>
    <x v="2"/>
    <s v="S40000005"/>
    <x v="45"/>
    <n v="2"/>
    <n v="0"/>
    <n v="6"/>
    <n v="0"/>
    <n v="3"/>
    <n v="7"/>
    <n v="24"/>
  </r>
  <r>
    <x v="6"/>
    <x v="3"/>
    <s v="S92000003"/>
    <x v="46"/>
    <n v="9"/>
    <n v="6"/>
    <n v="0"/>
    <n v="49"/>
    <n v="13"/>
    <n v="6"/>
    <n v="7"/>
  </r>
  <r>
    <x v="7"/>
    <x v="0"/>
    <s v="S40000003"/>
    <x v="21"/>
    <n v="0"/>
    <n v="0"/>
    <n v="10"/>
    <n v="32"/>
    <n v="0"/>
    <n v="0"/>
    <n v="10"/>
  </r>
  <r>
    <x v="7"/>
    <x v="0"/>
    <s v="S40000003"/>
    <x v="1"/>
    <n v="0"/>
    <n v="0"/>
    <n v="10"/>
    <n v="36"/>
    <n v="0"/>
    <n v="0"/>
    <n v="5"/>
  </r>
  <r>
    <x v="7"/>
    <x v="0"/>
    <s v="S40000003"/>
    <x v="2"/>
    <n v="0"/>
    <n v="0"/>
    <n v="10"/>
    <n v="32"/>
    <n v="0"/>
    <n v="0"/>
    <n v="5"/>
  </r>
  <r>
    <x v="7"/>
    <x v="0"/>
    <s v="S40000003"/>
    <x v="29"/>
    <n v="0"/>
    <n v="0"/>
    <n v="14"/>
    <n v="46"/>
    <n v="0"/>
    <n v="0"/>
    <n v="16"/>
  </r>
  <r>
    <x v="7"/>
    <x v="0"/>
    <s v="S40000003"/>
    <x v="4"/>
    <n v="0"/>
    <n v="0"/>
    <n v="10"/>
    <n v="28"/>
    <n v="0"/>
    <n v="0"/>
    <n v="10"/>
  </r>
  <r>
    <x v="7"/>
    <x v="0"/>
    <s v="S40000003"/>
    <x v="30"/>
    <n v="0"/>
    <n v="0"/>
    <n v="109"/>
    <n v="335"/>
    <n v="0"/>
    <n v="0"/>
    <n v="55"/>
  </r>
  <r>
    <x v="7"/>
    <x v="0"/>
    <s v="S40000003"/>
    <x v="8"/>
    <n v="0"/>
    <n v="0"/>
    <n v="15"/>
    <n v="45"/>
    <n v="0"/>
    <n v="0"/>
    <n v="10"/>
  </r>
  <r>
    <x v="7"/>
    <x v="0"/>
    <s v="S40000003"/>
    <x v="11"/>
    <n v="0"/>
    <n v="0"/>
    <n v="15"/>
    <n v="45"/>
    <n v="0"/>
    <n v="0"/>
    <n v="15"/>
  </r>
  <r>
    <x v="7"/>
    <x v="0"/>
    <s v="S40000003"/>
    <x v="28"/>
    <n v="0"/>
    <n v="0"/>
    <n v="35"/>
    <n v="105"/>
    <n v="0"/>
    <n v="0"/>
    <n v="20"/>
  </r>
  <r>
    <x v="7"/>
    <x v="0"/>
    <s v="S40000003"/>
    <x v="23"/>
    <n v="0"/>
    <n v="0"/>
    <n v="21"/>
    <n v="64"/>
    <n v="0"/>
    <n v="0"/>
    <n v="15"/>
  </r>
  <r>
    <x v="7"/>
    <x v="0"/>
    <s v="S40000003"/>
    <x v="16"/>
    <n v="0"/>
    <n v="0"/>
    <n v="10"/>
    <n v="36"/>
    <n v="0"/>
    <n v="0"/>
    <n v="5"/>
  </r>
  <r>
    <x v="7"/>
    <x v="0"/>
    <s v="S40000003"/>
    <x v="17"/>
    <n v="0"/>
    <n v="0"/>
    <n v="37"/>
    <n v="111"/>
    <n v="0"/>
    <n v="0"/>
    <n v="20"/>
  </r>
  <r>
    <x v="7"/>
    <x v="0"/>
    <s v="S40000003"/>
    <x v="24"/>
    <n v="0"/>
    <n v="0"/>
    <n v="17"/>
    <n v="46"/>
    <n v="0"/>
    <n v="0"/>
    <n v="10"/>
  </r>
  <r>
    <x v="7"/>
    <x v="0"/>
    <s v="S40000004"/>
    <x v="22"/>
    <n v="0"/>
    <n v="0"/>
    <n v="58"/>
    <n v="206"/>
    <n v="0"/>
    <n v="0"/>
    <n v="36"/>
  </r>
  <r>
    <x v="7"/>
    <x v="0"/>
    <s v="S40000004"/>
    <x v="0"/>
    <n v="0"/>
    <n v="0"/>
    <n v="5"/>
    <n v="13"/>
    <n v="0"/>
    <n v="0"/>
    <n v="6"/>
  </r>
  <r>
    <x v="7"/>
    <x v="0"/>
    <s v="S40000004"/>
    <x v="3"/>
    <n v="0"/>
    <n v="0"/>
    <n v="5"/>
    <n v="16"/>
    <n v="0"/>
    <n v="0"/>
    <n v="5"/>
  </r>
  <r>
    <x v="7"/>
    <x v="0"/>
    <s v="S40000004"/>
    <x v="6"/>
    <n v="0"/>
    <n v="0"/>
    <n v="20"/>
    <n v="53"/>
    <n v="0"/>
    <n v="0"/>
    <n v="15"/>
  </r>
  <r>
    <x v="7"/>
    <x v="0"/>
    <s v="S40000004"/>
    <x v="31"/>
    <n v="0"/>
    <n v="0"/>
    <n v="50"/>
    <n v="179"/>
    <n v="0"/>
    <n v="0"/>
    <n v="25"/>
  </r>
  <r>
    <x v="7"/>
    <x v="0"/>
    <s v="S40000004"/>
    <x v="9"/>
    <n v="0"/>
    <n v="0"/>
    <n v="5"/>
    <n v="17"/>
    <n v="0"/>
    <n v="0"/>
    <n v="5"/>
  </r>
  <r>
    <x v="7"/>
    <x v="0"/>
    <s v="S40000004"/>
    <x v="14"/>
    <n v="0"/>
    <n v="0"/>
    <n v="8"/>
    <n v="33"/>
    <n v="0"/>
    <n v="0"/>
    <n v="10"/>
  </r>
  <r>
    <x v="7"/>
    <x v="0"/>
    <s v="S40000004"/>
    <x v="18"/>
    <n v="0"/>
    <n v="0"/>
    <n v="10"/>
    <n v="37"/>
    <n v="0"/>
    <n v="0"/>
    <n v="5"/>
  </r>
  <r>
    <x v="7"/>
    <x v="0"/>
    <s v="S40000004"/>
    <x v="25"/>
    <n v="0"/>
    <n v="0"/>
    <n v="11"/>
    <n v="36"/>
    <n v="0"/>
    <n v="0"/>
    <n v="10"/>
  </r>
  <r>
    <x v="7"/>
    <x v="0"/>
    <s v="S40000005"/>
    <x v="19"/>
    <n v="0"/>
    <n v="0"/>
    <n v="35"/>
    <n v="99"/>
    <n v="0"/>
    <n v="0"/>
    <n v="15"/>
  </r>
  <r>
    <x v="7"/>
    <x v="0"/>
    <s v="S40000005"/>
    <x v="20"/>
    <n v="0"/>
    <n v="0"/>
    <n v="5"/>
    <n v="19"/>
    <n v="0"/>
    <n v="0"/>
    <n v="5"/>
  </r>
  <r>
    <x v="7"/>
    <x v="0"/>
    <s v="S40000005"/>
    <x v="26"/>
    <n v="0"/>
    <n v="0"/>
    <n v="5"/>
    <n v="17"/>
    <n v="0"/>
    <n v="0"/>
    <n v="5"/>
  </r>
  <r>
    <x v="7"/>
    <x v="0"/>
    <s v="S40000005"/>
    <x v="27"/>
    <n v="0"/>
    <n v="0"/>
    <n v="36"/>
    <n v="127"/>
    <n v="0"/>
    <n v="0"/>
    <n v="19"/>
  </r>
  <r>
    <x v="7"/>
    <x v="0"/>
    <s v="S40000005"/>
    <x v="7"/>
    <n v="0"/>
    <n v="0"/>
    <n v="15"/>
    <n v="54"/>
    <n v="0"/>
    <n v="0"/>
    <n v="5"/>
  </r>
  <r>
    <x v="7"/>
    <x v="0"/>
    <s v="S40000005"/>
    <x v="10"/>
    <n v="0"/>
    <n v="0"/>
    <n v="5"/>
    <n v="20"/>
    <n v="0"/>
    <n v="0"/>
    <n v="5"/>
  </r>
  <r>
    <x v="7"/>
    <x v="0"/>
    <s v="S40000005"/>
    <x v="13"/>
    <n v="0"/>
    <n v="0"/>
    <n v="10"/>
    <n v="48"/>
    <n v="0"/>
    <n v="0"/>
    <n v="5"/>
  </r>
  <r>
    <x v="7"/>
    <x v="1"/>
    <m/>
    <x v="47"/>
    <n v="1"/>
    <n v="0"/>
    <n v="6"/>
    <n v="4"/>
    <n v="4"/>
    <n v="11"/>
    <n v="11"/>
  </r>
  <r>
    <x v="7"/>
    <x v="1"/>
    <s v="S40000003"/>
    <x v="33"/>
    <n v="1"/>
    <n v="0"/>
    <n v="6"/>
    <n v="2"/>
    <n v="3"/>
    <n v="7"/>
    <n v="7"/>
  </r>
  <r>
    <x v="7"/>
    <x v="1"/>
    <s v="S40000003"/>
    <x v="1"/>
    <n v="1"/>
    <n v="0"/>
    <n v="4"/>
    <n v="2"/>
    <n v="2"/>
    <n v="6"/>
    <n v="6"/>
  </r>
  <r>
    <x v="7"/>
    <x v="1"/>
    <s v="S40000003"/>
    <x v="34"/>
    <n v="1"/>
    <n v="0"/>
    <n v="5"/>
    <n v="1"/>
    <n v="3"/>
    <n v="9"/>
    <n v="8"/>
  </r>
  <r>
    <x v="7"/>
    <x v="1"/>
    <s v="S40000003"/>
    <x v="36"/>
    <n v="1"/>
    <n v="0"/>
    <n v="2"/>
    <n v="1"/>
    <n v="4"/>
    <n v="5"/>
    <n v="4"/>
  </r>
  <r>
    <x v="7"/>
    <x v="1"/>
    <s v="S40000003"/>
    <x v="30"/>
    <n v="1"/>
    <n v="0"/>
    <n v="2"/>
    <n v="2"/>
    <n v="5"/>
    <n v="9"/>
    <n v="7"/>
  </r>
  <r>
    <x v="7"/>
    <x v="1"/>
    <s v="S40000003"/>
    <x v="28"/>
    <n v="1"/>
    <n v="0"/>
    <n v="2"/>
    <n v="0"/>
    <n v="2"/>
    <n v="5"/>
    <n v="5"/>
  </r>
  <r>
    <x v="7"/>
    <x v="1"/>
    <s v="S40000003"/>
    <x v="17"/>
    <n v="1"/>
    <n v="0"/>
    <n v="3"/>
    <n v="0"/>
    <n v="2"/>
    <n v="6"/>
    <n v="4"/>
  </r>
  <r>
    <x v="7"/>
    <x v="1"/>
    <s v="S40000004"/>
    <x v="35"/>
    <n v="1"/>
    <n v="0"/>
    <n v="3"/>
    <n v="4"/>
    <n v="3"/>
    <n v="7"/>
    <n v="10"/>
  </r>
  <r>
    <x v="7"/>
    <x v="1"/>
    <s v="S40000004"/>
    <x v="37"/>
    <n v="1"/>
    <n v="0"/>
    <n v="3"/>
    <n v="4"/>
    <n v="3"/>
    <n v="7"/>
    <n v="10"/>
  </r>
  <r>
    <x v="7"/>
    <x v="1"/>
    <s v="S40000004"/>
    <x v="38"/>
    <n v="1"/>
    <n v="0"/>
    <n v="3"/>
    <n v="2"/>
    <n v="2"/>
    <n v="5"/>
    <n v="6"/>
  </r>
  <r>
    <x v="7"/>
    <x v="1"/>
    <s v="S40000005"/>
    <x v="19"/>
    <n v="1"/>
    <n v="0"/>
    <n v="1"/>
    <n v="1"/>
    <n v="2"/>
    <n v="3"/>
    <n v="4"/>
  </r>
  <r>
    <x v="7"/>
    <x v="1"/>
    <s v="S40000005"/>
    <x v="32"/>
    <n v="1"/>
    <n v="0"/>
    <n v="4"/>
    <n v="1"/>
    <n v="3"/>
    <n v="9"/>
    <n v="8"/>
  </r>
  <r>
    <x v="7"/>
    <x v="1"/>
    <s v="S40000005"/>
    <x v="42"/>
    <n v="1"/>
    <n v="0"/>
    <n v="4"/>
    <n v="1"/>
    <n v="4"/>
    <n v="8"/>
    <n v="10"/>
  </r>
  <r>
    <x v="7"/>
    <x v="1"/>
    <s v="S40000005"/>
    <x v="39"/>
    <n v="1"/>
    <n v="0"/>
    <n v="7"/>
    <n v="1"/>
    <n v="4"/>
    <n v="12"/>
    <n v="10"/>
  </r>
  <r>
    <x v="7"/>
    <x v="1"/>
    <s v="S40000005"/>
    <x v="41"/>
    <n v="1"/>
    <n v="0"/>
    <n v="0"/>
    <n v="0"/>
    <n v="3"/>
    <n v="7"/>
    <n v="4"/>
  </r>
  <r>
    <x v="7"/>
    <x v="2"/>
    <s v="S40000003"/>
    <x v="43"/>
    <n v="3"/>
    <n v="0"/>
    <n v="17"/>
    <n v="25"/>
    <n v="5"/>
    <n v="5"/>
    <n v="36"/>
  </r>
  <r>
    <x v="7"/>
    <x v="2"/>
    <s v="S40000004"/>
    <x v="44"/>
    <n v="1"/>
    <n v="0"/>
    <n v="6"/>
    <n v="20"/>
    <n v="2"/>
    <n v="5"/>
    <n v="32"/>
  </r>
  <r>
    <x v="7"/>
    <x v="2"/>
    <s v="S40000005"/>
    <x v="45"/>
    <n v="2"/>
    <n v="0"/>
    <n v="13"/>
    <n v="13"/>
    <n v="2"/>
    <n v="6"/>
    <n v="19"/>
  </r>
  <r>
    <x v="7"/>
    <x v="3"/>
    <s v="S92000003"/>
    <x v="46"/>
    <n v="13"/>
    <n v="5"/>
    <n v="0"/>
    <n v="1"/>
    <n v="21"/>
    <n v="20"/>
    <n v="30"/>
  </r>
  <r>
    <x v="8"/>
    <x v="0"/>
    <m/>
    <x v="19"/>
    <n v="0"/>
    <n v="0"/>
    <n v="35"/>
    <n v="103"/>
    <n v="0"/>
    <n v="0"/>
    <n v="16"/>
  </r>
  <r>
    <x v="8"/>
    <x v="0"/>
    <m/>
    <x v="20"/>
    <n v="0"/>
    <n v="0"/>
    <n v="5"/>
    <n v="18"/>
    <n v="0"/>
    <n v="0"/>
    <n v="5"/>
  </r>
  <r>
    <x v="8"/>
    <x v="0"/>
    <m/>
    <x v="26"/>
    <n v="0"/>
    <n v="0"/>
    <n v="5"/>
    <n v="16"/>
    <n v="0"/>
    <n v="0"/>
    <n v="5"/>
  </r>
  <r>
    <x v="8"/>
    <x v="0"/>
    <m/>
    <x v="21"/>
    <n v="0"/>
    <n v="0"/>
    <n v="8"/>
    <n v="28"/>
    <n v="0"/>
    <n v="0"/>
    <n v="10"/>
  </r>
  <r>
    <x v="8"/>
    <x v="0"/>
    <m/>
    <x v="1"/>
    <n v="0"/>
    <n v="0"/>
    <n v="10"/>
    <n v="35"/>
    <n v="0"/>
    <n v="0"/>
    <n v="5"/>
  </r>
  <r>
    <x v="8"/>
    <x v="0"/>
    <m/>
    <x v="27"/>
    <n v="0"/>
    <n v="0"/>
    <n v="35"/>
    <n v="119"/>
    <n v="0"/>
    <n v="0"/>
    <n v="20"/>
  </r>
  <r>
    <x v="8"/>
    <x v="0"/>
    <m/>
    <x v="2"/>
    <n v="0"/>
    <n v="0"/>
    <n v="10"/>
    <n v="31"/>
    <n v="0"/>
    <n v="0"/>
    <n v="5"/>
  </r>
  <r>
    <x v="8"/>
    <x v="0"/>
    <m/>
    <x v="29"/>
    <n v="0"/>
    <n v="0"/>
    <n v="13"/>
    <n v="46"/>
    <n v="0"/>
    <n v="0"/>
    <n v="16"/>
  </r>
  <r>
    <x v="8"/>
    <x v="0"/>
    <m/>
    <x v="4"/>
    <n v="0"/>
    <n v="0"/>
    <n v="7"/>
    <n v="30"/>
    <n v="0"/>
    <n v="0"/>
    <n v="10"/>
  </r>
  <r>
    <x v="8"/>
    <x v="0"/>
    <m/>
    <x v="30"/>
    <n v="0"/>
    <n v="0"/>
    <n v="106"/>
    <n v="332"/>
    <n v="0"/>
    <n v="0"/>
    <n v="55"/>
  </r>
  <r>
    <x v="8"/>
    <x v="0"/>
    <m/>
    <x v="7"/>
    <n v="0"/>
    <n v="0"/>
    <n v="15"/>
    <n v="50"/>
    <n v="0"/>
    <n v="0"/>
    <n v="5"/>
  </r>
  <r>
    <x v="8"/>
    <x v="0"/>
    <m/>
    <x v="8"/>
    <n v="0"/>
    <n v="0"/>
    <n v="12"/>
    <n v="46"/>
    <n v="0"/>
    <n v="0"/>
    <n v="10"/>
  </r>
  <r>
    <x v="8"/>
    <x v="0"/>
    <m/>
    <x v="10"/>
    <n v="0"/>
    <n v="0"/>
    <n v="5"/>
    <n v="20"/>
    <n v="0"/>
    <n v="0"/>
    <n v="5"/>
  </r>
  <r>
    <x v="8"/>
    <x v="0"/>
    <m/>
    <x v="11"/>
    <n v="0"/>
    <n v="0"/>
    <n v="14"/>
    <n v="46"/>
    <n v="0"/>
    <n v="0"/>
    <n v="14"/>
  </r>
  <r>
    <x v="8"/>
    <x v="0"/>
    <m/>
    <x v="28"/>
    <n v="0"/>
    <n v="0"/>
    <n v="37"/>
    <n v="100"/>
    <n v="0"/>
    <n v="0"/>
    <n v="19"/>
  </r>
  <r>
    <x v="8"/>
    <x v="0"/>
    <m/>
    <x v="13"/>
    <n v="0"/>
    <n v="0"/>
    <n v="9"/>
    <n v="53"/>
    <n v="0"/>
    <n v="0"/>
    <n v="4"/>
  </r>
  <r>
    <x v="8"/>
    <x v="0"/>
    <m/>
    <x v="23"/>
    <n v="0"/>
    <n v="0"/>
    <n v="19"/>
    <n v="63"/>
    <n v="0"/>
    <n v="0"/>
    <n v="17"/>
  </r>
  <r>
    <x v="8"/>
    <x v="0"/>
    <m/>
    <x v="16"/>
    <n v="0"/>
    <n v="0"/>
    <n v="10"/>
    <n v="32"/>
    <n v="0"/>
    <n v="0"/>
    <n v="5"/>
  </r>
  <r>
    <x v="8"/>
    <x v="0"/>
    <m/>
    <x v="17"/>
    <n v="0"/>
    <n v="0"/>
    <n v="36"/>
    <n v="99"/>
    <n v="0"/>
    <n v="0"/>
    <n v="20"/>
  </r>
  <r>
    <x v="8"/>
    <x v="0"/>
    <m/>
    <x v="18"/>
    <n v="0"/>
    <n v="0"/>
    <n v="1"/>
    <n v="0"/>
    <n v="0"/>
    <n v="0"/>
    <n v="0"/>
  </r>
  <r>
    <x v="8"/>
    <x v="0"/>
    <m/>
    <x v="24"/>
    <n v="0"/>
    <n v="0"/>
    <n v="11"/>
    <n v="47"/>
    <n v="0"/>
    <n v="0"/>
    <n v="11"/>
  </r>
  <r>
    <x v="8"/>
    <x v="0"/>
    <s v="S40000004"/>
    <x v="22"/>
    <n v="0"/>
    <n v="0"/>
    <n v="58"/>
    <n v="202"/>
    <n v="0"/>
    <n v="0"/>
    <n v="35"/>
  </r>
  <r>
    <x v="8"/>
    <x v="0"/>
    <s v="S40000004"/>
    <x v="0"/>
    <n v="0"/>
    <n v="0"/>
    <n v="4"/>
    <n v="15"/>
    <n v="0"/>
    <n v="0"/>
    <n v="5"/>
  </r>
  <r>
    <x v="8"/>
    <x v="0"/>
    <s v="S40000004"/>
    <x v="3"/>
    <n v="0"/>
    <n v="0"/>
    <n v="4"/>
    <n v="14"/>
    <n v="0"/>
    <n v="0"/>
    <n v="6"/>
  </r>
  <r>
    <x v="8"/>
    <x v="0"/>
    <s v="S40000004"/>
    <x v="6"/>
    <n v="0"/>
    <n v="0"/>
    <n v="19"/>
    <n v="53"/>
    <n v="0"/>
    <n v="0"/>
    <n v="15"/>
  </r>
  <r>
    <x v="8"/>
    <x v="0"/>
    <s v="S40000004"/>
    <x v="31"/>
    <n v="0"/>
    <n v="0"/>
    <n v="50"/>
    <n v="179"/>
    <n v="0"/>
    <n v="0"/>
    <n v="25"/>
  </r>
  <r>
    <x v="8"/>
    <x v="0"/>
    <s v="S40000004"/>
    <x v="9"/>
    <n v="0"/>
    <n v="0"/>
    <n v="4"/>
    <n v="17"/>
    <n v="0"/>
    <n v="0"/>
    <n v="5"/>
  </r>
  <r>
    <x v="8"/>
    <x v="0"/>
    <s v="S40000004"/>
    <x v="14"/>
    <n v="0"/>
    <n v="0"/>
    <n v="10"/>
    <n v="33"/>
    <n v="0"/>
    <n v="0"/>
    <n v="10"/>
  </r>
  <r>
    <x v="8"/>
    <x v="0"/>
    <s v="S40000004"/>
    <x v="18"/>
    <n v="0"/>
    <n v="0"/>
    <n v="10"/>
    <n v="33"/>
    <n v="0"/>
    <n v="0"/>
    <n v="5"/>
  </r>
  <r>
    <x v="8"/>
    <x v="0"/>
    <s v="S40000004"/>
    <x v="25"/>
    <n v="0"/>
    <n v="0"/>
    <n v="10"/>
    <n v="38"/>
    <n v="0"/>
    <n v="0"/>
    <n v="10"/>
  </r>
  <r>
    <x v="8"/>
    <x v="1"/>
    <m/>
    <x v="48"/>
    <n v="1"/>
    <n v="0"/>
    <n v="5"/>
    <n v="2"/>
    <n v="4"/>
    <n v="12"/>
    <n v="12"/>
  </r>
  <r>
    <x v="8"/>
    <x v="1"/>
    <m/>
    <x v="33"/>
    <n v="1"/>
    <n v="0"/>
    <n v="6"/>
    <n v="2"/>
    <n v="4"/>
    <n v="8"/>
    <n v="7"/>
  </r>
  <r>
    <x v="8"/>
    <x v="1"/>
    <m/>
    <x v="1"/>
    <n v="1"/>
    <n v="0"/>
    <n v="4"/>
    <n v="2"/>
    <n v="2"/>
    <n v="6"/>
    <n v="7"/>
  </r>
  <r>
    <x v="8"/>
    <x v="1"/>
    <m/>
    <x v="42"/>
    <n v="1"/>
    <n v="0"/>
    <n v="5"/>
    <n v="2"/>
    <n v="4"/>
    <n v="8"/>
    <n v="11"/>
  </r>
  <r>
    <x v="8"/>
    <x v="1"/>
    <m/>
    <x v="34"/>
    <n v="1"/>
    <n v="0"/>
    <n v="3"/>
    <n v="1"/>
    <n v="3"/>
    <n v="11"/>
    <n v="8"/>
  </r>
  <r>
    <x v="8"/>
    <x v="1"/>
    <m/>
    <x v="35"/>
    <n v="1"/>
    <n v="0"/>
    <n v="6"/>
    <n v="4"/>
    <n v="3"/>
    <n v="7"/>
    <n v="8"/>
  </r>
  <r>
    <x v="8"/>
    <x v="1"/>
    <m/>
    <x v="36"/>
    <n v="1"/>
    <n v="0"/>
    <n v="3"/>
    <n v="1"/>
    <n v="3"/>
    <n v="6"/>
    <n v="5"/>
  </r>
  <r>
    <x v="8"/>
    <x v="1"/>
    <m/>
    <x v="37"/>
    <n v="1"/>
    <n v="0"/>
    <n v="3"/>
    <n v="4"/>
    <n v="3"/>
    <n v="7"/>
    <n v="9"/>
  </r>
  <r>
    <x v="8"/>
    <x v="1"/>
    <m/>
    <x v="38"/>
    <n v="1"/>
    <n v="0"/>
    <n v="3"/>
    <n v="2"/>
    <n v="2"/>
    <n v="4"/>
    <n v="6"/>
  </r>
  <r>
    <x v="8"/>
    <x v="1"/>
    <m/>
    <x v="30"/>
    <n v="1"/>
    <n v="0"/>
    <n v="1"/>
    <n v="1"/>
    <n v="4"/>
    <n v="9"/>
    <n v="7"/>
  </r>
  <r>
    <x v="8"/>
    <x v="1"/>
    <m/>
    <x v="39"/>
    <n v="1"/>
    <n v="0"/>
    <n v="6"/>
    <n v="2"/>
    <n v="4"/>
    <n v="10"/>
    <n v="10"/>
  </r>
  <r>
    <x v="8"/>
    <x v="1"/>
    <m/>
    <x v="49"/>
    <n v="1"/>
    <n v="0"/>
    <n v="4"/>
    <n v="1"/>
    <n v="3"/>
    <n v="11"/>
    <n v="10"/>
  </r>
  <r>
    <x v="8"/>
    <x v="1"/>
    <m/>
    <x v="47"/>
    <n v="1"/>
    <n v="0"/>
    <n v="7"/>
    <n v="3"/>
    <n v="4"/>
    <n v="13"/>
    <n v="10"/>
  </r>
  <r>
    <x v="8"/>
    <x v="1"/>
    <m/>
    <x v="41"/>
    <n v="1"/>
    <n v="0"/>
    <n v="0"/>
    <n v="0"/>
    <n v="4"/>
    <n v="7"/>
    <n v="5"/>
  </r>
  <r>
    <x v="8"/>
    <x v="2"/>
    <m/>
    <x v="45"/>
    <n v="2"/>
    <n v="0"/>
    <n v="10"/>
    <n v="10"/>
    <n v="2"/>
    <n v="7"/>
    <n v="17"/>
  </r>
  <r>
    <x v="8"/>
    <x v="2"/>
    <m/>
    <x v="43"/>
    <n v="2"/>
    <n v="0"/>
    <n v="16"/>
    <n v="34"/>
    <n v="5"/>
    <n v="7"/>
    <n v="43"/>
  </r>
  <r>
    <x v="8"/>
    <x v="2"/>
    <s v="S40000004"/>
    <x v="44"/>
    <n v="1"/>
    <n v="0"/>
    <n v="6"/>
    <n v="21"/>
    <n v="2"/>
    <n v="5"/>
    <n v="31"/>
  </r>
  <r>
    <x v="8"/>
    <x v="3"/>
    <s v="S92000003"/>
    <x v="46"/>
    <n v="16"/>
    <n v="5"/>
    <n v="0"/>
    <n v="0"/>
    <n v="20"/>
    <n v="19"/>
    <n v="28"/>
  </r>
  <r>
    <x v="9"/>
    <x v="0"/>
    <m/>
    <x v="19"/>
    <n v="0"/>
    <n v="0"/>
    <n v="32"/>
    <n v="103"/>
    <n v="0"/>
    <n v="0"/>
    <n v="20"/>
  </r>
  <r>
    <x v="9"/>
    <x v="0"/>
    <m/>
    <x v="20"/>
    <n v="0"/>
    <n v="0"/>
    <n v="5"/>
    <n v="18"/>
    <n v="0"/>
    <n v="0"/>
    <n v="5"/>
  </r>
  <r>
    <x v="9"/>
    <x v="0"/>
    <m/>
    <x v="26"/>
    <n v="0"/>
    <n v="0"/>
    <n v="5"/>
    <n v="14"/>
    <n v="0"/>
    <n v="0"/>
    <n v="5"/>
  </r>
  <r>
    <x v="9"/>
    <x v="0"/>
    <m/>
    <x v="21"/>
    <n v="0"/>
    <n v="0"/>
    <n v="11"/>
    <n v="29"/>
    <n v="0"/>
    <n v="0"/>
    <n v="10"/>
  </r>
  <r>
    <x v="9"/>
    <x v="0"/>
    <m/>
    <x v="1"/>
    <n v="0"/>
    <n v="0"/>
    <n v="9"/>
    <n v="37"/>
    <n v="0"/>
    <n v="0"/>
    <n v="5"/>
  </r>
  <r>
    <x v="9"/>
    <x v="0"/>
    <m/>
    <x v="27"/>
    <n v="0"/>
    <n v="0"/>
    <n v="37"/>
    <n v="112"/>
    <n v="0"/>
    <n v="0"/>
    <n v="20"/>
  </r>
  <r>
    <x v="9"/>
    <x v="0"/>
    <m/>
    <x v="2"/>
    <n v="0"/>
    <n v="0"/>
    <n v="8"/>
    <n v="34"/>
    <n v="0"/>
    <n v="0"/>
    <n v="5"/>
  </r>
  <r>
    <x v="9"/>
    <x v="0"/>
    <m/>
    <x v="29"/>
    <n v="0"/>
    <n v="0"/>
    <n v="12"/>
    <n v="44"/>
    <n v="0"/>
    <n v="0"/>
    <n v="15"/>
  </r>
  <r>
    <x v="9"/>
    <x v="0"/>
    <m/>
    <x v="4"/>
    <n v="0"/>
    <n v="0"/>
    <n v="10"/>
    <n v="27"/>
    <n v="0"/>
    <n v="0"/>
    <n v="10"/>
  </r>
  <r>
    <x v="9"/>
    <x v="0"/>
    <m/>
    <x v="30"/>
    <n v="0"/>
    <n v="0"/>
    <n v="108"/>
    <n v="317"/>
    <n v="0"/>
    <n v="0"/>
    <n v="66"/>
  </r>
  <r>
    <x v="9"/>
    <x v="0"/>
    <m/>
    <x v="7"/>
    <n v="0"/>
    <n v="0"/>
    <n v="7"/>
    <n v="0"/>
    <n v="0"/>
    <n v="0"/>
    <n v="4"/>
  </r>
  <r>
    <x v="9"/>
    <x v="0"/>
    <m/>
    <x v="7"/>
    <n v="0"/>
    <n v="0"/>
    <n v="16"/>
    <n v="51"/>
    <n v="0"/>
    <n v="0"/>
    <n v="6"/>
  </r>
  <r>
    <x v="9"/>
    <x v="0"/>
    <m/>
    <x v="8"/>
    <n v="0"/>
    <n v="0"/>
    <n v="14"/>
    <n v="43"/>
    <n v="0"/>
    <n v="0"/>
    <n v="10"/>
  </r>
  <r>
    <x v="9"/>
    <x v="0"/>
    <m/>
    <x v="10"/>
    <n v="0"/>
    <n v="0"/>
    <n v="4"/>
    <n v="20"/>
    <n v="0"/>
    <n v="0"/>
    <n v="5"/>
  </r>
  <r>
    <x v="9"/>
    <x v="0"/>
    <m/>
    <x v="5"/>
    <n v="0"/>
    <n v="0"/>
    <n v="0"/>
    <n v="0"/>
    <n v="0"/>
    <n v="0"/>
    <n v="3"/>
  </r>
  <r>
    <x v="9"/>
    <x v="0"/>
    <m/>
    <x v="11"/>
    <n v="0"/>
    <n v="0"/>
    <n v="16"/>
    <n v="44"/>
    <n v="0"/>
    <n v="0"/>
    <n v="15"/>
  </r>
  <r>
    <x v="9"/>
    <x v="0"/>
    <m/>
    <x v="28"/>
    <n v="0"/>
    <n v="0"/>
    <n v="36"/>
    <n v="102"/>
    <n v="0"/>
    <n v="0"/>
    <n v="21"/>
  </r>
  <r>
    <x v="9"/>
    <x v="0"/>
    <m/>
    <x v="12"/>
    <n v="0"/>
    <n v="0"/>
    <n v="0"/>
    <n v="0"/>
    <n v="0"/>
    <n v="0"/>
    <n v="1"/>
  </r>
  <r>
    <x v="9"/>
    <x v="0"/>
    <m/>
    <x v="13"/>
    <n v="0"/>
    <n v="0"/>
    <n v="11"/>
    <n v="53"/>
    <n v="0"/>
    <n v="0"/>
    <n v="5"/>
  </r>
  <r>
    <x v="9"/>
    <x v="0"/>
    <m/>
    <x v="23"/>
    <n v="0"/>
    <n v="0"/>
    <n v="20"/>
    <n v="60"/>
    <n v="0"/>
    <n v="0"/>
    <n v="15"/>
  </r>
  <r>
    <x v="9"/>
    <x v="0"/>
    <m/>
    <x v="15"/>
    <n v="0"/>
    <n v="0"/>
    <n v="0"/>
    <n v="0"/>
    <n v="0"/>
    <n v="0"/>
    <n v="1"/>
  </r>
  <r>
    <x v="9"/>
    <x v="0"/>
    <m/>
    <x v="16"/>
    <n v="0"/>
    <n v="0"/>
    <n v="9"/>
    <n v="34"/>
    <n v="0"/>
    <n v="0"/>
    <n v="5"/>
  </r>
  <r>
    <x v="9"/>
    <x v="0"/>
    <m/>
    <x v="17"/>
    <n v="0"/>
    <n v="0"/>
    <n v="35"/>
    <n v="109"/>
    <n v="0"/>
    <n v="0"/>
    <n v="20"/>
  </r>
  <r>
    <x v="9"/>
    <x v="0"/>
    <m/>
    <x v="24"/>
    <n v="0"/>
    <n v="0"/>
    <n v="15"/>
    <n v="43"/>
    <n v="0"/>
    <n v="0"/>
    <n v="10"/>
  </r>
  <r>
    <x v="9"/>
    <x v="0"/>
    <m/>
    <x v="25"/>
    <n v="0"/>
    <n v="0"/>
    <n v="0"/>
    <n v="0"/>
    <n v="0"/>
    <n v="0"/>
    <n v="2"/>
  </r>
  <r>
    <x v="9"/>
    <x v="0"/>
    <s v="S40000004"/>
    <x v="22"/>
    <n v="0"/>
    <n v="0"/>
    <n v="53"/>
    <n v="192"/>
    <n v="0"/>
    <n v="0"/>
    <n v="38"/>
  </r>
  <r>
    <x v="9"/>
    <x v="0"/>
    <s v="S40000004"/>
    <x v="0"/>
    <n v="0"/>
    <n v="0"/>
    <n v="6"/>
    <n v="14"/>
    <n v="0"/>
    <n v="0"/>
    <n v="5"/>
  </r>
  <r>
    <x v="9"/>
    <x v="0"/>
    <s v="S40000004"/>
    <x v="3"/>
    <n v="0"/>
    <n v="0"/>
    <n v="4"/>
    <n v="15"/>
    <n v="0"/>
    <n v="0"/>
    <n v="5"/>
  </r>
  <r>
    <x v="9"/>
    <x v="0"/>
    <s v="S40000004"/>
    <x v="6"/>
    <n v="0"/>
    <n v="0"/>
    <n v="19"/>
    <n v="50"/>
    <n v="0"/>
    <n v="0"/>
    <n v="15"/>
  </r>
  <r>
    <x v="9"/>
    <x v="0"/>
    <s v="S40000004"/>
    <x v="31"/>
    <n v="0"/>
    <n v="0"/>
    <n v="51"/>
    <n v="163"/>
    <n v="0"/>
    <n v="0"/>
    <n v="25"/>
  </r>
  <r>
    <x v="9"/>
    <x v="0"/>
    <s v="S40000004"/>
    <x v="9"/>
    <n v="0"/>
    <n v="0"/>
    <n v="4"/>
    <n v="15"/>
    <n v="0"/>
    <n v="0"/>
    <n v="6"/>
  </r>
  <r>
    <x v="9"/>
    <x v="0"/>
    <s v="S40000004"/>
    <x v="14"/>
    <n v="0"/>
    <n v="0"/>
    <n v="9"/>
    <n v="37"/>
    <n v="0"/>
    <n v="0"/>
    <n v="10"/>
  </r>
  <r>
    <x v="9"/>
    <x v="0"/>
    <s v="S40000004"/>
    <x v="18"/>
    <n v="0"/>
    <n v="0"/>
    <n v="9"/>
    <n v="32"/>
    <n v="0"/>
    <n v="0"/>
    <n v="5"/>
  </r>
  <r>
    <x v="9"/>
    <x v="0"/>
    <s v="S40000004"/>
    <x v="25"/>
    <n v="0"/>
    <n v="0"/>
    <n v="10"/>
    <n v="37"/>
    <n v="0"/>
    <n v="0"/>
    <n v="10"/>
  </r>
  <r>
    <x v="9"/>
    <x v="1"/>
    <m/>
    <x v="48"/>
    <n v="1"/>
    <n v="0"/>
    <n v="0"/>
    <n v="0"/>
    <n v="4"/>
    <n v="10"/>
    <n v="9"/>
  </r>
  <r>
    <x v="9"/>
    <x v="1"/>
    <m/>
    <x v="33"/>
    <n v="1"/>
    <n v="0"/>
    <n v="6"/>
    <n v="2"/>
    <n v="4"/>
    <n v="10"/>
    <n v="7"/>
  </r>
  <r>
    <x v="9"/>
    <x v="1"/>
    <m/>
    <x v="1"/>
    <n v="1"/>
    <n v="0"/>
    <n v="4"/>
    <n v="2"/>
    <n v="2"/>
    <n v="6"/>
    <n v="3"/>
  </r>
  <r>
    <x v="9"/>
    <x v="1"/>
    <m/>
    <x v="42"/>
    <n v="1"/>
    <n v="0"/>
    <n v="0"/>
    <n v="2"/>
    <n v="4"/>
    <n v="7"/>
    <n v="9"/>
  </r>
  <r>
    <x v="9"/>
    <x v="1"/>
    <m/>
    <x v="34"/>
    <n v="1"/>
    <n v="0"/>
    <n v="4"/>
    <n v="0"/>
    <n v="4"/>
    <n v="10"/>
    <n v="7"/>
  </r>
  <r>
    <x v="9"/>
    <x v="1"/>
    <m/>
    <x v="35"/>
    <n v="1"/>
    <n v="0"/>
    <n v="6"/>
    <n v="4"/>
    <n v="4"/>
    <n v="6"/>
    <n v="11"/>
  </r>
  <r>
    <x v="9"/>
    <x v="1"/>
    <m/>
    <x v="36"/>
    <n v="1"/>
    <n v="0"/>
    <n v="4"/>
    <n v="1"/>
    <n v="3"/>
    <n v="6"/>
    <n v="4"/>
  </r>
  <r>
    <x v="9"/>
    <x v="1"/>
    <m/>
    <x v="37"/>
    <n v="1"/>
    <n v="0"/>
    <n v="3"/>
    <n v="3"/>
    <n v="3"/>
    <n v="8"/>
    <n v="8"/>
  </r>
  <r>
    <x v="9"/>
    <x v="1"/>
    <m/>
    <x v="38"/>
    <n v="1"/>
    <n v="0"/>
    <n v="4"/>
    <n v="1"/>
    <n v="1"/>
    <n v="6"/>
    <n v="6"/>
  </r>
  <r>
    <x v="9"/>
    <x v="1"/>
    <m/>
    <x v="30"/>
    <n v="1"/>
    <n v="0"/>
    <n v="2"/>
    <n v="1"/>
    <n v="4"/>
    <n v="9"/>
    <n v="6"/>
  </r>
  <r>
    <x v="9"/>
    <x v="1"/>
    <m/>
    <x v="39"/>
    <n v="1"/>
    <n v="0"/>
    <n v="0"/>
    <n v="1"/>
    <n v="4"/>
    <n v="10"/>
    <n v="4"/>
  </r>
  <r>
    <x v="9"/>
    <x v="1"/>
    <m/>
    <x v="49"/>
    <n v="1"/>
    <n v="0"/>
    <n v="4"/>
    <n v="1"/>
    <n v="3"/>
    <n v="8"/>
    <n v="10"/>
  </r>
  <r>
    <x v="9"/>
    <x v="1"/>
    <m/>
    <x v="47"/>
    <n v="1"/>
    <n v="0"/>
    <n v="6"/>
    <n v="2"/>
    <n v="4"/>
    <n v="10"/>
    <n v="8"/>
  </r>
  <r>
    <x v="9"/>
    <x v="1"/>
    <m/>
    <x v="41"/>
    <n v="0"/>
    <n v="0"/>
    <n v="0"/>
    <n v="0"/>
    <n v="1"/>
    <n v="0"/>
    <n v="0"/>
  </r>
  <r>
    <x v="9"/>
    <x v="1"/>
    <m/>
    <x v="41"/>
    <n v="1"/>
    <n v="0"/>
    <n v="0"/>
    <n v="0"/>
    <n v="3"/>
    <n v="5"/>
    <n v="0"/>
  </r>
  <r>
    <x v="9"/>
    <x v="2"/>
    <m/>
    <x v="45"/>
    <n v="2"/>
    <n v="0"/>
    <n v="12"/>
    <n v="25"/>
    <n v="3"/>
    <n v="6"/>
    <n v="22"/>
  </r>
  <r>
    <x v="9"/>
    <x v="2"/>
    <m/>
    <x v="43"/>
    <n v="2"/>
    <n v="0"/>
    <n v="10"/>
    <n v="48"/>
    <n v="5"/>
    <n v="11"/>
    <n v="43"/>
  </r>
  <r>
    <x v="9"/>
    <x v="2"/>
    <s v="S40000004"/>
    <x v="44"/>
    <n v="1"/>
    <n v="0"/>
    <n v="4"/>
    <n v="30"/>
    <n v="3"/>
    <n v="4"/>
    <n v="25"/>
  </r>
  <r>
    <x v="9"/>
    <x v="3"/>
    <s v="S92000003"/>
    <x v="46"/>
    <n v="12"/>
    <n v="5"/>
    <n v="1"/>
    <n v="0"/>
    <n v="19"/>
    <n v="16"/>
    <n v="16"/>
  </r>
  <r>
    <x v="10"/>
    <x v="0"/>
    <m/>
    <x v="19"/>
    <n v="0"/>
    <n v="0"/>
    <n v="34"/>
    <n v="106"/>
    <n v="0"/>
    <n v="0"/>
    <n v="22"/>
  </r>
  <r>
    <x v="10"/>
    <x v="0"/>
    <m/>
    <x v="20"/>
    <n v="0"/>
    <n v="0"/>
    <n v="6"/>
    <n v="17"/>
    <n v="0"/>
    <n v="0"/>
    <n v="5"/>
  </r>
  <r>
    <x v="10"/>
    <x v="0"/>
    <m/>
    <x v="26"/>
    <n v="0"/>
    <n v="0"/>
    <n v="5"/>
    <n v="17"/>
    <n v="0"/>
    <n v="0"/>
    <n v="5"/>
  </r>
  <r>
    <x v="10"/>
    <x v="0"/>
    <m/>
    <x v="21"/>
    <n v="0"/>
    <n v="0"/>
    <n v="10"/>
    <n v="34"/>
    <n v="0"/>
    <n v="0"/>
    <n v="11"/>
  </r>
  <r>
    <x v="10"/>
    <x v="0"/>
    <m/>
    <x v="1"/>
    <n v="0"/>
    <n v="0"/>
    <n v="10"/>
    <n v="38"/>
    <n v="0"/>
    <n v="0"/>
    <n v="5"/>
  </r>
  <r>
    <x v="10"/>
    <x v="0"/>
    <m/>
    <x v="27"/>
    <n v="0"/>
    <n v="0"/>
    <n v="30"/>
    <n v="118"/>
    <n v="0"/>
    <n v="0"/>
    <n v="20"/>
  </r>
  <r>
    <x v="10"/>
    <x v="0"/>
    <m/>
    <x v="2"/>
    <n v="0"/>
    <n v="0"/>
    <n v="10"/>
    <n v="32"/>
    <n v="0"/>
    <n v="0"/>
    <n v="6"/>
  </r>
  <r>
    <x v="10"/>
    <x v="0"/>
    <m/>
    <x v="29"/>
    <n v="0"/>
    <n v="0"/>
    <n v="15"/>
    <n v="46"/>
    <n v="0"/>
    <n v="0"/>
    <n v="15"/>
  </r>
  <r>
    <x v="10"/>
    <x v="0"/>
    <m/>
    <x v="4"/>
    <n v="0"/>
    <n v="0"/>
    <n v="10"/>
    <n v="33"/>
    <n v="0"/>
    <n v="0"/>
    <n v="10"/>
  </r>
  <r>
    <x v="10"/>
    <x v="0"/>
    <m/>
    <x v="30"/>
    <n v="0"/>
    <n v="0"/>
    <n v="94"/>
    <n v="302"/>
    <n v="0"/>
    <n v="0"/>
    <n v="67"/>
  </r>
  <r>
    <x v="10"/>
    <x v="0"/>
    <m/>
    <x v="7"/>
    <n v="0"/>
    <n v="0"/>
    <n v="20"/>
    <n v="52"/>
    <n v="0"/>
    <n v="0"/>
    <n v="8"/>
  </r>
  <r>
    <x v="10"/>
    <x v="0"/>
    <m/>
    <x v="8"/>
    <n v="0"/>
    <n v="0"/>
    <n v="14"/>
    <n v="39"/>
    <n v="0"/>
    <n v="0"/>
    <n v="10"/>
  </r>
  <r>
    <x v="10"/>
    <x v="0"/>
    <m/>
    <x v="10"/>
    <n v="0"/>
    <n v="0"/>
    <n v="4"/>
    <n v="21"/>
    <n v="0"/>
    <n v="0"/>
    <n v="5"/>
  </r>
  <r>
    <x v="10"/>
    <x v="0"/>
    <m/>
    <x v="5"/>
    <n v="0"/>
    <n v="0"/>
    <n v="0"/>
    <n v="0"/>
    <n v="0"/>
    <n v="0"/>
    <n v="3"/>
  </r>
  <r>
    <x v="10"/>
    <x v="0"/>
    <m/>
    <x v="11"/>
    <n v="0"/>
    <n v="0"/>
    <n v="16"/>
    <n v="54"/>
    <n v="0"/>
    <n v="0"/>
    <n v="15"/>
  </r>
  <r>
    <x v="10"/>
    <x v="0"/>
    <m/>
    <x v="28"/>
    <n v="0"/>
    <n v="0"/>
    <n v="36"/>
    <n v="112"/>
    <n v="0"/>
    <n v="0"/>
    <n v="21"/>
  </r>
  <r>
    <x v="10"/>
    <x v="0"/>
    <m/>
    <x v="13"/>
    <n v="0"/>
    <n v="0"/>
    <n v="12"/>
    <n v="49"/>
    <n v="0"/>
    <n v="0"/>
    <n v="5"/>
  </r>
  <r>
    <x v="10"/>
    <x v="0"/>
    <m/>
    <x v="23"/>
    <n v="0"/>
    <n v="0"/>
    <n v="21"/>
    <n v="66"/>
    <n v="0"/>
    <n v="0"/>
    <n v="15"/>
  </r>
  <r>
    <x v="10"/>
    <x v="0"/>
    <m/>
    <x v="15"/>
    <n v="0"/>
    <n v="0"/>
    <n v="0"/>
    <n v="0"/>
    <n v="0"/>
    <n v="0"/>
    <n v="1"/>
  </r>
  <r>
    <x v="10"/>
    <x v="0"/>
    <m/>
    <x v="16"/>
    <n v="0"/>
    <n v="0"/>
    <n v="10"/>
    <n v="36"/>
    <n v="0"/>
    <n v="0"/>
    <n v="6"/>
  </r>
  <r>
    <x v="10"/>
    <x v="0"/>
    <m/>
    <x v="17"/>
    <n v="0"/>
    <n v="0"/>
    <n v="30"/>
    <n v="111"/>
    <n v="0"/>
    <n v="0"/>
    <n v="20"/>
  </r>
  <r>
    <x v="10"/>
    <x v="0"/>
    <m/>
    <x v="24"/>
    <n v="0"/>
    <n v="0"/>
    <n v="13"/>
    <n v="51"/>
    <n v="0"/>
    <n v="0"/>
    <n v="11"/>
  </r>
  <r>
    <x v="10"/>
    <x v="0"/>
    <s v="S40000004"/>
    <x v="22"/>
    <n v="0"/>
    <n v="0"/>
    <n v="59"/>
    <n v="199"/>
    <n v="0"/>
    <n v="0"/>
    <n v="35"/>
  </r>
  <r>
    <x v="10"/>
    <x v="0"/>
    <s v="S40000004"/>
    <x v="0"/>
    <n v="0"/>
    <n v="0"/>
    <n v="5"/>
    <n v="16"/>
    <n v="0"/>
    <n v="0"/>
    <n v="6"/>
  </r>
  <r>
    <x v="10"/>
    <x v="0"/>
    <s v="S40000004"/>
    <x v="3"/>
    <n v="0"/>
    <n v="0"/>
    <n v="5"/>
    <n v="15"/>
    <n v="0"/>
    <n v="0"/>
    <n v="5"/>
  </r>
  <r>
    <x v="10"/>
    <x v="0"/>
    <s v="S40000004"/>
    <x v="6"/>
    <n v="0"/>
    <n v="0"/>
    <n v="20"/>
    <n v="56"/>
    <n v="0"/>
    <n v="0"/>
    <n v="15"/>
  </r>
  <r>
    <x v="10"/>
    <x v="0"/>
    <s v="S40000004"/>
    <x v="31"/>
    <n v="0"/>
    <n v="0"/>
    <n v="43"/>
    <n v="146"/>
    <n v="0"/>
    <n v="0"/>
    <n v="27"/>
  </r>
  <r>
    <x v="10"/>
    <x v="0"/>
    <s v="S40000004"/>
    <x v="9"/>
    <n v="0"/>
    <n v="0"/>
    <n v="7"/>
    <n v="16"/>
    <n v="0"/>
    <n v="0"/>
    <n v="6"/>
  </r>
  <r>
    <x v="10"/>
    <x v="0"/>
    <s v="S40000004"/>
    <x v="14"/>
    <n v="0"/>
    <n v="0"/>
    <n v="9"/>
    <n v="38"/>
    <n v="0"/>
    <n v="0"/>
    <n v="10"/>
  </r>
  <r>
    <x v="10"/>
    <x v="0"/>
    <s v="S40000004"/>
    <x v="18"/>
    <n v="0"/>
    <n v="0"/>
    <n v="10"/>
    <n v="34"/>
    <n v="0"/>
    <n v="0"/>
    <n v="5"/>
  </r>
  <r>
    <x v="10"/>
    <x v="0"/>
    <s v="S40000004"/>
    <x v="25"/>
    <n v="0"/>
    <n v="0"/>
    <n v="11"/>
    <n v="39"/>
    <n v="0"/>
    <n v="0"/>
    <n v="13"/>
  </r>
  <r>
    <x v="10"/>
    <x v="1"/>
    <m/>
    <x v="48"/>
    <n v="1"/>
    <n v="0"/>
    <n v="0"/>
    <n v="0"/>
    <n v="4"/>
    <n v="11"/>
    <n v="6"/>
  </r>
  <r>
    <x v="10"/>
    <x v="1"/>
    <m/>
    <x v="33"/>
    <n v="1"/>
    <n v="0"/>
    <n v="6"/>
    <n v="2"/>
    <n v="4"/>
    <n v="9"/>
    <n v="6"/>
  </r>
  <r>
    <x v="10"/>
    <x v="1"/>
    <m/>
    <x v="1"/>
    <n v="1"/>
    <n v="0"/>
    <n v="5"/>
    <n v="2"/>
    <n v="2"/>
    <n v="5"/>
    <n v="7"/>
  </r>
  <r>
    <x v="10"/>
    <x v="1"/>
    <m/>
    <x v="42"/>
    <n v="2"/>
    <n v="0"/>
    <n v="0"/>
    <n v="0"/>
    <n v="4"/>
    <n v="8"/>
    <n v="9"/>
  </r>
  <r>
    <x v="10"/>
    <x v="1"/>
    <m/>
    <x v="34"/>
    <n v="1"/>
    <n v="0"/>
    <n v="5"/>
    <n v="0"/>
    <n v="3"/>
    <n v="9"/>
    <n v="7"/>
  </r>
  <r>
    <x v="10"/>
    <x v="1"/>
    <m/>
    <x v="35"/>
    <n v="1"/>
    <n v="0"/>
    <n v="3"/>
    <n v="4"/>
    <n v="3"/>
    <n v="6"/>
    <n v="9"/>
  </r>
  <r>
    <x v="10"/>
    <x v="1"/>
    <m/>
    <x v="36"/>
    <n v="1"/>
    <n v="0"/>
    <n v="3"/>
    <n v="1"/>
    <n v="3"/>
    <n v="6"/>
    <n v="4"/>
  </r>
  <r>
    <x v="10"/>
    <x v="1"/>
    <m/>
    <x v="37"/>
    <n v="1"/>
    <n v="0"/>
    <n v="4"/>
    <n v="3"/>
    <n v="3"/>
    <n v="7"/>
    <n v="9"/>
  </r>
  <r>
    <x v="10"/>
    <x v="1"/>
    <m/>
    <x v="38"/>
    <n v="1"/>
    <n v="0"/>
    <n v="3"/>
    <n v="1"/>
    <n v="2"/>
    <n v="6"/>
    <n v="6"/>
  </r>
  <r>
    <x v="10"/>
    <x v="1"/>
    <m/>
    <x v="30"/>
    <n v="1"/>
    <n v="0"/>
    <n v="2"/>
    <n v="1"/>
    <n v="4"/>
    <n v="8"/>
    <n v="7"/>
  </r>
  <r>
    <x v="10"/>
    <x v="1"/>
    <m/>
    <x v="39"/>
    <n v="1"/>
    <n v="0"/>
    <n v="1"/>
    <n v="1"/>
    <n v="4"/>
    <n v="12"/>
    <n v="4"/>
  </r>
  <r>
    <x v="10"/>
    <x v="1"/>
    <m/>
    <x v="49"/>
    <n v="1"/>
    <n v="0"/>
    <n v="3"/>
    <n v="1"/>
    <n v="3"/>
    <n v="10"/>
    <n v="9"/>
  </r>
  <r>
    <x v="10"/>
    <x v="1"/>
    <m/>
    <x v="47"/>
    <n v="1"/>
    <n v="0"/>
    <n v="7"/>
    <n v="2"/>
    <n v="4"/>
    <n v="9"/>
    <n v="10"/>
  </r>
  <r>
    <x v="10"/>
    <x v="1"/>
    <m/>
    <x v="41"/>
    <n v="0"/>
    <n v="0"/>
    <n v="0"/>
    <n v="0"/>
    <n v="1"/>
    <n v="0"/>
    <n v="0"/>
  </r>
  <r>
    <x v="10"/>
    <x v="1"/>
    <m/>
    <x v="41"/>
    <n v="1"/>
    <n v="0"/>
    <n v="0"/>
    <n v="0"/>
    <n v="3"/>
    <n v="6"/>
    <n v="0"/>
  </r>
  <r>
    <x v="10"/>
    <x v="2"/>
    <m/>
    <x v="45"/>
    <n v="2"/>
    <n v="0"/>
    <n v="17"/>
    <n v="0"/>
    <n v="2"/>
    <n v="8"/>
    <n v="23"/>
  </r>
  <r>
    <x v="10"/>
    <x v="2"/>
    <m/>
    <x v="43"/>
    <n v="2"/>
    <n v="0"/>
    <n v="8"/>
    <n v="1"/>
    <n v="4"/>
    <n v="7"/>
    <n v="38"/>
  </r>
  <r>
    <x v="10"/>
    <x v="2"/>
    <s v="S40000004"/>
    <x v="44"/>
    <n v="1"/>
    <n v="0"/>
    <n v="3"/>
    <n v="0"/>
    <n v="2"/>
    <n v="5"/>
    <n v="18"/>
  </r>
  <r>
    <x v="10"/>
    <x v="3"/>
    <s v="S92000003"/>
    <x v="46"/>
    <n v="11"/>
    <n v="5"/>
    <n v="1"/>
    <n v="0"/>
    <n v="16"/>
    <n v="24"/>
    <n v="27"/>
  </r>
  <r>
    <x v="11"/>
    <x v="0"/>
    <m/>
    <x v="19"/>
    <n v="0"/>
    <n v="0"/>
    <n v="35"/>
    <n v="102"/>
    <n v="0"/>
    <n v="0"/>
    <n v="20"/>
  </r>
  <r>
    <x v="11"/>
    <x v="0"/>
    <m/>
    <x v="20"/>
    <n v="0"/>
    <n v="0"/>
    <n v="6"/>
    <n v="20"/>
    <n v="0"/>
    <n v="0"/>
    <n v="5"/>
  </r>
  <r>
    <x v="11"/>
    <x v="0"/>
    <m/>
    <x v="26"/>
    <n v="0"/>
    <n v="0"/>
    <n v="5"/>
    <n v="15"/>
    <n v="0"/>
    <n v="0"/>
    <n v="6"/>
  </r>
  <r>
    <x v="11"/>
    <x v="0"/>
    <m/>
    <x v="21"/>
    <n v="0"/>
    <n v="0"/>
    <n v="10"/>
    <n v="32"/>
    <n v="0"/>
    <n v="0"/>
    <n v="11"/>
  </r>
  <r>
    <x v="11"/>
    <x v="0"/>
    <m/>
    <x v="1"/>
    <n v="0"/>
    <n v="0"/>
    <n v="9"/>
    <n v="37"/>
    <n v="0"/>
    <n v="0"/>
    <n v="6"/>
  </r>
  <r>
    <x v="11"/>
    <x v="0"/>
    <m/>
    <x v="27"/>
    <n v="0"/>
    <n v="0"/>
    <n v="29"/>
    <n v="112"/>
    <n v="0"/>
    <n v="0"/>
    <n v="21"/>
  </r>
  <r>
    <x v="11"/>
    <x v="0"/>
    <m/>
    <x v="2"/>
    <n v="0"/>
    <n v="0"/>
    <n v="10"/>
    <n v="39"/>
    <n v="0"/>
    <n v="0"/>
    <n v="6"/>
  </r>
  <r>
    <x v="11"/>
    <x v="0"/>
    <m/>
    <x v="29"/>
    <n v="0"/>
    <n v="0"/>
    <n v="14"/>
    <n v="46"/>
    <n v="0"/>
    <n v="0"/>
    <n v="15"/>
  </r>
  <r>
    <x v="11"/>
    <x v="0"/>
    <m/>
    <x v="4"/>
    <n v="0"/>
    <n v="0"/>
    <n v="10"/>
    <n v="32"/>
    <n v="0"/>
    <n v="0"/>
    <n v="10"/>
  </r>
  <r>
    <x v="11"/>
    <x v="0"/>
    <m/>
    <x v="30"/>
    <n v="0"/>
    <n v="0"/>
    <n v="91"/>
    <n v="290"/>
    <n v="0"/>
    <n v="0"/>
    <n v="67"/>
  </r>
  <r>
    <x v="11"/>
    <x v="0"/>
    <m/>
    <x v="7"/>
    <n v="0"/>
    <n v="0"/>
    <n v="17"/>
    <n v="51"/>
    <n v="0"/>
    <n v="0"/>
    <n v="5"/>
  </r>
  <r>
    <x v="11"/>
    <x v="0"/>
    <m/>
    <x v="8"/>
    <n v="0"/>
    <n v="0"/>
    <n v="15"/>
    <n v="39"/>
    <n v="0"/>
    <n v="0"/>
    <n v="10"/>
  </r>
  <r>
    <x v="11"/>
    <x v="0"/>
    <m/>
    <x v="9"/>
    <n v="0"/>
    <n v="0"/>
    <n v="0"/>
    <n v="1"/>
    <n v="0"/>
    <n v="0"/>
    <n v="0"/>
  </r>
  <r>
    <x v="11"/>
    <x v="0"/>
    <m/>
    <x v="10"/>
    <n v="0"/>
    <n v="0"/>
    <n v="5"/>
    <n v="20"/>
    <n v="0"/>
    <n v="0"/>
    <n v="5"/>
  </r>
  <r>
    <x v="11"/>
    <x v="0"/>
    <m/>
    <x v="5"/>
    <n v="0"/>
    <n v="0"/>
    <n v="0"/>
    <n v="0"/>
    <n v="0"/>
    <n v="0"/>
    <n v="3"/>
  </r>
  <r>
    <x v="11"/>
    <x v="0"/>
    <m/>
    <x v="11"/>
    <n v="0"/>
    <n v="0"/>
    <n v="15"/>
    <n v="42"/>
    <n v="0"/>
    <n v="0"/>
    <n v="15"/>
  </r>
  <r>
    <x v="11"/>
    <x v="0"/>
    <m/>
    <x v="28"/>
    <n v="0"/>
    <n v="0"/>
    <n v="31"/>
    <n v="112"/>
    <n v="0"/>
    <n v="0"/>
    <n v="20"/>
  </r>
  <r>
    <x v="11"/>
    <x v="0"/>
    <m/>
    <x v="13"/>
    <n v="0"/>
    <n v="0"/>
    <n v="11"/>
    <n v="43"/>
    <n v="0"/>
    <n v="0"/>
    <n v="5"/>
  </r>
  <r>
    <x v="11"/>
    <x v="0"/>
    <m/>
    <x v="23"/>
    <n v="0"/>
    <n v="0"/>
    <n v="21"/>
    <n v="66"/>
    <n v="0"/>
    <n v="0"/>
    <n v="15"/>
  </r>
  <r>
    <x v="11"/>
    <x v="0"/>
    <m/>
    <x v="16"/>
    <n v="0"/>
    <n v="0"/>
    <n v="11"/>
    <n v="36"/>
    <n v="0"/>
    <n v="0"/>
    <n v="6"/>
  </r>
  <r>
    <x v="11"/>
    <x v="0"/>
    <m/>
    <x v="17"/>
    <n v="0"/>
    <n v="0"/>
    <n v="28"/>
    <n v="108"/>
    <n v="0"/>
    <n v="0"/>
    <n v="19"/>
  </r>
  <r>
    <x v="11"/>
    <x v="0"/>
    <m/>
    <x v="24"/>
    <n v="0"/>
    <n v="0"/>
    <n v="15"/>
    <n v="50"/>
    <n v="0"/>
    <n v="0"/>
    <n v="10"/>
  </r>
  <r>
    <x v="11"/>
    <x v="0"/>
    <s v="S40000004"/>
    <x v="22"/>
    <n v="0"/>
    <n v="0"/>
    <n v="56"/>
    <n v="198"/>
    <n v="0"/>
    <n v="0"/>
    <n v="34"/>
  </r>
  <r>
    <x v="11"/>
    <x v="0"/>
    <s v="S40000004"/>
    <x v="0"/>
    <n v="0"/>
    <n v="0"/>
    <n v="5"/>
    <n v="16"/>
    <n v="0"/>
    <n v="0"/>
    <n v="5"/>
  </r>
  <r>
    <x v="11"/>
    <x v="0"/>
    <s v="S40000004"/>
    <x v="3"/>
    <n v="0"/>
    <n v="0"/>
    <n v="5"/>
    <n v="16"/>
    <n v="0"/>
    <n v="0"/>
    <n v="5"/>
  </r>
  <r>
    <x v="11"/>
    <x v="0"/>
    <s v="S40000004"/>
    <x v="6"/>
    <n v="0"/>
    <n v="0"/>
    <n v="19"/>
    <n v="50"/>
    <n v="0"/>
    <n v="0"/>
    <n v="14"/>
  </r>
  <r>
    <x v="11"/>
    <x v="0"/>
    <s v="S40000004"/>
    <x v="31"/>
    <n v="0"/>
    <n v="0"/>
    <n v="43"/>
    <n v="143"/>
    <n v="0"/>
    <n v="0"/>
    <n v="25"/>
  </r>
  <r>
    <x v="11"/>
    <x v="0"/>
    <s v="S40000004"/>
    <x v="9"/>
    <n v="0"/>
    <n v="0"/>
    <n v="4"/>
    <n v="20"/>
    <n v="0"/>
    <n v="0"/>
    <n v="4"/>
  </r>
  <r>
    <x v="11"/>
    <x v="0"/>
    <s v="S40000004"/>
    <x v="14"/>
    <n v="0"/>
    <n v="0"/>
    <n v="10"/>
    <n v="38"/>
    <n v="0"/>
    <n v="0"/>
    <n v="10"/>
  </r>
  <r>
    <x v="11"/>
    <x v="0"/>
    <s v="S40000004"/>
    <x v="18"/>
    <n v="0"/>
    <n v="0"/>
    <n v="10"/>
    <n v="32"/>
    <n v="0"/>
    <n v="0"/>
    <n v="5"/>
  </r>
  <r>
    <x v="11"/>
    <x v="0"/>
    <s v="S40000004"/>
    <x v="25"/>
    <n v="0"/>
    <n v="0"/>
    <n v="11"/>
    <n v="39"/>
    <n v="0"/>
    <n v="0"/>
    <n v="14"/>
  </r>
  <r>
    <x v="11"/>
    <x v="1"/>
    <m/>
    <x v="48"/>
    <n v="1"/>
    <n v="0"/>
    <n v="0"/>
    <n v="0"/>
    <n v="4"/>
    <n v="10"/>
    <n v="5"/>
  </r>
  <r>
    <x v="11"/>
    <x v="1"/>
    <m/>
    <x v="33"/>
    <n v="1"/>
    <n v="0"/>
    <n v="0"/>
    <n v="2"/>
    <n v="4"/>
    <n v="9"/>
    <n v="4"/>
  </r>
  <r>
    <x v="11"/>
    <x v="1"/>
    <m/>
    <x v="1"/>
    <n v="0"/>
    <n v="0"/>
    <n v="0"/>
    <n v="0"/>
    <n v="0"/>
    <n v="1"/>
    <n v="0"/>
  </r>
  <r>
    <x v="11"/>
    <x v="1"/>
    <m/>
    <x v="1"/>
    <n v="1"/>
    <n v="0"/>
    <n v="0"/>
    <n v="2"/>
    <n v="2"/>
    <n v="5"/>
    <n v="5"/>
  </r>
  <r>
    <x v="11"/>
    <x v="1"/>
    <m/>
    <x v="42"/>
    <n v="1"/>
    <n v="0"/>
    <n v="0"/>
    <n v="4"/>
    <n v="4"/>
    <n v="8"/>
    <n v="8"/>
  </r>
  <r>
    <x v="11"/>
    <x v="1"/>
    <m/>
    <x v="34"/>
    <n v="1"/>
    <n v="0"/>
    <n v="0"/>
    <n v="0"/>
    <n v="3"/>
    <n v="9"/>
    <n v="5"/>
  </r>
  <r>
    <x v="11"/>
    <x v="1"/>
    <m/>
    <x v="35"/>
    <n v="1"/>
    <n v="0"/>
    <n v="0"/>
    <n v="4"/>
    <n v="3"/>
    <n v="6"/>
    <n v="6"/>
  </r>
  <r>
    <x v="11"/>
    <x v="1"/>
    <m/>
    <x v="36"/>
    <n v="1"/>
    <n v="0"/>
    <n v="2"/>
    <n v="1"/>
    <n v="3"/>
    <n v="5"/>
    <n v="3"/>
  </r>
  <r>
    <x v="11"/>
    <x v="1"/>
    <m/>
    <x v="37"/>
    <n v="1"/>
    <n v="0"/>
    <n v="2"/>
    <n v="3"/>
    <n v="3"/>
    <n v="6"/>
    <n v="10"/>
  </r>
  <r>
    <x v="11"/>
    <x v="1"/>
    <m/>
    <x v="38"/>
    <n v="1"/>
    <n v="0"/>
    <n v="1"/>
    <n v="0"/>
    <n v="2"/>
    <n v="6"/>
    <n v="5"/>
  </r>
  <r>
    <x v="11"/>
    <x v="1"/>
    <m/>
    <x v="30"/>
    <n v="1"/>
    <n v="0"/>
    <n v="0"/>
    <n v="1"/>
    <n v="4"/>
    <n v="8"/>
    <n v="6"/>
  </r>
  <r>
    <x v="11"/>
    <x v="1"/>
    <m/>
    <x v="39"/>
    <n v="1"/>
    <n v="0"/>
    <n v="1"/>
    <n v="0"/>
    <n v="4"/>
    <n v="14"/>
    <n v="5"/>
  </r>
  <r>
    <x v="11"/>
    <x v="1"/>
    <m/>
    <x v="49"/>
    <n v="1"/>
    <n v="0"/>
    <n v="1"/>
    <n v="2"/>
    <n v="3"/>
    <n v="9"/>
    <n v="7"/>
  </r>
  <r>
    <x v="11"/>
    <x v="1"/>
    <m/>
    <x v="47"/>
    <n v="1"/>
    <n v="0"/>
    <n v="1"/>
    <n v="2"/>
    <n v="4"/>
    <n v="10"/>
    <n v="8"/>
  </r>
  <r>
    <x v="11"/>
    <x v="1"/>
    <m/>
    <x v="41"/>
    <n v="1"/>
    <n v="0"/>
    <n v="0"/>
    <n v="0"/>
    <n v="4"/>
    <n v="6"/>
    <n v="0"/>
  </r>
  <r>
    <x v="11"/>
    <x v="2"/>
    <m/>
    <x v="45"/>
    <n v="2"/>
    <n v="0"/>
    <n v="18"/>
    <n v="6"/>
    <n v="3"/>
    <n v="9"/>
    <n v="26"/>
  </r>
  <r>
    <x v="11"/>
    <x v="2"/>
    <m/>
    <x v="43"/>
    <n v="1"/>
    <n v="0"/>
    <n v="26"/>
    <n v="47"/>
    <n v="4"/>
    <n v="7"/>
    <n v="47"/>
  </r>
  <r>
    <x v="11"/>
    <x v="2"/>
    <s v="S40000004"/>
    <x v="44"/>
    <n v="1"/>
    <n v="0"/>
    <n v="18"/>
    <n v="16"/>
    <n v="2"/>
    <n v="8"/>
    <n v="28"/>
  </r>
  <r>
    <x v="11"/>
    <x v="3"/>
    <s v="S92000003"/>
    <x v="46"/>
    <n v="12"/>
    <n v="5"/>
    <n v="1"/>
    <n v="1"/>
    <n v="16"/>
    <n v="24"/>
    <n v="31"/>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x v="0"/>
    <s v="1:LA"/>
    <x v="0"/>
    <s v="S12000033"/>
    <n v="2"/>
    <n v="1"/>
    <n v="5"/>
  </r>
  <r>
    <x v="0"/>
    <s v="1:LA"/>
    <x v="1"/>
    <s v="S12000034"/>
    <n v="65"/>
    <n v="29"/>
    <n v="203"/>
  </r>
  <r>
    <x v="0"/>
    <s v="1:LA"/>
    <x v="2"/>
    <s v="S12000041"/>
    <n v="19"/>
    <n v="7"/>
    <n v="73"/>
  </r>
  <r>
    <x v="0"/>
    <s v="1:LA"/>
    <x v="3"/>
    <s v="S12000035"/>
    <n v="24"/>
    <n v="17"/>
    <n v="146"/>
  </r>
  <r>
    <x v="0"/>
    <s v="1:LA"/>
    <x v="4"/>
    <s v="S12000036"/>
    <n v="2"/>
    <n v="1"/>
    <n v="9"/>
  </r>
  <r>
    <x v="0"/>
    <s v="1:LA"/>
    <x v="5"/>
    <s v="S12000005"/>
    <n v="4"/>
    <n v="2"/>
    <n v="15"/>
  </r>
  <r>
    <x v="0"/>
    <s v="1:LA"/>
    <x v="6"/>
    <s v="S12000006"/>
    <n v="34"/>
    <n v="17"/>
    <n v="147"/>
  </r>
  <r>
    <x v="0"/>
    <s v="1:LA"/>
    <x v="7"/>
    <s v="S12000042"/>
    <n v="3"/>
    <n v="1"/>
    <n v="10"/>
  </r>
  <r>
    <x v="0"/>
    <s v="1:LA"/>
    <x v="8"/>
    <s v="S12000008"/>
    <n v="10"/>
    <n v="9"/>
    <n v="58"/>
  </r>
  <r>
    <x v="0"/>
    <s v="1:LA"/>
    <x v="9"/>
    <s v="S12000045"/>
    <n v="0"/>
    <n v="0"/>
    <n v="0"/>
  </r>
  <r>
    <x v="0"/>
    <s v="1:LA"/>
    <x v="10"/>
    <s v="S12000010"/>
    <n v="9"/>
    <n v="5"/>
    <n v="38"/>
  </r>
  <r>
    <x v="0"/>
    <s v="1:LA"/>
    <x v="11"/>
    <s v="S12000011"/>
    <n v="0"/>
    <n v="0"/>
    <n v="0"/>
  </r>
  <r>
    <x v="0"/>
    <s v="1:LA"/>
    <x v="12"/>
    <s v="S12000014"/>
    <n v="10"/>
    <n v="5"/>
    <n v="50"/>
  </r>
  <r>
    <x v="0"/>
    <s v="1:LA"/>
    <x v="13"/>
    <s v="S12000047"/>
    <n v="19"/>
    <n v="11"/>
    <n v="81"/>
  </r>
  <r>
    <x v="0"/>
    <s v="1:LA"/>
    <x v="14"/>
    <s v="S12000046"/>
    <n v="1"/>
    <n v="0"/>
    <n v="1"/>
  </r>
  <r>
    <x v="0"/>
    <s v="1:LA"/>
    <x v="15"/>
    <s v="S12000017"/>
    <n v="115"/>
    <n v="55"/>
    <n v="394"/>
  </r>
  <r>
    <x v="0"/>
    <s v="1:LA"/>
    <x v="16"/>
    <s v="S12000018"/>
    <n v="4"/>
    <n v="3"/>
    <n v="35"/>
  </r>
  <r>
    <x v="0"/>
    <s v="1:LA"/>
    <x v="17"/>
    <s v="S12000019"/>
    <n v="2"/>
    <n v="1"/>
    <n v="7"/>
  </r>
  <r>
    <x v="0"/>
    <s v="1:LA"/>
    <x v="18"/>
    <s v="S12000020"/>
    <n v="22"/>
    <n v="9"/>
    <n v="73"/>
  </r>
  <r>
    <x v="0"/>
    <s v="1:LA"/>
    <x v="19"/>
    <s v="S12000013"/>
    <n v="25"/>
    <n v="13"/>
    <n v="94"/>
  </r>
  <r>
    <x v="0"/>
    <s v="1:LA"/>
    <x v="20"/>
    <s v="S12000021"/>
    <n v="15"/>
    <n v="9"/>
    <n v="70"/>
  </r>
  <r>
    <x v="0"/>
    <s v="1:LA"/>
    <x v="21"/>
    <s v="S12000044"/>
    <n v="3"/>
    <n v="3"/>
    <n v="22"/>
  </r>
  <r>
    <x v="0"/>
    <s v="1:LA"/>
    <x v="22"/>
    <s v="S12000023"/>
    <n v="22"/>
    <n v="12"/>
    <n v="79"/>
  </r>
  <r>
    <x v="0"/>
    <s v="1:LA"/>
    <x v="23"/>
    <s v="S12000024"/>
    <n v="25"/>
    <n v="10"/>
    <n v="105"/>
  </r>
  <r>
    <x v="0"/>
    <s v="1:LA"/>
    <x v="24"/>
    <s v="S12000038"/>
    <n v="2"/>
    <n v="1"/>
    <n v="11"/>
  </r>
  <r>
    <x v="0"/>
    <s v="1:LA"/>
    <x v="25"/>
    <s v="S12000026"/>
    <n v="25"/>
    <n v="13"/>
    <n v="96"/>
  </r>
  <r>
    <x v="0"/>
    <s v="1:LA"/>
    <x v="26"/>
    <s v="S12000027"/>
    <n v="29"/>
    <n v="13"/>
    <n v="92"/>
  </r>
  <r>
    <x v="0"/>
    <s v="1:LA"/>
    <x v="27"/>
    <s v="S12000028"/>
    <n v="9"/>
    <n v="5"/>
    <n v="40"/>
  </r>
  <r>
    <x v="0"/>
    <s v="1:LA"/>
    <x v="28"/>
    <s v="S12000029"/>
    <n v="8"/>
    <n v="9"/>
    <n v="67"/>
  </r>
  <r>
    <x v="0"/>
    <s v="1:LA"/>
    <x v="29"/>
    <s v="S12000030"/>
    <n v="15"/>
    <n v="9"/>
    <n v="50"/>
  </r>
  <r>
    <x v="0"/>
    <s v="1:LA"/>
    <x v="30"/>
    <s v="S12000039"/>
    <n v="1"/>
    <n v="2"/>
    <n v="15"/>
  </r>
  <r>
    <x v="0"/>
    <s v="1:LA"/>
    <x v="31"/>
    <s v="S12000040"/>
    <n v="11"/>
    <n v="6"/>
    <n v="41"/>
  </r>
  <r>
    <x v="1"/>
    <s v="1:LA"/>
    <x v="0"/>
    <s v="S12000033"/>
    <n v="2"/>
    <n v="1"/>
    <n v="5"/>
  </r>
  <r>
    <x v="1"/>
    <s v="1:LA"/>
    <x v="1"/>
    <s v="S12000034"/>
    <n v="63"/>
    <n v="27"/>
    <n v="190"/>
  </r>
  <r>
    <x v="1"/>
    <s v="1:LA"/>
    <x v="2"/>
    <s v="S12000041"/>
    <n v="20"/>
    <n v="7"/>
    <n v="68"/>
  </r>
  <r>
    <x v="1"/>
    <s v="1:LA"/>
    <x v="3"/>
    <s v="S12000035"/>
    <n v="24"/>
    <n v="15"/>
    <n v="136"/>
  </r>
  <r>
    <x v="1"/>
    <s v="1:LA"/>
    <x v="4"/>
    <s v="S12000036"/>
    <n v="2"/>
    <n v="1"/>
    <n v="10"/>
  </r>
  <r>
    <x v="1"/>
    <s v="1:LA"/>
    <x v="5"/>
    <s v="S12000005"/>
    <n v="5"/>
    <n v="2"/>
    <n v="16"/>
  </r>
  <r>
    <x v="1"/>
    <s v="1:LA"/>
    <x v="6"/>
    <s v="S12000006"/>
    <n v="36"/>
    <n v="17"/>
    <n v="153"/>
  </r>
  <r>
    <x v="1"/>
    <s v="1:LA"/>
    <x v="7"/>
    <s v="S12000042"/>
    <n v="3"/>
    <n v="1"/>
    <n v="10"/>
  </r>
  <r>
    <x v="1"/>
    <s v="1:LA"/>
    <x v="8"/>
    <s v="S12000008"/>
    <n v="9"/>
    <n v="8"/>
    <n v="63"/>
  </r>
  <r>
    <x v="1"/>
    <s v="1:LA"/>
    <x v="9"/>
    <s v="S12000045"/>
    <n v="0"/>
    <n v="0"/>
    <n v="0"/>
  </r>
  <r>
    <x v="1"/>
    <s v="1:LA"/>
    <x v="10"/>
    <s v="S12000010"/>
    <n v="12"/>
    <n v="5"/>
    <n v="43"/>
  </r>
  <r>
    <x v="1"/>
    <s v="1:LA"/>
    <x v="11"/>
    <s v="S12000011"/>
    <n v="0"/>
    <n v="0"/>
    <n v="0"/>
  </r>
  <r>
    <x v="1"/>
    <s v="1:LA"/>
    <x v="12"/>
    <s v="S12000014"/>
    <n v="9"/>
    <n v="6"/>
    <n v="53"/>
  </r>
  <r>
    <x v="1"/>
    <s v="1:LA"/>
    <x v="13"/>
    <s v="S12000047"/>
    <n v="23"/>
    <n v="10"/>
    <n v="79"/>
  </r>
  <r>
    <x v="1"/>
    <s v="1:LA"/>
    <x v="14"/>
    <s v="S12000046"/>
    <n v="0"/>
    <n v="0"/>
    <n v="0"/>
  </r>
  <r>
    <x v="1"/>
    <s v="1:LA"/>
    <x v="15"/>
    <s v="S12000017"/>
    <n v="106"/>
    <n v="54"/>
    <n v="388"/>
  </r>
  <r>
    <x v="1"/>
    <s v="1:LA"/>
    <x v="16"/>
    <s v="S12000018"/>
    <n v="4"/>
    <n v="3"/>
    <n v="33"/>
  </r>
  <r>
    <x v="1"/>
    <s v="1:LA"/>
    <x v="17"/>
    <s v="S12000019"/>
    <n v="2"/>
    <n v="1"/>
    <n v="11"/>
  </r>
  <r>
    <x v="1"/>
    <s v="1:LA"/>
    <x v="18"/>
    <s v="S12000020"/>
    <n v="26"/>
    <n v="11"/>
    <n v="84"/>
  </r>
  <r>
    <x v="1"/>
    <s v="1:LA"/>
    <x v="19"/>
    <s v="S12000013"/>
    <n v="27"/>
    <n v="16"/>
    <n v="104"/>
  </r>
  <r>
    <x v="1"/>
    <s v="1:LA"/>
    <x v="20"/>
    <s v="S12000021"/>
    <n v="17"/>
    <n v="9"/>
    <n v="64"/>
  </r>
  <r>
    <x v="1"/>
    <s v="1:LA"/>
    <x v="21"/>
    <s v="S12000044"/>
    <n v="3"/>
    <n v="3"/>
    <n v="24"/>
  </r>
  <r>
    <x v="1"/>
    <s v="1:LA"/>
    <x v="22"/>
    <s v="S12000023"/>
    <n v="26"/>
    <n v="12"/>
    <n v="71"/>
  </r>
  <r>
    <x v="1"/>
    <s v="1:LA"/>
    <x v="23"/>
    <s v="S12000024"/>
    <n v="26"/>
    <n v="13"/>
    <n v="89"/>
  </r>
  <r>
    <x v="1"/>
    <s v="1:LA"/>
    <x v="24"/>
    <s v="S12000038"/>
    <n v="2"/>
    <n v="1"/>
    <n v="11"/>
  </r>
  <r>
    <x v="1"/>
    <s v="1:LA"/>
    <x v="25"/>
    <s v="S12000026"/>
    <n v="26"/>
    <n v="14"/>
    <n v="111"/>
  </r>
  <r>
    <x v="1"/>
    <s v="1:LA"/>
    <x v="26"/>
    <s v="S12000027"/>
    <n v="29"/>
    <n v="12"/>
    <n v="86"/>
  </r>
  <r>
    <x v="1"/>
    <s v="1:LA"/>
    <x v="27"/>
    <s v="S12000028"/>
    <n v="9"/>
    <n v="5"/>
    <n v="40"/>
  </r>
  <r>
    <x v="1"/>
    <s v="1:LA"/>
    <x v="28"/>
    <s v="S12000029"/>
    <n v="8"/>
    <n v="9"/>
    <n v="65"/>
  </r>
  <r>
    <x v="1"/>
    <s v="1:LA"/>
    <x v="29"/>
    <s v="S12000030"/>
    <n v="14"/>
    <n v="9"/>
    <n v="52"/>
  </r>
  <r>
    <x v="1"/>
    <s v="1:LA"/>
    <x v="30"/>
    <s v="S12000039"/>
    <n v="1"/>
    <n v="2"/>
    <n v="18"/>
  </r>
  <r>
    <x v="1"/>
    <s v="1:LA"/>
    <x v="31"/>
    <s v="S12000040"/>
    <n v="12"/>
    <n v="6"/>
    <n v="47"/>
  </r>
  <r>
    <x v="2"/>
    <s v="1:LA"/>
    <x v="0"/>
    <s v="S12000033"/>
    <n v="8"/>
    <n v="2"/>
    <n v="13"/>
  </r>
  <r>
    <x v="2"/>
    <s v="1:LA"/>
    <x v="1"/>
    <s v="S12000034"/>
    <n v="66"/>
    <n v="25"/>
    <n v="180"/>
  </r>
  <r>
    <x v="2"/>
    <s v="1:LA"/>
    <x v="2"/>
    <s v="S12000041"/>
    <n v="16"/>
    <n v="6"/>
    <n v="76"/>
  </r>
  <r>
    <x v="2"/>
    <s v="1:LA"/>
    <x v="3"/>
    <s v="S12000035"/>
    <n v="26"/>
    <n v="12"/>
    <n v="144"/>
  </r>
  <r>
    <x v="2"/>
    <s v="1:LA"/>
    <x v="4"/>
    <s v="S12000036"/>
    <n v="2"/>
    <n v="1"/>
    <n v="9"/>
  </r>
  <r>
    <x v="2"/>
    <s v="1:LA"/>
    <x v="5"/>
    <s v="S12000005"/>
    <n v="4"/>
    <n v="2"/>
    <n v="15"/>
  </r>
  <r>
    <x v="2"/>
    <s v="1:LA"/>
    <x v="6"/>
    <s v="S12000006"/>
    <n v="34"/>
    <n v="16"/>
    <n v="140"/>
  </r>
  <r>
    <x v="2"/>
    <s v="1:LA"/>
    <x v="7"/>
    <s v="S12000042"/>
    <n v="3"/>
    <n v="1"/>
    <n v="7"/>
  </r>
  <r>
    <x v="2"/>
    <s v="1:LA"/>
    <x v="8"/>
    <s v="S12000008"/>
    <n v="11"/>
    <n v="7"/>
    <n v="65"/>
  </r>
  <r>
    <x v="2"/>
    <s v="1:LA"/>
    <x v="9"/>
    <s v="S12000045"/>
    <n v="0"/>
    <n v="0"/>
    <n v="1"/>
  </r>
  <r>
    <x v="2"/>
    <s v="1:LA"/>
    <x v="10"/>
    <s v="S12000010"/>
    <n v="11"/>
    <n v="4"/>
    <n v="40"/>
  </r>
  <r>
    <x v="2"/>
    <s v="1:LA"/>
    <x v="11"/>
    <s v="S12000011"/>
    <n v="0"/>
    <n v="0"/>
    <n v="2"/>
  </r>
  <r>
    <x v="2"/>
    <s v="1:LA"/>
    <x v="12"/>
    <s v="S12000014"/>
    <n v="9"/>
    <n v="5"/>
    <n v="39"/>
  </r>
  <r>
    <x v="2"/>
    <s v="1:LA"/>
    <x v="13"/>
    <s v="S12000047"/>
    <n v="23"/>
    <n v="9"/>
    <n v="80"/>
  </r>
  <r>
    <x v="2"/>
    <s v="1:LA"/>
    <x v="14"/>
    <s v="S12000046"/>
    <n v="0"/>
    <n v="0"/>
    <n v="6"/>
  </r>
  <r>
    <x v="2"/>
    <s v="1:LA"/>
    <x v="15"/>
    <s v="S12000017"/>
    <n v="107"/>
    <n v="53"/>
    <n v="365"/>
  </r>
  <r>
    <x v="2"/>
    <s v="1:LA"/>
    <x v="16"/>
    <s v="S12000018"/>
    <n v="6"/>
    <n v="4"/>
    <n v="31"/>
  </r>
  <r>
    <x v="2"/>
    <s v="1:LA"/>
    <x v="17"/>
    <s v="S12000019"/>
    <n v="2"/>
    <n v="1"/>
    <n v="8"/>
  </r>
  <r>
    <x v="2"/>
    <s v="1:LA"/>
    <x v="18"/>
    <s v="S12000020"/>
    <n v="26"/>
    <n v="12"/>
    <n v="72"/>
  </r>
  <r>
    <x v="2"/>
    <s v="1:LA"/>
    <x v="19"/>
    <s v="S12000013"/>
    <n v="34"/>
    <n v="12"/>
    <n v="94"/>
  </r>
  <r>
    <x v="2"/>
    <s v="1:LA"/>
    <x v="20"/>
    <s v="S12000021"/>
    <n v="12"/>
    <n v="9"/>
    <n v="87"/>
  </r>
  <r>
    <x v="2"/>
    <s v="1:LA"/>
    <x v="21"/>
    <s v="S12000044"/>
    <n v="3"/>
    <n v="3"/>
    <n v="28"/>
  </r>
  <r>
    <x v="2"/>
    <s v="1:LA"/>
    <x v="22"/>
    <s v="S12000023"/>
    <n v="19"/>
    <n v="12"/>
    <n v="67"/>
  </r>
  <r>
    <x v="2"/>
    <s v="1:LA"/>
    <x v="23"/>
    <s v="S12000024"/>
    <n v="24"/>
    <n v="9"/>
    <n v="93"/>
  </r>
  <r>
    <x v="2"/>
    <s v="1:LA"/>
    <x v="24"/>
    <s v="S12000038"/>
    <n v="1"/>
    <n v="1"/>
    <n v="11"/>
  </r>
  <r>
    <x v="2"/>
    <s v="1:LA"/>
    <x v="25"/>
    <s v="S12000026"/>
    <n v="26"/>
    <n v="13"/>
    <n v="108"/>
  </r>
  <r>
    <x v="2"/>
    <s v="1:LA"/>
    <x v="26"/>
    <s v="S12000027"/>
    <n v="25"/>
    <n v="14"/>
    <n v="87"/>
  </r>
  <r>
    <x v="2"/>
    <s v="1:LA"/>
    <x v="27"/>
    <s v="S12000028"/>
    <n v="7"/>
    <n v="5"/>
    <n v="41"/>
  </r>
  <r>
    <x v="2"/>
    <s v="1:LA"/>
    <x v="28"/>
    <s v="S12000029"/>
    <n v="9"/>
    <n v="8"/>
    <n v="54"/>
  </r>
  <r>
    <x v="2"/>
    <s v="1:LA"/>
    <x v="29"/>
    <s v="S12000030"/>
    <n v="17"/>
    <n v="9"/>
    <n v="47"/>
  </r>
  <r>
    <x v="2"/>
    <s v="1:LA"/>
    <x v="30"/>
    <s v="S12000039"/>
    <n v="2"/>
    <n v="2"/>
    <n v="15"/>
  </r>
  <r>
    <x v="2"/>
    <s v="1:LA"/>
    <x v="31"/>
    <s v="S12000040"/>
    <n v="10"/>
    <n v="5"/>
    <n v="40"/>
  </r>
  <r>
    <x v="3"/>
    <s v="1:LA"/>
    <x v="0"/>
    <s v="S12000033"/>
    <n v="2"/>
    <n v="1"/>
    <n v="5"/>
  </r>
  <r>
    <x v="3"/>
    <s v="1:LA"/>
    <x v="1"/>
    <s v="S12000034"/>
    <n v="68"/>
    <n v="26"/>
    <n v="188"/>
  </r>
  <r>
    <x v="3"/>
    <s v="1:LA"/>
    <x v="2"/>
    <s v="S12000041"/>
    <n v="17"/>
    <n v="6"/>
    <n v="71"/>
  </r>
  <r>
    <x v="3"/>
    <s v="1:LA"/>
    <x v="3"/>
    <s v="S12000035"/>
    <n v="27"/>
    <n v="14"/>
    <n v="144"/>
  </r>
  <r>
    <x v="3"/>
    <s v="1:LA"/>
    <x v="4"/>
    <s v="S12000036"/>
    <n v="1"/>
    <n v="1"/>
    <n v="10"/>
  </r>
  <r>
    <x v="3"/>
    <s v="1:LA"/>
    <x v="5"/>
    <s v="S12000005"/>
    <n v="4"/>
    <n v="2"/>
    <n v="18"/>
  </r>
  <r>
    <x v="3"/>
    <s v="1:LA"/>
    <x v="6"/>
    <s v="S12000006"/>
    <n v="37"/>
    <n v="16"/>
    <n v="149"/>
  </r>
  <r>
    <x v="3"/>
    <s v="1:LA"/>
    <x v="7"/>
    <s v="S12000042"/>
    <n v="3"/>
    <n v="1"/>
    <n v="9"/>
  </r>
  <r>
    <x v="3"/>
    <s v="1:LA"/>
    <x v="8"/>
    <s v="S12000008"/>
    <n v="11"/>
    <n v="7"/>
    <n v="63"/>
  </r>
  <r>
    <x v="3"/>
    <s v="1:LA"/>
    <x v="9"/>
    <s v="S12000045"/>
    <n v="0"/>
    <n v="0"/>
    <n v="0"/>
  </r>
  <r>
    <x v="3"/>
    <s v="1:LA"/>
    <x v="10"/>
    <s v="S12000010"/>
    <n v="12"/>
    <n v="5"/>
    <n v="38"/>
  </r>
  <r>
    <x v="3"/>
    <s v="1:LA"/>
    <x v="11"/>
    <s v="S12000011"/>
    <n v="0"/>
    <n v="0"/>
    <n v="0"/>
  </r>
  <r>
    <x v="3"/>
    <s v="1:LA"/>
    <x v="12"/>
    <s v="S12000014"/>
    <n v="10"/>
    <n v="5"/>
    <n v="41"/>
  </r>
  <r>
    <x v="3"/>
    <s v="1:LA"/>
    <x v="13"/>
    <s v="S12000047"/>
    <n v="22"/>
    <n v="9"/>
    <n v="78"/>
  </r>
  <r>
    <x v="3"/>
    <s v="1:LA"/>
    <x v="14"/>
    <s v="S12000046"/>
    <n v="0"/>
    <n v="0"/>
    <n v="0"/>
  </r>
  <r>
    <x v="3"/>
    <s v="1:LA"/>
    <x v="15"/>
    <s v="S12000017"/>
    <n v="102"/>
    <n v="52"/>
    <n v="371"/>
  </r>
  <r>
    <x v="3"/>
    <s v="1:LA"/>
    <x v="16"/>
    <s v="S12000018"/>
    <n v="6"/>
    <n v="3"/>
    <n v="30"/>
  </r>
  <r>
    <x v="3"/>
    <s v="1:LA"/>
    <x v="17"/>
    <s v="S12000019"/>
    <n v="2"/>
    <n v="1"/>
    <n v="8"/>
  </r>
  <r>
    <x v="3"/>
    <s v="1:LA"/>
    <x v="18"/>
    <s v="S12000020"/>
    <n v="26"/>
    <n v="13"/>
    <n v="86"/>
  </r>
  <r>
    <x v="3"/>
    <s v="1:LA"/>
    <x v="19"/>
    <s v="S12000013"/>
    <n v="33"/>
    <n v="12"/>
    <n v="92"/>
  </r>
  <r>
    <x v="3"/>
    <s v="1:LA"/>
    <x v="20"/>
    <s v="S12000021"/>
    <n v="12"/>
    <n v="10"/>
    <n v="84"/>
  </r>
  <r>
    <x v="3"/>
    <s v="1:LA"/>
    <x v="21"/>
    <s v="S12000044"/>
    <n v="6"/>
    <n v="3"/>
    <n v="26"/>
  </r>
  <r>
    <x v="3"/>
    <s v="1:LA"/>
    <x v="22"/>
    <s v="S12000023"/>
    <n v="21"/>
    <n v="11"/>
    <n v="63"/>
  </r>
  <r>
    <x v="3"/>
    <s v="1:LA"/>
    <x v="23"/>
    <s v="S12000024"/>
    <n v="23"/>
    <n v="9"/>
    <n v="90"/>
  </r>
  <r>
    <x v="3"/>
    <s v="1:LA"/>
    <x v="24"/>
    <s v="S12000038"/>
    <n v="2"/>
    <n v="1"/>
    <n v="10"/>
  </r>
  <r>
    <x v="3"/>
    <s v="1:LA"/>
    <x v="25"/>
    <s v="S12000026"/>
    <n v="27"/>
    <n v="13"/>
    <n v="103"/>
  </r>
  <r>
    <x v="3"/>
    <s v="1:LA"/>
    <x v="26"/>
    <s v="S12000027"/>
    <n v="27"/>
    <n v="12"/>
    <n v="83"/>
  </r>
  <r>
    <x v="3"/>
    <s v="1:LA"/>
    <x v="27"/>
    <s v="S12000028"/>
    <n v="8"/>
    <n v="5"/>
    <n v="35"/>
  </r>
  <r>
    <x v="3"/>
    <s v="1:LA"/>
    <x v="28"/>
    <s v="S12000029"/>
    <n v="9"/>
    <n v="8"/>
    <n v="57"/>
  </r>
  <r>
    <x v="3"/>
    <s v="1:LA"/>
    <x v="29"/>
    <s v="S12000030"/>
    <n v="17"/>
    <n v="8"/>
    <n v="48"/>
  </r>
  <r>
    <x v="3"/>
    <s v="1:LA"/>
    <x v="30"/>
    <s v="S12000039"/>
    <n v="2"/>
    <n v="1"/>
    <n v="14"/>
  </r>
  <r>
    <x v="3"/>
    <s v="1:LA"/>
    <x v="31"/>
    <s v="S12000040"/>
    <n v="12"/>
    <n v="5"/>
    <n v="47"/>
  </r>
  <r>
    <x v="4"/>
    <s v="1:LA"/>
    <x v="0"/>
    <s v="S12000033"/>
    <n v="1"/>
    <n v="1"/>
    <n v="6"/>
  </r>
  <r>
    <x v="4"/>
    <s v="1:LA"/>
    <x v="1"/>
    <s v="S12000034"/>
    <n v="69"/>
    <n v="24"/>
    <n v="182"/>
  </r>
  <r>
    <x v="4"/>
    <s v="1:LA"/>
    <x v="2"/>
    <s v="S12000041"/>
    <n v="16"/>
    <n v="6"/>
    <n v="71"/>
  </r>
  <r>
    <x v="4"/>
    <s v="1:LA"/>
    <x v="3"/>
    <s v="S12000035"/>
    <n v="26"/>
    <n v="14"/>
    <n v="137"/>
  </r>
  <r>
    <x v="4"/>
    <s v="1:LA"/>
    <x v="4"/>
    <s v="S12000036"/>
    <n v="1"/>
    <n v="1"/>
    <n v="9"/>
  </r>
  <r>
    <x v="4"/>
    <s v="1:LA"/>
    <x v="5"/>
    <s v="S12000005"/>
    <n v="3"/>
    <n v="2"/>
    <n v="17"/>
  </r>
  <r>
    <x v="4"/>
    <s v="1:LA"/>
    <x v="6"/>
    <s v="S12000006"/>
    <n v="34"/>
    <n v="16"/>
    <n v="139"/>
  </r>
  <r>
    <x v="4"/>
    <s v="1:LA"/>
    <x v="7"/>
    <s v="S12000042"/>
    <n v="2"/>
    <n v="1"/>
    <n v="10"/>
  </r>
  <r>
    <x v="4"/>
    <s v="1:LA"/>
    <x v="8"/>
    <s v="S12000008"/>
    <n v="9"/>
    <n v="7"/>
    <n v="66"/>
  </r>
  <r>
    <x v="4"/>
    <s v="1:LA"/>
    <x v="10"/>
    <s v="S12000010"/>
    <n v="10"/>
    <n v="5"/>
    <n v="41"/>
  </r>
  <r>
    <x v="4"/>
    <s v="1:LA"/>
    <x v="12"/>
    <s v="S12000014"/>
    <n v="11"/>
    <n v="5"/>
    <n v="38"/>
  </r>
  <r>
    <x v="4"/>
    <s v="1:LA"/>
    <x v="13"/>
    <s v="S12000047"/>
    <n v="21"/>
    <n v="9"/>
    <n v="85"/>
  </r>
  <r>
    <x v="4"/>
    <s v="1:LA"/>
    <x v="15"/>
    <s v="S12000017"/>
    <n v="106"/>
    <n v="55"/>
    <n v="377"/>
  </r>
  <r>
    <x v="4"/>
    <s v="1:LA"/>
    <x v="16"/>
    <s v="S12000018"/>
    <n v="6"/>
    <n v="3"/>
    <n v="33"/>
  </r>
  <r>
    <x v="4"/>
    <s v="1:LA"/>
    <x v="17"/>
    <s v="S12000019"/>
    <n v="2"/>
    <n v="1"/>
    <n v="9"/>
  </r>
  <r>
    <x v="4"/>
    <s v="1:LA"/>
    <x v="18"/>
    <s v="S12000020"/>
    <n v="27"/>
    <n v="12"/>
    <n v="81"/>
  </r>
  <r>
    <x v="4"/>
    <s v="1:LA"/>
    <x v="19"/>
    <s v="S12000013"/>
    <n v="25"/>
    <n v="13"/>
    <n v="93"/>
  </r>
  <r>
    <x v="4"/>
    <s v="1:LA"/>
    <x v="20"/>
    <s v="S12000021"/>
    <n v="10"/>
    <n v="10"/>
    <n v="86"/>
  </r>
  <r>
    <x v="4"/>
    <s v="1:LA"/>
    <x v="21"/>
    <s v="S12000044"/>
    <n v="6"/>
    <n v="3"/>
    <n v="28"/>
  </r>
  <r>
    <x v="4"/>
    <s v="1:LA"/>
    <x v="22"/>
    <s v="S12000023"/>
    <n v="22"/>
    <n v="9"/>
    <n v="69"/>
  </r>
  <r>
    <x v="4"/>
    <s v="1:LA"/>
    <x v="23"/>
    <s v="S12000024"/>
    <n v="23"/>
    <n v="9"/>
    <n v="94"/>
  </r>
  <r>
    <x v="4"/>
    <s v="1:LA"/>
    <x v="24"/>
    <s v="S12000038"/>
    <n v="2"/>
    <n v="1"/>
    <n v="13"/>
  </r>
  <r>
    <x v="4"/>
    <s v="1:LA"/>
    <x v="25"/>
    <s v="S12000026"/>
    <n v="27"/>
    <n v="13"/>
    <n v="103"/>
  </r>
  <r>
    <x v="4"/>
    <s v="1:LA"/>
    <x v="26"/>
    <s v="S12000027"/>
    <n v="24"/>
    <n v="12"/>
    <n v="82"/>
  </r>
  <r>
    <x v="4"/>
    <s v="1:LA"/>
    <x v="27"/>
    <s v="S12000028"/>
    <n v="6"/>
    <n v="5"/>
    <n v="38"/>
  </r>
  <r>
    <x v="4"/>
    <s v="1:LA"/>
    <x v="28"/>
    <s v="S12000029"/>
    <n v="8"/>
    <n v="9"/>
    <n v="56"/>
  </r>
  <r>
    <x v="4"/>
    <s v="1:LA"/>
    <x v="29"/>
    <s v="S12000030"/>
    <n v="15"/>
    <n v="8"/>
    <n v="51"/>
  </r>
  <r>
    <x v="4"/>
    <s v="1:LA"/>
    <x v="30"/>
    <s v="S12000039"/>
    <n v="2"/>
    <n v="2"/>
    <n v="14"/>
  </r>
  <r>
    <x v="4"/>
    <s v="1:LA"/>
    <x v="31"/>
    <s v="S12000040"/>
    <n v="11"/>
    <n v="5"/>
    <n v="49"/>
  </r>
  <r>
    <x v="5"/>
    <s v="1:LA"/>
    <x v="0"/>
    <s v="S12000033"/>
    <n v="1"/>
    <n v="3"/>
    <n v="5"/>
  </r>
  <r>
    <x v="5"/>
    <s v="1:LA"/>
    <x v="1"/>
    <s v="S12000034"/>
    <n v="24"/>
    <n v="69"/>
    <n v="191"/>
  </r>
  <r>
    <x v="5"/>
    <s v="1:LA"/>
    <x v="2"/>
    <s v="S12000041"/>
    <n v="6"/>
    <n v="14"/>
    <n v="78"/>
  </r>
  <r>
    <x v="5"/>
    <s v="1:LA"/>
    <x v="3"/>
    <s v="S12000035"/>
    <n v="14"/>
    <n v="25"/>
    <n v="137"/>
  </r>
  <r>
    <x v="5"/>
    <s v="1:LA"/>
    <x v="4"/>
    <s v="S12000036"/>
    <n v="0"/>
    <n v="2"/>
    <n v="7"/>
  </r>
  <r>
    <x v="5"/>
    <s v="1:LA"/>
    <x v="5"/>
    <s v="S12000005"/>
    <n v="2"/>
    <n v="4"/>
    <n v="14"/>
  </r>
  <r>
    <x v="5"/>
    <s v="1:LA"/>
    <x v="6"/>
    <s v="S12000006"/>
    <n v="17"/>
    <n v="34"/>
    <n v="147"/>
  </r>
  <r>
    <x v="5"/>
    <s v="1:LA"/>
    <x v="7"/>
    <s v="S12000042"/>
    <n v="1"/>
    <n v="2"/>
    <n v="9"/>
  </r>
  <r>
    <x v="5"/>
    <s v="1:LA"/>
    <x v="8"/>
    <s v="S12000008"/>
    <n v="5"/>
    <n v="10"/>
    <n v="62"/>
  </r>
  <r>
    <x v="5"/>
    <s v="1:LA"/>
    <x v="10"/>
    <s v="S12000010"/>
    <n v="5"/>
    <n v="12"/>
    <n v="45"/>
  </r>
  <r>
    <x v="5"/>
    <s v="1:LA"/>
    <x v="12"/>
    <s v="S12000014"/>
    <n v="5"/>
    <n v="10"/>
    <n v="40"/>
  </r>
  <r>
    <x v="5"/>
    <s v="1:LA"/>
    <x v="13"/>
    <s v="S12000047"/>
    <n v="9"/>
    <n v="21"/>
    <n v="86"/>
  </r>
  <r>
    <x v="5"/>
    <s v="1:LA"/>
    <x v="15"/>
    <s v="S12000017"/>
    <n v="56"/>
    <n v="103"/>
    <n v="393"/>
  </r>
  <r>
    <x v="5"/>
    <s v="1:LA"/>
    <x v="16"/>
    <s v="S12000018"/>
    <n v="3"/>
    <n v="6"/>
    <n v="35"/>
  </r>
  <r>
    <x v="5"/>
    <s v="1:LA"/>
    <x v="17"/>
    <s v="S12000019"/>
    <n v="1"/>
    <n v="3"/>
    <n v="9"/>
  </r>
  <r>
    <x v="5"/>
    <s v="1:LA"/>
    <x v="18"/>
    <s v="S12000020"/>
    <n v="11"/>
    <n v="28"/>
    <n v="81"/>
  </r>
  <r>
    <x v="5"/>
    <s v="1:LA"/>
    <x v="19"/>
    <s v="S12000013"/>
    <n v="13"/>
    <n v="25"/>
    <n v="94"/>
  </r>
  <r>
    <x v="5"/>
    <s v="1:LA"/>
    <x v="20"/>
    <s v="S12000021"/>
    <n v="11"/>
    <n v="11"/>
    <n v="85"/>
  </r>
  <r>
    <x v="5"/>
    <s v="1:LA"/>
    <x v="21"/>
    <s v="S12000044"/>
    <n v="3"/>
    <n v="6"/>
    <n v="26"/>
  </r>
  <r>
    <x v="5"/>
    <s v="1:LA"/>
    <x v="22"/>
    <s v="S12000023"/>
    <n v="9"/>
    <n v="23"/>
    <n v="77"/>
  </r>
  <r>
    <x v="5"/>
    <s v="1:LA"/>
    <x v="23"/>
    <s v="S12000048"/>
    <n v="10"/>
    <n v="23"/>
    <n v="98"/>
  </r>
  <r>
    <x v="5"/>
    <s v="1:LA"/>
    <x v="24"/>
    <s v="S12000038"/>
    <n v="1"/>
    <n v="2"/>
    <n v="14"/>
  </r>
  <r>
    <x v="5"/>
    <s v="1:LA"/>
    <x v="25"/>
    <s v="S12000026"/>
    <n v="13"/>
    <n v="28"/>
    <n v="102"/>
  </r>
  <r>
    <x v="5"/>
    <s v="1:LA"/>
    <x v="26"/>
    <s v="S12000027"/>
    <n v="13"/>
    <n v="25"/>
    <n v="89"/>
  </r>
  <r>
    <x v="5"/>
    <s v="1:LA"/>
    <x v="27"/>
    <s v="S12000028"/>
    <n v="5"/>
    <n v="7"/>
    <n v="46"/>
  </r>
  <r>
    <x v="5"/>
    <s v="1:LA"/>
    <x v="28"/>
    <s v="S12000029"/>
    <n v="8"/>
    <n v="8"/>
    <n v="61"/>
  </r>
  <r>
    <x v="5"/>
    <s v="1:LA"/>
    <x v="29"/>
    <s v="S12000030"/>
    <n v="8"/>
    <n v="16"/>
    <n v="51"/>
  </r>
  <r>
    <x v="5"/>
    <s v="1:LA"/>
    <x v="30"/>
    <s v="S12000039"/>
    <n v="2"/>
    <n v="2"/>
    <n v="16"/>
  </r>
  <r>
    <x v="5"/>
    <s v="1:LA"/>
    <x v="31"/>
    <s v="S12000040"/>
    <n v="5"/>
    <n v="11"/>
    <n v="43"/>
  </r>
  <r>
    <x v="6"/>
    <s v="1:LA"/>
    <x v="0"/>
    <s v="S40000005"/>
    <n v="1"/>
    <n v="3"/>
    <n v="4"/>
  </r>
  <r>
    <x v="6"/>
    <s v="1:LA"/>
    <x v="1"/>
    <s v="S40000005"/>
    <n v="25"/>
    <n v="65"/>
    <n v="195"/>
  </r>
  <r>
    <x v="6"/>
    <s v="1:LA"/>
    <x v="2"/>
    <s v="S40000005"/>
    <n v="6"/>
    <n v="16"/>
    <n v="81"/>
  </r>
  <r>
    <x v="6"/>
    <s v="1:LA"/>
    <x v="3"/>
    <s v="S40000003"/>
    <n v="13"/>
    <n v="25"/>
    <n v="136"/>
  </r>
  <r>
    <x v="6"/>
    <s v="1:LA"/>
    <x v="4"/>
    <s v="S40000004"/>
    <n v="1"/>
    <n v="2"/>
    <n v="5"/>
  </r>
  <r>
    <x v="6"/>
    <s v="1:LA"/>
    <x v="5"/>
    <s v="S40000004"/>
    <n v="3"/>
    <n v="5"/>
    <n v="17"/>
  </r>
  <r>
    <x v="6"/>
    <s v="1:LA"/>
    <x v="6"/>
    <s v="S40000003"/>
    <n v="16"/>
    <n v="34"/>
    <n v="142"/>
  </r>
  <r>
    <x v="6"/>
    <s v="1:LA"/>
    <x v="7"/>
    <s v="S40000005"/>
    <n v="1"/>
    <n v="2"/>
    <n v="9"/>
  </r>
  <r>
    <x v="6"/>
    <s v="1:LA"/>
    <x v="8"/>
    <s v="S40000003"/>
    <n v="7"/>
    <n v="8"/>
    <n v="65"/>
  </r>
  <r>
    <x v="6"/>
    <s v="1:LA"/>
    <x v="10"/>
    <s v="S40000004"/>
    <n v="5"/>
    <n v="12"/>
    <n v="48"/>
  </r>
  <r>
    <x v="6"/>
    <s v="1:LA"/>
    <x v="12"/>
    <s v="S40000004"/>
    <n v="4"/>
    <n v="10"/>
    <n v="43"/>
  </r>
  <r>
    <x v="6"/>
    <s v="1:LA"/>
    <x v="13"/>
    <s v="S40000004"/>
    <n v="9"/>
    <n v="21"/>
    <n v="83"/>
  </r>
  <r>
    <x v="6"/>
    <s v="1:LA"/>
    <x v="15"/>
    <s v="S40000005"/>
    <n v="53"/>
    <n v="94"/>
    <n v="378"/>
  </r>
  <r>
    <x v="6"/>
    <s v="1:LA"/>
    <x v="16"/>
    <s v="S40000003"/>
    <n v="3"/>
    <n v="6"/>
    <n v="33"/>
  </r>
  <r>
    <x v="6"/>
    <s v="1:LA"/>
    <x v="17"/>
    <s v="S40000004"/>
    <n v="1"/>
    <n v="2"/>
    <n v="10"/>
  </r>
  <r>
    <x v="6"/>
    <s v="1:LA"/>
    <x v="18"/>
    <s v="S40000005"/>
    <n v="11"/>
    <n v="27"/>
    <n v="83"/>
  </r>
  <r>
    <x v="6"/>
    <s v="1:LA"/>
    <x v="19"/>
    <s v="S40000005"/>
    <n v="14"/>
    <n v="30"/>
    <n v="91"/>
  </r>
  <r>
    <x v="6"/>
    <s v="1:LA"/>
    <x v="20"/>
    <s v="S40000003"/>
    <n v="11"/>
    <n v="11"/>
    <n v="82"/>
  </r>
  <r>
    <x v="6"/>
    <s v="1:LA"/>
    <x v="21"/>
    <s v="S40000003"/>
    <n v="3"/>
    <n v="5"/>
    <n v="29"/>
  </r>
  <r>
    <x v="6"/>
    <s v="1:LA"/>
    <x v="22"/>
    <s v="S40000005"/>
    <n v="9"/>
    <n v="22"/>
    <n v="78"/>
  </r>
  <r>
    <x v="6"/>
    <s v="1:LA"/>
    <x v="23"/>
    <s v="S40000005"/>
    <n v="10"/>
    <n v="22"/>
    <n v="99"/>
  </r>
  <r>
    <x v="6"/>
    <s v="1:LA"/>
    <x v="24"/>
    <s v="S40000003"/>
    <n v="1"/>
    <n v="2"/>
    <n v="12"/>
  </r>
  <r>
    <x v="6"/>
    <s v="1:LA"/>
    <x v="25"/>
    <s v="S40000004"/>
    <n v="13"/>
    <n v="28"/>
    <n v="107"/>
  </r>
  <r>
    <x v="6"/>
    <s v="1:LA"/>
    <x v="26"/>
    <s v="S40000005"/>
    <n v="12"/>
    <n v="24"/>
    <n v="98"/>
  </r>
  <r>
    <x v="6"/>
    <s v="1:LA"/>
    <x v="27"/>
    <s v="S40000003"/>
    <n v="5"/>
    <n v="8"/>
    <n v="42"/>
  </r>
  <r>
    <x v="6"/>
    <s v="1:LA"/>
    <x v="28"/>
    <s v="S40000003"/>
    <n v="8"/>
    <n v="8"/>
    <n v="70"/>
  </r>
  <r>
    <x v="6"/>
    <s v="1:LA"/>
    <x v="29"/>
    <s v="S40000004"/>
    <n v="9"/>
    <n v="15"/>
    <n v="51"/>
  </r>
  <r>
    <x v="6"/>
    <s v="1:LA"/>
    <x v="30"/>
    <s v="S40000003"/>
    <n v="2"/>
    <n v="2"/>
    <n v="16"/>
  </r>
  <r>
    <x v="6"/>
    <s v="1:LA"/>
    <x v="31"/>
    <s v="S40000004"/>
    <n v="6"/>
    <n v="11"/>
    <n v="48"/>
  </r>
  <r>
    <x v="7"/>
    <s v="1:LA"/>
    <x v="0"/>
    <s v="S40000005"/>
    <n v="1"/>
    <n v="3"/>
    <n v="6"/>
  </r>
  <r>
    <x v="7"/>
    <s v="1:LA"/>
    <x v="1"/>
    <s v="S40000005"/>
    <n v="26"/>
    <n v="68"/>
    <n v="192"/>
  </r>
  <r>
    <x v="7"/>
    <s v="1:LA"/>
    <x v="2"/>
    <s v="S40000005"/>
    <n v="7"/>
    <n v="17"/>
    <n v="80"/>
  </r>
  <r>
    <x v="7"/>
    <s v="1:LA"/>
    <x v="3"/>
    <s v="S40000003"/>
    <n v="14"/>
    <n v="26"/>
    <n v="128"/>
  </r>
  <r>
    <x v="7"/>
    <s v="1:LA"/>
    <x v="4"/>
    <s v="S40000004"/>
    <n v="1"/>
    <n v="1"/>
    <n v="6"/>
  </r>
  <r>
    <x v="7"/>
    <s v="1:LA"/>
    <x v="5"/>
    <s v="S40000002"/>
    <n v="2"/>
    <n v="4"/>
    <n v="21"/>
  </r>
  <r>
    <x v="7"/>
    <s v="1:LA"/>
    <x v="6"/>
    <s v="S40000003"/>
    <n v="16"/>
    <n v="35"/>
    <n v="135"/>
  </r>
  <r>
    <x v="7"/>
    <s v="1:LA"/>
    <x v="7"/>
    <s v="S40000005"/>
    <n v="1"/>
    <n v="2"/>
    <n v="8"/>
  </r>
  <r>
    <x v="7"/>
    <s v="1:LA"/>
    <x v="8"/>
    <s v="S40000003"/>
    <n v="7"/>
    <n v="8"/>
    <n v="63"/>
  </r>
  <r>
    <x v="7"/>
    <s v="1:LA"/>
    <x v="10"/>
    <s v="S40000004"/>
    <n v="5"/>
    <n v="12"/>
    <n v="47"/>
  </r>
  <r>
    <x v="7"/>
    <s v="1:LA"/>
    <x v="12"/>
    <s v="S40000004"/>
    <n v="5"/>
    <n v="9"/>
    <n v="42"/>
  </r>
  <r>
    <x v="7"/>
    <s v="1:LA"/>
    <x v="13"/>
    <s v="S40000002"/>
    <n v="8"/>
    <n v="23"/>
    <n v="78"/>
  </r>
  <r>
    <x v="7"/>
    <s v="1:LA"/>
    <x v="15"/>
    <s v="S40000005"/>
    <n v="52"/>
    <n v="97"/>
    <n v="351"/>
  </r>
  <r>
    <x v="7"/>
    <s v="1:LA"/>
    <x v="16"/>
    <s v="S40000003"/>
    <n v="3"/>
    <n v="6"/>
    <n v="35"/>
  </r>
  <r>
    <x v="7"/>
    <s v="1:LA"/>
    <x v="17"/>
    <s v="S40000004"/>
    <n v="1"/>
    <n v="2"/>
    <n v="8"/>
  </r>
  <r>
    <x v="7"/>
    <s v="1:LA"/>
    <x v="18"/>
    <s v="S40000005"/>
    <n v="11"/>
    <n v="27"/>
    <n v="76"/>
  </r>
  <r>
    <x v="7"/>
    <s v="1:LA"/>
    <x v="19"/>
    <s v="S40000005"/>
    <n v="15"/>
    <n v="27"/>
    <n v="89"/>
  </r>
  <r>
    <x v="7"/>
    <s v="1:LA"/>
    <x v="20"/>
    <s v="S40000003"/>
    <n v="11"/>
    <n v="11"/>
    <n v="78"/>
  </r>
  <r>
    <x v="7"/>
    <s v="1:LA"/>
    <x v="21"/>
    <s v="S40000003"/>
    <n v="3"/>
    <n v="6"/>
    <n v="29"/>
  </r>
  <r>
    <x v="7"/>
    <s v="1:LA"/>
    <x v="22"/>
    <s v="S40000005"/>
    <n v="8"/>
    <n v="21"/>
    <n v="83"/>
  </r>
  <r>
    <x v="7"/>
    <s v="1:LA"/>
    <x v="23"/>
    <s v="S40000005"/>
    <n v="10"/>
    <n v="21"/>
    <n v="99"/>
  </r>
  <r>
    <x v="7"/>
    <s v="1:LA"/>
    <x v="24"/>
    <s v="S40000003"/>
    <n v="2"/>
    <n v="1"/>
    <n v="10"/>
  </r>
  <r>
    <x v="7"/>
    <s v="1:LA"/>
    <x v="25"/>
    <s v="S40000004"/>
    <n v="13"/>
    <n v="30"/>
    <n v="106"/>
  </r>
  <r>
    <x v="7"/>
    <s v="1:LA"/>
    <x v="26"/>
    <s v="S40000005"/>
    <n v="13"/>
    <n v="25"/>
    <n v="94"/>
  </r>
  <r>
    <x v="7"/>
    <s v="1:LA"/>
    <x v="27"/>
    <s v="S40000003"/>
    <n v="4"/>
    <n v="7"/>
    <n v="41"/>
  </r>
  <r>
    <x v="7"/>
    <s v="1:LA"/>
    <x v="28"/>
    <s v="S40000003"/>
    <n v="10"/>
    <n v="7"/>
    <n v="67"/>
  </r>
  <r>
    <x v="7"/>
    <s v="1:LA"/>
    <x v="29"/>
    <s v="S40000002"/>
    <n v="9"/>
    <n v="15"/>
    <n v="51"/>
  </r>
  <r>
    <x v="7"/>
    <s v="1:LA"/>
    <x v="30"/>
    <s v="S40000003"/>
    <n v="2"/>
    <n v="2"/>
    <n v="18"/>
  </r>
  <r>
    <x v="7"/>
    <s v="1:LA"/>
    <x v="31"/>
    <s v="S40000004"/>
    <n v="7"/>
    <n v="9"/>
    <n v="42"/>
  </r>
  <r>
    <x v="8"/>
    <s v="1:LA"/>
    <x v="0"/>
    <m/>
    <n v="1"/>
    <n v="3"/>
    <n v="7"/>
  </r>
  <r>
    <x v="8"/>
    <s v="1:LA"/>
    <x v="1"/>
    <m/>
    <n v="26"/>
    <n v="66"/>
    <n v="193"/>
  </r>
  <r>
    <x v="8"/>
    <s v="1:LA"/>
    <x v="2"/>
    <m/>
    <n v="7"/>
    <n v="17"/>
    <n v="72"/>
  </r>
  <r>
    <x v="8"/>
    <s v="1:LA"/>
    <x v="3"/>
    <m/>
    <n v="14"/>
    <n v="26"/>
    <n v="132"/>
  </r>
  <r>
    <x v="8"/>
    <s v="1:LA"/>
    <x v="4"/>
    <m/>
    <n v="1"/>
    <n v="1"/>
    <n v="5"/>
  </r>
  <r>
    <x v="8"/>
    <s v="1:LA"/>
    <x v="5"/>
    <m/>
    <n v="2"/>
    <n v="4"/>
    <n v="19"/>
  </r>
  <r>
    <x v="8"/>
    <s v="1:LA"/>
    <x v="6"/>
    <m/>
    <n v="17"/>
    <n v="33"/>
    <n v="142"/>
  </r>
  <r>
    <x v="8"/>
    <s v="1:LA"/>
    <x v="7"/>
    <m/>
    <n v="1"/>
    <n v="2"/>
    <n v="10"/>
  </r>
  <r>
    <x v="8"/>
    <s v="1:LA"/>
    <x v="8"/>
    <m/>
    <n v="7"/>
    <n v="8"/>
    <n v="62"/>
  </r>
  <r>
    <x v="8"/>
    <s v="1:LA"/>
    <x v="10"/>
    <m/>
    <n v="5"/>
    <n v="12"/>
    <n v="39"/>
  </r>
  <r>
    <x v="8"/>
    <s v="1:LA"/>
    <x v="12"/>
    <m/>
    <n v="5"/>
    <n v="9"/>
    <n v="36"/>
  </r>
  <r>
    <x v="8"/>
    <s v="1:LA"/>
    <x v="13"/>
    <m/>
    <n v="8"/>
    <n v="22"/>
    <n v="73"/>
  </r>
  <r>
    <x v="8"/>
    <s v="1:LA"/>
    <x v="15"/>
    <m/>
    <n v="51"/>
    <n v="96"/>
    <n v="331"/>
  </r>
  <r>
    <x v="8"/>
    <s v="1:LA"/>
    <x v="16"/>
    <m/>
    <n v="3"/>
    <n v="7"/>
    <n v="28"/>
  </r>
  <r>
    <x v="8"/>
    <s v="1:LA"/>
    <x v="17"/>
    <m/>
    <n v="1"/>
    <n v="2"/>
    <n v="8"/>
  </r>
  <r>
    <x v="8"/>
    <s v="1:LA"/>
    <x v="18"/>
    <m/>
    <n v="11"/>
    <n v="26"/>
    <n v="77"/>
  </r>
  <r>
    <x v="8"/>
    <s v="1:LA"/>
    <x v="19"/>
    <m/>
    <n v="14"/>
    <n v="29"/>
    <n v="78"/>
  </r>
  <r>
    <x v="8"/>
    <s v="1:LA"/>
    <x v="20"/>
    <m/>
    <n v="11"/>
    <n v="12"/>
    <n v="72"/>
  </r>
  <r>
    <x v="8"/>
    <s v="1:LA"/>
    <x v="21"/>
    <m/>
    <n v="3"/>
    <n v="6"/>
    <n v="21"/>
  </r>
  <r>
    <x v="8"/>
    <s v="1:LA"/>
    <x v="22"/>
    <m/>
    <n v="12"/>
    <n v="19"/>
    <n v="84"/>
  </r>
  <r>
    <x v="8"/>
    <s v="1:LA"/>
    <x v="23"/>
    <m/>
    <n v="9"/>
    <n v="21"/>
    <n v="86"/>
  </r>
  <r>
    <x v="8"/>
    <s v="1:LA"/>
    <x v="24"/>
    <m/>
    <n v="1"/>
    <n v="2"/>
    <n v="10"/>
  </r>
  <r>
    <x v="8"/>
    <s v="1:LA"/>
    <x v="25"/>
    <m/>
    <n v="13"/>
    <n v="28"/>
    <n v="99"/>
  </r>
  <r>
    <x v="8"/>
    <s v="1:LA"/>
    <x v="26"/>
    <m/>
    <n v="12"/>
    <n v="27"/>
    <n v="94"/>
  </r>
  <r>
    <x v="8"/>
    <s v="1:LA"/>
    <x v="27"/>
    <m/>
    <n v="6"/>
    <n v="7"/>
    <n v="35"/>
  </r>
  <r>
    <x v="8"/>
    <s v="1:LA"/>
    <x v="28"/>
    <m/>
    <n v="8"/>
    <n v="13"/>
    <n v="50"/>
  </r>
  <r>
    <x v="8"/>
    <s v="1:LA"/>
    <x v="29"/>
    <m/>
    <n v="8"/>
    <n v="15"/>
    <n v="46"/>
  </r>
  <r>
    <x v="8"/>
    <s v="1:LA"/>
    <x v="30"/>
    <m/>
    <n v="2"/>
    <n v="2"/>
    <n v="17"/>
  </r>
  <r>
    <x v="8"/>
    <s v="1:LA"/>
    <x v="31"/>
    <m/>
    <n v="6"/>
    <n v="11"/>
    <n v="41"/>
  </r>
  <r>
    <x v="9"/>
    <s v="1:LA"/>
    <x v="0"/>
    <m/>
    <n v="1"/>
    <n v="2"/>
    <n v="7"/>
  </r>
  <r>
    <x v="9"/>
    <s v="1:LA"/>
    <x v="1"/>
    <m/>
    <n v="23"/>
    <n v="67"/>
    <n v="188"/>
  </r>
  <r>
    <x v="9"/>
    <s v="1:LA"/>
    <x v="2"/>
    <m/>
    <n v="7"/>
    <n v="17"/>
    <n v="72"/>
  </r>
  <r>
    <x v="9"/>
    <s v="1:LA"/>
    <x v="3"/>
    <m/>
    <n v="14"/>
    <n v="25"/>
    <n v="128"/>
  </r>
  <r>
    <x v="9"/>
    <s v="1:LA"/>
    <x v="4"/>
    <m/>
    <n v="1"/>
    <n v="1"/>
    <n v="7"/>
  </r>
  <r>
    <x v="9"/>
    <s v="1:LA"/>
    <x v="5"/>
    <m/>
    <n v="2"/>
    <n v="5"/>
    <n v="18"/>
  </r>
  <r>
    <x v="9"/>
    <s v="1:LA"/>
    <x v="6"/>
    <m/>
    <n v="16"/>
    <n v="32"/>
    <n v="146"/>
  </r>
  <r>
    <x v="9"/>
    <s v="1:LA"/>
    <x v="7"/>
    <m/>
    <n v="1"/>
    <n v="2"/>
    <n v="9"/>
  </r>
  <r>
    <x v="9"/>
    <s v="1:LA"/>
    <x v="8"/>
    <m/>
    <n v="7"/>
    <n v="10"/>
    <n v="54"/>
  </r>
  <r>
    <x v="9"/>
    <s v="1:LA"/>
    <x v="10"/>
    <m/>
    <n v="5"/>
    <n v="11"/>
    <n v="35"/>
  </r>
  <r>
    <x v="9"/>
    <s v="1:LA"/>
    <x v="12"/>
    <m/>
    <n v="5"/>
    <n v="10"/>
    <n v="38"/>
  </r>
  <r>
    <x v="9"/>
    <s v="1:LA"/>
    <x v="13"/>
    <m/>
    <n v="9"/>
    <n v="22"/>
    <n v="74"/>
  </r>
  <r>
    <x v="9"/>
    <s v="1:LA"/>
    <x v="15"/>
    <m/>
    <n v="1"/>
    <n v="0"/>
    <n v="0"/>
  </r>
  <r>
    <x v="9"/>
    <s v="1:LA"/>
    <x v="15"/>
    <m/>
    <n v="49"/>
    <n v="93"/>
    <n v="321"/>
  </r>
  <r>
    <x v="9"/>
    <s v="1:LA"/>
    <x v="16"/>
    <m/>
    <n v="3"/>
    <n v="7"/>
    <n v="26"/>
  </r>
  <r>
    <x v="9"/>
    <s v="1:LA"/>
    <x v="17"/>
    <m/>
    <n v="1"/>
    <n v="2"/>
    <n v="8"/>
  </r>
  <r>
    <x v="9"/>
    <s v="1:LA"/>
    <x v="18"/>
    <m/>
    <n v="11"/>
    <n v="28"/>
    <n v="70"/>
  </r>
  <r>
    <x v="9"/>
    <s v="1:LA"/>
    <x v="19"/>
    <m/>
    <n v="14"/>
    <n v="26"/>
    <n v="95"/>
  </r>
  <r>
    <x v="9"/>
    <s v="1:LA"/>
    <x v="20"/>
    <m/>
    <n v="10"/>
    <n v="13"/>
    <n v="73"/>
  </r>
  <r>
    <x v="9"/>
    <s v="1:LA"/>
    <x v="21"/>
    <m/>
    <n v="3"/>
    <n v="7"/>
    <n v="21"/>
  </r>
  <r>
    <x v="9"/>
    <s v="1:LA"/>
    <x v="22"/>
    <m/>
    <n v="12"/>
    <n v="21"/>
    <n v="82"/>
  </r>
  <r>
    <x v="9"/>
    <s v="1:LA"/>
    <x v="23"/>
    <m/>
    <n v="9"/>
    <n v="21"/>
    <n v="89"/>
  </r>
  <r>
    <x v="9"/>
    <s v="1:LA"/>
    <x v="24"/>
    <m/>
    <n v="1"/>
    <n v="2"/>
    <n v="11"/>
  </r>
  <r>
    <x v="9"/>
    <s v="1:LA"/>
    <x v="25"/>
    <m/>
    <n v="13"/>
    <n v="28"/>
    <n v="113"/>
  </r>
  <r>
    <x v="9"/>
    <s v="1:LA"/>
    <x v="26"/>
    <m/>
    <n v="14"/>
    <n v="25"/>
    <n v="83"/>
  </r>
  <r>
    <x v="9"/>
    <s v="1:LA"/>
    <x v="27"/>
    <m/>
    <n v="5"/>
    <n v="7"/>
    <n v="36"/>
  </r>
  <r>
    <x v="9"/>
    <s v="1:LA"/>
    <x v="28"/>
    <m/>
    <n v="9"/>
    <n v="13"/>
    <n v="46"/>
  </r>
  <r>
    <x v="9"/>
    <s v="1:LA"/>
    <x v="29"/>
    <m/>
    <n v="7"/>
    <n v="13"/>
    <n v="49"/>
  </r>
  <r>
    <x v="9"/>
    <s v="1:LA"/>
    <x v="30"/>
    <m/>
    <n v="2"/>
    <n v="2"/>
    <n v="15"/>
  </r>
  <r>
    <x v="9"/>
    <s v="1:LA"/>
    <x v="31"/>
    <m/>
    <n v="7"/>
    <n v="9"/>
    <n v="38"/>
  </r>
  <r>
    <x v="10"/>
    <s v="1:LA"/>
    <x v="0"/>
    <m/>
    <n v="1"/>
    <n v="4"/>
    <n v="5"/>
  </r>
  <r>
    <x v="10"/>
    <s v="1:LA"/>
    <x v="1"/>
    <m/>
    <n v="22"/>
    <n v="66"/>
    <n v="178"/>
  </r>
  <r>
    <x v="10"/>
    <s v="1:LA"/>
    <x v="2"/>
    <m/>
    <n v="6"/>
    <n v="18"/>
    <n v="76"/>
  </r>
  <r>
    <x v="10"/>
    <s v="1:LA"/>
    <x v="3"/>
    <m/>
    <n v="15"/>
    <n v="23"/>
    <n v="135"/>
  </r>
  <r>
    <x v="10"/>
    <s v="1:LA"/>
    <x v="4"/>
    <m/>
    <n v="1"/>
    <n v="2"/>
    <n v="6"/>
  </r>
  <r>
    <x v="10"/>
    <s v="1:LA"/>
    <x v="5"/>
    <m/>
    <n v="2"/>
    <n v="4"/>
    <n v="17"/>
  </r>
  <r>
    <x v="10"/>
    <s v="1:LA"/>
    <x v="6"/>
    <m/>
    <n v="15"/>
    <n v="32"/>
    <n v="132"/>
  </r>
  <r>
    <x v="10"/>
    <s v="1:LA"/>
    <x v="7"/>
    <m/>
    <n v="1"/>
    <n v="2"/>
    <n v="11"/>
  </r>
  <r>
    <x v="10"/>
    <s v="1:LA"/>
    <x v="8"/>
    <m/>
    <n v="6"/>
    <n v="12"/>
    <n v="53"/>
  </r>
  <r>
    <x v="10"/>
    <s v="1:LA"/>
    <x v="10"/>
    <m/>
    <n v="5"/>
    <n v="12"/>
    <n v="39"/>
  </r>
  <r>
    <x v="10"/>
    <s v="1:LA"/>
    <x v="12"/>
    <m/>
    <n v="5"/>
    <n v="10"/>
    <n v="46"/>
  </r>
  <r>
    <x v="10"/>
    <s v="1:LA"/>
    <x v="13"/>
    <m/>
    <n v="8"/>
    <n v="22"/>
    <n v="74"/>
  </r>
  <r>
    <x v="10"/>
    <s v="1:LA"/>
    <x v="15"/>
    <m/>
    <n v="45"/>
    <n v="91"/>
    <n v="328"/>
  </r>
  <r>
    <x v="10"/>
    <s v="1:LA"/>
    <x v="16"/>
    <m/>
    <n v="3"/>
    <n v="7"/>
    <n v="25"/>
  </r>
  <r>
    <x v="10"/>
    <s v="1:LA"/>
    <x v="17"/>
    <m/>
    <n v="1"/>
    <n v="2"/>
    <n v="10"/>
  </r>
  <r>
    <x v="10"/>
    <s v="1:LA"/>
    <x v="18"/>
    <m/>
    <n v="12"/>
    <n v="28"/>
    <n v="76"/>
  </r>
  <r>
    <x v="10"/>
    <s v="1:LA"/>
    <x v="19"/>
    <m/>
    <n v="1"/>
    <n v="2"/>
    <n v="7"/>
  </r>
  <r>
    <x v="10"/>
    <s v="1:LA"/>
    <x v="19"/>
    <m/>
    <n v="13"/>
    <n v="26"/>
    <n v="83"/>
  </r>
  <r>
    <x v="10"/>
    <s v="1:LA"/>
    <x v="20"/>
    <m/>
    <n v="9"/>
    <n v="12"/>
    <n v="77"/>
  </r>
  <r>
    <x v="10"/>
    <s v="1:LA"/>
    <x v="21"/>
    <m/>
    <n v="3"/>
    <n v="6"/>
    <n v="20"/>
  </r>
  <r>
    <x v="10"/>
    <s v="1:LA"/>
    <x v="22"/>
    <m/>
    <n v="1"/>
    <n v="2"/>
    <n v="5"/>
  </r>
  <r>
    <x v="10"/>
    <s v="1:LA"/>
    <x v="22"/>
    <m/>
    <n v="11"/>
    <n v="21"/>
    <n v="72"/>
  </r>
  <r>
    <x v="10"/>
    <s v="1:LA"/>
    <x v="23"/>
    <m/>
    <n v="11"/>
    <n v="20"/>
    <n v="86"/>
  </r>
  <r>
    <x v="10"/>
    <s v="1:LA"/>
    <x v="24"/>
    <m/>
    <n v="1"/>
    <n v="2"/>
    <n v="8"/>
  </r>
  <r>
    <x v="10"/>
    <s v="1:LA"/>
    <x v="25"/>
    <m/>
    <n v="12"/>
    <n v="28"/>
    <n v="97"/>
  </r>
  <r>
    <x v="10"/>
    <s v="1:LA"/>
    <x v="26"/>
    <m/>
    <n v="14"/>
    <n v="23"/>
    <n v="77"/>
  </r>
  <r>
    <x v="10"/>
    <s v="1:LA"/>
    <x v="27"/>
    <m/>
    <n v="4"/>
    <n v="8"/>
    <n v="34"/>
  </r>
  <r>
    <x v="10"/>
    <s v="1:LA"/>
    <x v="28"/>
    <m/>
    <n v="8"/>
    <n v="13"/>
    <n v="52"/>
  </r>
  <r>
    <x v="10"/>
    <s v="1:LA"/>
    <x v="29"/>
    <m/>
    <n v="7"/>
    <n v="15"/>
    <n v="46"/>
  </r>
  <r>
    <x v="10"/>
    <s v="1:LA"/>
    <x v="30"/>
    <m/>
    <n v="2"/>
    <n v="2"/>
    <n v="17"/>
  </r>
  <r>
    <x v="10"/>
    <s v="1:LA"/>
    <x v="31"/>
    <m/>
    <n v="6"/>
    <n v="10"/>
    <n v="40"/>
  </r>
  <r>
    <x v="11"/>
    <s v="1:LA"/>
    <x v="0"/>
    <m/>
    <n v="1"/>
    <n v="3"/>
    <n v="4"/>
  </r>
  <r>
    <x v="11"/>
    <s v="1:LA"/>
    <x v="1"/>
    <m/>
    <n v="23"/>
    <n v="63"/>
    <n v="182"/>
  </r>
  <r>
    <x v="11"/>
    <s v="1:LA"/>
    <x v="2"/>
    <m/>
    <n v="6"/>
    <n v="19"/>
    <n v="74"/>
  </r>
  <r>
    <x v="11"/>
    <s v="1:LA"/>
    <x v="3"/>
    <m/>
    <n v="14"/>
    <n v="25"/>
    <n v="143"/>
  </r>
  <r>
    <x v="11"/>
    <s v="1:LA"/>
    <x v="4"/>
    <m/>
    <n v="1"/>
    <n v="2"/>
    <n v="5"/>
  </r>
  <r>
    <x v="11"/>
    <s v="1:LA"/>
    <x v="5"/>
    <m/>
    <n v="2"/>
    <n v="3"/>
    <n v="18"/>
  </r>
  <r>
    <x v="11"/>
    <s v="1:LA"/>
    <x v="6"/>
    <m/>
    <n v="17"/>
    <n v="31"/>
    <n v="139"/>
  </r>
  <r>
    <x v="11"/>
    <s v="1:LA"/>
    <x v="7"/>
    <m/>
    <n v="1"/>
    <n v="2"/>
    <n v="12"/>
  </r>
  <r>
    <x v="11"/>
    <s v="1:LA"/>
    <x v="8"/>
    <m/>
    <n v="5"/>
    <n v="10"/>
    <n v="54"/>
  </r>
  <r>
    <x v="11"/>
    <s v="1:LA"/>
    <x v="10"/>
    <m/>
    <n v="5"/>
    <n v="12"/>
    <n v="38"/>
  </r>
  <r>
    <x v="11"/>
    <s v="1:LA"/>
    <x v="12"/>
    <m/>
    <n v="5"/>
    <n v="10"/>
    <n v="44"/>
  </r>
  <r>
    <x v="11"/>
    <s v="1:LA"/>
    <x v="13"/>
    <m/>
    <n v="8"/>
    <n v="20"/>
    <n v="74"/>
  </r>
  <r>
    <x v="11"/>
    <s v="1:LA"/>
    <x v="15"/>
    <m/>
    <n v="46"/>
    <n v="94"/>
    <n v="301"/>
  </r>
  <r>
    <x v="11"/>
    <s v="1:LA"/>
    <x v="16"/>
    <m/>
    <n v="3"/>
    <n v="7"/>
    <n v="28"/>
  </r>
  <r>
    <x v="11"/>
    <s v="1:LA"/>
    <x v="17"/>
    <m/>
    <n v="1"/>
    <n v="2"/>
    <n v="11"/>
  </r>
  <r>
    <x v="11"/>
    <s v="1:LA"/>
    <x v="18"/>
    <m/>
    <n v="10"/>
    <n v="25"/>
    <n v="70"/>
  </r>
  <r>
    <x v="11"/>
    <s v="1:LA"/>
    <x v="19"/>
    <m/>
    <n v="1"/>
    <n v="2"/>
    <n v="8"/>
  </r>
  <r>
    <x v="11"/>
    <s v="1:LA"/>
    <x v="19"/>
    <m/>
    <n v="12"/>
    <n v="25"/>
    <n v="83"/>
  </r>
  <r>
    <x v="11"/>
    <s v="1:LA"/>
    <x v="20"/>
    <m/>
    <n v="10"/>
    <n v="12"/>
    <n v="78"/>
  </r>
  <r>
    <x v="11"/>
    <s v="1:LA"/>
    <x v="21"/>
    <m/>
    <n v="3"/>
    <n v="6"/>
    <n v="17"/>
  </r>
  <r>
    <x v="11"/>
    <s v="1:LA"/>
    <x v="22"/>
    <m/>
    <n v="1"/>
    <n v="2"/>
    <n v="5"/>
  </r>
  <r>
    <x v="11"/>
    <s v="1:LA"/>
    <x v="22"/>
    <m/>
    <n v="11"/>
    <n v="19"/>
    <n v="64"/>
  </r>
  <r>
    <x v="11"/>
    <s v="1:LA"/>
    <x v="23"/>
    <m/>
    <n v="8"/>
    <n v="20"/>
    <n v="89"/>
  </r>
  <r>
    <x v="11"/>
    <s v="1:LA"/>
    <x v="24"/>
    <m/>
    <n v="1"/>
    <n v="2"/>
    <n v="11"/>
  </r>
  <r>
    <x v="11"/>
    <s v="1:LA"/>
    <x v="25"/>
    <m/>
    <n v="13"/>
    <n v="28"/>
    <n v="104"/>
  </r>
  <r>
    <x v="11"/>
    <s v="1:LA"/>
    <x v="26"/>
    <m/>
    <n v="14"/>
    <n v="25"/>
    <n v="84"/>
  </r>
  <r>
    <x v="11"/>
    <s v="1:LA"/>
    <x v="27"/>
    <m/>
    <n v="4"/>
    <n v="8"/>
    <n v="31"/>
  </r>
  <r>
    <x v="11"/>
    <s v="1:LA"/>
    <x v="28"/>
    <m/>
    <n v="8"/>
    <n v="12"/>
    <n v="54"/>
  </r>
  <r>
    <x v="11"/>
    <s v="1:LA"/>
    <x v="29"/>
    <m/>
    <n v="6"/>
    <n v="14"/>
    <n v="52"/>
  </r>
  <r>
    <x v="11"/>
    <s v="1:LA"/>
    <x v="30"/>
    <m/>
    <n v="2"/>
    <n v="2"/>
    <n v="20"/>
  </r>
  <r>
    <x v="11"/>
    <s v="1:LA"/>
    <x v="31"/>
    <m/>
    <n v="6"/>
    <n v="9"/>
    <n v="46"/>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s v="S92000003"/>
    <n v="0"/>
    <n v="52"/>
    <n v="103"/>
    <n v="5"/>
    <n v="11"/>
    <n v="52"/>
  </r>
  <r>
    <x v="1"/>
    <x v="0"/>
    <s v="S92000003"/>
    <n v="0"/>
    <n v="52"/>
    <n v="110"/>
    <n v="5"/>
    <n v="13"/>
    <n v="50"/>
  </r>
  <r>
    <x v="2"/>
    <x v="0"/>
    <s v="S92000003"/>
    <n v="0"/>
    <n v="44"/>
    <n v="95"/>
    <n v="6"/>
    <n v="7"/>
    <n v="51"/>
  </r>
  <r>
    <x v="3"/>
    <x v="0"/>
    <s v="S92000003"/>
    <n v="0"/>
    <n v="31"/>
    <n v="80"/>
    <n v="5"/>
    <n v="8"/>
    <n v="41"/>
  </r>
  <r>
    <x v="4"/>
    <x v="0"/>
    <s v="S92000003"/>
    <n v="0"/>
    <n v="27"/>
    <n v="106"/>
    <n v="5"/>
    <n v="8"/>
    <n v="43"/>
  </r>
  <r>
    <x v="5"/>
    <x v="0"/>
    <s v="S92000003"/>
    <n v="1"/>
    <n v="4"/>
    <n v="9"/>
    <n v="42"/>
    <n v="27"/>
    <n v="124"/>
  </r>
  <r>
    <x v="6"/>
    <x v="0"/>
    <s v="S92000003"/>
    <n v="1"/>
    <n v="4"/>
    <n v="8"/>
    <n v="45"/>
    <n v="26"/>
    <n v="104"/>
  </r>
  <r>
    <x v="7"/>
    <x v="0"/>
    <s v="S92000003"/>
    <n v="1"/>
    <n v="4"/>
    <n v="10"/>
    <n v="41"/>
    <n v="31"/>
    <n v="95"/>
  </r>
  <r>
    <x v="8"/>
    <x v="0"/>
    <s v="S92000003"/>
    <n v="1"/>
    <n v="4"/>
    <n v="10"/>
    <n v="42"/>
    <n v="27"/>
    <n v="90"/>
  </r>
  <r>
    <x v="9"/>
    <x v="0"/>
    <s v="S92000003"/>
    <n v="1"/>
    <n v="4"/>
    <n v="10"/>
    <n v="37"/>
    <n v="29"/>
    <n v="91"/>
  </r>
  <r>
    <x v="10"/>
    <x v="0"/>
    <s v="S92000003"/>
    <n v="1"/>
    <n v="4"/>
    <n v="9"/>
    <n v="40"/>
    <n v="26"/>
    <n v="91"/>
  </r>
  <r>
    <x v="11"/>
    <x v="0"/>
    <s v="S92000003"/>
    <n v="1"/>
    <n v="2"/>
    <n v="8"/>
    <n v="37"/>
    <n v="28"/>
    <n v="9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n v="8020"/>
    <n v="7446"/>
    <n v="7740"/>
    <n v="9727"/>
    <n v="10040"/>
    <n v="2387"/>
    <n v="4431"/>
    <n v="5557"/>
    <n v="5572"/>
    <n v="5103"/>
  </r>
  <r>
    <x v="1"/>
    <n v="15848"/>
    <n v="15100"/>
    <n v="14796"/>
    <n v="15332"/>
    <n v="15696"/>
    <n v="4624"/>
    <n v="7561"/>
    <n v="8820"/>
    <n v="8577"/>
    <n v="6910"/>
  </r>
  <r>
    <x v="2"/>
    <n v="101"/>
    <n v="103"/>
    <n v="107"/>
    <n v="622"/>
    <n v="641"/>
    <n v="102"/>
    <n v="322"/>
    <n v="367"/>
    <n v="443"/>
    <n v="2321"/>
  </r>
  <r>
    <x v="3"/>
    <n v="5400"/>
    <n v="4535"/>
    <n v="5072"/>
    <n v="4289"/>
    <n v="4004"/>
    <n v="1093"/>
    <n v="2279"/>
    <n v="1875"/>
    <n v="1781"/>
    <n v="1386"/>
  </r>
  <r>
    <x v="4"/>
    <n v="37461"/>
    <n v="39725"/>
    <n v="38343"/>
    <n v="35339"/>
    <n v="34631"/>
    <n v="10815"/>
    <n v="27519"/>
    <n v="19831"/>
    <n v="17805"/>
    <n v="16063"/>
  </r>
  <r>
    <x v="5"/>
    <n v="4886"/>
    <n v="3888"/>
    <n v="3767"/>
    <n v="3893"/>
    <n v="4225"/>
    <n v="977"/>
    <n v="2084"/>
    <n v="2249"/>
    <n v="2564"/>
    <n v="2306"/>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x v="0"/>
    <s v="S40000003"/>
    <x v="0"/>
    <n v="416"/>
    <m/>
    <n v="4"/>
    <n v="4"/>
    <n v="8"/>
    <n v="107"/>
    <n v="149"/>
    <n v="144"/>
  </r>
  <r>
    <x v="0"/>
    <x v="0"/>
    <s v="S40000004"/>
    <x v="0"/>
    <n v="175"/>
    <m/>
    <n v="6"/>
    <n v="2"/>
    <n v="7"/>
    <n v="46"/>
    <n v="66"/>
    <n v="48"/>
  </r>
  <r>
    <x v="0"/>
    <x v="0"/>
    <s v="S40000005"/>
    <x v="0"/>
    <n v="133"/>
    <m/>
    <n v="4"/>
    <n v="5"/>
    <n v="6"/>
    <n v="59"/>
    <n v="19"/>
    <n v="40"/>
  </r>
  <r>
    <x v="0"/>
    <x v="0"/>
    <s v="S92000003"/>
    <x v="0"/>
    <n v="237"/>
    <m/>
    <n v="56"/>
    <n v="9"/>
    <n v="24"/>
    <n v="102"/>
    <n v="0"/>
    <n v="46"/>
  </r>
  <r>
    <x v="1"/>
    <x v="0"/>
    <s v="S40000003"/>
    <x v="0"/>
    <n v="340"/>
    <m/>
    <n v="3"/>
    <n v="9"/>
    <n v="14"/>
    <n v="113"/>
    <n v="109"/>
    <n v="92"/>
  </r>
  <r>
    <x v="1"/>
    <x v="0"/>
    <s v="S40000004"/>
    <x v="0"/>
    <n v="163"/>
    <m/>
    <n v="3"/>
    <n v="7"/>
    <n v="12"/>
    <n v="48"/>
    <n v="65"/>
    <n v="28"/>
  </r>
  <r>
    <x v="1"/>
    <x v="0"/>
    <s v="S40000005"/>
    <x v="0"/>
    <n v="126"/>
    <m/>
    <n v="3"/>
    <n v="7"/>
    <n v="6"/>
    <n v="64"/>
    <n v="19"/>
    <n v="27"/>
  </r>
  <r>
    <x v="1"/>
    <x v="0"/>
    <s v="S92000003"/>
    <x v="0"/>
    <n v="238"/>
    <n v="2"/>
    <n v="35"/>
    <n v="13"/>
    <n v="27"/>
    <n v="112"/>
    <n v="0"/>
    <n v="49"/>
  </r>
  <r>
    <x v="2"/>
    <x v="0"/>
    <s v="S40000003"/>
    <x v="0"/>
    <n v="286"/>
    <m/>
    <n v="2"/>
    <n v="10"/>
    <n v="15"/>
    <n v="110"/>
    <n v="84"/>
    <n v="65"/>
  </r>
  <r>
    <x v="2"/>
    <x v="0"/>
    <s v="S40000004"/>
    <x v="0"/>
    <n v="124"/>
    <m/>
    <n v="3"/>
    <n v="5"/>
    <n v="13"/>
    <n v="35"/>
    <n v="56"/>
    <n v="12"/>
  </r>
  <r>
    <x v="2"/>
    <x v="0"/>
    <s v="S40000005"/>
    <x v="0"/>
    <n v="121"/>
    <m/>
    <n v="3"/>
    <n v="7"/>
    <n v="11"/>
    <n v="61"/>
    <n v="20"/>
    <n v="19"/>
  </r>
  <r>
    <x v="2"/>
    <x v="0"/>
    <s v="S92000003"/>
    <x v="0"/>
    <n v="297"/>
    <n v="3"/>
    <n v="32"/>
    <n v="12"/>
    <n v="35"/>
    <n v="110"/>
    <n v="7"/>
    <n v="98"/>
  </r>
  <r>
    <x v="3"/>
    <x v="0"/>
    <s v="S40000003"/>
    <x v="0"/>
    <n v="294"/>
    <m/>
    <n v="2"/>
    <n v="10"/>
    <n v="15"/>
    <n v="120"/>
    <n v="89"/>
    <n v="58"/>
  </r>
  <r>
    <x v="3"/>
    <x v="0"/>
    <s v="S40000004"/>
    <x v="0"/>
    <n v="142"/>
    <m/>
    <n v="3"/>
    <n v="5"/>
    <n v="13"/>
    <n v="48"/>
    <n v="54"/>
    <n v="19"/>
  </r>
  <r>
    <x v="3"/>
    <x v="0"/>
    <s v="S40000005"/>
    <x v="0"/>
    <n v="135"/>
    <m/>
    <n v="3"/>
    <n v="7"/>
    <n v="12"/>
    <n v="75"/>
    <n v="14"/>
    <n v="24"/>
  </r>
  <r>
    <x v="3"/>
    <x v="0"/>
    <s v="S92000003"/>
    <x v="0"/>
    <n v="267"/>
    <n v="3"/>
    <n v="34"/>
    <n v="12"/>
    <n v="38"/>
    <n v="103"/>
    <n v="8"/>
    <n v="69"/>
  </r>
  <r>
    <x v="4"/>
    <x v="0"/>
    <s v="S40000003"/>
    <x v="0"/>
    <n v="300"/>
    <m/>
    <n v="2"/>
    <n v="10"/>
    <n v="16"/>
    <n v="133"/>
    <n v="82"/>
    <n v="57"/>
  </r>
  <r>
    <x v="4"/>
    <x v="0"/>
    <s v="S40000004"/>
    <x v="0"/>
    <n v="128"/>
    <m/>
    <n v="3"/>
    <n v="3"/>
    <n v="11"/>
    <n v="45"/>
    <n v="49"/>
    <n v="17"/>
  </r>
  <r>
    <x v="4"/>
    <x v="0"/>
    <s v="S40000005"/>
    <x v="0"/>
    <n v="141"/>
    <m/>
    <n v="3"/>
    <n v="8"/>
    <n v="11"/>
    <n v="81"/>
    <n v="15"/>
    <n v="23"/>
  </r>
  <r>
    <x v="4"/>
    <x v="0"/>
    <s v="S92000003"/>
    <x v="0"/>
    <n v="277"/>
    <n v="2"/>
    <n v="42"/>
    <n v="11"/>
    <n v="41"/>
    <n v="107"/>
    <n v="7"/>
    <n v="67"/>
  </r>
  <r>
    <x v="5"/>
    <x v="1"/>
    <s v="S40000003"/>
    <x v="1"/>
    <n v="0"/>
    <m/>
    <n v="0"/>
    <n v="0"/>
    <n v="0"/>
    <n v="0"/>
    <n v="0"/>
    <n v="0"/>
  </r>
  <r>
    <x v="5"/>
    <x v="1"/>
    <s v="S40000004"/>
    <x v="2"/>
    <n v="0"/>
    <m/>
    <n v="0"/>
    <n v="0"/>
    <n v="0"/>
    <n v="0"/>
    <n v="0"/>
    <n v="0"/>
  </r>
  <r>
    <x v="5"/>
    <x v="1"/>
    <s v="S40000005"/>
    <x v="3"/>
    <n v="0"/>
    <m/>
    <n v="0"/>
    <n v="0"/>
    <n v="0"/>
    <n v="0"/>
    <n v="0"/>
    <n v="0"/>
  </r>
  <r>
    <x v="5"/>
    <x v="0"/>
    <s v="S92000003"/>
    <x v="0"/>
    <n v="792"/>
    <n v="3"/>
    <n v="49"/>
    <n v="34"/>
    <n v="84"/>
    <n v="388"/>
    <n v="64"/>
    <n v="170"/>
  </r>
  <r>
    <x v="6"/>
    <x v="1"/>
    <s v="S40000003"/>
    <x v="1"/>
    <n v="0"/>
    <m/>
    <n v="0"/>
    <n v="0"/>
    <n v="0"/>
    <n v="0"/>
    <n v="0"/>
    <n v="0"/>
  </r>
  <r>
    <x v="6"/>
    <x v="1"/>
    <s v="S40000004"/>
    <x v="2"/>
    <n v="0"/>
    <m/>
    <n v="0"/>
    <n v="0"/>
    <n v="0"/>
    <n v="0"/>
    <n v="0"/>
    <n v="0"/>
  </r>
  <r>
    <x v="6"/>
    <x v="1"/>
    <s v="S40000005"/>
    <x v="3"/>
    <n v="0"/>
    <m/>
    <n v="0"/>
    <n v="0"/>
    <n v="0"/>
    <n v="0"/>
    <n v="0"/>
    <n v="0"/>
  </r>
  <r>
    <x v="6"/>
    <x v="0"/>
    <s v="S92000003"/>
    <x v="0"/>
    <n v="817"/>
    <n v="3"/>
    <n v="47"/>
    <n v="32"/>
    <n v="90"/>
    <n v="400"/>
    <n v="63"/>
    <n v="182"/>
  </r>
  <r>
    <x v="7"/>
    <x v="1"/>
    <s v="S40000003"/>
    <x v="1"/>
    <n v="0"/>
    <m/>
    <n v="0"/>
    <n v="0"/>
    <n v="0"/>
    <n v="0"/>
    <n v="0"/>
    <n v="0"/>
  </r>
  <r>
    <x v="7"/>
    <x v="1"/>
    <s v="S40000004"/>
    <x v="2"/>
    <n v="0"/>
    <m/>
    <n v="0"/>
    <n v="0"/>
    <n v="0"/>
    <n v="0"/>
    <n v="0"/>
    <n v="0"/>
  </r>
  <r>
    <x v="7"/>
    <x v="1"/>
    <s v="S40000005"/>
    <x v="3"/>
    <n v="0"/>
    <m/>
    <n v="0"/>
    <n v="0"/>
    <n v="0"/>
    <n v="0"/>
    <n v="0"/>
    <n v="0"/>
  </r>
  <r>
    <x v="7"/>
    <x v="0"/>
    <s v="S92000003"/>
    <x v="0"/>
    <n v="835"/>
    <n v="3"/>
    <n v="50"/>
    <n v="30"/>
    <n v="91"/>
    <n v="413"/>
    <n v="61"/>
    <n v="187"/>
  </r>
  <r>
    <x v="8"/>
    <x v="1"/>
    <m/>
    <x v="3"/>
    <n v="0"/>
    <m/>
    <n v="0"/>
    <n v="0"/>
    <n v="0"/>
    <n v="0"/>
    <n v="0"/>
    <n v="0"/>
  </r>
  <r>
    <x v="8"/>
    <x v="1"/>
    <m/>
    <x v="1"/>
    <n v="0"/>
    <m/>
    <n v="0"/>
    <n v="0"/>
    <n v="0"/>
    <n v="0"/>
    <n v="0"/>
    <n v="0"/>
  </r>
  <r>
    <x v="8"/>
    <x v="1"/>
    <s v="S40000004"/>
    <x v="2"/>
    <n v="0"/>
    <m/>
    <n v="0"/>
    <n v="0"/>
    <n v="0"/>
    <n v="0"/>
    <n v="0"/>
    <n v="0"/>
  </r>
  <r>
    <x v="8"/>
    <x v="0"/>
    <s v="S92000003"/>
    <x v="0"/>
    <n v="920"/>
    <n v="4"/>
    <n v="57"/>
    <n v="33"/>
    <n v="104"/>
    <n v="469"/>
    <n v="60"/>
    <n v="193"/>
  </r>
  <r>
    <x v="9"/>
    <x v="1"/>
    <m/>
    <x v="3"/>
    <n v="0"/>
    <m/>
    <n v="0"/>
    <n v="0"/>
    <n v="0"/>
    <n v="0"/>
    <n v="0"/>
    <n v="0"/>
  </r>
  <r>
    <x v="9"/>
    <x v="1"/>
    <m/>
    <x v="1"/>
    <n v="0"/>
    <m/>
    <n v="0"/>
    <n v="0"/>
    <n v="0"/>
    <n v="0"/>
    <n v="0"/>
    <n v="0"/>
  </r>
  <r>
    <x v="9"/>
    <x v="1"/>
    <s v="S40000004"/>
    <x v="2"/>
    <n v="0"/>
    <m/>
    <n v="0"/>
    <n v="0"/>
    <n v="0"/>
    <n v="0"/>
    <n v="0"/>
    <n v="0"/>
  </r>
  <r>
    <x v="9"/>
    <x v="0"/>
    <s v="S92000003"/>
    <x v="0"/>
    <n v="901"/>
    <n v="4"/>
    <n v="81"/>
    <n v="36"/>
    <n v="98"/>
    <n v="465"/>
    <n v="58"/>
    <n v="159"/>
  </r>
  <r>
    <x v="10"/>
    <x v="1"/>
    <m/>
    <x v="3"/>
    <n v="0"/>
    <m/>
    <n v="0"/>
    <n v="0"/>
    <n v="0"/>
    <n v="0"/>
    <n v="0"/>
    <n v="0"/>
  </r>
  <r>
    <x v="10"/>
    <x v="1"/>
    <m/>
    <x v="1"/>
    <n v="0"/>
    <m/>
    <n v="0"/>
    <n v="0"/>
    <n v="0"/>
    <n v="0"/>
    <n v="0"/>
    <n v="0"/>
  </r>
  <r>
    <x v="10"/>
    <x v="1"/>
    <s v="S40000004"/>
    <x v="2"/>
    <n v="0"/>
    <m/>
    <n v="0"/>
    <n v="0"/>
    <n v="0"/>
    <n v="0"/>
    <n v="0"/>
    <n v="0"/>
  </r>
  <r>
    <x v="10"/>
    <x v="0"/>
    <s v="S92000003"/>
    <x v="0"/>
    <n v="887"/>
    <n v="3"/>
    <n v="87"/>
    <n v="35"/>
    <n v="90"/>
    <n v="470"/>
    <n v="60"/>
    <n v="142"/>
  </r>
  <r>
    <x v="11"/>
    <x v="1"/>
    <m/>
    <x v="3"/>
    <n v="0"/>
    <m/>
    <n v="0"/>
    <n v="0"/>
    <n v="0"/>
    <n v="0"/>
    <n v="0"/>
    <n v="0"/>
  </r>
  <r>
    <x v="11"/>
    <x v="1"/>
    <m/>
    <x v="1"/>
    <n v="0"/>
    <m/>
    <n v="0"/>
    <n v="0"/>
    <n v="0"/>
    <n v="0"/>
    <n v="0"/>
    <n v="0"/>
  </r>
  <r>
    <x v="11"/>
    <x v="1"/>
    <s v="S40000004"/>
    <x v="2"/>
    <n v="0"/>
    <m/>
    <n v="0"/>
    <n v="0"/>
    <n v="0"/>
    <n v="0"/>
    <n v="0"/>
    <n v="0"/>
  </r>
  <r>
    <x v="11"/>
    <x v="0"/>
    <s v="S92000003"/>
    <x v="0"/>
    <n v="917"/>
    <n v="4"/>
    <n v="95"/>
    <n v="35"/>
    <n v="94"/>
    <n v="479"/>
    <n v="58"/>
    <n v="152"/>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x v="0"/>
    <s v="S12000005"/>
    <x v="0"/>
    <n v="0"/>
    <n v="0"/>
    <n v="0"/>
    <n v="0"/>
  </r>
  <r>
    <x v="0"/>
    <x v="0"/>
    <s v="S12000006"/>
    <x v="1"/>
    <n v="4"/>
    <n v="0"/>
    <n v="1"/>
    <n v="3"/>
  </r>
  <r>
    <x v="0"/>
    <x v="0"/>
    <s v="S12000008"/>
    <x v="2"/>
    <n v="0"/>
    <n v="0"/>
    <n v="0"/>
    <n v="0"/>
  </r>
  <r>
    <x v="0"/>
    <x v="0"/>
    <s v="S12000010"/>
    <x v="3"/>
    <n v="0"/>
    <n v="0"/>
    <n v="0"/>
    <n v="0"/>
  </r>
  <r>
    <x v="0"/>
    <x v="0"/>
    <s v="S12000011"/>
    <x v="4"/>
    <n v="0"/>
    <n v="0"/>
    <n v="0"/>
    <n v="0"/>
  </r>
  <r>
    <x v="0"/>
    <x v="0"/>
    <s v="S12000013"/>
    <x v="5"/>
    <n v="0"/>
    <n v="0"/>
    <n v="0"/>
    <n v="0"/>
  </r>
  <r>
    <x v="0"/>
    <x v="0"/>
    <s v="S12000014"/>
    <x v="6"/>
    <n v="0"/>
    <n v="0"/>
    <n v="0"/>
    <n v="0"/>
  </r>
  <r>
    <x v="0"/>
    <x v="0"/>
    <s v="S12000017"/>
    <x v="7"/>
    <n v="72"/>
    <n v="8"/>
    <n v="13"/>
    <n v="51"/>
  </r>
  <r>
    <x v="0"/>
    <x v="0"/>
    <s v="S12000018"/>
    <x v="8"/>
    <n v="0"/>
    <n v="0"/>
    <n v="0"/>
    <n v="0"/>
  </r>
  <r>
    <x v="0"/>
    <x v="0"/>
    <s v="S12000019"/>
    <x v="9"/>
    <n v="0"/>
    <n v="0"/>
    <n v="0"/>
    <n v="0"/>
  </r>
  <r>
    <x v="0"/>
    <x v="0"/>
    <s v="S12000020"/>
    <x v="10"/>
    <n v="32"/>
    <n v="1"/>
    <n v="2"/>
    <n v="29"/>
  </r>
  <r>
    <x v="0"/>
    <x v="0"/>
    <s v="S12000021"/>
    <x v="11"/>
    <n v="21"/>
    <n v="0"/>
    <n v="6"/>
    <n v="15"/>
  </r>
  <r>
    <x v="0"/>
    <x v="0"/>
    <s v="S12000023"/>
    <x v="12"/>
    <n v="0"/>
    <n v="0"/>
    <n v="0"/>
    <n v="0"/>
  </r>
  <r>
    <x v="0"/>
    <x v="0"/>
    <s v="S12000024"/>
    <x v="13"/>
    <n v="25"/>
    <n v="0"/>
    <n v="3"/>
    <n v="22"/>
  </r>
  <r>
    <x v="0"/>
    <x v="0"/>
    <s v="S12000026"/>
    <x v="14"/>
    <n v="0"/>
    <n v="0"/>
    <n v="0"/>
    <n v="0"/>
  </r>
  <r>
    <x v="0"/>
    <x v="0"/>
    <s v="S12000027"/>
    <x v="15"/>
    <n v="0"/>
    <n v="0"/>
    <n v="0"/>
    <n v="0"/>
  </r>
  <r>
    <x v="0"/>
    <x v="0"/>
    <s v="S12000028"/>
    <x v="16"/>
    <n v="0"/>
    <n v="0"/>
    <n v="0"/>
    <n v="0"/>
  </r>
  <r>
    <x v="0"/>
    <x v="0"/>
    <s v="S12000029"/>
    <x v="17"/>
    <n v="2"/>
    <n v="0"/>
    <n v="1"/>
    <n v="1"/>
  </r>
  <r>
    <x v="0"/>
    <x v="0"/>
    <s v="S12000030"/>
    <x v="18"/>
    <n v="0"/>
    <n v="0"/>
    <n v="0"/>
    <n v="0"/>
  </r>
  <r>
    <x v="0"/>
    <x v="0"/>
    <s v="S12000033"/>
    <x v="19"/>
    <n v="0"/>
    <n v="0"/>
    <n v="0"/>
    <n v="0"/>
  </r>
  <r>
    <x v="0"/>
    <x v="0"/>
    <s v="S12000034"/>
    <x v="20"/>
    <n v="0"/>
    <n v="0"/>
    <n v="0"/>
    <n v="0"/>
  </r>
  <r>
    <x v="0"/>
    <x v="0"/>
    <s v="S12000035"/>
    <x v="21"/>
    <n v="203"/>
    <n v="0"/>
    <n v="47"/>
    <n v="156"/>
  </r>
  <r>
    <x v="0"/>
    <x v="0"/>
    <s v="S12000036"/>
    <x v="22"/>
    <n v="0"/>
    <n v="0"/>
    <n v="0"/>
    <n v="0"/>
  </r>
  <r>
    <x v="0"/>
    <x v="0"/>
    <s v="S12000038"/>
    <x v="23"/>
    <n v="0"/>
    <n v="0"/>
    <n v="0"/>
    <n v="0"/>
  </r>
  <r>
    <x v="0"/>
    <x v="0"/>
    <s v="S12000039"/>
    <x v="24"/>
    <n v="0"/>
    <n v="0"/>
    <n v="0"/>
    <n v="0"/>
  </r>
  <r>
    <x v="0"/>
    <x v="0"/>
    <s v="S12000040"/>
    <x v="25"/>
    <n v="0"/>
    <n v="0"/>
    <n v="0"/>
    <n v="0"/>
  </r>
  <r>
    <x v="0"/>
    <x v="0"/>
    <s v="S12000041"/>
    <x v="26"/>
    <n v="0"/>
    <n v="0"/>
    <n v="0"/>
    <n v="0"/>
  </r>
  <r>
    <x v="0"/>
    <x v="0"/>
    <s v="S12000042"/>
    <x v="27"/>
    <n v="0"/>
    <n v="0"/>
    <n v="0"/>
    <n v="0"/>
  </r>
  <r>
    <x v="0"/>
    <x v="0"/>
    <s v="S12000044"/>
    <x v="28"/>
    <n v="0"/>
    <n v="0"/>
    <n v="0"/>
    <n v="0"/>
  </r>
  <r>
    <x v="0"/>
    <x v="0"/>
    <s v="S12000045"/>
    <x v="29"/>
    <n v="0"/>
    <n v="0"/>
    <n v="0"/>
    <n v="0"/>
  </r>
  <r>
    <x v="0"/>
    <x v="0"/>
    <s v="S12000046"/>
    <x v="30"/>
    <n v="0"/>
    <n v="0"/>
    <n v="0"/>
    <n v="0"/>
  </r>
  <r>
    <x v="0"/>
    <x v="0"/>
    <s v="S12000047"/>
    <x v="31"/>
    <n v="0"/>
    <n v="0"/>
    <n v="0"/>
    <n v="0"/>
  </r>
  <r>
    <x v="1"/>
    <x v="0"/>
    <s v="S12000005"/>
    <x v="0"/>
    <n v="0"/>
    <n v="0"/>
    <n v="0"/>
    <n v="0"/>
  </r>
  <r>
    <x v="1"/>
    <x v="0"/>
    <s v="S12000006"/>
    <x v="1"/>
    <n v="3"/>
    <n v="0"/>
    <n v="1"/>
    <n v="2"/>
  </r>
  <r>
    <x v="1"/>
    <x v="0"/>
    <s v="S12000008"/>
    <x v="2"/>
    <n v="0"/>
    <n v="0"/>
    <n v="0"/>
    <n v="0"/>
  </r>
  <r>
    <x v="1"/>
    <x v="0"/>
    <s v="S12000010"/>
    <x v="3"/>
    <n v="0"/>
    <n v="0"/>
    <n v="0"/>
    <n v="0"/>
  </r>
  <r>
    <x v="1"/>
    <x v="0"/>
    <s v="S12000011"/>
    <x v="4"/>
    <n v="0"/>
    <n v="0"/>
    <n v="0"/>
    <n v="0"/>
  </r>
  <r>
    <x v="1"/>
    <x v="0"/>
    <s v="S12000013"/>
    <x v="5"/>
    <n v="0"/>
    <n v="0"/>
    <n v="0"/>
    <n v="0"/>
  </r>
  <r>
    <x v="1"/>
    <x v="0"/>
    <s v="S12000014"/>
    <x v="6"/>
    <n v="0"/>
    <n v="0"/>
    <n v="0"/>
    <n v="0"/>
  </r>
  <r>
    <x v="1"/>
    <x v="0"/>
    <s v="S12000017"/>
    <x v="7"/>
    <n v="69"/>
    <n v="8"/>
    <n v="12"/>
    <n v="49"/>
  </r>
  <r>
    <x v="1"/>
    <x v="0"/>
    <s v="S12000018"/>
    <x v="8"/>
    <n v="0"/>
    <n v="0"/>
    <n v="0"/>
    <n v="0"/>
  </r>
  <r>
    <x v="1"/>
    <x v="0"/>
    <s v="S12000019"/>
    <x v="9"/>
    <n v="0"/>
    <n v="0"/>
    <n v="0"/>
    <n v="0"/>
  </r>
  <r>
    <x v="1"/>
    <x v="0"/>
    <s v="S12000020"/>
    <x v="10"/>
    <n v="25"/>
    <n v="1"/>
    <n v="2"/>
    <n v="22"/>
  </r>
  <r>
    <x v="1"/>
    <x v="0"/>
    <s v="S12000021"/>
    <x v="11"/>
    <n v="26"/>
    <n v="3"/>
    <n v="3"/>
    <n v="20"/>
  </r>
  <r>
    <x v="1"/>
    <x v="0"/>
    <s v="S12000023"/>
    <x v="12"/>
    <n v="1"/>
    <n v="0"/>
    <n v="1"/>
    <n v="0"/>
  </r>
  <r>
    <x v="1"/>
    <x v="0"/>
    <s v="S12000024"/>
    <x v="13"/>
    <n v="24"/>
    <n v="0"/>
    <n v="5"/>
    <n v="19"/>
  </r>
  <r>
    <x v="1"/>
    <x v="0"/>
    <s v="S12000026"/>
    <x v="14"/>
    <n v="0"/>
    <n v="0"/>
    <n v="0"/>
    <n v="0"/>
  </r>
  <r>
    <x v="1"/>
    <x v="0"/>
    <s v="S12000027"/>
    <x v="15"/>
    <n v="1"/>
    <n v="0"/>
    <n v="0"/>
    <n v="1"/>
  </r>
  <r>
    <x v="1"/>
    <x v="0"/>
    <s v="S12000028"/>
    <x v="16"/>
    <n v="0"/>
    <n v="0"/>
    <n v="0"/>
    <n v="0"/>
  </r>
  <r>
    <x v="1"/>
    <x v="0"/>
    <s v="S12000029"/>
    <x v="17"/>
    <n v="4"/>
    <n v="1"/>
    <m/>
    <n v="3"/>
  </r>
  <r>
    <x v="1"/>
    <x v="0"/>
    <s v="S12000030"/>
    <x v="18"/>
    <n v="0"/>
    <n v="0"/>
    <n v="0"/>
    <n v="0"/>
  </r>
  <r>
    <x v="1"/>
    <x v="0"/>
    <s v="S12000033"/>
    <x v="19"/>
    <n v="0"/>
    <n v="0"/>
    <n v="0"/>
    <n v="0"/>
  </r>
  <r>
    <x v="1"/>
    <x v="0"/>
    <s v="S12000034"/>
    <x v="20"/>
    <n v="0"/>
    <n v="0"/>
    <n v="0"/>
    <n v="0"/>
  </r>
  <r>
    <x v="1"/>
    <x v="0"/>
    <s v="S12000035"/>
    <x v="21"/>
    <n v="225"/>
    <n v="25"/>
    <n v="20"/>
    <n v="180"/>
  </r>
  <r>
    <x v="1"/>
    <x v="0"/>
    <s v="S12000036"/>
    <x v="22"/>
    <n v="0"/>
    <n v="0"/>
    <n v="0"/>
    <n v="0"/>
  </r>
  <r>
    <x v="1"/>
    <x v="0"/>
    <s v="S12000038"/>
    <x v="23"/>
    <n v="0"/>
    <n v="0"/>
    <n v="0"/>
    <n v="0"/>
  </r>
  <r>
    <x v="1"/>
    <x v="0"/>
    <s v="S12000039"/>
    <x v="24"/>
    <n v="0"/>
    <n v="0"/>
    <n v="0"/>
    <n v="0"/>
  </r>
  <r>
    <x v="1"/>
    <x v="0"/>
    <s v="S12000040"/>
    <x v="25"/>
    <n v="0"/>
    <n v="0"/>
    <n v="0"/>
    <n v="0"/>
  </r>
  <r>
    <x v="1"/>
    <x v="0"/>
    <s v="S12000041"/>
    <x v="26"/>
    <n v="0"/>
    <n v="0"/>
    <n v="0"/>
    <n v="0"/>
  </r>
  <r>
    <x v="1"/>
    <x v="0"/>
    <s v="S12000042"/>
    <x v="27"/>
    <n v="0"/>
    <n v="0"/>
    <n v="0"/>
    <n v="0"/>
  </r>
  <r>
    <x v="1"/>
    <x v="0"/>
    <s v="S12000044"/>
    <x v="28"/>
    <n v="0"/>
    <n v="0"/>
    <n v="0"/>
    <n v="0"/>
  </r>
  <r>
    <x v="1"/>
    <x v="0"/>
    <s v="S12000045"/>
    <x v="29"/>
    <n v="0"/>
    <n v="0"/>
    <n v="0"/>
    <n v="0"/>
  </r>
  <r>
    <x v="1"/>
    <x v="0"/>
    <s v="S12000046"/>
    <x v="30"/>
    <n v="0"/>
    <n v="0"/>
    <n v="0"/>
    <n v="0"/>
  </r>
  <r>
    <x v="1"/>
    <x v="0"/>
    <s v="S12000047"/>
    <x v="31"/>
    <n v="0"/>
    <n v="0"/>
    <n v="0"/>
    <n v="0"/>
  </r>
  <r>
    <x v="2"/>
    <x v="0"/>
    <s v="S12000005"/>
    <x v="0"/>
    <n v="0"/>
    <n v="0"/>
    <n v="0"/>
    <n v="0"/>
  </r>
  <r>
    <x v="2"/>
    <x v="0"/>
    <s v="S12000006"/>
    <x v="1"/>
    <n v="5"/>
    <n v="1"/>
    <n v="1"/>
    <n v="3"/>
  </r>
  <r>
    <x v="2"/>
    <x v="0"/>
    <s v="S12000008"/>
    <x v="2"/>
    <n v="0"/>
    <n v="0"/>
    <n v="0"/>
    <n v="0"/>
  </r>
  <r>
    <x v="2"/>
    <x v="0"/>
    <s v="S12000010"/>
    <x v="3"/>
    <n v="0"/>
    <n v="0"/>
    <n v="0"/>
    <n v="0"/>
  </r>
  <r>
    <x v="2"/>
    <x v="0"/>
    <s v="S12000011"/>
    <x v="4"/>
    <n v="0"/>
    <n v="0"/>
    <n v="0"/>
    <n v="0"/>
  </r>
  <r>
    <x v="2"/>
    <x v="0"/>
    <s v="S12000013"/>
    <x v="5"/>
    <n v="0"/>
    <n v="0"/>
    <n v="0"/>
    <n v="0"/>
  </r>
  <r>
    <x v="2"/>
    <x v="0"/>
    <s v="S12000014"/>
    <x v="6"/>
    <n v="0"/>
    <n v="0"/>
    <n v="0"/>
    <n v="0"/>
  </r>
  <r>
    <x v="2"/>
    <x v="0"/>
    <s v="S12000017"/>
    <x v="7"/>
    <n v="68"/>
    <n v="8"/>
    <n v="14"/>
    <n v="46"/>
  </r>
  <r>
    <x v="2"/>
    <x v="0"/>
    <s v="S12000018"/>
    <x v="8"/>
    <n v="0"/>
    <n v="0"/>
    <n v="0"/>
    <n v="0"/>
  </r>
  <r>
    <x v="2"/>
    <x v="0"/>
    <s v="S12000019"/>
    <x v="9"/>
    <n v="0"/>
    <n v="0"/>
    <n v="0"/>
    <n v="0"/>
  </r>
  <r>
    <x v="2"/>
    <x v="0"/>
    <s v="S12000020"/>
    <x v="10"/>
    <n v="20"/>
    <n v="2"/>
    <n v="1"/>
    <n v="17"/>
  </r>
  <r>
    <x v="2"/>
    <x v="0"/>
    <s v="S12000021"/>
    <x v="11"/>
    <n v="22"/>
    <n v="3"/>
    <n v="4"/>
    <n v="15"/>
  </r>
  <r>
    <x v="2"/>
    <x v="0"/>
    <s v="S12000023"/>
    <x v="12"/>
    <n v="0"/>
    <n v="0"/>
    <n v="0"/>
    <n v="0"/>
  </r>
  <r>
    <x v="2"/>
    <x v="0"/>
    <s v="S12000024"/>
    <x v="13"/>
    <n v="23"/>
    <n v="0"/>
    <n v="2"/>
    <n v="21"/>
  </r>
  <r>
    <x v="2"/>
    <x v="0"/>
    <s v="S12000026"/>
    <x v="14"/>
    <n v="0"/>
    <n v="0"/>
    <n v="0"/>
    <n v="0"/>
  </r>
  <r>
    <x v="2"/>
    <x v="0"/>
    <s v="S12000027"/>
    <x v="15"/>
    <n v="0"/>
    <n v="0"/>
    <n v="0"/>
    <n v="0"/>
  </r>
  <r>
    <x v="2"/>
    <x v="0"/>
    <s v="S12000028"/>
    <x v="16"/>
    <n v="0"/>
    <n v="0"/>
    <n v="0"/>
    <n v="0"/>
  </r>
  <r>
    <x v="2"/>
    <x v="0"/>
    <s v="S12000029"/>
    <x v="17"/>
    <n v="3"/>
    <n v="0"/>
    <n v="1"/>
    <n v="2"/>
  </r>
  <r>
    <x v="2"/>
    <x v="0"/>
    <s v="S12000030"/>
    <x v="18"/>
    <n v="0"/>
    <n v="0"/>
    <n v="0"/>
    <n v="0"/>
  </r>
  <r>
    <x v="2"/>
    <x v="0"/>
    <s v="S12000033"/>
    <x v="19"/>
    <n v="0"/>
    <n v="0"/>
    <n v="0"/>
    <n v="0"/>
  </r>
  <r>
    <x v="2"/>
    <x v="0"/>
    <s v="S12000034"/>
    <x v="20"/>
    <n v="0"/>
    <n v="0"/>
    <n v="0"/>
    <n v="0"/>
  </r>
  <r>
    <x v="2"/>
    <x v="0"/>
    <s v="S12000035"/>
    <x v="21"/>
    <n v="201"/>
    <n v="22"/>
    <n v="23"/>
    <n v="156"/>
  </r>
  <r>
    <x v="2"/>
    <x v="0"/>
    <s v="S12000036"/>
    <x v="22"/>
    <n v="0"/>
    <n v="0"/>
    <n v="0"/>
    <n v="0"/>
  </r>
  <r>
    <x v="2"/>
    <x v="0"/>
    <s v="S12000038"/>
    <x v="23"/>
    <n v="0"/>
    <n v="0"/>
    <n v="0"/>
    <n v="0"/>
  </r>
  <r>
    <x v="2"/>
    <x v="0"/>
    <s v="S12000039"/>
    <x v="24"/>
    <n v="0"/>
    <n v="0"/>
    <n v="0"/>
    <n v="0"/>
  </r>
  <r>
    <x v="2"/>
    <x v="0"/>
    <s v="S12000040"/>
    <x v="25"/>
    <n v="0"/>
    <n v="0"/>
    <n v="0"/>
    <n v="0"/>
  </r>
  <r>
    <x v="2"/>
    <x v="0"/>
    <s v="S12000041"/>
    <x v="26"/>
    <n v="0"/>
    <n v="0"/>
    <n v="0"/>
    <n v="0"/>
  </r>
  <r>
    <x v="2"/>
    <x v="0"/>
    <s v="S12000042"/>
    <x v="27"/>
    <n v="0"/>
    <n v="0"/>
    <n v="0"/>
    <n v="0"/>
  </r>
  <r>
    <x v="2"/>
    <x v="0"/>
    <s v="S12000044"/>
    <x v="28"/>
    <n v="0"/>
    <n v="0"/>
    <n v="0"/>
    <n v="0"/>
  </r>
  <r>
    <x v="2"/>
    <x v="0"/>
    <s v="S12000045"/>
    <x v="29"/>
    <n v="0"/>
    <n v="0"/>
    <n v="0"/>
    <n v="0"/>
  </r>
  <r>
    <x v="2"/>
    <x v="0"/>
    <s v="S12000046"/>
    <x v="30"/>
    <n v="0"/>
    <n v="0"/>
    <n v="0"/>
    <n v="0"/>
  </r>
  <r>
    <x v="2"/>
    <x v="0"/>
    <s v="S12000047"/>
    <x v="31"/>
    <n v="0"/>
    <n v="0"/>
    <n v="0"/>
    <n v="0"/>
  </r>
  <r>
    <x v="3"/>
    <x v="0"/>
    <s v="S12000005"/>
    <x v="0"/>
    <n v="0"/>
    <n v="0"/>
    <n v="0"/>
    <n v="0"/>
  </r>
  <r>
    <x v="3"/>
    <x v="0"/>
    <s v="S12000006"/>
    <x v="1"/>
    <n v="5"/>
    <n v="1"/>
    <n v="1"/>
    <n v="3"/>
  </r>
  <r>
    <x v="3"/>
    <x v="0"/>
    <s v="S12000008"/>
    <x v="2"/>
    <n v="0"/>
    <n v="0"/>
    <n v="0"/>
    <n v="0"/>
  </r>
  <r>
    <x v="3"/>
    <x v="0"/>
    <s v="S12000010"/>
    <x v="3"/>
    <n v="0"/>
    <n v="0"/>
    <n v="0"/>
    <n v="0"/>
  </r>
  <r>
    <x v="3"/>
    <x v="0"/>
    <s v="S12000011"/>
    <x v="4"/>
    <n v="0"/>
    <n v="0"/>
    <n v="0"/>
    <n v="0"/>
  </r>
  <r>
    <x v="3"/>
    <x v="0"/>
    <s v="S12000013"/>
    <x v="5"/>
    <n v="0"/>
    <n v="0"/>
    <n v="0"/>
    <n v="0"/>
  </r>
  <r>
    <x v="3"/>
    <x v="0"/>
    <s v="S12000014"/>
    <x v="6"/>
    <n v="0"/>
    <n v="0"/>
    <n v="0"/>
    <n v="0"/>
  </r>
  <r>
    <x v="3"/>
    <x v="0"/>
    <s v="S12000017"/>
    <x v="7"/>
    <n v="67"/>
    <n v="7"/>
    <n v="13"/>
    <n v="47"/>
  </r>
  <r>
    <x v="3"/>
    <x v="0"/>
    <s v="S12000018"/>
    <x v="8"/>
    <n v="0"/>
    <n v="0"/>
    <n v="0"/>
    <n v="0"/>
  </r>
  <r>
    <x v="3"/>
    <x v="0"/>
    <s v="S12000019"/>
    <x v="9"/>
    <n v="0"/>
    <n v="0"/>
    <n v="0"/>
    <n v="0"/>
  </r>
  <r>
    <x v="3"/>
    <x v="0"/>
    <s v="S12000020"/>
    <x v="10"/>
    <n v="4"/>
    <n v="1"/>
    <n v="2"/>
    <n v="1"/>
  </r>
  <r>
    <x v="3"/>
    <x v="0"/>
    <s v="S12000021"/>
    <x v="11"/>
    <n v="18"/>
    <n v="3"/>
    <n v="4"/>
    <n v="11"/>
  </r>
  <r>
    <x v="3"/>
    <x v="0"/>
    <s v="S12000023"/>
    <x v="12"/>
    <n v="0"/>
    <n v="0"/>
    <n v="0"/>
    <n v="0"/>
  </r>
  <r>
    <x v="3"/>
    <x v="0"/>
    <s v="S12000024"/>
    <x v="13"/>
    <n v="23"/>
    <n v="0"/>
    <n v="3"/>
    <n v="20"/>
  </r>
  <r>
    <x v="3"/>
    <x v="0"/>
    <s v="S12000026"/>
    <x v="14"/>
    <n v="0"/>
    <n v="0"/>
    <n v="0"/>
    <n v="0"/>
  </r>
  <r>
    <x v="3"/>
    <x v="0"/>
    <s v="S12000027"/>
    <x v="15"/>
    <n v="0"/>
    <n v="0"/>
    <n v="0"/>
    <n v="0"/>
  </r>
  <r>
    <x v="3"/>
    <x v="0"/>
    <s v="S12000028"/>
    <x v="16"/>
    <n v="0"/>
    <n v="0"/>
    <n v="0"/>
    <n v="0"/>
  </r>
  <r>
    <x v="3"/>
    <x v="0"/>
    <s v="S12000029"/>
    <x v="17"/>
    <n v="3"/>
    <n v="1"/>
    <n v="0"/>
    <n v="2"/>
  </r>
  <r>
    <x v="3"/>
    <x v="0"/>
    <s v="S12000030"/>
    <x v="18"/>
    <n v="0"/>
    <n v="0"/>
    <n v="0"/>
    <n v="0"/>
  </r>
  <r>
    <x v="3"/>
    <x v="0"/>
    <s v="S12000033"/>
    <x v="19"/>
    <n v="0"/>
    <n v="0"/>
    <n v="0"/>
    <n v="0"/>
  </r>
  <r>
    <x v="3"/>
    <x v="0"/>
    <s v="S12000034"/>
    <x v="20"/>
    <n v="0"/>
    <n v="0"/>
    <n v="0"/>
    <n v="0"/>
  </r>
  <r>
    <x v="3"/>
    <x v="0"/>
    <s v="S12000035"/>
    <x v="21"/>
    <n v="200"/>
    <n v="24"/>
    <n v="21"/>
    <n v="155"/>
  </r>
  <r>
    <x v="3"/>
    <x v="0"/>
    <s v="S12000036"/>
    <x v="22"/>
    <n v="0"/>
    <n v="0"/>
    <n v="0"/>
    <n v="0"/>
  </r>
  <r>
    <x v="3"/>
    <x v="0"/>
    <s v="S12000038"/>
    <x v="23"/>
    <n v="0"/>
    <n v="0"/>
    <n v="0"/>
    <n v="0"/>
  </r>
  <r>
    <x v="3"/>
    <x v="0"/>
    <s v="S12000039"/>
    <x v="24"/>
    <n v="0"/>
    <n v="0"/>
    <n v="0"/>
    <n v="0"/>
  </r>
  <r>
    <x v="3"/>
    <x v="0"/>
    <s v="S12000040"/>
    <x v="25"/>
    <n v="0"/>
    <n v="0"/>
    <n v="0"/>
    <n v="0"/>
  </r>
  <r>
    <x v="3"/>
    <x v="0"/>
    <s v="S12000041"/>
    <x v="26"/>
    <n v="0"/>
    <n v="0"/>
    <n v="0"/>
    <n v="0"/>
  </r>
  <r>
    <x v="3"/>
    <x v="0"/>
    <s v="S12000042"/>
    <x v="27"/>
    <n v="0"/>
    <n v="0"/>
    <n v="0"/>
    <n v="0"/>
  </r>
  <r>
    <x v="3"/>
    <x v="0"/>
    <s v="S12000044"/>
    <x v="28"/>
    <n v="0"/>
    <n v="0"/>
    <n v="0"/>
    <n v="0"/>
  </r>
  <r>
    <x v="3"/>
    <x v="0"/>
    <s v="S12000045"/>
    <x v="29"/>
    <n v="0"/>
    <n v="0"/>
    <n v="0"/>
    <n v="0"/>
  </r>
  <r>
    <x v="3"/>
    <x v="0"/>
    <s v="S12000046"/>
    <x v="30"/>
    <n v="0"/>
    <n v="0"/>
    <n v="0"/>
    <n v="0"/>
  </r>
  <r>
    <x v="3"/>
    <x v="0"/>
    <s v="S12000047"/>
    <x v="31"/>
    <n v="0"/>
    <n v="0"/>
    <n v="0"/>
    <n v="0"/>
  </r>
  <r>
    <x v="4"/>
    <x v="0"/>
    <s v="S12000006"/>
    <x v="1"/>
    <n v="4"/>
    <n v="1"/>
    <m/>
    <n v="3"/>
  </r>
  <r>
    <x v="4"/>
    <x v="0"/>
    <s v="S12000017"/>
    <x v="7"/>
    <n v="64"/>
    <n v="7"/>
    <n v="11"/>
    <n v="46"/>
  </r>
  <r>
    <x v="4"/>
    <x v="0"/>
    <s v="S12000020"/>
    <x v="10"/>
    <n v="4"/>
    <n v="2"/>
    <n v="1"/>
    <n v="1"/>
  </r>
  <r>
    <x v="4"/>
    <x v="0"/>
    <s v="S12000021"/>
    <x v="11"/>
    <n v="23"/>
    <n v="3"/>
    <n v="3"/>
    <n v="17"/>
  </r>
  <r>
    <x v="4"/>
    <x v="0"/>
    <s v="S12000024"/>
    <x v="13"/>
    <n v="28"/>
    <m/>
    <n v="3"/>
    <n v="25"/>
  </r>
  <r>
    <x v="4"/>
    <x v="0"/>
    <s v="S12000029"/>
    <x v="17"/>
    <n v="2"/>
    <n v="1"/>
    <m/>
    <n v="1"/>
  </r>
  <r>
    <x v="4"/>
    <x v="0"/>
    <s v="S12000035"/>
    <x v="21"/>
    <n v="211"/>
    <n v="25"/>
    <n v="22"/>
    <n v="164"/>
  </r>
  <r>
    <x v="5"/>
    <x v="0"/>
    <s v="S12000006"/>
    <x v="1"/>
    <n v="6"/>
    <n v="1"/>
    <n v="0"/>
    <n v="5"/>
  </r>
  <r>
    <x v="5"/>
    <x v="0"/>
    <s v="S12000017"/>
    <x v="7"/>
    <n v="62"/>
    <n v="7"/>
    <n v="12"/>
    <n v="43"/>
  </r>
  <r>
    <x v="5"/>
    <x v="0"/>
    <s v="S12000020"/>
    <x v="10"/>
    <n v="4"/>
    <n v="1"/>
    <n v="2"/>
    <n v="1"/>
  </r>
  <r>
    <x v="5"/>
    <x v="0"/>
    <s v="S12000021"/>
    <x v="11"/>
    <n v="22"/>
    <n v="3"/>
    <n v="3"/>
    <n v="16"/>
  </r>
  <r>
    <x v="5"/>
    <x v="0"/>
    <s v="S12000029"/>
    <x v="17"/>
    <n v="2"/>
    <n v="1"/>
    <n v="0"/>
    <n v="1"/>
  </r>
  <r>
    <x v="5"/>
    <x v="0"/>
    <s v="S12000035"/>
    <x v="21"/>
    <n v="203"/>
    <n v="25"/>
    <n v="22"/>
    <n v="156"/>
  </r>
  <r>
    <x v="5"/>
    <x v="0"/>
    <s v="S12000048"/>
    <x v="13"/>
    <n v="22"/>
    <n v="0"/>
    <n v="3"/>
    <n v="19"/>
  </r>
  <r>
    <x v="6"/>
    <x v="0"/>
    <s v="S40000003"/>
    <x v="21"/>
    <n v="212"/>
    <n v="25"/>
    <n v="22"/>
    <n v="165"/>
  </r>
  <r>
    <x v="6"/>
    <x v="0"/>
    <s v="S40000003"/>
    <x v="1"/>
    <n v="5"/>
    <n v="1"/>
    <n v="1"/>
    <n v="3"/>
  </r>
  <r>
    <x v="6"/>
    <x v="0"/>
    <s v="S40000003"/>
    <x v="11"/>
    <n v="22"/>
    <n v="3"/>
    <n v="3"/>
    <n v="16"/>
  </r>
  <r>
    <x v="6"/>
    <x v="0"/>
    <s v="S40000003"/>
    <x v="17"/>
    <n v="2"/>
    <n v="1"/>
    <n v="0"/>
    <n v="1"/>
  </r>
  <r>
    <x v="6"/>
    <x v="0"/>
    <s v="S40000005"/>
    <x v="7"/>
    <n v="49"/>
    <n v="6"/>
    <n v="10"/>
    <n v="33"/>
  </r>
  <r>
    <x v="6"/>
    <x v="0"/>
    <s v="S40000005"/>
    <x v="10"/>
    <n v="4"/>
    <n v="1"/>
    <n v="2"/>
    <n v="1"/>
  </r>
  <r>
    <x v="6"/>
    <x v="0"/>
    <s v="S40000005"/>
    <x v="13"/>
    <n v="21"/>
    <n v="0"/>
    <n v="3"/>
    <n v="18"/>
  </r>
  <r>
    <x v="7"/>
    <x v="0"/>
    <s v="S40000003"/>
    <x v="21"/>
    <n v="201"/>
    <n v="25"/>
    <n v="22"/>
    <n v="154"/>
  </r>
  <r>
    <x v="7"/>
    <x v="0"/>
    <s v="S40000003"/>
    <x v="1"/>
    <n v="6"/>
    <n v="1"/>
    <n v="1"/>
    <n v="4"/>
  </r>
  <r>
    <x v="7"/>
    <x v="0"/>
    <s v="S40000003"/>
    <x v="11"/>
    <n v="22"/>
    <n v="3"/>
    <n v="3"/>
    <n v="16"/>
  </r>
  <r>
    <x v="7"/>
    <x v="0"/>
    <s v="S40000003"/>
    <x v="17"/>
    <n v="2"/>
    <n v="1"/>
    <n v="0"/>
    <n v="1"/>
  </r>
  <r>
    <x v="7"/>
    <x v="0"/>
    <s v="S40000005"/>
    <x v="7"/>
    <n v="48"/>
    <n v="6"/>
    <n v="12"/>
    <n v="30"/>
  </r>
  <r>
    <x v="7"/>
    <x v="0"/>
    <s v="S40000005"/>
    <x v="10"/>
    <n v="3"/>
    <n v="1"/>
    <n v="2"/>
    <n v="0"/>
  </r>
  <r>
    <x v="7"/>
    <x v="0"/>
    <s v="S40000005"/>
    <x v="13"/>
    <n v="21"/>
    <n v="0"/>
    <n v="3"/>
    <n v="18"/>
  </r>
  <r>
    <x v="8"/>
    <x v="0"/>
    <m/>
    <x v="21"/>
    <n v="183"/>
    <n v="24"/>
    <n v="21"/>
    <n v="138"/>
  </r>
  <r>
    <x v="8"/>
    <x v="0"/>
    <m/>
    <x v="1"/>
    <n v="6"/>
    <n v="1"/>
    <n v="1"/>
    <n v="4"/>
  </r>
  <r>
    <x v="8"/>
    <x v="0"/>
    <m/>
    <x v="7"/>
    <n v="45"/>
    <n v="7"/>
    <n v="12"/>
    <n v="26"/>
  </r>
  <r>
    <x v="8"/>
    <x v="0"/>
    <m/>
    <x v="11"/>
    <n v="19"/>
    <n v="3"/>
    <n v="3"/>
    <n v="13"/>
  </r>
  <r>
    <x v="8"/>
    <x v="0"/>
    <m/>
    <x v="13"/>
    <n v="22"/>
    <n v="0"/>
    <n v="3"/>
    <n v="19"/>
  </r>
  <r>
    <x v="8"/>
    <x v="0"/>
    <m/>
    <x v="17"/>
    <n v="2"/>
    <n v="1"/>
    <n v="0"/>
    <n v="1"/>
  </r>
  <r>
    <x v="9"/>
    <x v="0"/>
    <m/>
    <x v="21"/>
    <n v="172"/>
    <n v="25"/>
    <n v="21"/>
    <n v="126"/>
  </r>
  <r>
    <x v="9"/>
    <x v="0"/>
    <m/>
    <x v="1"/>
    <n v="6"/>
    <n v="1"/>
    <n v="1"/>
    <n v="4"/>
  </r>
  <r>
    <x v="9"/>
    <x v="0"/>
    <m/>
    <x v="7"/>
    <n v="42"/>
    <n v="6"/>
    <n v="11"/>
    <n v="25"/>
  </r>
  <r>
    <x v="9"/>
    <x v="0"/>
    <m/>
    <x v="10"/>
    <n v="3"/>
    <n v="1"/>
    <n v="2"/>
    <n v="0"/>
  </r>
  <r>
    <x v="9"/>
    <x v="0"/>
    <m/>
    <x v="11"/>
    <n v="20"/>
    <n v="3"/>
    <n v="2"/>
    <n v="15"/>
  </r>
  <r>
    <x v="9"/>
    <x v="0"/>
    <m/>
    <x v="13"/>
    <n v="21"/>
    <n v="0"/>
    <n v="3"/>
    <n v="18"/>
  </r>
  <r>
    <x v="9"/>
    <x v="0"/>
    <m/>
    <x v="17"/>
    <n v="2"/>
    <n v="1"/>
    <n v="0"/>
    <n v="1"/>
  </r>
  <r>
    <x v="10"/>
    <x v="0"/>
    <m/>
    <x v="21"/>
    <n v="172"/>
    <n v="25"/>
    <n v="21"/>
    <n v="126"/>
  </r>
  <r>
    <x v="10"/>
    <x v="0"/>
    <m/>
    <x v="1"/>
    <n v="7"/>
    <n v="1"/>
    <n v="2"/>
    <n v="4"/>
  </r>
  <r>
    <x v="10"/>
    <x v="0"/>
    <m/>
    <x v="7"/>
    <n v="47"/>
    <n v="6"/>
    <n v="11"/>
    <n v="30"/>
  </r>
  <r>
    <x v="10"/>
    <x v="0"/>
    <m/>
    <x v="10"/>
    <n v="3"/>
    <n v="1"/>
    <n v="2"/>
    <n v="0"/>
  </r>
  <r>
    <x v="10"/>
    <x v="0"/>
    <m/>
    <x v="11"/>
    <n v="19"/>
    <n v="2"/>
    <n v="2"/>
    <n v="15"/>
  </r>
  <r>
    <x v="10"/>
    <x v="0"/>
    <m/>
    <x v="13"/>
    <n v="21"/>
    <n v="0"/>
    <n v="3"/>
    <n v="18"/>
  </r>
  <r>
    <x v="11"/>
    <x v="0"/>
    <m/>
    <x v="21"/>
    <n v="181"/>
    <n v="25"/>
    <n v="22"/>
    <n v="134"/>
  </r>
  <r>
    <x v="11"/>
    <x v="0"/>
    <m/>
    <x v="1"/>
    <n v="6"/>
    <n v="1"/>
    <n v="2"/>
    <n v="3"/>
  </r>
  <r>
    <x v="11"/>
    <x v="0"/>
    <m/>
    <x v="7"/>
    <n v="43"/>
    <n v="6"/>
    <n v="10"/>
    <n v="27"/>
  </r>
  <r>
    <x v="11"/>
    <x v="0"/>
    <m/>
    <x v="10"/>
    <n v="3"/>
    <n v="1"/>
    <n v="2"/>
    <n v="0"/>
  </r>
  <r>
    <x v="11"/>
    <x v="0"/>
    <m/>
    <x v="11"/>
    <n v="19"/>
    <n v="2"/>
    <n v="2"/>
    <n v="15"/>
  </r>
  <r>
    <x v="11"/>
    <x v="0"/>
    <m/>
    <x v="13"/>
    <n v="21"/>
    <n v="1"/>
    <n v="3"/>
    <n v="1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x v="0"/>
    <s v="S12000005"/>
    <x v="0"/>
    <n v="43"/>
    <n v="0"/>
    <n v="0"/>
    <n v="9"/>
    <n v="30"/>
    <n v="0"/>
    <n v="0"/>
    <n v="4"/>
  </r>
  <r>
    <x v="0"/>
    <x v="0"/>
    <s v="S12000006"/>
    <x v="1"/>
    <n v="69"/>
    <n v="0"/>
    <n v="0"/>
    <n v="11"/>
    <n v="53"/>
    <n v="0"/>
    <n v="0"/>
    <n v="5"/>
  </r>
  <r>
    <x v="0"/>
    <x v="0"/>
    <s v="S12000008"/>
    <x v="2"/>
    <n v="59"/>
    <n v="0"/>
    <n v="0"/>
    <n v="11"/>
    <n v="40"/>
    <n v="0"/>
    <n v="0"/>
    <n v="8"/>
  </r>
  <r>
    <x v="0"/>
    <x v="0"/>
    <s v="S12000010"/>
    <x v="3"/>
    <n v="29"/>
    <n v="0"/>
    <n v="0"/>
    <n v="5"/>
    <n v="21"/>
    <n v="0"/>
    <n v="0"/>
    <n v="3"/>
  </r>
  <r>
    <x v="0"/>
    <x v="0"/>
    <s v="S12000011"/>
    <x v="4"/>
    <n v="59"/>
    <n v="0"/>
    <n v="0"/>
    <n v="14"/>
    <n v="34"/>
    <n v="0"/>
    <n v="0"/>
    <n v="11"/>
  </r>
  <r>
    <x v="0"/>
    <x v="0"/>
    <s v="S12000013"/>
    <x v="5"/>
    <n v="0"/>
    <n v="0"/>
    <n v="0"/>
    <n v="0"/>
    <n v="0"/>
    <n v="0"/>
    <n v="0"/>
    <n v="0"/>
  </r>
  <r>
    <x v="0"/>
    <x v="0"/>
    <s v="S12000014"/>
    <x v="6"/>
    <n v="96"/>
    <n v="0"/>
    <n v="0"/>
    <n v="18"/>
    <n v="65"/>
    <n v="0"/>
    <n v="1"/>
    <n v="12"/>
  </r>
  <r>
    <x v="0"/>
    <x v="0"/>
    <s v="S12000017"/>
    <x v="7"/>
    <n v="81"/>
    <n v="0"/>
    <n v="0"/>
    <n v="9"/>
    <n v="60"/>
    <n v="0"/>
    <n v="2"/>
    <n v="10"/>
  </r>
  <r>
    <x v="0"/>
    <x v="0"/>
    <s v="S12000018"/>
    <x v="8"/>
    <n v="78"/>
    <n v="0"/>
    <n v="0"/>
    <n v="18"/>
    <n v="49"/>
    <n v="0"/>
    <n v="0"/>
    <n v="11"/>
  </r>
  <r>
    <x v="0"/>
    <x v="0"/>
    <s v="S12000019"/>
    <x v="9"/>
    <n v="35"/>
    <n v="0"/>
    <n v="0"/>
    <n v="4"/>
    <n v="26"/>
    <n v="0"/>
    <n v="0"/>
    <n v="5"/>
  </r>
  <r>
    <x v="0"/>
    <x v="0"/>
    <s v="S12000020"/>
    <x v="10"/>
    <n v="20"/>
    <n v="0"/>
    <n v="0"/>
    <n v="2"/>
    <n v="15"/>
    <n v="0"/>
    <n v="0"/>
    <n v="3"/>
  </r>
  <r>
    <x v="0"/>
    <x v="0"/>
    <s v="S12000021"/>
    <x v="11"/>
    <n v="76"/>
    <n v="0"/>
    <n v="0"/>
    <n v="13"/>
    <n v="50"/>
    <n v="0"/>
    <n v="0"/>
    <n v="13"/>
  </r>
  <r>
    <x v="0"/>
    <x v="0"/>
    <s v="S12000023"/>
    <x v="12"/>
    <n v="0"/>
    <n v="0"/>
    <n v="0"/>
    <n v="0"/>
    <n v="0"/>
    <n v="0"/>
    <n v="0"/>
    <n v="0"/>
  </r>
  <r>
    <x v="0"/>
    <x v="0"/>
    <s v="S12000024"/>
    <x v="13"/>
    <n v="88"/>
    <n v="0"/>
    <n v="0"/>
    <n v="14"/>
    <n v="61"/>
    <n v="0"/>
    <n v="2"/>
    <n v="11"/>
  </r>
  <r>
    <x v="0"/>
    <x v="0"/>
    <s v="S12000026"/>
    <x v="14"/>
    <n v="75"/>
    <n v="0"/>
    <n v="0"/>
    <n v="11"/>
    <n v="54"/>
    <n v="0"/>
    <n v="0"/>
    <n v="10"/>
  </r>
  <r>
    <x v="0"/>
    <x v="0"/>
    <s v="S12000027"/>
    <x v="15"/>
    <n v="0"/>
    <n v="0"/>
    <n v="0"/>
    <n v="0"/>
    <n v="0"/>
    <n v="0"/>
    <n v="0"/>
    <n v="0"/>
  </r>
  <r>
    <x v="0"/>
    <x v="0"/>
    <s v="S12000028"/>
    <x v="16"/>
    <n v="65"/>
    <n v="0"/>
    <n v="0"/>
    <n v="10"/>
    <n v="47"/>
    <n v="0"/>
    <n v="0"/>
    <n v="8"/>
  </r>
  <r>
    <x v="0"/>
    <x v="0"/>
    <s v="S12000029"/>
    <x v="17"/>
    <n v="190"/>
    <n v="0"/>
    <n v="0"/>
    <n v="33"/>
    <n v="129"/>
    <n v="0"/>
    <n v="2"/>
    <n v="26"/>
  </r>
  <r>
    <x v="0"/>
    <x v="0"/>
    <s v="S12000030"/>
    <x v="18"/>
    <n v="61.76"/>
    <n v="0"/>
    <n v="0"/>
    <n v="10"/>
    <n v="41.76"/>
    <n v="0"/>
    <n v="0"/>
    <n v="10"/>
  </r>
  <r>
    <x v="0"/>
    <x v="0"/>
    <s v="S12000033"/>
    <x v="19"/>
    <n v="174"/>
    <n v="0"/>
    <n v="0"/>
    <n v="24"/>
    <n v="128"/>
    <n v="0"/>
    <n v="0"/>
    <n v="22"/>
  </r>
  <r>
    <x v="0"/>
    <x v="0"/>
    <s v="S12000034"/>
    <x v="20"/>
    <n v="23"/>
    <n v="0"/>
    <n v="0"/>
    <n v="3"/>
    <n v="16"/>
    <n v="0"/>
    <n v="0"/>
    <n v="4"/>
  </r>
  <r>
    <x v="0"/>
    <x v="0"/>
    <s v="S12000035"/>
    <x v="21"/>
    <n v="58"/>
    <n v="0"/>
    <n v="0"/>
    <n v="10"/>
    <n v="31"/>
    <n v="0"/>
    <n v="2"/>
    <n v="15"/>
  </r>
  <r>
    <x v="0"/>
    <x v="0"/>
    <s v="S12000036"/>
    <x v="22"/>
    <n v="370"/>
    <n v="0"/>
    <n v="0"/>
    <n v="70"/>
    <n v="275"/>
    <n v="0"/>
    <n v="0"/>
    <n v="25"/>
  </r>
  <r>
    <x v="0"/>
    <x v="0"/>
    <s v="S12000038"/>
    <x v="23"/>
    <n v="116"/>
    <n v="0"/>
    <n v="0"/>
    <n v="22"/>
    <n v="74"/>
    <n v="0"/>
    <n v="1"/>
    <n v="19"/>
  </r>
  <r>
    <x v="0"/>
    <x v="0"/>
    <s v="S12000039"/>
    <x v="24"/>
    <n v="80"/>
    <n v="0"/>
    <n v="0"/>
    <n v="18"/>
    <n v="52"/>
    <n v="0"/>
    <n v="0"/>
    <n v="10"/>
  </r>
  <r>
    <x v="0"/>
    <x v="0"/>
    <s v="S12000040"/>
    <x v="25"/>
    <n v="85"/>
    <n v="0"/>
    <n v="0"/>
    <n v="14"/>
    <n v="61"/>
    <n v="0"/>
    <n v="0"/>
    <n v="10"/>
  </r>
  <r>
    <x v="0"/>
    <x v="0"/>
    <s v="S12000041"/>
    <x v="26"/>
    <n v="35"/>
    <n v="0"/>
    <n v="0"/>
    <n v="0"/>
    <n v="25"/>
    <n v="0"/>
    <n v="1"/>
    <n v="9"/>
  </r>
  <r>
    <x v="0"/>
    <x v="0"/>
    <s v="S12000042"/>
    <x v="27"/>
    <n v="215"/>
    <n v="0"/>
    <n v="0"/>
    <n v="29"/>
    <n v="162"/>
    <n v="0"/>
    <n v="1"/>
    <n v="23"/>
  </r>
  <r>
    <x v="0"/>
    <x v="0"/>
    <s v="S12000044"/>
    <x v="28"/>
    <n v="188"/>
    <n v="0"/>
    <n v="0"/>
    <n v="34"/>
    <n v="129"/>
    <n v="0"/>
    <n v="1"/>
    <n v="24"/>
  </r>
  <r>
    <x v="0"/>
    <x v="0"/>
    <s v="S12000045"/>
    <x v="29"/>
    <n v="74"/>
    <n v="0"/>
    <n v="0"/>
    <n v="15"/>
    <n v="45"/>
    <n v="0"/>
    <n v="0"/>
    <n v="14"/>
  </r>
  <r>
    <x v="0"/>
    <x v="0"/>
    <s v="S12000046"/>
    <x v="30"/>
    <n v="560"/>
    <n v="0"/>
    <n v="0"/>
    <n v="119"/>
    <n v="373"/>
    <n v="0"/>
    <n v="0"/>
    <n v="68"/>
  </r>
  <r>
    <x v="0"/>
    <x v="0"/>
    <s v="S12000047"/>
    <x v="31"/>
    <n v="289"/>
    <n v="0"/>
    <n v="0"/>
    <n v="58"/>
    <n v="208"/>
    <n v="0"/>
    <n v="0"/>
    <n v="23"/>
  </r>
  <r>
    <x v="0"/>
    <x v="1"/>
    <s v="S39000001"/>
    <x v="19"/>
    <n v="23"/>
    <n v="1"/>
    <n v="0"/>
    <n v="0"/>
    <n v="1"/>
    <n v="7"/>
    <n v="6"/>
    <n v="8"/>
  </r>
  <r>
    <x v="0"/>
    <x v="1"/>
    <s v="S39000002"/>
    <x v="32"/>
    <n v="15"/>
    <n v="1"/>
    <n v="0"/>
    <n v="0"/>
    <n v="0"/>
    <n v="2"/>
    <n v="4"/>
    <n v="8"/>
  </r>
  <r>
    <x v="0"/>
    <x v="1"/>
    <s v="S39000003"/>
    <x v="33"/>
    <n v="22"/>
    <n v="1"/>
    <n v="0"/>
    <n v="1"/>
    <n v="1"/>
    <n v="3"/>
    <n v="6"/>
    <n v="10"/>
  </r>
  <r>
    <x v="0"/>
    <x v="1"/>
    <s v="S39000004"/>
    <x v="1"/>
    <n v="16"/>
    <n v="0"/>
    <n v="0"/>
    <n v="0"/>
    <n v="0"/>
    <n v="2"/>
    <n v="5"/>
    <n v="9"/>
  </r>
  <r>
    <x v="0"/>
    <x v="1"/>
    <s v="S39000006"/>
    <x v="34"/>
    <n v="21"/>
    <n v="1"/>
    <n v="0"/>
    <n v="0"/>
    <n v="5"/>
    <n v="7"/>
    <n v="0"/>
    <n v="8"/>
  </r>
  <r>
    <x v="0"/>
    <x v="1"/>
    <s v="S39000007"/>
    <x v="35"/>
    <n v="12"/>
    <n v="1"/>
    <n v="0"/>
    <n v="0"/>
    <n v="1"/>
    <n v="3"/>
    <n v="5"/>
    <n v="2"/>
  </r>
  <r>
    <x v="0"/>
    <x v="1"/>
    <s v="S39000008"/>
    <x v="36"/>
    <n v="23"/>
    <n v="1"/>
    <n v="0"/>
    <n v="0"/>
    <n v="0"/>
    <n v="9"/>
    <n v="7"/>
    <n v="6"/>
  </r>
  <r>
    <x v="0"/>
    <x v="1"/>
    <s v="S39000009"/>
    <x v="37"/>
    <n v="26"/>
    <n v="2"/>
    <n v="0"/>
    <n v="3"/>
    <n v="2"/>
    <n v="9"/>
    <n v="3"/>
    <n v="7"/>
  </r>
  <r>
    <x v="0"/>
    <x v="1"/>
    <s v="S39000010"/>
    <x v="38"/>
    <n v="13"/>
    <n v="1"/>
    <n v="0"/>
    <n v="0"/>
    <n v="2"/>
    <n v="2"/>
    <n v="2"/>
    <n v="6"/>
  </r>
  <r>
    <x v="0"/>
    <x v="1"/>
    <s v="S39000012"/>
    <x v="30"/>
    <n v="28"/>
    <n v="1"/>
    <n v="0"/>
    <n v="0"/>
    <n v="3"/>
    <n v="4"/>
    <n v="10"/>
    <n v="10"/>
  </r>
  <r>
    <x v="0"/>
    <x v="1"/>
    <s v="S39000013"/>
    <x v="39"/>
    <n v="13"/>
    <n v="1"/>
    <n v="0"/>
    <n v="0"/>
    <n v="0"/>
    <n v="4"/>
    <n v="7"/>
    <n v="1"/>
  </r>
  <r>
    <x v="0"/>
    <x v="1"/>
    <s v="S39000014"/>
    <x v="28"/>
    <n v="14"/>
    <n v="1"/>
    <n v="0"/>
    <n v="1"/>
    <n v="0"/>
    <n v="2"/>
    <n v="6"/>
    <n v="4"/>
  </r>
  <r>
    <x v="0"/>
    <x v="1"/>
    <s v="S39000015"/>
    <x v="17"/>
    <n v="10"/>
    <n v="1"/>
    <n v="0"/>
    <n v="0"/>
    <n v="0"/>
    <n v="3"/>
    <n v="4"/>
    <n v="2"/>
  </r>
  <r>
    <x v="0"/>
    <x v="1"/>
    <s v="S39000016"/>
    <x v="40"/>
    <n v="8"/>
    <n v="1"/>
    <n v="0"/>
    <n v="0"/>
    <n v="0"/>
    <n v="3"/>
    <n v="4"/>
    <n v="0"/>
  </r>
  <r>
    <x v="0"/>
    <x v="1"/>
    <s v="S39000017"/>
    <x v="41"/>
    <n v="9"/>
    <n v="1"/>
    <n v="0"/>
    <n v="0"/>
    <n v="0"/>
    <n v="3"/>
    <n v="5"/>
    <n v="0"/>
  </r>
  <r>
    <x v="0"/>
    <x v="1"/>
    <s v="S39000018"/>
    <x v="42"/>
    <n v="11"/>
    <n v="1"/>
    <n v="0"/>
    <n v="0"/>
    <n v="0"/>
    <n v="3"/>
    <n v="5"/>
    <n v="2"/>
  </r>
  <r>
    <x v="0"/>
    <x v="1"/>
    <s v="S39000019"/>
    <x v="31"/>
    <n v="21"/>
    <n v="1"/>
    <n v="0"/>
    <n v="0"/>
    <n v="0"/>
    <n v="3"/>
    <n v="6"/>
    <n v="11"/>
  </r>
  <r>
    <x v="0"/>
    <x v="2"/>
    <s v="S40000003"/>
    <x v="43"/>
    <n v="111"/>
    <n v="3"/>
    <n v="1"/>
    <n v="8"/>
    <n v="0"/>
    <n v="12"/>
    <n v="8"/>
    <n v="79"/>
  </r>
  <r>
    <x v="0"/>
    <x v="2"/>
    <s v="S40000004"/>
    <x v="44"/>
    <n v="80"/>
    <n v="1"/>
    <n v="1"/>
    <n v="8"/>
    <n v="3"/>
    <n v="3"/>
    <n v="15"/>
    <n v="49"/>
  </r>
  <r>
    <x v="0"/>
    <x v="2"/>
    <s v="S40000005"/>
    <x v="45"/>
    <n v="77"/>
    <n v="2"/>
    <n v="1"/>
    <n v="24"/>
    <n v="1"/>
    <n v="9"/>
    <n v="10"/>
    <n v="30"/>
  </r>
  <r>
    <x v="0"/>
    <x v="3"/>
    <s v="S92000003"/>
    <x v="46"/>
    <n v="56"/>
    <n v="5"/>
    <n v="6"/>
    <n v="7"/>
    <n v="0"/>
    <n v="22"/>
    <n v="5"/>
    <n v="11"/>
  </r>
  <r>
    <x v="0"/>
    <x v="4"/>
    <s v="S92000003"/>
    <x v="46"/>
    <n v="4000.76"/>
    <n v="28"/>
    <n v="9"/>
    <n v="660"/>
    <n v="2373.7600000000002"/>
    <n v="115"/>
    <n v="136"/>
    <n v="679"/>
  </r>
  <r>
    <x v="1"/>
    <x v="0"/>
    <s v="S12000005"/>
    <x v="0"/>
    <n v="37"/>
    <m/>
    <m/>
    <n v="8"/>
    <n v="25"/>
    <m/>
    <n v="0"/>
    <n v="4"/>
  </r>
  <r>
    <x v="1"/>
    <x v="0"/>
    <s v="S12000006"/>
    <x v="1"/>
    <n v="69"/>
    <m/>
    <m/>
    <n v="11"/>
    <n v="52"/>
    <m/>
    <n v="0"/>
    <n v="6"/>
  </r>
  <r>
    <x v="1"/>
    <x v="0"/>
    <s v="S12000008"/>
    <x v="2"/>
    <n v="56"/>
    <m/>
    <m/>
    <n v="9"/>
    <n v="39"/>
    <m/>
    <n v="0"/>
    <n v="8"/>
  </r>
  <r>
    <x v="1"/>
    <x v="0"/>
    <s v="S12000010"/>
    <x v="3"/>
    <n v="28"/>
    <m/>
    <m/>
    <n v="3"/>
    <n v="21"/>
    <m/>
    <n v="0"/>
    <n v="4"/>
  </r>
  <r>
    <x v="1"/>
    <x v="0"/>
    <s v="S12000011"/>
    <x v="4"/>
    <n v="57"/>
    <m/>
    <m/>
    <n v="13"/>
    <n v="35"/>
    <m/>
    <n v="0"/>
    <n v="9"/>
  </r>
  <r>
    <x v="1"/>
    <x v="0"/>
    <s v="S12000013"/>
    <x v="5"/>
    <n v="0"/>
    <m/>
    <m/>
    <n v="0"/>
    <n v="0"/>
    <m/>
    <n v="0"/>
    <n v="0"/>
  </r>
  <r>
    <x v="1"/>
    <x v="0"/>
    <s v="S12000014"/>
    <x v="6"/>
    <n v="94"/>
    <m/>
    <m/>
    <n v="17"/>
    <n v="60"/>
    <m/>
    <n v="2"/>
    <n v="15"/>
  </r>
  <r>
    <x v="1"/>
    <x v="0"/>
    <s v="S12000017"/>
    <x v="7"/>
    <n v="81"/>
    <m/>
    <m/>
    <n v="11"/>
    <n v="57"/>
    <m/>
    <n v="1"/>
    <n v="12"/>
  </r>
  <r>
    <x v="1"/>
    <x v="0"/>
    <s v="S12000018"/>
    <x v="8"/>
    <n v="77"/>
    <m/>
    <m/>
    <n v="16"/>
    <n v="49"/>
    <m/>
    <n v="0"/>
    <n v="12"/>
  </r>
  <r>
    <x v="1"/>
    <x v="0"/>
    <s v="S12000019"/>
    <x v="9"/>
    <n v="35"/>
    <m/>
    <m/>
    <n v="4"/>
    <n v="26"/>
    <m/>
    <n v="0"/>
    <n v="5"/>
  </r>
  <r>
    <x v="1"/>
    <x v="0"/>
    <s v="S12000020"/>
    <x v="10"/>
    <n v="21"/>
    <m/>
    <m/>
    <n v="3"/>
    <n v="14"/>
    <m/>
    <n v="0"/>
    <n v="4"/>
  </r>
  <r>
    <x v="1"/>
    <x v="0"/>
    <s v="S12000021"/>
    <x v="11"/>
    <n v="78"/>
    <m/>
    <m/>
    <n v="14"/>
    <n v="50"/>
    <m/>
    <n v="0"/>
    <n v="14"/>
  </r>
  <r>
    <x v="1"/>
    <x v="0"/>
    <s v="S12000023"/>
    <x v="12"/>
    <n v="0"/>
    <m/>
    <m/>
    <n v="0"/>
    <n v="0"/>
    <m/>
    <n v="0"/>
    <n v="0"/>
  </r>
  <r>
    <x v="1"/>
    <x v="0"/>
    <s v="S12000024"/>
    <x v="13"/>
    <n v="86"/>
    <m/>
    <m/>
    <n v="16"/>
    <n v="58"/>
    <m/>
    <n v="1"/>
    <n v="11"/>
  </r>
  <r>
    <x v="1"/>
    <x v="0"/>
    <s v="S12000026"/>
    <x v="14"/>
    <n v="73"/>
    <m/>
    <m/>
    <n v="11"/>
    <n v="51"/>
    <m/>
    <n v="0"/>
    <n v="11"/>
  </r>
  <r>
    <x v="1"/>
    <x v="0"/>
    <s v="S12000027"/>
    <x v="15"/>
    <n v="0"/>
    <m/>
    <m/>
    <n v="0"/>
    <n v="0"/>
    <m/>
    <n v="0"/>
    <n v="0"/>
  </r>
  <r>
    <x v="1"/>
    <x v="0"/>
    <s v="S12000028"/>
    <x v="16"/>
    <n v="60"/>
    <m/>
    <m/>
    <n v="9"/>
    <n v="43"/>
    <m/>
    <n v="0"/>
    <n v="8"/>
  </r>
  <r>
    <x v="1"/>
    <x v="0"/>
    <s v="S12000029"/>
    <x v="17"/>
    <n v="187"/>
    <m/>
    <m/>
    <n v="35"/>
    <n v="126"/>
    <m/>
    <n v="2"/>
    <n v="24"/>
  </r>
  <r>
    <x v="1"/>
    <x v="0"/>
    <s v="S12000030"/>
    <x v="18"/>
    <n v="55"/>
    <m/>
    <m/>
    <n v="10"/>
    <n v="37"/>
    <m/>
    <n v="0"/>
    <n v="8"/>
  </r>
  <r>
    <x v="1"/>
    <x v="0"/>
    <s v="S12000033"/>
    <x v="19"/>
    <n v="173"/>
    <m/>
    <m/>
    <n v="25"/>
    <n v="122"/>
    <m/>
    <n v="0"/>
    <n v="26"/>
  </r>
  <r>
    <x v="1"/>
    <x v="0"/>
    <s v="S12000034"/>
    <x v="20"/>
    <n v="23"/>
    <m/>
    <m/>
    <n v="3"/>
    <n v="18"/>
    <m/>
    <n v="0"/>
    <n v="2"/>
  </r>
  <r>
    <x v="1"/>
    <x v="0"/>
    <s v="S12000035"/>
    <x v="21"/>
    <n v="54"/>
    <m/>
    <m/>
    <n v="10"/>
    <n v="27"/>
    <m/>
    <n v="2"/>
    <n v="15"/>
  </r>
  <r>
    <x v="1"/>
    <x v="0"/>
    <s v="S12000036"/>
    <x v="22"/>
    <n v="348"/>
    <m/>
    <m/>
    <n v="64"/>
    <n v="257"/>
    <m/>
    <n v="1"/>
    <n v="26"/>
  </r>
  <r>
    <x v="1"/>
    <x v="0"/>
    <s v="S12000038"/>
    <x v="23"/>
    <n v="115"/>
    <m/>
    <m/>
    <n v="23"/>
    <n v="72"/>
    <m/>
    <n v="0"/>
    <n v="20"/>
  </r>
  <r>
    <x v="1"/>
    <x v="0"/>
    <s v="S12000039"/>
    <x v="24"/>
    <n v="74"/>
    <m/>
    <m/>
    <n v="20"/>
    <n v="45"/>
    <m/>
    <n v="0"/>
    <n v="9"/>
  </r>
  <r>
    <x v="1"/>
    <x v="0"/>
    <s v="S12000040"/>
    <x v="25"/>
    <n v="79"/>
    <m/>
    <m/>
    <n v="9"/>
    <n v="59"/>
    <m/>
    <n v="1"/>
    <n v="10"/>
  </r>
  <r>
    <x v="1"/>
    <x v="0"/>
    <s v="S12000041"/>
    <x v="26"/>
    <n v="27"/>
    <m/>
    <m/>
    <n v="0"/>
    <n v="22"/>
    <m/>
    <n v="1"/>
    <n v="4"/>
  </r>
  <r>
    <x v="1"/>
    <x v="0"/>
    <s v="S12000042"/>
    <x v="27"/>
    <n v="207"/>
    <m/>
    <m/>
    <n v="27"/>
    <n v="158"/>
    <m/>
    <n v="1"/>
    <n v="21"/>
  </r>
  <r>
    <x v="1"/>
    <x v="0"/>
    <s v="S12000044"/>
    <x v="28"/>
    <n v="187"/>
    <m/>
    <m/>
    <n v="37"/>
    <n v="125"/>
    <m/>
    <n v="1"/>
    <n v="24"/>
  </r>
  <r>
    <x v="1"/>
    <x v="0"/>
    <s v="S12000045"/>
    <x v="29"/>
    <n v="72"/>
    <m/>
    <m/>
    <n v="14"/>
    <n v="44"/>
    <m/>
    <n v="0"/>
    <n v="14"/>
  </r>
  <r>
    <x v="1"/>
    <x v="0"/>
    <s v="S12000046"/>
    <x v="30"/>
    <n v="544"/>
    <m/>
    <m/>
    <n v="116"/>
    <n v="362"/>
    <m/>
    <n v="1"/>
    <n v="65"/>
  </r>
  <r>
    <x v="1"/>
    <x v="0"/>
    <s v="S12000047"/>
    <x v="31"/>
    <n v="288"/>
    <m/>
    <m/>
    <n v="54"/>
    <n v="209"/>
    <m/>
    <n v="0"/>
    <n v="25"/>
  </r>
  <r>
    <x v="1"/>
    <x v="1"/>
    <s v="S39000001"/>
    <x v="19"/>
    <n v="18"/>
    <n v="1"/>
    <m/>
    <n v="0"/>
    <n v="0"/>
    <n v="3"/>
    <n v="7"/>
    <n v="7"/>
  </r>
  <r>
    <x v="1"/>
    <x v="1"/>
    <s v="S39000002"/>
    <x v="32"/>
    <n v="18"/>
    <n v="1"/>
    <m/>
    <n v="0"/>
    <n v="2"/>
    <n v="1"/>
    <n v="4"/>
    <n v="10"/>
  </r>
  <r>
    <x v="1"/>
    <x v="1"/>
    <s v="S39000003"/>
    <x v="33"/>
    <n v="21"/>
    <n v="1"/>
    <m/>
    <n v="0"/>
    <n v="1"/>
    <n v="7"/>
    <n v="5"/>
    <n v="7"/>
  </r>
  <r>
    <x v="1"/>
    <x v="1"/>
    <s v="S39000004"/>
    <x v="1"/>
    <n v="18"/>
    <n v="0"/>
    <m/>
    <n v="0"/>
    <n v="1"/>
    <n v="2"/>
    <n v="5"/>
    <n v="10"/>
  </r>
  <r>
    <x v="1"/>
    <x v="1"/>
    <s v="S39000006"/>
    <x v="34"/>
    <n v="20"/>
    <n v="1"/>
    <m/>
    <n v="0"/>
    <n v="0"/>
    <n v="7"/>
    <n v="7"/>
    <n v="5"/>
  </r>
  <r>
    <x v="1"/>
    <x v="1"/>
    <s v="S39000007"/>
    <x v="35"/>
    <n v="17"/>
    <n v="1"/>
    <m/>
    <n v="0"/>
    <n v="4"/>
    <n v="5"/>
    <n v="1"/>
    <n v="6"/>
  </r>
  <r>
    <x v="1"/>
    <x v="1"/>
    <s v="S39000008"/>
    <x v="36"/>
    <n v="12"/>
    <n v="1"/>
    <m/>
    <n v="0"/>
    <n v="0"/>
    <n v="3"/>
    <n v="5"/>
    <n v="3"/>
  </r>
  <r>
    <x v="1"/>
    <x v="1"/>
    <s v="S39000009"/>
    <x v="37"/>
    <n v="24"/>
    <n v="2"/>
    <m/>
    <n v="2"/>
    <n v="2"/>
    <n v="8"/>
    <n v="4"/>
    <n v="6"/>
  </r>
  <r>
    <x v="1"/>
    <x v="1"/>
    <s v="S39000010"/>
    <x v="38"/>
    <n v="13"/>
    <n v="1"/>
    <m/>
    <n v="0"/>
    <n v="1"/>
    <n v="3"/>
    <n v="3"/>
    <n v="5"/>
  </r>
  <r>
    <x v="1"/>
    <x v="1"/>
    <s v="S39000012"/>
    <x v="30"/>
    <n v="25"/>
    <n v="1"/>
    <m/>
    <n v="1"/>
    <n v="2"/>
    <n v="4"/>
    <n v="8"/>
    <n v="9"/>
  </r>
  <r>
    <x v="1"/>
    <x v="1"/>
    <s v="S39000013"/>
    <x v="39"/>
    <n v="13"/>
    <n v="1"/>
    <m/>
    <n v="0"/>
    <n v="0"/>
    <n v="6"/>
    <n v="5"/>
    <n v="1"/>
  </r>
  <r>
    <x v="1"/>
    <x v="1"/>
    <s v="S39000014"/>
    <x v="28"/>
    <n v="16"/>
    <n v="2"/>
    <m/>
    <n v="1"/>
    <n v="1"/>
    <n v="3"/>
    <n v="5"/>
    <n v="4"/>
  </r>
  <r>
    <x v="1"/>
    <x v="1"/>
    <s v="S39000015"/>
    <x v="17"/>
    <n v="10"/>
    <n v="1"/>
    <m/>
    <n v="0"/>
    <n v="0"/>
    <n v="4"/>
    <n v="2"/>
    <n v="3"/>
  </r>
  <r>
    <x v="1"/>
    <x v="1"/>
    <s v="S39000016"/>
    <x v="40"/>
    <n v="5"/>
    <n v="0"/>
    <m/>
    <n v="0"/>
    <n v="0"/>
    <n v="1"/>
    <n v="4"/>
    <n v="0"/>
  </r>
  <r>
    <x v="1"/>
    <x v="1"/>
    <s v="S39000017"/>
    <x v="41"/>
    <n v="7"/>
    <n v="1"/>
    <m/>
    <n v="0"/>
    <n v="0"/>
    <n v="3"/>
    <n v="3"/>
    <n v="0"/>
  </r>
  <r>
    <x v="1"/>
    <x v="1"/>
    <s v="S39000018"/>
    <x v="42"/>
    <n v="12"/>
    <n v="1"/>
    <m/>
    <n v="0"/>
    <n v="0"/>
    <n v="3"/>
    <n v="5"/>
    <n v="3"/>
  </r>
  <r>
    <x v="1"/>
    <x v="1"/>
    <s v="S39000019"/>
    <x v="31"/>
    <n v="21"/>
    <n v="2"/>
    <m/>
    <n v="0"/>
    <n v="0"/>
    <n v="2"/>
    <n v="6"/>
    <n v="11"/>
  </r>
  <r>
    <x v="1"/>
    <x v="2"/>
    <s v="S40000003"/>
    <x v="43"/>
    <n v="105"/>
    <n v="2"/>
    <m/>
    <n v="9"/>
    <n v="0"/>
    <n v="15"/>
    <n v="4"/>
    <n v="75"/>
  </r>
  <r>
    <x v="1"/>
    <x v="2"/>
    <s v="S40000004"/>
    <x v="44"/>
    <n v="78"/>
    <n v="1"/>
    <m/>
    <n v="4"/>
    <n v="6"/>
    <n v="4"/>
    <n v="17"/>
    <n v="46"/>
  </r>
  <r>
    <x v="1"/>
    <x v="2"/>
    <s v="S40000005"/>
    <x v="45"/>
    <n v="66"/>
    <n v="1"/>
    <m/>
    <n v="21"/>
    <n v="1"/>
    <n v="7"/>
    <n v="10"/>
    <n v="26"/>
  </r>
  <r>
    <x v="1"/>
    <x v="3"/>
    <s v="S92000003"/>
    <x v="46"/>
    <n v="52"/>
    <n v="11"/>
    <n v="7"/>
    <n v="4"/>
    <n v="1"/>
    <n v="12"/>
    <n v="6"/>
    <n v="11"/>
  </r>
  <r>
    <x v="1"/>
    <x v="4"/>
    <s v="S92000003"/>
    <x v="46"/>
    <n v="3856"/>
    <n v="33"/>
    <n v="7"/>
    <n v="634"/>
    <n v="2285"/>
    <n v="103"/>
    <n v="130"/>
    <n v="664"/>
  </r>
  <r>
    <x v="2"/>
    <x v="0"/>
    <s v="S12000005"/>
    <x v="0"/>
    <n v="26"/>
    <m/>
    <m/>
    <n v="5"/>
    <n v="17"/>
    <m/>
    <n v="0"/>
    <n v="4"/>
  </r>
  <r>
    <x v="2"/>
    <x v="0"/>
    <s v="S12000006"/>
    <x v="1"/>
    <n v="65"/>
    <m/>
    <m/>
    <n v="14"/>
    <n v="48"/>
    <m/>
    <n v="0"/>
    <n v="3"/>
  </r>
  <r>
    <x v="2"/>
    <x v="0"/>
    <s v="S12000008"/>
    <x v="2"/>
    <n v="53"/>
    <m/>
    <m/>
    <n v="7"/>
    <n v="41"/>
    <m/>
    <n v="0"/>
    <n v="5"/>
  </r>
  <r>
    <x v="2"/>
    <x v="0"/>
    <s v="S12000010"/>
    <x v="3"/>
    <n v="27"/>
    <m/>
    <m/>
    <n v="4"/>
    <n v="19"/>
    <m/>
    <n v="0"/>
    <n v="4"/>
  </r>
  <r>
    <x v="2"/>
    <x v="0"/>
    <s v="S12000011"/>
    <x v="4"/>
    <n v="53"/>
    <m/>
    <m/>
    <n v="10"/>
    <n v="34"/>
    <m/>
    <n v="0"/>
    <n v="9"/>
  </r>
  <r>
    <x v="2"/>
    <x v="0"/>
    <s v="S12000013"/>
    <x v="5"/>
    <n v="95"/>
    <m/>
    <m/>
    <n v="17"/>
    <n v="66"/>
    <m/>
    <n v="0"/>
    <n v="12"/>
  </r>
  <r>
    <x v="2"/>
    <x v="0"/>
    <s v="S12000014"/>
    <x v="6"/>
    <n v="277.07499999999999"/>
    <m/>
    <m/>
    <n v="47"/>
    <n v="210.07499999999999"/>
    <m/>
    <n v="0"/>
    <n v="20"/>
  </r>
  <r>
    <x v="2"/>
    <x v="0"/>
    <s v="S12000017"/>
    <x v="7"/>
    <n v="70"/>
    <m/>
    <m/>
    <n v="12"/>
    <n v="48"/>
    <m/>
    <n v="1"/>
    <n v="9"/>
  </r>
  <r>
    <x v="2"/>
    <x v="0"/>
    <s v="S12000018"/>
    <x v="8"/>
    <n v="23"/>
    <m/>
    <m/>
    <n v="4"/>
    <n v="16"/>
    <m/>
    <n v="0"/>
    <n v="3"/>
  </r>
  <r>
    <x v="2"/>
    <x v="0"/>
    <s v="S12000019"/>
    <x v="9"/>
    <n v="31"/>
    <m/>
    <m/>
    <n v="5"/>
    <n v="21"/>
    <m/>
    <n v="0"/>
    <n v="5"/>
  </r>
  <r>
    <x v="2"/>
    <x v="0"/>
    <s v="S12000020"/>
    <x v="10"/>
    <n v="0"/>
    <m/>
    <m/>
    <n v="0"/>
    <n v="0"/>
    <m/>
    <n v="0"/>
    <n v="0"/>
  </r>
  <r>
    <x v="2"/>
    <x v="0"/>
    <s v="S12000021"/>
    <x v="11"/>
    <n v="75.095238095238102"/>
    <m/>
    <m/>
    <n v="13.095238095238095"/>
    <n v="50"/>
    <m/>
    <n v="0"/>
    <n v="12"/>
  </r>
  <r>
    <x v="2"/>
    <x v="0"/>
    <s v="S12000023"/>
    <x v="12"/>
    <n v="0"/>
    <m/>
    <m/>
    <n v="0"/>
    <n v="0"/>
    <m/>
    <n v="0"/>
    <n v="0"/>
  </r>
  <r>
    <x v="2"/>
    <x v="0"/>
    <s v="S12000024"/>
    <x v="13"/>
    <n v="72.75"/>
    <m/>
    <m/>
    <n v="13"/>
    <n v="55.75"/>
    <m/>
    <n v="0"/>
    <n v="4"/>
  </r>
  <r>
    <x v="2"/>
    <x v="0"/>
    <s v="S12000026"/>
    <x v="14"/>
    <n v="69.075000000000003"/>
    <m/>
    <m/>
    <n v="12"/>
    <n v="48.075000000000003"/>
    <m/>
    <n v="0"/>
    <n v="9"/>
  </r>
  <r>
    <x v="2"/>
    <x v="0"/>
    <s v="S12000027"/>
    <x v="15"/>
    <n v="0"/>
    <m/>
    <m/>
    <n v="0"/>
    <n v="0"/>
    <m/>
    <n v="0"/>
    <n v="0"/>
  </r>
  <r>
    <x v="2"/>
    <x v="0"/>
    <s v="S12000028"/>
    <x v="16"/>
    <n v="55"/>
    <m/>
    <m/>
    <n v="10"/>
    <n v="40"/>
    <m/>
    <n v="0"/>
    <n v="5"/>
  </r>
  <r>
    <x v="2"/>
    <x v="0"/>
    <s v="S12000029"/>
    <x v="17"/>
    <n v="178"/>
    <m/>
    <m/>
    <n v="28"/>
    <n v="132"/>
    <m/>
    <n v="0"/>
    <n v="18"/>
  </r>
  <r>
    <x v="2"/>
    <x v="0"/>
    <s v="S12000030"/>
    <x v="18"/>
    <n v="51"/>
    <m/>
    <m/>
    <n v="9"/>
    <n v="40"/>
    <m/>
    <n v="0"/>
    <n v="2"/>
  </r>
  <r>
    <x v="2"/>
    <x v="0"/>
    <s v="S12000033"/>
    <x v="19"/>
    <n v="142"/>
    <m/>
    <m/>
    <n v="22"/>
    <n v="107"/>
    <m/>
    <n v="0"/>
    <n v="13"/>
  </r>
  <r>
    <x v="2"/>
    <x v="0"/>
    <s v="S12000034"/>
    <x v="20"/>
    <n v="32"/>
    <m/>
    <m/>
    <n v="6"/>
    <n v="22"/>
    <m/>
    <n v="0"/>
    <n v="4"/>
  </r>
  <r>
    <x v="2"/>
    <x v="0"/>
    <s v="S12000035"/>
    <x v="21"/>
    <n v="55"/>
    <m/>
    <m/>
    <n v="8"/>
    <n v="37"/>
    <m/>
    <n v="0"/>
    <n v="10"/>
  </r>
  <r>
    <x v="2"/>
    <x v="0"/>
    <s v="S12000036"/>
    <x v="22"/>
    <n v="315"/>
    <m/>
    <m/>
    <n v="48"/>
    <n v="248"/>
    <m/>
    <n v="0"/>
    <n v="19"/>
  </r>
  <r>
    <x v="2"/>
    <x v="0"/>
    <s v="S12000038"/>
    <x v="23"/>
    <n v="92"/>
    <m/>
    <m/>
    <n v="15"/>
    <n v="62"/>
    <m/>
    <n v="0"/>
    <n v="15"/>
  </r>
  <r>
    <x v="2"/>
    <x v="0"/>
    <s v="S12000039"/>
    <x v="24"/>
    <n v="70"/>
    <m/>
    <m/>
    <n v="11"/>
    <n v="49"/>
    <m/>
    <n v="0"/>
    <n v="10"/>
  </r>
  <r>
    <x v="2"/>
    <x v="0"/>
    <s v="S12000040"/>
    <x v="25"/>
    <n v="61"/>
    <m/>
    <m/>
    <n v="9"/>
    <n v="44"/>
    <m/>
    <n v="0"/>
    <n v="8"/>
  </r>
  <r>
    <x v="2"/>
    <x v="0"/>
    <s v="S12000041"/>
    <x v="26"/>
    <n v="36"/>
    <m/>
    <m/>
    <n v="8"/>
    <n v="25"/>
    <m/>
    <n v="0"/>
    <n v="3"/>
  </r>
  <r>
    <x v="2"/>
    <x v="0"/>
    <s v="S12000042"/>
    <x v="27"/>
    <n v="176"/>
    <m/>
    <m/>
    <n v="26"/>
    <n v="135"/>
    <m/>
    <n v="1"/>
    <n v="14"/>
  </r>
  <r>
    <x v="2"/>
    <x v="0"/>
    <s v="S12000044"/>
    <x v="28"/>
    <n v="179.75"/>
    <m/>
    <m/>
    <n v="27.75"/>
    <n v="136"/>
    <m/>
    <n v="0"/>
    <n v="16"/>
  </r>
  <r>
    <x v="2"/>
    <x v="0"/>
    <s v="S12000045"/>
    <x v="29"/>
    <n v="70"/>
    <m/>
    <m/>
    <n v="9"/>
    <n v="46"/>
    <m/>
    <n v="0"/>
    <n v="15"/>
  </r>
  <r>
    <x v="2"/>
    <x v="0"/>
    <s v="S12000046"/>
    <x v="30"/>
    <n v="68"/>
    <m/>
    <m/>
    <n v="11"/>
    <n v="53"/>
    <m/>
    <n v="0"/>
    <n v="4"/>
  </r>
  <r>
    <x v="2"/>
    <x v="0"/>
    <s v="S12000047"/>
    <x v="31"/>
    <n v="498.15952380952382"/>
    <m/>
    <m/>
    <n v="98.5"/>
    <n v="350"/>
    <m/>
    <n v="0"/>
    <n v="49.659523809523812"/>
  </r>
  <r>
    <x v="2"/>
    <x v="1"/>
    <s v="S39000001"/>
    <x v="19"/>
    <n v="16"/>
    <n v="1"/>
    <m/>
    <n v="0"/>
    <n v="3"/>
    <n v="3"/>
    <n v="2"/>
    <n v="7"/>
  </r>
  <r>
    <x v="2"/>
    <x v="1"/>
    <s v="S39000002"/>
    <x v="32"/>
    <n v="27"/>
    <n v="1"/>
    <m/>
    <n v="7"/>
    <n v="1"/>
    <n v="2"/>
    <n v="6"/>
    <n v="10"/>
  </r>
  <r>
    <x v="2"/>
    <x v="1"/>
    <s v="S39000003"/>
    <x v="33"/>
    <n v="25"/>
    <n v="1"/>
    <m/>
    <n v="2"/>
    <n v="4"/>
    <n v="5"/>
    <n v="7"/>
    <n v="6"/>
  </r>
  <r>
    <x v="2"/>
    <x v="1"/>
    <s v="S39000004"/>
    <x v="1"/>
    <n v="19"/>
    <n v="0"/>
    <m/>
    <n v="0"/>
    <n v="2"/>
    <n v="2"/>
    <n v="5"/>
    <n v="10"/>
  </r>
  <r>
    <x v="2"/>
    <x v="1"/>
    <s v="S39000006"/>
    <x v="34"/>
    <n v="28.885714285714286"/>
    <n v="1"/>
    <m/>
    <n v="4"/>
    <n v="1.8857142857142857"/>
    <n v="6"/>
    <n v="7"/>
    <n v="9"/>
  </r>
  <r>
    <x v="2"/>
    <x v="1"/>
    <s v="S39000007"/>
    <x v="35"/>
    <n v="38"/>
    <n v="1"/>
    <m/>
    <n v="10"/>
    <n v="5"/>
    <n v="5"/>
    <n v="6"/>
    <n v="11"/>
  </r>
  <r>
    <x v="2"/>
    <x v="1"/>
    <s v="S39000008"/>
    <x v="36"/>
    <n v="17"/>
    <n v="1"/>
    <m/>
    <n v="1"/>
    <n v="3"/>
    <n v="2"/>
    <n v="3"/>
    <n v="7"/>
  </r>
  <r>
    <x v="2"/>
    <x v="1"/>
    <s v="S39000009"/>
    <x v="37"/>
    <n v="27"/>
    <n v="0"/>
    <m/>
    <n v="5"/>
    <n v="4"/>
    <n v="7"/>
    <n v="2"/>
    <n v="9"/>
  </r>
  <r>
    <x v="2"/>
    <x v="1"/>
    <s v="S39000010"/>
    <x v="38"/>
    <n v="25"/>
    <n v="1"/>
    <m/>
    <n v="1"/>
    <n v="2"/>
    <n v="2"/>
    <n v="3"/>
    <n v="16"/>
  </r>
  <r>
    <x v="2"/>
    <x v="1"/>
    <s v="S39000012"/>
    <x v="30"/>
    <n v="31.659523809523812"/>
    <n v="1"/>
    <m/>
    <n v="1"/>
    <n v="2"/>
    <n v="5"/>
    <n v="8"/>
    <n v="14.65952380952381"/>
  </r>
  <r>
    <x v="2"/>
    <x v="1"/>
    <s v="S39000013"/>
    <x v="39"/>
    <n v="29"/>
    <n v="1"/>
    <m/>
    <n v="7"/>
    <n v="0"/>
    <n v="6"/>
    <n v="8"/>
    <n v="7"/>
  </r>
  <r>
    <x v="2"/>
    <x v="1"/>
    <s v="S39000014"/>
    <x v="28"/>
    <n v="20"/>
    <n v="1"/>
    <m/>
    <n v="3"/>
    <n v="0"/>
    <n v="3"/>
    <n v="4"/>
    <n v="9"/>
  </r>
  <r>
    <x v="2"/>
    <x v="1"/>
    <s v="S39000015"/>
    <x v="17"/>
    <n v="16"/>
    <n v="1"/>
    <m/>
    <n v="3"/>
    <n v="1"/>
    <n v="3"/>
    <n v="5"/>
    <n v="3"/>
  </r>
  <r>
    <x v="2"/>
    <x v="1"/>
    <s v="S39000016"/>
    <x v="40"/>
    <n v="13"/>
    <n v="0"/>
    <m/>
    <n v="2"/>
    <n v="1"/>
    <n v="2"/>
    <n v="5"/>
    <n v="3"/>
  </r>
  <r>
    <x v="2"/>
    <x v="1"/>
    <s v="S39000017"/>
    <x v="41"/>
    <n v="11"/>
    <n v="1"/>
    <m/>
    <n v="1"/>
    <n v="0"/>
    <n v="3"/>
    <n v="5"/>
    <n v="1"/>
  </r>
  <r>
    <x v="2"/>
    <x v="1"/>
    <s v="S39000018"/>
    <x v="42"/>
    <n v="24"/>
    <n v="1"/>
    <m/>
    <n v="0"/>
    <n v="1"/>
    <n v="4"/>
    <n v="10"/>
    <n v="8"/>
  </r>
  <r>
    <x v="2"/>
    <x v="1"/>
    <s v="S39000019"/>
    <x v="31"/>
    <n v="26"/>
    <n v="1"/>
    <m/>
    <n v="3"/>
    <n v="4"/>
    <n v="2"/>
    <n v="5"/>
    <n v="11"/>
  </r>
  <r>
    <x v="2"/>
    <x v="2"/>
    <s v="S40000003"/>
    <x v="43"/>
    <n v="16"/>
    <n v="1"/>
    <m/>
    <n v="3"/>
    <n v="0"/>
    <n v="5"/>
    <n v="3"/>
    <n v="4"/>
  </r>
  <r>
    <x v="2"/>
    <x v="2"/>
    <s v="S40000004"/>
    <x v="44"/>
    <n v="25"/>
    <n v="1"/>
    <m/>
    <n v="2"/>
    <n v="0"/>
    <n v="2"/>
    <n v="3"/>
    <n v="17"/>
  </r>
  <r>
    <x v="2"/>
    <x v="2"/>
    <s v="S40000005"/>
    <x v="45"/>
    <n v="44"/>
    <n v="1"/>
    <m/>
    <n v="8"/>
    <n v="0"/>
    <n v="2"/>
    <n v="8"/>
    <n v="25"/>
  </r>
  <r>
    <x v="2"/>
    <x v="3"/>
    <s v="S92000003"/>
    <x v="46"/>
    <n v="195"/>
    <n v="18"/>
    <n v="10"/>
    <n v="26"/>
    <n v="16"/>
    <n v="19"/>
    <n v="19"/>
    <n v="93"/>
  </r>
  <r>
    <x v="2"/>
    <x v="4"/>
    <s v="S92000003"/>
    <x v="46"/>
    <n v="3690"/>
    <n v="35"/>
    <n v="4"/>
    <n v="598.34523809523807"/>
    <n v="2250.7857142857142"/>
    <n v="90"/>
    <n v="126"/>
    <n v="585.31904761904764"/>
  </r>
  <r>
    <x v="3"/>
    <x v="0"/>
    <s v="S12000005"/>
    <x v="0"/>
    <n v="22"/>
    <n v="0"/>
    <n v="0"/>
    <n v="4"/>
    <n v="14"/>
    <n v="0"/>
    <n v="0"/>
    <n v="4"/>
  </r>
  <r>
    <x v="3"/>
    <x v="0"/>
    <s v="S12000006"/>
    <x v="1"/>
    <n v="63"/>
    <n v="0"/>
    <n v="0"/>
    <n v="11"/>
    <n v="48"/>
    <n v="0"/>
    <n v="0"/>
    <n v="4"/>
  </r>
  <r>
    <x v="3"/>
    <x v="0"/>
    <s v="S12000008"/>
    <x v="2"/>
    <n v="46"/>
    <n v="0"/>
    <n v="0"/>
    <n v="9"/>
    <n v="32"/>
    <n v="0"/>
    <n v="0"/>
    <n v="5"/>
  </r>
  <r>
    <x v="3"/>
    <x v="0"/>
    <s v="S12000010"/>
    <x v="3"/>
    <n v="27"/>
    <n v="0"/>
    <n v="0"/>
    <n v="4"/>
    <n v="19"/>
    <n v="0"/>
    <n v="0"/>
    <n v="4"/>
  </r>
  <r>
    <x v="3"/>
    <x v="0"/>
    <s v="S12000011"/>
    <x v="4"/>
    <n v="50"/>
    <n v="0"/>
    <n v="0"/>
    <n v="10"/>
    <n v="30"/>
    <n v="0"/>
    <n v="0"/>
    <n v="10"/>
  </r>
  <r>
    <x v="3"/>
    <x v="0"/>
    <s v="S12000013"/>
    <x v="5"/>
    <n v="0"/>
    <n v="0"/>
    <n v="0"/>
    <n v="0"/>
    <n v="0"/>
    <n v="0"/>
    <n v="0"/>
    <n v="0"/>
  </r>
  <r>
    <x v="3"/>
    <x v="0"/>
    <s v="S12000014"/>
    <x v="6"/>
    <n v="86"/>
    <n v="0"/>
    <n v="0"/>
    <n v="16"/>
    <n v="57"/>
    <n v="0"/>
    <n v="0"/>
    <n v="13"/>
  </r>
  <r>
    <x v="3"/>
    <x v="0"/>
    <s v="S12000017"/>
    <x v="7"/>
    <n v="67"/>
    <n v="0"/>
    <n v="0"/>
    <n v="11"/>
    <n v="52"/>
    <n v="0"/>
    <n v="0"/>
    <n v="4"/>
  </r>
  <r>
    <x v="3"/>
    <x v="0"/>
    <s v="S12000018"/>
    <x v="8"/>
    <n v="68"/>
    <n v="0"/>
    <n v="0"/>
    <n v="13"/>
    <n v="43"/>
    <n v="0"/>
    <n v="1"/>
    <n v="11"/>
  </r>
  <r>
    <x v="3"/>
    <x v="0"/>
    <s v="S12000019"/>
    <x v="9"/>
    <n v="22"/>
    <n v="0"/>
    <n v="0"/>
    <n v="4"/>
    <n v="14"/>
    <n v="0"/>
    <n v="0"/>
    <n v="4"/>
  </r>
  <r>
    <x v="3"/>
    <x v="0"/>
    <s v="S12000020"/>
    <x v="10"/>
    <n v="27"/>
    <n v="0"/>
    <n v="0"/>
    <n v="4"/>
    <n v="19"/>
    <n v="0"/>
    <n v="0"/>
    <n v="4"/>
  </r>
  <r>
    <x v="3"/>
    <x v="0"/>
    <s v="S12000021"/>
    <x v="11"/>
    <n v="78"/>
    <n v="0"/>
    <n v="0"/>
    <n v="17"/>
    <n v="46"/>
    <n v="0"/>
    <n v="0"/>
    <n v="15"/>
  </r>
  <r>
    <x v="3"/>
    <x v="0"/>
    <s v="S12000023"/>
    <x v="12"/>
    <n v="0"/>
    <n v="0"/>
    <n v="0"/>
    <n v="0"/>
    <n v="0"/>
    <n v="0"/>
    <n v="0"/>
    <n v="0"/>
  </r>
  <r>
    <x v="3"/>
    <x v="0"/>
    <s v="S12000024"/>
    <x v="13"/>
    <n v="68"/>
    <n v="0"/>
    <n v="0"/>
    <n v="12"/>
    <n v="52"/>
    <n v="0"/>
    <n v="0"/>
    <n v="4"/>
  </r>
  <r>
    <x v="3"/>
    <x v="0"/>
    <s v="S12000026"/>
    <x v="14"/>
    <n v="56"/>
    <n v="0"/>
    <n v="0"/>
    <n v="8"/>
    <n v="40"/>
    <n v="0"/>
    <n v="0"/>
    <n v="8"/>
  </r>
  <r>
    <x v="3"/>
    <x v="0"/>
    <s v="S12000027"/>
    <x v="15"/>
    <n v="0"/>
    <n v="0"/>
    <n v="0"/>
    <n v="0"/>
    <n v="0"/>
    <n v="0"/>
    <n v="0"/>
    <n v="0"/>
  </r>
  <r>
    <x v="3"/>
    <x v="0"/>
    <s v="S12000028"/>
    <x v="16"/>
    <n v="54"/>
    <n v="0"/>
    <n v="0"/>
    <n v="10"/>
    <n v="39"/>
    <n v="0"/>
    <n v="0"/>
    <n v="5"/>
  </r>
  <r>
    <x v="3"/>
    <x v="0"/>
    <s v="S12000029"/>
    <x v="17"/>
    <n v="171"/>
    <n v="0"/>
    <n v="0"/>
    <n v="34"/>
    <n v="117"/>
    <n v="0"/>
    <n v="0"/>
    <n v="20"/>
  </r>
  <r>
    <x v="3"/>
    <x v="0"/>
    <s v="S12000030"/>
    <x v="18"/>
    <n v="53"/>
    <n v="0"/>
    <n v="0"/>
    <n v="9"/>
    <n v="40"/>
    <n v="0"/>
    <n v="0"/>
    <n v="4"/>
  </r>
  <r>
    <x v="3"/>
    <x v="0"/>
    <s v="S12000033"/>
    <x v="19"/>
    <n v="155"/>
    <n v="0"/>
    <n v="0"/>
    <n v="26"/>
    <n v="113"/>
    <n v="0"/>
    <n v="0"/>
    <n v="16"/>
  </r>
  <r>
    <x v="3"/>
    <x v="0"/>
    <s v="S12000034"/>
    <x v="20"/>
    <n v="25"/>
    <n v="0"/>
    <n v="0"/>
    <n v="4"/>
    <n v="17"/>
    <n v="0"/>
    <n v="0"/>
    <n v="4"/>
  </r>
  <r>
    <x v="3"/>
    <x v="0"/>
    <s v="S12000035"/>
    <x v="21"/>
    <n v="43"/>
    <n v="0"/>
    <n v="0"/>
    <n v="9"/>
    <n v="24"/>
    <n v="0"/>
    <n v="0"/>
    <n v="10"/>
  </r>
  <r>
    <x v="3"/>
    <x v="0"/>
    <s v="S12000036"/>
    <x v="22"/>
    <n v="313"/>
    <n v="0"/>
    <n v="0"/>
    <n v="60"/>
    <n v="227"/>
    <n v="0"/>
    <n v="0"/>
    <n v="26"/>
  </r>
  <r>
    <x v="3"/>
    <x v="0"/>
    <s v="S12000038"/>
    <x v="23"/>
    <n v="97"/>
    <n v="0"/>
    <n v="0"/>
    <n v="21"/>
    <n v="60"/>
    <n v="0"/>
    <n v="0"/>
    <n v="16"/>
  </r>
  <r>
    <x v="3"/>
    <x v="0"/>
    <s v="S12000039"/>
    <x v="24"/>
    <n v="69"/>
    <n v="0"/>
    <n v="0"/>
    <n v="15"/>
    <n v="44"/>
    <n v="0"/>
    <n v="0"/>
    <n v="10"/>
  </r>
  <r>
    <x v="3"/>
    <x v="0"/>
    <s v="S12000040"/>
    <x v="25"/>
    <n v="60"/>
    <n v="0"/>
    <n v="0"/>
    <n v="10"/>
    <n v="42"/>
    <n v="0"/>
    <n v="0"/>
    <n v="8"/>
  </r>
  <r>
    <x v="3"/>
    <x v="0"/>
    <s v="S12000041"/>
    <x v="26"/>
    <n v="25"/>
    <n v="0"/>
    <n v="0"/>
    <n v="4"/>
    <n v="18"/>
    <n v="0"/>
    <n v="0"/>
    <n v="3"/>
  </r>
  <r>
    <x v="3"/>
    <x v="0"/>
    <s v="S12000042"/>
    <x v="27"/>
    <n v="192"/>
    <n v="0"/>
    <n v="0"/>
    <n v="30"/>
    <n v="144"/>
    <n v="0"/>
    <n v="0"/>
    <n v="18"/>
  </r>
  <r>
    <x v="3"/>
    <x v="0"/>
    <s v="S12000044"/>
    <x v="28"/>
    <n v="173"/>
    <n v="0"/>
    <n v="0"/>
    <n v="30"/>
    <n v="123"/>
    <n v="0"/>
    <n v="0"/>
    <n v="20"/>
  </r>
  <r>
    <x v="3"/>
    <x v="0"/>
    <s v="S12000045"/>
    <x v="29"/>
    <n v="68"/>
    <n v="0"/>
    <n v="0"/>
    <n v="14"/>
    <n v="39"/>
    <n v="0"/>
    <n v="0"/>
    <n v="15"/>
  </r>
  <r>
    <x v="3"/>
    <x v="0"/>
    <s v="S12000046"/>
    <x v="30"/>
    <n v="475"/>
    <n v="0"/>
    <n v="0"/>
    <n v="105"/>
    <n v="313"/>
    <n v="0"/>
    <n v="0"/>
    <n v="57"/>
  </r>
  <r>
    <x v="3"/>
    <x v="0"/>
    <s v="S12000047"/>
    <x v="31"/>
    <n v="270"/>
    <n v="0"/>
    <n v="0"/>
    <n v="48"/>
    <n v="201"/>
    <n v="0"/>
    <n v="0"/>
    <n v="21"/>
  </r>
  <r>
    <x v="3"/>
    <x v="1"/>
    <s v="S39000001"/>
    <x v="19"/>
    <n v="14"/>
    <n v="1"/>
    <n v="0"/>
    <n v="2"/>
    <n v="2"/>
    <n v="1"/>
    <n v="3"/>
    <n v="5"/>
  </r>
  <r>
    <x v="3"/>
    <x v="1"/>
    <s v="S39000002"/>
    <x v="32"/>
    <n v="25"/>
    <n v="1"/>
    <n v="0"/>
    <n v="5"/>
    <n v="0"/>
    <n v="2"/>
    <n v="8"/>
    <n v="9"/>
  </r>
  <r>
    <x v="3"/>
    <x v="1"/>
    <s v="S39000003"/>
    <x v="33"/>
    <n v="26"/>
    <n v="1"/>
    <n v="0"/>
    <n v="4"/>
    <n v="2"/>
    <n v="3"/>
    <n v="9"/>
    <n v="7"/>
  </r>
  <r>
    <x v="3"/>
    <x v="1"/>
    <s v="S39000004"/>
    <x v="1"/>
    <n v="21"/>
    <n v="1"/>
    <n v="0"/>
    <n v="3"/>
    <n v="0"/>
    <n v="2"/>
    <n v="6"/>
    <n v="9"/>
  </r>
  <r>
    <x v="3"/>
    <x v="1"/>
    <s v="S39000006"/>
    <x v="34"/>
    <n v="29"/>
    <n v="1"/>
    <n v="0"/>
    <n v="5"/>
    <n v="1"/>
    <n v="4"/>
    <n v="9"/>
    <n v="9"/>
  </r>
  <r>
    <x v="3"/>
    <x v="1"/>
    <s v="S39000007"/>
    <x v="35"/>
    <n v="31"/>
    <n v="1"/>
    <n v="0"/>
    <n v="5"/>
    <n v="5"/>
    <n v="4"/>
    <n v="8"/>
    <n v="8"/>
  </r>
  <r>
    <x v="3"/>
    <x v="1"/>
    <s v="S39000008"/>
    <x v="36"/>
    <n v="18"/>
    <n v="1"/>
    <n v="0"/>
    <n v="2"/>
    <n v="1"/>
    <n v="3"/>
    <n v="4"/>
    <n v="7"/>
  </r>
  <r>
    <x v="3"/>
    <x v="1"/>
    <s v="S39000009"/>
    <x v="37"/>
    <n v="27"/>
    <n v="1"/>
    <n v="0"/>
    <n v="2"/>
    <n v="4"/>
    <n v="3"/>
    <n v="6"/>
    <n v="11"/>
  </r>
  <r>
    <x v="3"/>
    <x v="1"/>
    <s v="S39000010"/>
    <x v="38"/>
    <n v="21"/>
    <n v="1"/>
    <n v="0"/>
    <n v="3"/>
    <n v="2"/>
    <n v="2"/>
    <n v="6"/>
    <n v="7"/>
  </r>
  <r>
    <x v="3"/>
    <x v="1"/>
    <s v="S39000012"/>
    <x v="30"/>
    <n v="25"/>
    <n v="1"/>
    <n v="0"/>
    <n v="3"/>
    <n v="2"/>
    <n v="4"/>
    <n v="9"/>
    <n v="6"/>
  </r>
  <r>
    <x v="3"/>
    <x v="1"/>
    <s v="S39000013"/>
    <x v="39"/>
    <n v="36"/>
    <n v="1"/>
    <n v="0"/>
    <n v="10"/>
    <n v="0"/>
    <n v="4"/>
    <n v="13"/>
    <n v="8"/>
  </r>
  <r>
    <x v="3"/>
    <x v="1"/>
    <s v="S39000014"/>
    <x v="28"/>
    <n v="15"/>
    <n v="1"/>
    <n v="0"/>
    <n v="1"/>
    <n v="1"/>
    <n v="2"/>
    <n v="5"/>
    <n v="5"/>
  </r>
  <r>
    <x v="3"/>
    <x v="1"/>
    <s v="S39000015"/>
    <x v="17"/>
    <n v="15"/>
    <n v="1"/>
    <n v="0"/>
    <n v="2"/>
    <n v="1"/>
    <n v="2"/>
    <n v="5"/>
    <n v="4"/>
  </r>
  <r>
    <x v="3"/>
    <x v="1"/>
    <s v="S39000016"/>
    <x v="40"/>
    <n v="15"/>
    <n v="0"/>
    <n v="0"/>
    <n v="3"/>
    <n v="1"/>
    <n v="2"/>
    <n v="4"/>
    <n v="5"/>
  </r>
  <r>
    <x v="3"/>
    <x v="1"/>
    <s v="S39000017"/>
    <x v="41"/>
    <n v="16"/>
    <n v="1"/>
    <n v="0"/>
    <n v="6"/>
    <n v="0"/>
    <n v="3"/>
    <n v="5"/>
    <n v="1"/>
  </r>
  <r>
    <x v="3"/>
    <x v="1"/>
    <s v="S39000018"/>
    <x v="42"/>
    <n v="28"/>
    <n v="1"/>
    <n v="0"/>
    <n v="2"/>
    <n v="2"/>
    <n v="4"/>
    <n v="9"/>
    <n v="10"/>
  </r>
  <r>
    <x v="3"/>
    <x v="1"/>
    <s v="S39000019"/>
    <x v="31"/>
    <n v="24"/>
    <n v="1"/>
    <n v="0"/>
    <n v="3"/>
    <n v="3"/>
    <n v="2"/>
    <n v="7"/>
    <n v="8"/>
  </r>
  <r>
    <x v="3"/>
    <x v="2"/>
    <s v="S40000003"/>
    <x v="43"/>
    <n v="68"/>
    <n v="1"/>
    <n v="0"/>
    <n v="10"/>
    <n v="1"/>
    <n v="3"/>
    <n v="11"/>
    <n v="42"/>
  </r>
  <r>
    <x v="3"/>
    <x v="2"/>
    <s v="S40000004"/>
    <x v="44"/>
    <n v="38"/>
    <n v="1"/>
    <n v="0"/>
    <n v="6"/>
    <n v="1"/>
    <n v="5"/>
    <n v="5"/>
    <n v="20"/>
  </r>
  <r>
    <x v="3"/>
    <x v="2"/>
    <s v="S40000005"/>
    <x v="45"/>
    <n v="45"/>
    <n v="1"/>
    <n v="0"/>
    <n v="6"/>
    <n v="1"/>
    <n v="4"/>
    <n v="9"/>
    <n v="24"/>
  </r>
  <r>
    <x v="3"/>
    <x v="3"/>
    <s v="S92000003"/>
    <x v="46"/>
    <n v="182"/>
    <n v="15"/>
    <n v="4"/>
    <n v="0"/>
    <n v="101"/>
    <n v="11"/>
    <n v="9"/>
    <n v="42"/>
  </r>
  <r>
    <x v="3"/>
    <x v="4"/>
    <s v="S92000003"/>
    <x v="46"/>
    <n v="3644"/>
    <n v="34"/>
    <n v="4"/>
    <n v="635"/>
    <n v="2158"/>
    <n v="70"/>
    <n v="151"/>
    <n v="590"/>
  </r>
  <r>
    <x v="4"/>
    <x v="0"/>
    <s v="S12000005"/>
    <x v="0"/>
    <n v="25"/>
    <m/>
    <m/>
    <n v="5"/>
    <n v="15"/>
    <m/>
    <m/>
    <n v="5"/>
  </r>
  <r>
    <x v="4"/>
    <x v="0"/>
    <s v="S12000006"/>
    <x v="1"/>
    <n v="54"/>
    <m/>
    <m/>
    <n v="11"/>
    <n v="38"/>
    <m/>
    <m/>
    <n v="5"/>
  </r>
  <r>
    <x v="4"/>
    <x v="0"/>
    <s v="S12000008"/>
    <x v="2"/>
    <n v="49"/>
    <m/>
    <m/>
    <n v="10"/>
    <n v="34"/>
    <m/>
    <m/>
    <n v="5"/>
  </r>
  <r>
    <x v="4"/>
    <x v="0"/>
    <s v="S12000010"/>
    <x v="3"/>
    <n v="23"/>
    <m/>
    <m/>
    <n v="5"/>
    <n v="13"/>
    <m/>
    <m/>
    <n v="5"/>
  </r>
  <r>
    <x v="4"/>
    <x v="0"/>
    <s v="S12000011"/>
    <x v="4"/>
    <n v="51"/>
    <m/>
    <m/>
    <n v="10"/>
    <n v="30"/>
    <m/>
    <m/>
    <n v="11"/>
  </r>
  <r>
    <x v="4"/>
    <x v="0"/>
    <s v="S12000014"/>
    <x v="6"/>
    <n v="87"/>
    <m/>
    <m/>
    <n v="22"/>
    <n v="49"/>
    <m/>
    <m/>
    <n v="16"/>
  </r>
  <r>
    <x v="4"/>
    <x v="0"/>
    <s v="S12000017"/>
    <x v="7"/>
    <n v="68"/>
    <m/>
    <m/>
    <n v="15"/>
    <n v="49"/>
    <m/>
    <m/>
    <n v="4"/>
  </r>
  <r>
    <x v="4"/>
    <x v="0"/>
    <s v="S12000018"/>
    <x v="8"/>
    <n v="72"/>
    <m/>
    <m/>
    <n v="15"/>
    <n v="44"/>
    <m/>
    <m/>
    <n v="13"/>
  </r>
  <r>
    <x v="4"/>
    <x v="0"/>
    <s v="S12000019"/>
    <x v="9"/>
    <n v="28"/>
    <m/>
    <m/>
    <n v="5"/>
    <n v="18"/>
    <m/>
    <m/>
    <n v="5"/>
  </r>
  <r>
    <x v="4"/>
    <x v="0"/>
    <s v="S12000020"/>
    <x v="10"/>
    <n v="29"/>
    <m/>
    <m/>
    <n v="5"/>
    <n v="19"/>
    <m/>
    <m/>
    <n v="5"/>
  </r>
  <r>
    <x v="4"/>
    <x v="0"/>
    <s v="S12000021"/>
    <x v="11"/>
    <n v="76"/>
    <m/>
    <m/>
    <n v="16"/>
    <n v="45"/>
    <m/>
    <m/>
    <n v="15"/>
  </r>
  <r>
    <x v="4"/>
    <x v="0"/>
    <s v="S12000024"/>
    <x v="13"/>
    <n v="69"/>
    <m/>
    <m/>
    <n v="10"/>
    <n v="54"/>
    <m/>
    <m/>
    <n v="5"/>
  </r>
  <r>
    <x v="4"/>
    <x v="0"/>
    <s v="S12000026"/>
    <x v="14"/>
    <n v="51"/>
    <m/>
    <m/>
    <n v="9"/>
    <n v="32"/>
    <m/>
    <m/>
    <n v="10"/>
  </r>
  <r>
    <x v="4"/>
    <x v="0"/>
    <s v="S12000028"/>
    <x v="16"/>
    <n v="50"/>
    <m/>
    <m/>
    <n v="10"/>
    <n v="35"/>
    <m/>
    <m/>
    <n v="5"/>
  </r>
  <r>
    <x v="4"/>
    <x v="0"/>
    <s v="S12000029"/>
    <x v="17"/>
    <n v="166"/>
    <m/>
    <m/>
    <n v="35"/>
    <n v="111"/>
    <m/>
    <m/>
    <n v="20"/>
  </r>
  <r>
    <x v="4"/>
    <x v="0"/>
    <s v="S12000030"/>
    <x v="18"/>
    <n v="48"/>
    <m/>
    <m/>
    <n v="9"/>
    <n v="34"/>
    <m/>
    <m/>
    <n v="5"/>
  </r>
  <r>
    <x v="4"/>
    <x v="0"/>
    <s v="S12000033"/>
    <x v="19"/>
    <n v="145"/>
    <m/>
    <m/>
    <n v="33"/>
    <n v="97"/>
    <m/>
    <m/>
    <n v="15"/>
  </r>
  <r>
    <x v="4"/>
    <x v="0"/>
    <s v="S12000034"/>
    <x v="20"/>
    <n v="24"/>
    <m/>
    <m/>
    <n v="5"/>
    <n v="14"/>
    <m/>
    <m/>
    <n v="5"/>
  </r>
  <r>
    <x v="4"/>
    <x v="0"/>
    <s v="S12000035"/>
    <x v="21"/>
    <n v="50"/>
    <m/>
    <m/>
    <n v="10"/>
    <n v="30"/>
    <m/>
    <m/>
    <n v="10"/>
  </r>
  <r>
    <x v="4"/>
    <x v="0"/>
    <s v="S12000036"/>
    <x v="22"/>
    <n v="293"/>
    <m/>
    <m/>
    <n v="54"/>
    <n v="204"/>
    <m/>
    <m/>
    <n v="35"/>
  </r>
  <r>
    <x v="4"/>
    <x v="0"/>
    <s v="S12000038"/>
    <x v="23"/>
    <n v="94"/>
    <m/>
    <m/>
    <n v="20"/>
    <n v="59"/>
    <m/>
    <m/>
    <n v="15"/>
  </r>
  <r>
    <x v="4"/>
    <x v="0"/>
    <s v="S12000039"/>
    <x v="24"/>
    <n v="68"/>
    <m/>
    <m/>
    <n v="15"/>
    <n v="43"/>
    <m/>
    <m/>
    <n v="10"/>
  </r>
  <r>
    <x v="4"/>
    <x v="0"/>
    <s v="S12000040"/>
    <x v="25"/>
    <n v="58"/>
    <m/>
    <m/>
    <n v="11"/>
    <n v="37"/>
    <m/>
    <m/>
    <n v="10"/>
  </r>
  <r>
    <x v="4"/>
    <x v="0"/>
    <s v="S12000041"/>
    <x v="26"/>
    <n v="28"/>
    <m/>
    <m/>
    <n v="5"/>
    <n v="18"/>
    <m/>
    <m/>
    <n v="5"/>
  </r>
  <r>
    <x v="4"/>
    <x v="0"/>
    <s v="S12000042"/>
    <x v="27"/>
    <n v="178"/>
    <m/>
    <m/>
    <n v="35"/>
    <n v="122"/>
    <m/>
    <m/>
    <n v="21"/>
  </r>
  <r>
    <x v="4"/>
    <x v="0"/>
    <s v="S12000044"/>
    <x v="28"/>
    <n v="163"/>
    <m/>
    <m/>
    <n v="31"/>
    <n v="113"/>
    <m/>
    <m/>
    <n v="19"/>
  </r>
  <r>
    <x v="4"/>
    <x v="0"/>
    <s v="S12000045"/>
    <x v="29"/>
    <n v="78"/>
    <m/>
    <m/>
    <n v="15"/>
    <n v="48"/>
    <m/>
    <m/>
    <n v="15"/>
  </r>
  <r>
    <x v="4"/>
    <x v="0"/>
    <s v="S12000046"/>
    <x v="30"/>
    <n v="489"/>
    <m/>
    <m/>
    <n v="113"/>
    <n v="319"/>
    <m/>
    <m/>
    <n v="57"/>
  </r>
  <r>
    <x v="4"/>
    <x v="0"/>
    <s v="S12000047"/>
    <x v="31"/>
    <n v="254"/>
    <m/>
    <m/>
    <n v="49"/>
    <n v="181"/>
    <m/>
    <m/>
    <n v="24"/>
  </r>
  <r>
    <x v="4"/>
    <x v="1"/>
    <s v="S39000001"/>
    <x v="19"/>
    <n v="15"/>
    <n v="1"/>
    <m/>
    <n v="2"/>
    <n v="2"/>
    <n v="2"/>
    <n v="3"/>
    <n v="5"/>
  </r>
  <r>
    <x v="4"/>
    <x v="1"/>
    <s v="S39000002"/>
    <x v="32"/>
    <n v="25"/>
    <n v="1"/>
    <m/>
    <n v="7"/>
    <m/>
    <n v="2"/>
    <n v="7"/>
    <n v="8"/>
  </r>
  <r>
    <x v="4"/>
    <x v="1"/>
    <s v="S39000003"/>
    <x v="33"/>
    <n v="26"/>
    <n v="1"/>
    <m/>
    <n v="6"/>
    <n v="1"/>
    <n v="3"/>
    <n v="9"/>
    <n v="6"/>
  </r>
  <r>
    <x v="4"/>
    <x v="1"/>
    <s v="S39000004"/>
    <x v="1"/>
    <n v="22"/>
    <n v="1"/>
    <m/>
    <n v="4"/>
    <n v="2"/>
    <n v="2"/>
    <n v="6"/>
    <n v="7"/>
  </r>
  <r>
    <x v="4"/>
    <x v="1"/>
    <s v="S39000006"/>
    <x v="34"/>
    <n v="27"/>
    <n v="1"/>
    <m/>
    <n v="5"/>
    <n v="1"/>
    <n v="3"/>
    <n v="9"/>
    <n v="8"/>
  </r>
  <r>
    <x v="4"/>
    <x v="1"/>
    <s v="S39000007"/>
    <x v="35"/>
    <n v="27"/>
    <n v="1"/>
    <m/>
    <n v="3"/>
    <n v="5"/>
    <n v="3"/>
    <n v="7"/>
    <n v="8"/>
  </r>
  <r>
    <x v="4"/>
    <x v="1"/>
    <s v="S39000008"/>
    <x v="36"/>
    <n v="16"/>
    <n v="1"/>
    <m/>
    <n v="2"/>
    <n v="2"/>
    <n v="3"/>
    <n v="4"/>
    <n v="4"/>
  </r>
  <r>
    <x v="4"/>
    <x v="1"/>
    <s v="S39000009"/>
    <x v="37"/>
    <n v="31"/>
    <n v="1"/>
    <m/>
    <n v="6"/>
    <n v="3"/>
    <n v="3"/>
    <n v="7"/>
    <n v="11"/>
  </r>
  <r>
    <x v="4"/>
    <x v="1"/>
    <s v="S39000010"/>
    <x v="38"/>
    <n v="19"/>
    <n v="1"/>
    <m/>
    <n v="3"/>
    <n v="2"/>
    <n v="2"/>
    <n v="5"/>
    <n v="6"/>
  </r>
  <r>
    <x v="4"/>
    <x v="1"/>
    <s v="S39000012"/>
    <x v="30"/>
    <n v="22"/>
    <n v="1"/>
    <m/>
    <n v="2"/>
    <n v="1"/>
    <n v="4"/>
    <n v="8"/>
    <n v="6"/>
  </r>
  <r>
    <x v="4"/>
    <x v="1"/>
    <s v="S39000013"/>
    <x v="39"/>
    <n v="32"/>
    <n v="1"/>
    <m/>
    <n v="7"/>
    <n v="1"/>
    <n v="4"/>
    <n v="12"/>
    <n v="7"/>
  </r>
  <r>
    <x v="4"/>
    <x v="1"/>
    <s v="S39000014"/>
    <x v="28"/>
    <n v="17"/>
    <n v="1"/>
    <m/>
    <n v="2"/>
    <n v="1"/>
    <n v="2"/>
    <n v="6"/>
    <n v="5"/>
  </r>
  <r>
    <x v="4"/>
    <x v="1"/>
    <s v="S39000015"/>
    <x v="17"/>
    <n v="16"/>
    <n v="1"/>
    <m/>
    <n v="2"/>
    <n v="1"/>
    <n v="2"/>
    <n v="6"/>
    <n v="4"/>
  </r>
  <r>
    <x v="4"/>
    <x v="1"/>
    <s v="S39000016"/>
    <x v="40"/>
    <n v="18"/>
    <n v="1"/>
    <m/>
    <n v="3"/>
    <n v="1"/>
    <n v="3"/>
    <n v="5"/>
    <n v="5"/>
  </r>
  <r>
    <x v="4"/>
    <x v="1"/>
    <s v="S39000017"/>
    <x v="41"/>
    <n v="18"/>
    <n v="1"/>
    <m/>
    <n v="5"/>
    <m/>
    <n v="2"/>
    <n v="6"/>
    <n v="4"/>
  </r>
  <r>
    <x v="4"/>
    <x v="1"/>
    <s v="S39000018"/>
    <x v="42"/>
    <n v="28"/>
    <n v="1"/>
    <m/>
    <n v="3"/>
    <n v="2"/>
    <n v="4"/>
    <n v="9"/>
    <n v="9"/>
  </r>
  <r>
    <x v="4"/>
    <x v="1"/>
    <s v="S39000019"/>
    <x v="31"/>
    <n v="19"/>
    <m/>
    <m/>
    <n v="1"/>
    <n v="4"/>
    <n v="2"/>
    <n v="6"/>
    <n v="6"/>
  </r>
  <r>
    <x v="4"/>
    <x v="2"/>
    <s v="S40000003"/>
    <x v="43"/>
    <n v="73"/>
    <n v="1"/>
    <m/>
    <n v="18"/>
    <m/>
    <n v="4"/>
    <n v="13"/>
    <n v="37"/>
  </r>
  <r>
    <x v="4"/>
    <x v="2"/>
    <s v="S40000004"/>
    <x v="44"/>
    <n v="37"/>
    <n v="1"/>
    <m/>
    <n v="9"/>
    <m/>
    <n v="5"/>
    <n v="6"/>
    <n v="16"/>
  </r>
  <r>
    <x v="4"/>
    <x v="2"/>
    <s v="S40000005"/>
    <x v="45"/>
    <n v="46"/>
    <n v="1"/>
    <m/>
    <n v="11"/>
    <m/>
    <n v="6"/>
    <n v="10"/>
    <n v="18"/>
  </r>
  <r>
    <x v="4"/>
    <x v="3"/>
    <s v="S92000003"/>
    <x v="46"/>
    <n v="143"/>
    <n v="15"/>
    <n v="4"/>
    <m/>
    <n v="55"/>
    <n v="13"/>
    <n v="9"/>
    <n v="47"/>
  </r>
  <r>
    <x v="4"/>
    <x v="4"/>
    <s v="S92000003"/>
    <x v="46"/>
    <n v="3544"/>
    <n v="34"/>
    <n v="4"/>
    <n v="689"/>
    <n v="1988"/>
    <n v="74"/>
    <n v="153"/>
    <n v="602"/>
  </r>
  <r>
    <x v="5"/>
    <x v="0"/>
    <s v="S12000005"/>
    <x v="0"/>
    <m/>
    <m/>
    <m/>
    <n v="5"/>
    <n v="15"/>
    <m/>
    <m/>
    <n v="5"/>
  </r>
  <r>
    <x v="5"/>
    <x v="0"/>
    <s v="S12000006"/>
    <x v="1"/>
    <m/>
    <m/>
    <m/>
    <n v="10"/>
    <n v="38"/>
    <m/>
    <m/>
    <n v="5"/>
  </r>
  <r>
    <x v="5"/>
    <x v="0"/>
    <s v="S12000008"/>
    <x v="2"/>
    <m/>
    <m/>
    <m/>
    <n v="10"/>
    <n v="32"/>
    <m/>
    <m/>
    <n v="5"/>
  </r>
  <r>
    <x v="5"/>
    <x v="0"/>
    <s v="S12000010"/>
    <x v="3"/>
    <m/>
    <m/>
    <m/>
    <n v="5"/>
    <n v="14"/>
    <m/>
    <m/>
    <n v="5"/>
  </r>
  <r>
    <x v="5"/>
    <x v="0"/>
    <s v="S12000011"/>
    <x v="4"/>
    <m/>
    <m/>
    <m/>
    <n v="10"/>
    <n v="31"/>
    <m/>
    <m/>
    <n v="11"/>
  </r>
  <r>
    <x v="5"/>
    <x v="0"/>
    <s v="S12000014"/>
    <x v="6"/>
    <m/>
    <m/>
    <m/>
    <n v="20"/>
    <n v="53"/>
    <m/>
    <m/>
    <n v="15"/>
  </r>
  <r>
    <x v="5"/>
    <x v="0"/>
    <s v="S12000017"/>
    <x v="7"/>
    <m/>
    <m/>
    <m/>
    <n v="15"/>
    <n v="50"/>
    <m/>
    <m/>
    <n v="5"/>
  </r>
  <r>
    <x v="5"/>
    <x v="0"/>
    <s v="S12000018"/>
    <x v="8"/>
    <m/>
    <m/>
    <m/>
    <n v="15"/>
    <n v="47"/>
    <m/>
    <m/>
    <n v="10"/>
  </r>
  <r>
    <x v="5"/>
    <x v="0"/>
    <s v="S12000019"/>
    <x v="9"/>
    <m/>
    <m/>
    <m/>
    <n v="4"/>
    <n v="17"/>
    <m/>
    <m/>
    <n v="5"/>
  </r>
  <r>
    <x v="5"/>
    <x v="0"/>
    <s v="S12000020"/>
    <x v="10"/>
    <m/>
    <m/>
    <m/>
    <n v="5"/>
    <n v="20"/>
    <m/>
    <m/>
    <n v="5"/>
  </r>
  <r>
    <x v="5"/>
    <x v="0"/>
    <s v="S12000021"/>
    <x v="11"/>
    <m/>
    <m/>
    <m/>
    <n v="15"/>
    <n v="45"/>
    <m/>
    <m/>
    <n v="16"/>
  </r>
  <r>
    <x v="5"/>
    <x v="0"/>
    <s v="S12000026"/>
    <x v="14"/>
    <m/>
    <m/>
    <m/>
    <n v="10"/>
    <n v="36"/>
    <m/>
    <m/>
    <n v="10"/>
  </r>
  <r>
    <x v="5"/>
    <x v="0"/>
    <s v="S12000028"/>
    <x v="16"/>
    <m/>
    <m/>
    <m/>
    <n v="11"/>
    <n v="34"/>
    <m/>
    <m/>
    <n v="5"/>
  </r>
  <r>
    <x v="5"/>
    <x v="0"/>
    <s v="S12000029"/>
    <x v="17"/>
    <m/>
    <m/>
    <m/>
    <n v="36"/>
    <n v="111"/>
    <m/>
    <m/>
    <n v="20"/>
  </r>
  <r>
    <x v="5"/>
    <x v="0"/>
    <s v="S12000030"/>
    <x v="18"/>
    <m/>
    <m/>
    <m/>
    <n v="10"/>
    <n v="34"/>
    <m/>
    <m/>
    <n v="5"/>
  </r>
  <r>
    <x v="5"/>
    <x v="0"/>
    <s v="S12000033"/>
    <x v="19"/>
    <m/>
    <m/>
    <m/>
    <n v="35"/>
    <n v="104"/>
    <m/>
    <m/>
    <n v="15"/>
  </r>
  <r>
    <x v="5"/>
    <x v="0"/>
    <s v="S12000034"/>
    <x v="20"/>
    <m/>
    <m/>
    <m/>
    <n v="5"/>
    <n v="20"/>
    <m/>
    <m/>
    <n v="5"/>
  </r>
  <r>
    <x v="5"/>
    <x v="0"/>
    <s v="S12000035"/>
    <x v="21"/>
    <m/>
    <m/>
    <m/>
    <n v="11"/>
    <n v="33"/>
    <m/>
    <m/>
    <n v="10"/>
  </r>
  <r>
    <x v="5"/>
    <x v="0"/>
    <s v="S12000036"/>
    <x v="22"/>
    <m/>
    <m/>
    <m/>
    <n v="59"/>
    <n v="203"/>
    <m/>
    <m/>
    <n v="35"/>
  </r>
  <r>
    <x v="5"/>
    <x v="0"/>
    <s v="S12000038"/>
    <x v="23"/>
    <m/>
    <m/>
    <m/>
    <n v="18"/>
    <n v="65"/>
    <m/>
    <m/>
    <n v="16"/>
  </r>
  <r>
    <x v="5"/>
    <x v="0"/>
    <s v="S12000039"/>
    <x v="24"/>
    <m/>
    <m/>
    <m/>
    <n v="15"/>
    <n v="48"/>
    <m/>
    <m/>
    <n v="10"/>
  </r>
  <r>
    <x v="5"/>
    <x v="0"/>
    <s v="S12000040"/>
    <x v="25"/>
    <m/>
    <m/>
    <m/>
    <n v="10"/>
    <n v="36"/>
    <m/>
    <m/>
    <n v="10"/>
  </r>
  <r>
    <x v="5"/>
    <x v="0"/>
    <s v="S12000041"/>
    <x v="26"/>
    <m/>
    <m/>
    <m/>
    <n v="5"/>
    <n v="18"/>
    <m/>
    <m/>
    <n v="5"/>
  </r>
  <r>
    <x v="5"/>
    <x v="0"/>
    <s v="S12000042"/>
    <x v="27"/>
    <m/>
    <m/>
    <m/>
    <n v="35"/>
    <n v="122"/>
    <m/>
    <m/>
    <n v="20"/>
  </r>
  <r>
    <x v="5"/>
    <x v="0"/>
    <s v="S12000044"/>
    <x v="28"/>
    <m/>
    <m/>
    <m/>
    <n v="35"/>
    <n v="111"/>
    <m/>
    <m/>
    <n v="20"/>
  </r>
  <r>
    <x v="5"/>
    <x v="0"/>
    <s v="S12000045"/>
    <x v="29"/>
    <m/>
    <m/>
    <m/>
    <n v="15"/>
    <n v="47"/>
    <m/>
    <m/>
    <n v="16"/>
  </r>
  <r>
    <x v="5"/>
    <x v="0"/>
    <s v="S12000046"/>
    <x v="30"/>
    <m/>
    <m/>
    <m/>
    <n v="110"/>
    <n v="349"/>
    <m/>
    <m/>
    <n v="56"/>
  </r>
  <r>
    <x v="5"/>
    <x v="0"/>
    <s v="S12000047"/>
    <x v="31"/>
    <m/>
    <m/>
    <m/>
    <n v="48"/>
    <n v="199"/>
    <m/>
    <m/>
    <n v="27"/>
  </r>
  <r>
    <x v="5"/>
    <x v="0"/>
    <s v="S12000048"/>
    <x v="13"/>
    <m/>
    <m/>
    <m/>
    <n v="10"/>
    <n v="54"/>
    <m/>
    <m/>
    <n v="5"/>
  </r>
  <r>
    <x v="5"/>
    <x v="1"/>
    <s v="S39000001"/>
    <x v="19"/>
    <m/>
    <n v="1"/>
    <m/>
    <n v="2"/>
    <n v="1"/>
    <n v="2"/>
    <n v="4"/>
    <n v="6"/>
  </r>
  <r>
    <x v="5"/>
    <x v="1"/>
    <s v="S39000002"/>
    <x v="32"/>
    <m/>
    <n v="1"/>
    <m/>
    <n v="6"/>
    <m/>
    <n v="2"/>
    <n v="8"/>
    <n v="8"/>
  </r>
  <r>
    <x v="5"/>
    <x v="1"/>
    <s v="S39000003"/>
    <x v="33"/>
    <m/>
    <n v="1"/>
    <m/>
    <n v="6"/>
    <n v="2"/>
    <n v="3"/>
    <n v="8"/>
    <n v="6"/>
  </r>
  <r>
    <x v="5"/>
    <x v="1"/>
    <s v="S39000004"/>
    <x v="1"/>
    <m/>
    <n v="1"/>
    <m/>
    <n v="4"/>
    <n v="1.83"/>
    <n v="2"/>
    <n v="6"/>
    <n v="7"/>
  </r>
  <r>
    <x v="5"/>
    <x v="1"/>
    <s v="S39000006"/>
    <x v="34"/>
    <m/>
    <n v="1"/>
    <m/>
    <n v="2"/>
    <n v="1.6"/>
    <n v="3"/>
    <n v="9"/>
    <n v="8"/>
  </r>
  <r>
    <x v="5"/>
    <x v="1"/>
    <s v="S39000007"/>
    <x v="35"/>
    <m/>
    <n v="1"/>
    <m/>
    <n v="2"/>
    <n v="3"/>
    <n v="3"/>
    <n v="7"/>
    <n v="9"/>
  </r>
  <r>
    <x v="5"/>
    <x v="1"/>
    <s v="S39000008"/>
    <x v="36"/>
    <m/>
    <n v="1"/>
    <m/>
    <m/>
    <n v="2"/>
    <n v="4"/>
    <n v="4"/>
    <n v="3"/>
  </r>
  <r>
    <x v="5"/>
    <x v="1"/>
    <s v="S39000009"/>
    <x v="37"/>
    <m/>
    <n v="1"/>
    <m/>
    <n v="5"/>
    <n v="2.5"/>
    <n v="5"/>
    <n v="4"/>
    <n v="12"/>
  </r>
  <r>
    <x v="5"/>
    <x v="1"/>
    <s v="S39000010"/>
    <x v="38"/>
    <m/>
    <n v="1"/>
    <m/>
    <n v="3"/>
    <n v="2"/>
    <n v="2"/>
    <n v="6"/>
    <n v="6"/>
  </r>
  <r>
    <x v="5"/>
    <x v="1"/>
    <s v="S39000012"/>
    <x v="30"/>
    <m/>
    <n v="1"/>
    <m/>
    <n v="2"/>
    <n v="2"/>
    <n v="4"/>
    <n v="9"/>
    <n v="7"/>
  </r>
  <r>
    <x v="5"/>
    <x v="1"/>
    <s v="S39000013"/>
    <x v="39"/>
    <m/>
    <n v="1"/>
    <m/>
    <n v="9"/>
    <n v="1"/>
    <n v="4"/>
    <n v="14"/>
    <n v="16"/>
  </r>
  <r>
    <x v="5"/>
    <x v="1"/>
    <s v="S39000014"/>
    <x v="28"/>
    <m/>
    <n v="1"/>
    <m/>
    <n v="2"/>
    <n v="1"/>
    <n v="2"/>
    <n v="5"/>
    <n v="6"/>
  </r>
  <r>
    <x v="5"/>
    <x v="1"/>
    <s v="S39000015"/>
    <x v="17"/>
    <m/>
    <n v="1"/>
    <m/>
    <n v="2"/>
    <n v="1"/>
    <n v="2"/>
    <n v="6"/>
    <n v="4"/>
  </r>
  <r>
    <x v="5"/>
    <x v="1"/>
    <s v="S39000016"/>
    <x v="40"/>
    <m/>
    <n v="1"/>
    <m/>
    <n v="3"/>
    <n v="1"/>
    <n v="2"/>
    <n v="6"/>
    <n v="5"/>
  </r>
  <r>
    <x v="5"/>
    <x v="1"/>
    <s v="S39000017"/>
    <x v="41"/>
    <m/>
    <n v="1"/>
    <m/>
    <n v="3"/>
    <m/>
    <n v="3"/>
    <n v="5"/>
    <n v="4"/>
  </r>
  <r>
    <x v="5"/>
    <x v="1"/>
    <s v="S39000018"/>
    <x v="42"/>
    <m/>
    <n v="1"/>
    <m/>
    <n v="3"/>
    <n v="2"/>
    <n v="4"/>
    <n v="8"/>
    <n v="11"/>
  </r>
  <r>
    <x v="5"/>
    <x v="1"/>
    <s v="S39000019"/>
    <x v="31"/>
    <m/>
    <m/>
    <m/>
    <m/>
    <n v="4"/>
    <n v="2"/>
    <n v="6"/>
    <n v="6"/>
  </r>
  <r>
    <x v="5"/>
    <x v="2"/>
    <s v="S40000003"/>
    <x v="43"/>
    <m/>
    <n v="1"/>
    <m/>
    <n v="26"/>
    <m/>
    <n v="5"/>
    <n v="12"/>
    <n v="35"/>
  </r>
  <r>
    <x v="5"/>
    <x v="2"/>
    <s v="S40000004"/>
    <x v="44"/>
    <m/>
    <n v="1"/>
    <m/>
    <n v="8"/>
    <m/>
    <n v="5"/>
    <n v="5"/>
    <n v="18"/>
  </r>
  <r>
    <x v="5"/>
    <x v="2"/>
    <s v="S40000005"/>
    <x v="45"/>
    <m/>
    <n v="1"/>
    <m/>
    <n v="7"/>
    <m/>
    <n v="4"/>
    <n v="7"/>
    <n v="11"/>
  </r>
  <r>
    <x v="5"/>
    <x v="3"/>
    <s v="S92000003"/>
    <x v="46"/>
    <m/>
    <n v="14"/>
    <n v="4"/>
    <m/>
    <n v="60"/>
    <n v="17"/>
    <n v="8"/>
    <n v="46"/>
  </r>
  <r>
    <x v="6"/>
    <x v="0"/>
    <s v="S40000003"/>
    <x v="21"/>
    <m/>
    <m/>
    <m/>
    <n v="10"/>
    <n v="33"/>
    <m/>
    <m/>
    <n v="10"/>
  </r>
  <r>
    <x v="6"/>
    <x v="0"/>
    <s v="S40000003"/>
    <x v="1"/>
    <m/>
    <m/>
    <m/>
    <n v="10"/>
    <n v="37"/>
    <m/>
    <m/>
    <n v="5"/>
  </r>
  <r>
    <x v="6"/>
    <x v="0"/>
    <s v="S40000003"/>
    <x v="2"/>
    <m/>
    <m/>
    <m/>
    <n v="10"/>
    <n v="34"/>
    <m/>
    <m/>
    <n v="5"/>
  </r>
  <r>
    <x v="6"/>
    <x v="0"/>
    <s v="S40000003"/>
    <x v="29"/>
    <m/>
    <m/>
    <m/>
    <n v="15"/>
    <n v="49"/>
    <m/>
    <m/>
    <n v="15"/>
  </r>
  <r>
    <x v="6"/>
    <x v="0"/>
    <s v="S40000003"/>
    <x v="4"/>
    <m/>
    <m/>
    <m/>
    <n v="10"/>
    <n v="30"/>
    <m/>
    <m/>
    <n v="10"/>
  </r>
  <r>
    <x v="6"/>
    <x v="0"/>
    <s v="S40000003"/>
    <x v="30"/>
    <m/>
    <m/>
    <m/>
    <n v="114"/>
    <n v="346"/>
    <m/>
    <m/>
    <n v="57"/>
  </r>
  <r>
    <x v="6"/>
    <x v="0"/>
    <s v="S40000003"/>
    <x v="8"/>
    <m/>
    <m/>
    <m/>
    <n v="15"/>
    <n v="45"/>
    <m/>
    <m/>
    <n v="10"/>
  </r>
  <r>
    <x v="6"/>
    <x v="0"/>
    <s v="S40000003"/>
    <x v="11"/>
    <m/>
    <m/>
    <m/>
    <n v="15"/>
    <n v="45"/>
    <m/>
    <m/>
    <n v="15"/>
  </r>
  <r>
    <x v="6"/>
    <x v="0"/>
    <s v="S40000003"/>
    <x v="28"/>
    <m/>
    <m/>
    <m/>
    <n v="37"/>
    <n v="105"/>
    <m/>
    <m/>
    <n v="21"/>
  </r>
  <r>
    <x v="6"/>
    <x v="0"/>
    <s v="S40000003"/>
    <x v="23"/>
    <m/>
    <m/>
    <m/>
    <n v="21"/>
    <n v="66"/>
    <m/>
    <m/>
    <n v="15"/>
  </r>
  <r>
    <x v="6"/>
    <x v="0"/>
    <s v="S40000003"/>
    <x v="16"/>
    <m/>
    <m/>
    <m/>
    <n v="9"/>
    <n v="36"/>
    <m/>
    <m/>
    <n v="5"/>
  </r>
  <r>
    <x v="6"/>
    <x v="0"/>
    <s v="S40000003"/>
    <x v="17"/>
    <m/>
    <m/>
    <m/>
    <n v="37"/>
    <n v="111"/>
    <m/>
    <m/>
    <n v="20"/>
  </r>
  <r>
    <x v="6"/>
    <x v="0"/>
    <s v="S40000003"/>
    <x v="24"/>
    <m/>
    <m/>
    <m/>
    <n v="15"/>
    <n v="48"/>
    <m/>
    <m/>
    <n v="10"/>
  </r>
  <r>
    <x v="6"/>
    <x v="0"/>
    <s v="S40000004"/>
    <x v="22"/>
    <m/>
    <m/>
    <m/>
    <n v="56"/>
    <n v="214"/>
    <m/>
    <m/>
    <n v="36"/>
  </r>
  <r>
    <x v="6"/>
    <x v="0"/>
    <s v="S40000004"/>
    <x v="0"/>
    <m/>
    <m/>
    <m/>
    <n v="5"/>
    <n v="15"/>
    <m/>
    <m/>
    <n v="5"/>
  </r>
  <r>
    <x v="6"/>
    <x v="0"/>
    <s v="S40000004"/>
    <x v="3"/>
    <m/>
    <m/>
    <m/>
    <n v="5"/>
    <n v="15"/>
    <m/>
    <m/>
    <n v="5"/>
  </r>
  <r>
    <x v="6"/>
    <x v="0"/>
    <s v="S40000004"/>
    <x v="6"/>
    <m/>
    <m/>
    <m/>
    <n v="19"/>
    <n v="54"/>
    <m/>
    <m/>
    <n v="15"/>
  </r>
  <r>
    <x v="6"/>
    <x v="0"/>
    <s v="S40000004"/>
    <x v="31"/>
    <m/>
    <m/>
    <m/>
    <n v="51"/>
    <n v="192"/>
    <m/>
    <m/>
    <n v="26"/>
  </r>
  <r>
    <x v="6"/>
    <x v="0"/>
    <s v="S40000004"/>
    <x v="9"/>
    <m/>
    <m/>
    <m/>
    <n v="4"/>
    <n v="17"/>
    <m/>
    <m/>
    <n v="5"/>
  </r>
  <r>
    <x v="6"/>
    <x v="0"/>
    <s v="S40000004"/>
    <x v="14"/>
    <m/>
    <m/>
    <m/>
    <n v="10"/>
    <n v="33"/>
    <m/>
    <m/>
    <n v="10"/>
  </r>
  <r>
    <x v="6"/>
    <x v="0"/>
    <s v="S40000004"/>
    <x v="18"/>
    <m/>
    <m/>
    <m/>
    <n v="10"/>
    <n v="36"/>
    <m/>
    <m/>
    <n v="5"/>
  </r>
  <r>
    <x v="6"/>
    <x v="0"/>
    <s v="S40000004"/>
    <x v="25"/>
    <m/>
    <m/>
    <m/>
    <n v="10"/>
    <n v="37"/>
    <m/>
    <m/>
    <n v="10"/>
  </r>
  <r>
    <x v="6"/>
    <x v="0"/>
    <s v="S40000005"/>
    <x v="19"/>
    <m/>
    <m/>
    <m/>
    <n v="35"/>
    <n v="105"/>
    <m/>
    <m/>
    <n v="15"/>
  </r>
  <r>
    <x v="6"/>
    <x v="0"/>
    <s v="S40000005"/>
    <x v="20"/>
    <m/>
    <m/>
    <m/>
    <n v="4"/>
    <n v="22"/>
    <m/>
    <m/>
    <n v="6"/>
  </r>
  <r>
    <x v="6"/>
    <x v="0"/>
    <s v="S40000005"/>
    <x v="26"/>
    <m/>
    <m/>
    <m/>
    <n v="5"/>
    <n v="17"/>
    <m/>
    <m/>
    <n v="5"/>
  </r>
  <r>
    <x v="6"/>
    <x v="0"/>
    <s v="S40000005"/>
    <x v="27"/>
    <m/>
    <m/>
    <m/>
    <n v="36"/>
    <n v="126"/>
    <m/>
    <m/>
    <n v="20"/>
  </r>
  <r>
    <x v="6"/>
    <x v="0"/>
    <s v="S40000005"/>
    <x v="7"/>
    <m/>
    <m/>
    <m/>
    <n v="14"/>
    <n v="52"/>
    <m/>
    <m/>
    <n v="5"/>
  </r>
  <r>
    <x v="6"/>
    <x v="0"/>
    <s v="S40000005"/>
    <x v="10"/>
    <m/>
    <m/>
    <m/>
    <n v="5"/>
    <n v="20"/>
    <m/>
    <m/>
    <n v="5"/>
  </r>
  <r>
    <x v="6"/>
    <x v="0"/>
    <s v="S40000005"/>
    <x v="13"/>
    <m/>
    <m/>
    <m/>
    <n v="10"/>
    <n v="52"/>
    <m/>
    <m/>
    <n v="5"/>
  </r>
  <r>
    <x v="6"/>
    <x v="1"/>
    <m/>
    <x v="47"/>
    <m/>
    <n v="1"/>
    <m/>
    <n v="6"/>
    <n v="4"/>
    <n v="4"/>
    <n v="12"/>
    <n v="11"/>
  </r>
  <r>
    <x v="6"/>
    <x v="1"/>
    <s v="S40000003"/>
    <x v="33"/>
    <m/>
    <n v="1"/>
    <m/>
    <n v="7"/>
    <n v="2"/>
    <n v="3"/>
    <n v="8"/>
    <n v="7"/>
  </r>
  <r>
    <x v="6"/>
    <x v="1"/>
    <s v="S40000003"/>
    <x v="1"/>
    <m/>
    <n v="1"/>
    <m/>
    <n v="3"/>
    <n v="1.83"/>
    <n v="2"/>
    <n v="6"/>
    <n v="8"/>
  </r>
  <r>
    <x v="6"/>
    <x v="1"/>
    <s v="S40000003"/>
    <x v="34"/>
    <m/>
    <n v="1"/>
    <m/>
    <n v="5"/>
    <n v="0.6"/>
    <n v="3"/>
    <n v="10"/>
    <n v="8"/>
  </r>
  <r>
    <x v="6"/>
    <x v="1"/>
    <s v="S40000003"/>
    <x v="36"/>
    <m/>
    <n v="1"/>
    <m/>
    <m/>
    <n v="1"/>
    <n v="4"/>
    <n v="4"/>
    <n v="3"/>
  </r>
  <r>
    <x v="6"/>
    <x v="1"/>
    <s v="S40000003"/>
    <x v="30"/>
    <m/>
    <n v="1"/>
    <m/>
    <n v="2"/>
    <n v="2"/>
    <n v="5"/>
    <n v="10"/>
    <n v="5"/>
  </r>
  <r>
    <x v="6"/>
    <x v="1"/>
    <s v="S40000003"/>
    <x v="28"/>
    <m/>
    <n v="1"/>
    <m/>
    <n v="2"/>
    <n v="1"/>
    <n v="2"/>
    <n v="5"/>
    <n v="5"/>
  </r>
  <r>
    <x v="6"/>
    <x v="1"/>
    <s v="S40000003"/>
    <x v="17"/>
    <m/>
    <n v="1"/>
    <m/>
    <n v="3"/>
    <m/>
    <n v="2"/>
    <n v="6"/>
    <n v="4"/>
  </r>
  <r>
    <x v="6"/>
    <x v="1"/>
    <s v="S40000004"/>
    <x v="35"/>
    <m/>
    <n v="1"/>
    <m/>
    <n v="5"/>
    <n v="4"/>
    <n v="3"/>
    <n v="7"/>
    <n v="9"/>
  </r>
  <r>
    <x v="6"/>
    <x v="1"/>
    <s v="S40000004"/>
    <x v="37"/>
    <m/>
    <n v="1"/>
    <m/>
    <n v="4"/>
    <n v="3.5"/>
    <n v="4"/>
    <n v="5"/>
    <n v="10"/>
  </r>
  <r>
    <x v="6"/>
    <x v="1"/>
    <s v="S40000004"/>
    <x v="38"/>
    <m/>
    <n v="1"/>
    <m/>
    <n v="2"/>
    <n v="2"/>
    <n v="2"/>
    <n v="6"/>
    <n v="6"/>
  </r>
  <r>
    <x v="6"/>
    <x v="1"/>
    <s v="S40000005"/>
    <x v="19"/>
    <m/>
    <n v="1"/>
    <m/>
    <n v="2"/>
    <n v="1"/>
    <n v="2"/>
    <n v="3"/>
    <n v="4"/>
  </r>
  <r>
    <x v="6"/>
    <x v="1"/>
    <s v="S40000005"/>
    <x v="32"/>
    <m/>
    <n v="1"/>
    <m/>
    <n v="4"/>
    <n v="1"/>
    <n v="3"/>
    <n v="9"/>
    <n v="7"/>
  </r>
  <r>
    <x v="6"/>
    <x v="1"/>
    <s v="S40000005"/>
    <x v="42"/>
    <m/>
    <n v="1"/>
    <m/>
    <n v="4"/>
    <n v="2"/>
    <n v="4"/>
    <n v="9"/>
    <n v="11"/>
  </r>
  <r>
    <x v="6"/>
    <x v="1"/>
    <s v="S40000005"/>
    <x v="39"/>
    <m/>
    <n v="1"/>
    <m/>
    <n v="8"/>
    <n v="1"/>
    <n v="4"/>
    <n v="13"/>
    <n v="11"/>
  </r>
  <r>
    <x v="6"/>
    <x v="1"/>
    <s v="S40000005"/>
    <x v="41"/>
    <m/>
    <n v="1"/>
    <m/>
    <n v="1"/>
    <m/>
    <n v="3"/>
    <n v="5"/>
    <n v="4"/>
  </r>
  <r>
    <x v="6"/>
    <x v="2"/>
    <s v="S40000003"/>
    <x v="43"/>
    <m/>
    <n v="3"/>
    <m/>
    <n v="21"/>
    <m/>
    <n v="10"/>
    <n v="14"/>
    <n v="55"/>
  </r>
  <r>
    <x v="6"/>
    <x v="2"/>
    <s v="S40000004"/>
    <x v="44"/>
    <m/>
    <n v="1"/>
    <m/>
    <n v="6"/>
    <m/>
    <n v="4"/>
    <n v="8"/>
    <n v="33"/>
  </r>
  <r>
    <x v="6"/>
    <x v="2"/>
    <s v="S40000005"/>
    <x v="45"/>
    <m/>
    <n v="2"/>
    <m/>
    <n v="6"/>
    <m/>
    <n v="3"/>
    <n v="7"/>
    <n v="24"/>
  </r>
  <r>
    <x v="6"/>
    <x v="3"/>
    <s v="S92000003"/>
    <x v="46"/>
    <m/>
    <n v="9"/>
    <n v="6"/>
    <m/>
    <n v="49"/>
    <n v="13"/>
    <n v="6"/>
    <n v="7"/>
  </r>
  <r>
    <x v="7"/>
    <x v="0"/>
    <s v="S40000002"/>
    <x v="0"/>
    <m/>
    <m/>
    <m/>
    <n v="5"/>
    <n v="13"/>
    <m/>
    <m/>
    <n v="6"/>
  </r>
  <r>
    <x v="7"/>
    <x v="0"/>
    <s v="S40000002"/>
    <x v="31"/>
    <m/>
    <m/>
    <m/>
    <n v="50"/>
    <n v="179"/>
    <m/>
    <m/>
    <n v="25"/>
  </r>
  <r>
    <x v="7"/>
    <x v="0"/>
    <s v="S40000002"/>
    <x v="18"/>
    <m/>
    <m/>
    <m/>
    <n v="10"/>
    <n v="37"/>
    <m/>
    <m/>
    <n v="5"/>
  </r>
  <r>
    <x v="7"/>
    <x v="0"/>
    <s v="S40000003"/>
    <x v="21"/>
    <m/>
    <m/>
    <m/>
    <n v="10"/>
    <n v="32"/>
    <m/>
    <m/>
    <n v="10"/>
  </r>
  <r>
    <x v="7"/>
    <x v="0"/>
    <s v="S40000003"/>
    <x v="1"/>
    <m/>
    <m/>
    <m/>
    <n v="10"/>
    <n v="36"/>
    <m/>
    <m/>
    <n v="5"/>
  </r>
  <r>
    <x v="7"/>
    <x v="0"/>
    <s v="S40000003"/>
    <x v="2"/>
    <m/>
    <m/>
    <m/>
    <n v="10"/>
    <n v="32"/>
    <m/>
    <m/>
    <n v="5"/>
  </r>
  <r>
    <x v="7"/>
    <x v="0"/>
    <s v="S40000003"/>
    <x v="29"/>
    <m/>
    <m/>
    <m/>
    <n v="14"/>
    <n v="46"/>
    <m/>
    <m/>
    <n v="16"/>
  </r>
  <r>
    <x v="7"/>
    <x v="0"/>
    <s v="S40000003"/>
    <x v="4"/>
    <m/>
    <m/>
    <m/>
    <n v="10"/>
    <n v="28"/>
    <m/>
    <m/>
    <n v="10"/>
  </r>
  <r>
    <x v="7"/>
    <x v="0"/>
    <s v="S40000003"/>
    <x v="30"/>
    <m/>
    <m/>
    <m/>
    <n v="109"/>
    <n v="335"/>
    <m/>
    <m/>
    <n v="55"/>
  </r>
  <r>
    <x v="7"/>
    <x v="0"/>
    <s v="S40000003"/>
    <x v="8"/>
    <m/>
    <m/>
    <m/>
    <n v="15"/>
    <n v="45"/>
    <m/>
    <m/>
    <n v="10"/>
  </r>
  <r>
    <x v="7"/>
    <x v="0"/>
    <s v="S40000003"/>
    <x v="11"/>
    <m/>
    <m/>
    <m/>
    <n v="15"/>
    <n v="45"/>
    <m/>
    <m/>
    <n v="15"/>
  </r>
  <r>
    <x v="7"/>
    <x v="0"/>
    <s v="S40000003"/>
    <x v="28"/>
    <m/>
    <m/>
    <m/>
    <n v="35"/>
    <n v="105"/>
    <m/>
    <m/>
    <n v="20"/>
  </r>
  <r>
    <x v="7"/>
    <x v="0"/>
    <s v="S40000003"/>
    <x v="23"/>
    <m/>
    <m/>
    <m/>
    <n v="21"/>
    <n v="64"/>
    <m/>
    <m/>
    <n v="15"/>
  </r>
  <r>
    <x v="7"/>
    <x v="0"/>
    <s v="S40000003"/>
    <x v="16"/>
    <m/>
    <m/>
    <m/>
    <n v="10"/>
    <n v="36"/>
    <m/>
    <m/>
    <n v="5"/>
  </r>
  <r>
    <x v="7"/>
    <x v="0"/>
    <s v="S40000003"/>
    <x v="17"/>
    <m/>
    <m/>
    <m/>
    <n v="37"/>
    <n v="111"/>
    <m/>
    <m/>
    <n v="20"/>
  </r>
  <r>
    <x v="7"/>
    <x v="0"/>
    <s v="S40000003"/>
    <x v="24"/>
    <m/>
    <m/>
    <m/>
    <n v="17"/>
    <n v="46"/>
    <m/>
    <m/>
    <n v="10"/>
  </r>
  <r>
    <x v="7"/>
    <x v="0"/>
    <s v="S40000004"/>
    <x v="22"/>
    <m/>
    <m/>
    <m/>
    <n v="58"/>
    <n v="205.5"/>
    <m/>
    <m/>
    <n v="36"/>
  </r>
  <r>
    <x v="7"/>
    <x v="0"/>
    <s v="S40000004"/>
    <x v="3"/>
    <m/>
    <m/>
    <m/>
    <n v="5"/>
    <n v="16"/>
    <m/>
    <m/>
    <n v="5"/>
  </r>
  <r>
    <x v="7"/>
    <x v="0"/>
    <s v="S40000004"/>
    <x v="6"/>
    <m/>
    <m/>
    <m/>
    <n v="20"/>
    <n v="53"/>
    <m/>
    <m/>
    <n v="15"/>
  </r>
  <r>
    <x v="7"/>
    <x v="0"/>
    <s v="S40000004"/>
    <x v="9"/>
    <m/>
    <m/>
    <m/>
    <n v="5"/>
    <n v="17"/>
    <m/>
    <m/>
    <n v="5"/>
  </r>
  <r>
    <x v="7"/>
    <x v="0"/>
    <s v="S40000004"/>
    <x v="14"/>
    <m/>
    <m/>
    <m/>
    <n v="8"/>
    <n v="33"/>
    <m/>
    <m/>
    <n v="10"/>
  </r>
  <r>
    <x v="7"/>
    <x v="0"/>
    <s v="S40000004"/>
    <x v="25"/>
    <m/>
    <m/>
    <m/>
    <n v="11"/>
    <n v="35"/>
    <m/>
    <m/>
    <n v="10"/>
  </r>
  <r>
    <x v="7"/>
    <x v="0"/>
    <s v="S40000005"/>
    <x v="19"/>
    <m/>
    <m/>
    <m/>
    <n v="35"/>
    <n v="99"/>
    <m/>
    <m/>
    <n v="15"/>
  </r>
  <r>
    <x v="7"/>
    <x v="0"/>
    <s v="S40000005"/>
    <x v="20"/>
    <m/>
    <m/>
    <m/>
    <n v="5"/>
    <n v="19"/>
    <m/>
    <m/>
    <n v="5"/>
  </r>
  <r>
    <x v="7"/>
    <x v="0"/>
    <s v="S40000005"/>
    <x v="26"/>
    <m/>
    <m/>
    <m/>
    <n v="5"/>
    <n v="17"/>
    <m/>
    <m/>
    <n v="5"/>
  </r>
  <r>
    <x v="7"/>
    <x v="0"/>
    <s v="S40000005"/>
    <x v="27"/>
    <m/>
    <m/>
    <m/>
    <n v="36"/>
    <n v="127"/>
    <m/>
    <m/>
    <n v="19"/>
  </r>
  <r>
    <x v="7"/>
    <x v="0"/>
    <s v="S40000005"/>
    <x v="7"/>
    <m/>
    <m/>
    <m/>
    <n v="15"/>
    <n v="54"/>
    <m/>
    <m/>
    <n v="5"/>
  </r>
  <r>
    <x v="7"/>
    <x v="0"/>
    <s v="S40000005"/>
    <x v="10"/>
    <m/>
    <m/>
    <m/>
    <n v="5"/>
    <n v="20"/>
    <m/>
    <m/>
    <n v="5"/>
  </r>
  <r>
    <x v="7"/>
    <x v="0"/>
    <s v="S40000005"/>
    <x v="13"/>
    <m/>
    <m/>
    <m/>
    <n v="10"/>
    <n v="48"/>
    <m/>
    <m/>
    <n v="5"/>
  </r>
  <r>
    <x v="7"/>
    <x v="1"/>
    <m/>
    <x v="47"/>
    <m/>
    <n v="1"/>
    <m/>
    <n v="6"/>
    <n v="4"/>
    <n v="4"/>
    <n v="11"/>
    <n v="11"/>
  </r>
  <r>
    <x v="7"/>
    <x v="1"/>
    <s v="S40000003"/>
    <x v="33"/>
    <m/>
    <n v="1"/>
    <m/>
    <n v="6"/>
    <n v="2"/>
    <n v="3"/>
    <n v="7"/>
    <n v="7"/>
  </r>
  <r>
    <x v="7"/>
    <x v="1"/>
    <s v="S40000003"/>
    <x v="1"/>
    <m/>
    <n v="1"/>
    <m/>
    <n v="4"/>
    <n v="1.83"/>
    <n v="2"/>
    <n v="6"/>
    <n v="6"/>
  </r>
  <r>
    <x v="7"/>
    <x v="1"/>
    <s v="S40000003"/>
    <x v="34"/>
    <m/>
    <n v="1"/>
    <m/>
    <n v="5"/>
    <n v="0.6"/>
    <n v="3"/>
    <n v="9"/>
    <n v="8"/>
  </r>
  <r>
    <x v="7"/>
    <x v="1"/>
    <s v="S40000003"/>
    <x v="36"/>
    <m/>
    <n v="1"/>
    <m/>
    <n v="2"/>
    <n v="1"/>
    <n v="4"/>
    <n v="5"/>
    <n v="4"/>
  </r>
  <r>
    <x v="7"/>
    <x v="1"/>
    <s v="S40000003"/>
    <x v="30"/>
    <m/>
    <n v="1"/>
    <m/>
    <n v="2"/>
    <n v="2"/>
    <n v="5"/>
    <n v="9"/>
    <n v="7"/>
  </r>
  <r>
    <x v="7"/>
    <x v="1"/>
    <s v="S40000003"/>
    <x v="28"/>
    <m/>
    <n v="1"/>
    <m/>
    <n v="2"/>
    <m/>
    <n v="2"/>
    <n v="5"/>
    <n v="5"/>
  </r>
  <r>
    <x v="7"/>
    <x v="1"/>
    <s v="S40000003"/>
    <x v="17"/>
    <m/>
    <n v="1"/>
    <m/>
    <n v="3"/>
    <m/>
    <n v="2"/>
    <n v="6"/>
    <n v="4"/>
  </r>
  <r>
    <x v="7"/>
    <x v="1"/>
    <s v="S40000004"/>
    <x v="35"/>
    <m/>
    <n v="1"/>
    <m/>
    <n v="3"/>
    <n v="4"/>
    <n v="3"/>
    <n v="7"/>
    <n v="10"/>
  </r>
  <r>
    <x v="7"/>
    <x v="1"/>
    <s v="S40000004"/>
    <x v="37"/>
    <m/>
    <n v="1"/>
    <m/>
    <n v="3"/>
    <n v="3.5"/>
    <n v="3"/>
    <n v="7"/>
    <n v="10"/>
  </r>
  <r>
    <x v="7"/>
    <x v="1"/>
    <s v="S40000004"/>
    <x v="38"/>
    <m/>
    <n v="1"/>
    <m/>
    <n v="3"/>
    <n v="2"/>
    <n v="2"/>
    <n v="5"/>
    <n v="6"/>
  </r>
  <r>
    <x v="7"/>
    <x v="1"/>
    <s v="S40000005"/>
    <x v="19"/>
    <m/>
    <n v="1"/>
    <m/>
    <n v="1"/>
    <n v="1"/>
    <n v="2"/>
    <n v="3"/>
    <n v="4"/>
  </r>
  <r>
    <x v="7"/>
    <x v="1"/>
    <s v="S40000005"/>
    <x v="32"/>
    <m/>
    <n v="1"/>
    <m/>
    <n v="4"/>
    <n v="1"/>
    <n v="3"/>
    <n v="9"/>
    <n v="8"/>
  </r>
  <r>
    <x v="7"/>
    <x v="1"/>
    <s v="S40000005"/>
    <x v="42"/>
    <m/>
    <n v="1"/>
    <m/>
    <n v="4"/>
    <n v="1"/>
    <n v="4"/>
    <n v="8"/>
    <n v="10"/>
  </r>
  <r>
    <x v="7"/>
    <x v="1"/>
    <s v="S40000005"/>
    <x v="39"/>
    <m/>
    <n v="1"/>
    <m/>
    <n v="7"/>
    <n v="1"/>
    <n v="4"/>
    <n v="12"/>
    <n v="10"/>
  </r>
  <r>
    <x v="7"/>
    <x v="1"/>
    <s v="S40000005"/>
    <x v="41"/>
    <m/>
    <n v="1"/>
    <m/>
    <m/>
    <m/>
    <n v="3"/>
    <n v="7"/>
    <n v="4"/>
  </r>
  <r>
    <x v="7"/>
    <x v="2"/>
    <s v="S40000003"/>
    <x v="43"/>
    <m/>
    <n v="3"/>
    <m/>
    <n v="17"/>
    <n v="25"/>
    <n v="5"/>
    <n v="5"/>
    <n v="36"/>
  </r>
  <r>
    <x v="7"/>
    <x v="2"/>
    <s v="S40000004"/>
    <x v="44"/>
    <m/>
    <n v="1"/>
    <m/>
    <n v="6"/>
    <n v="20"/>
    <n v="2"/>
    <n v="5"/>
    <n v="32"/>
  </r>
  <r>
    <x v="7"/>
    <x v="2"/>
    <s v="S40000005"/>
    <x v="45"/>
    <m/>
    <n v="2"/>
    <m/>
    <n v="13"/>
    <n v="13"/>
    <n v="2"/>
    <n v="6"/>
    <n v="19"/>
  </r>
  <r>
    <x v="7"/>
    <x v="3"/>
    <s v="S92000003"/>
    <x v="46"/>
    <m/>
    <n v="13"/>
    <n v="5"/>
    <m/>
    <n v="1"/>
    <n v="21"/>
    <n v="20"/>
    <n v="30"/>
  </r>
  <r>
    <x v="8"/>
    <x v="0"/>
    <m/>
    <x v="19"/>
    <m/>
    <m/>
    <m/>
    <n v="35"/>
    <n v="103"/>
    <m/>
    <m/>
    <n v="16"/>
  </r>
  <r>
    <x v="8"/>
    <x v="0"/>
    <m/>
    <x v="20"/>
    <m/>
    <m/>
    <m/>
    <n v="5"/>
    <n v="18"/>
    <m/>
    <m/>
    <n v="5"/>
  </r>
  <r>
    <x v="8"/>
    <x v="0"/>
    <m/>
    <x v="26"/>
    <m/>
    <m/>
    <m/>
    <n v="5"/>
    <n v="16"/>
    <m/>
    <m/>
    <n v="5"/>
  </r>
  <r>
    <x v="8"/>
    <x v="0"/>
    <m/>
    <x v="21"/>
    <m/>
    <m/>
    <m/>
    <n v="8"/>
    <n v="28"/>
    <m/>
    <m/>
    <n v="10"/>
  </r>
  <r>
    <x v="8"/>
    <x v="0"/>
    <m/>
    <x v="22"/>
    <m/>
    <m/>
    <m/>
    <n v="58"/>
    <n v="201.5"/>
    <m/>
    <m/>
    <n v="35"/>
  </r>
  <r>
    <x v="8"/>
    <x v="0"/>
    <m/>
    <x v="0"/>
    <m/>
    <m/>
    <m/>
    <n v="4"/>
    <n v="15"/>
    <m/>
    <m/>
    <n v="5"/>
  </r>
  <r>
    <x v="8"/>
    <x v="0"/>
    <m/>
    <x v="1"/>
    <m/>
    <m/>
    <m/>
    <n v="10"/>
    <n v="35"/>
    <m/>
    <m/>
    <n v="5"/>
  </r>
  <r>
    <x v="8"/>
    <x v="0"/>
    <m/>
    <x v="27"/>
    <m/>
    <m/>
    <m/>
    <n v="35"/>
    <n v="119"/>
    <m/>
    <m/>
    <n v="20"/>
  </r>
  <r>
    <x v="8"/>
    <x v="0"/>
    <m/>
    <x v="2"/>
    <m/>
    <m/>
    <m/>
    <n v="10"/>
    <n v="31"/>
    <m/>
    <m/>
    <n v="5"/>
  </r>
  <r>
    <x v="8"/>
    <x v="0"/>
    <m/>
    <x v="29"/>
    <m/>
    <m/>
    <m/>
    <n v="13"/>
    <n v="46"/>
    <m/>
    <m/>
    <n v="16"/>
  </r>
  <r>
    <x v="8"/>
    <x v="0"/>
    <m/>
    <x v="3"/>
    <m/>
    <m/>
    <m/>
    <n v="4"/>
    <n v="14"/>
    <m/>
    <m/>
    <n v="6"/>
  </r>
  <r>
    <x v="8"/>
    <x v="0"/>
    <m/>
    <x v="4"/>
    <m/>
    <m/>
    <m/>
    <n v="7"/>
    <n v="30"/>
    <m/>
    <m/>
    <n v="10"/>
  </r>
  <r>
    <x v="8"/>
    <x v="0"/>
    <m/>
    <x v="6"/>
    <m/>
    <m/>
    <m/>
    <n v="19"/>
    <n v="53"/>
    <m/>
    <m/>
    <n v="15"/>
  </r>
  <r>
    <x v="8"/>
    <x v="0"/>
    <m/>
    <x v="31"/>
    <m/>
    <m/>
    <m/>
    <n v="50"/>
    <n v="179"/>
    <m/>
    <m/>
    <n v="25"/>
  </r>
  <r>
    <x v="8"/>
    <x v="0"/>
    <m/>
    <x v="30"/>
    <m/>
    <m/>
    <m/>
    <n v="106"/>
    <n v="332"/>
    <m/>
    <m/>
    <n v="55"/>
  </r>
  <r>
    <x v="8"/>
    <x v="0"/>
    <m/>
    <x v="7"/>
    <m/>
    <m/>
    <m/>
    <n v="15"/>
    <n v="50"/>
    <m/>
    <m/>
    <n v="5"/>
  </r>
  <r>
    <x v="8"/>
    <x v="0"/>
    <m/>
    <x v="8"/>
    <m/>
    <m/>
    <m/>
    <n v="12"/>
    <n v="46"/>
    <m/>
    <m/>
    <n v="10"/>
  </r>
  <r>
    <x v="8"/>
    <x v="0"/>
    <m/>
    <x v="9"/>
    <m/>
    <m/>
    <m/>
    <n v="4"/>
    <n v="17"/>
    <m/>
    <m/>
    <n v="5"/>
  </r>
  <r>
    <x v="8"/>
    <x v="0"/>
    <m/>
    <x v="10"/>
    <m/>
    <m/>
    <m/>
    <n v="5"/>
    <n v="20"/>
    <m/>
    <m/>
    <n v="5"/>
  </r>
  <r>
    <x v="8"/>
    <x v="0"/>
    <m/>
    <x v="11"/>
    <m/>
    <m/>
    <m/>
    <n v="14"/>
    <n v="46"/>
    <m/>
    <m/>
    <n v="14"/>
  </r>
  <r>
    <x v="8"/>
    <x v="0"/>
    <m/>
    <x v="28"/>
    <m/>
    <m/>
    <m/>
    <n v="37"/>
    <n v="100"/>
    <m/>
    <m/>
    <n v="19"/>
  </r>
  <r>
    <x v="8"/>
    <x v="0"/>
    <m/>
    <x v="13"/>
    <m/>
    <m/>
    <m/>
    <n v="9"/>
    <n v="53"/>
    <m/>
    <m/>
    <n v="4"/>
  </r>
  <r>
    <x v="8"/>
    <x v="0"/>
    <m/>
    <x v="23"/>
    <m/>
    <m/>
    <m/>
    <n v="19"/>
    <n v="63"/>
    <m/>
    <m/>
    <n v="17"/>
  </r>
  <r>
    <x v="8"/>
    <x v="0"/>
    <m/>
    <x v="14"/>
    <m/>
    <m/>
    <m/>
    <n v="10"/>
    <n v="33"/>
    <m/>
    <m/>
    <n v="10"/>
  </r>
  <r>
    <x v="8"/>
    <x v="0"/>
    <m/>
    <x v="16"/>
    <m/>
    <m/>
    <m/>
    <n v="10"/>
    <n v="32"/>
    <m/>
    <m/>
    <n v="5"/>
  </r>
  <r>
    <x v="8"/>
    <x v="0"/>
    <m/>
    <x v="17"/>
    <m/>
    <m/>
    <m/>
    <n v="36"/>
    <n v="99"/>
    <m/>
    <m/>
    <n v="20"/>
  </r>
  <r>
    <x v="8"/>
    <x v="0"/>
    <m/>
    <x v="18"/>
    <m/>
    <m/>
    <m/>
    <n v="11"/>
    <n v="33"/>
    <m/>
    <m/>
    <n v="5"/>
  </r>
  <r>
    <x v="8"/>
    <x v="0"/>
    <m/>
    <x v="24"/>
    <m/>
    <m/>
    <m/>
    <n v="11"/>
    <n v="47"/>
    <m/>
    <m/>
    <n v="11"/>
  </r>
  <r>
    <x v="8"/>
    <x v="0"/>
    <m/>
    <x v="25"/>
    <m/>
    <m/>
    <m/>
    <n v="10"/>
    <n v="37.5"/>
    <m/>
    <m/>
    <n v="10"/>
  </r>
  <r>
    <x v="8"/>
    <x v="1"/>
    <m/>
    <x v="48"/>
    <m/>
    <n v="1"/>
    <m/>
    <n v="5"/>
    <n v="2"/>
    <n v="4"/>
    <n v="12"/>
    <n v="12"/>
  </r>
  <r>
    <x v="8"/>
    <x v="1"/>
    <m/>
    <x v="33"/>
    <m/>
    <n v="1"/>
    <m/>
    <n v="6"/>
    <n v="2"/>
    <n v="4"/>
    <n v="8"/>
    <n v="7"/>
  </r>
  <r>
    <x v="8"/>
    <x v="1"/>
    <m/>
    <x v="1"/>
    <m/>
    <n v="1"/>
    <m/>
    <n v="4"/>
    <n v="1.83"/>
    <n v="2"/>
    <n v="6"/>
    <n v="7"/>
  </r>
  <r>
    <x v="8"/>
    <x v="1"/>
    <m/>
    <x v="42"/>
    <m/>
    <n v="1"/>
    <m/>
    <n v="5"/>
    <n v="2"/>
    <n v="4"/>
    <n v="8"/>
    <n v="11"/>
  </r>
  <r>
    <x v="8"/>
    <x v="1"/>
    <m/>
    <x v="34"/>
    <m/>
    <n v="1"/>
    <m/>
    <n v="3"/>
    <n v="0.6"/>
    <n v="3"/>
    <n v="11"/>
    <n v="8"/>
  </r>
  <r>
    <x v="8"/>
    <x v="1"/>
    <m/>
    <x v="35"/>
    <m/>
    <n v="1"/>
    <m/>
    <n v="6"/>
    <n v="4"/>
    <n v="3"/>
    <n v="7"/>
    <n v="8"/>
  </r>
  <r>
    <x v="8"/>
    <x v="1"/>
    <m/>
    <x v="36"/>
    <m/>
    <n v="1"/>
    <m/>
    <n v="3"/>
    <n v="1"/>
    <n v="3"/>
    <n v="6"/>
    <n v="5"/>
  </r>
  <r>
    <x v="8"/>
    <x v="1"/>
    <m/>
    <x v="37"/>
    <m/>
    <n v="1"/>
    <m/>
    <n v="3"/>
    <n v="4"/>
    <n v="3"/>
    <n v="7"/>
    <n v="9"/>
  </r>
  <r>
    <x v="8"/>
    <x v="1"/>
    <m/>
    <x v="38"/>
    <m/>
    <n v="1"/>
    <m/>
    <n v="3"/>
    <n v="2"/>
    <n v="2"/>
    <n v="4"/>
    <n v="6"/>
  </r>
  <r>
    <x v="8"/>
    <x v="1"/>
    <m/>
    <x v="30"/>
    <m/>
    <n v="1"/>
    <m/>
    <n v="1"/>
    <n v="1"/>
    <n v="4"/>
    <n v="9"/>
    <n v="7"/>
  </r>
  <r>
    <x v="8"/>
    <x v="1"/>
    <m/>
    <x v="39"/>
    <m/>
    <n v="1"/>
    <m/>
    <n v="6"/>
    <n v="2"/>
    <n v="4"/>
    <n v="10"/>
    <n v="10"/>
  </r>
  <r>
    <x v="8"/>
    <x v="1"/>
    <m/>
    <x v="49"/>
    <m/>
    <n v="1"/>
    <m/>
    <n v="4"/>
    <n v="1"/>
    <n v="3"/>
    <n v="11"/>
    <n v="10"/>
  </r>
  <r>
    <x v="8"/>
    <x v="1"/>
    <m/>
    <x v="47"/>
    <m/>
    <n v="1"/>
    <m/>
    <n v="7"/>
    <n v="3"/>
    <n v="4"/>
    <n v="13"/>
    <n v="10"/>
  </r>
  <r>
    <x v="8"/>
    <x v="1"/>
    <m/>
    <x v="41"/>
    <m/>
    <n v="1"/>
    <m/>
    <m/>
    <m/>
    <n v="4"/>
    <n v="7"/>
    <n v="5"/>
  </r>
  <r>
    <x v="8"/>
    <x v="2"/>
    <m/>
    <x v="45"/>
    <m/>
    <n v="2"/>
    <m/>
    <n v="10"/>
    <n v="10"/>
    <n v="2"/>
    <n v="7"/>
    <n v="17"/>
  </r>
  <r>
    <x v="8"/>
    <x v="2"/>
    <m/>
    <x v="43"/>
    <m/>
    <n v="2"/>
    <m/>
    <n v="16"/>
    <n v="34"/>
    <n v="5"/>
    <n v="7"/>
    <n v="43"/>
  </r>
  <r>
    <x v="8"/>
    <x v="2"/>
    <s v="S40000004"/>
    <x v="44"/>
    <m/>
    <n v="1"/>
    <m/>
    <n v="6"/>
    <n v="21"/>
    <n v="2"/>
    <n v="5"/>
    <n v="31"/>
  </r>
  <r>
    <x v="8"/>
    <x v="3"/>
    <s v="S92000003"/>
    <x v="46"/>
    <m/>
    <n v="16"/>
    <n v="5"/>
    <m/>
    <m/>
    <n v="20"/>
    <n v="19"/>
    <n v="28"/>
  </r>
  <r>
    <x v="9"/>
    <x v="0"/>
    <m/>
    <x v="19"/>
    <m/>
    <m/>
    <m/>
    <n v="32"/>
    <n v="103"/>
    <m/>
    <m/>
    <n v="20"/>
  </r>
  <r>
    <x v="9"/>
    <x v="0"/>
    <m/>
    <x v="20"/>
    <m/>
    <m/>
    <m/>
    <n v="5"/>
    <n v="18"/>
    <m/>
    <m/>
    <n v="5"/>
  </r>
  <r>
    <x v="9"/>
    <x v="0"/>
    <m/>
    <x v="26"/>
    <m/>
    <m/>
    <m/>
    <n v="5"/>
    <n v="14"/>
    <m/>
    <m/>
    <n v="5"/>
  </r>
  <r>
    <x v="9"/>
    <x v="0"/>
    <m/>
    <x v="21"/>
    <m/>
    <m/>
    <m/>
    <n v="11"/>
    <n v="29"/>
    <m/>
    <m/>
    <n v="10"/>
  </r>
  <r>
    <x v="9"/>
    <x v="0"/>
    <m/>
    <x v="22"/>
    <m/>
    <m/>
    <m/>
    <n v="53"/>
    <n v="191.5"/>
    <m/>
    <m/>
    <n v="38"/>
  </r>
  <r>
    <x v="9"/>
    <x v="0"/>
    <m/>
    <x v="0"/>
    <m/>
    <m/>
    <m/>
    <n v="6"/>
    <n v="14"/>
    <m/>
    <m/>
    <n v="5"/>
  </r>
  <r>
    <x v="9"/>
    <x v="0"/>
    <m/>
    <x v="1"/>
    <m/>
    <m/>
    <m/>
    <n v="9"/>
    <n v="37"/>
    <m/>
    <m/>
    <n v="5"/>
  </r>
  <r>
    <x v="9"/>
    <x v="0"/>
    <m/>
    <x v="27"/>
    <m/>
    <m/>
    <m/>
    <n v="37"/>
    <n v="112"/>
    <m/>
    <m/>
    <n v="20"/>
  </r>
  <r>
    <x v="9"/>
    <x v="0"/>
    <m/>
    <x v="2"/>
    <m/>
    <m/>
    <m/>
    <n v="8"/>
    <n v="33.6"/>
    <m/>
    <m/>
    <n v="5"/>
  </r>
  <r>
    <x v="9"/>
    <x v="0"/>
    <m/>
    <x v="29"/>
    <m/>
    <m/>
    <m/>
    <n v="12"/>
    <n v="44"/>
    <m/>
    <m/>
    <n v="15"/>
  </r>
  <r>
    <x v="9"/>
    <x v="0"/>
    <m/>
    <x v="3"/>
    <m/>
    <m/>
    <m/>
    <n v="4"/>
    <n v="15"/>
    <m/>
    <m/>
    <n v="5"/>
  </r>
  <r>
    <x v="9"/>
    <x v="0"/>
    <m/>
    <x v="4"/>
    <m/>
    <m/>
    <m/>
    <n v="10"/>
    <n v="27"/>
    <m/>
    <m/>
    <n v="10"/>
  </r>
  <r>
    <x v="9"/>
    <x v="0"/>
    <m/>
    <x v="6"/>
    <m/>
    <m/>
    <m/>
    <n v="19"/>
    <n v="50"/>
    <m/>
    <m/>
    <n v="15"/>
  </r>
  <r>
    <x v="9"/>
    <x v="0"/>
    <m/>
    <x v="31"/>
    <m/>
    <m/>
    <m/>
    <n v="51"/>
    <n v="163"/>
    <m/>
    <m/>
    <n v="25"/>
  </r>
  <r>
    <x v="9"/>
    <x v="0"/>
    <m/>
    <x v="30"/>
    <m/>
    <m/>
    <m/>
    <n v="108"/>
    <n v="317"/>
    <m/>
    <m/>
    <n v="66"/>
  </r>
  <r>
    <x v="9"/>
    <x v="0"/>
    <m/>
    <x v="7"/>
    <m/>
    <m/>
    <m/>
    <n v="7"/>
    <m/>
    <m/>
    <m/>
    <n v="4"/>
  </r>
  <r>
    <x v="9"/>
    <x v="0"/>
    <m/>
    <x v="7"/>
    <m/>
    <m/>
    <m/>
    <n v="16"/>
    <n v="51"/>
    <m/>
    <m/>
    <n v="6"/>
  </r>
  <r>
    <x v="9"/>
    <x v="0"/>
    <m/>
    <x v="8"/>
    <m/>
    <m/>
    <m/>
    <n v="14"/>
    <n v="43"/>
    <m/>
    <m/>
    <n v="10"/>
  </r>
  <r>
    <x v="9"/>
    <x v="0"/>
    <m/>
    <x v="9"/>
    <m/>
    <m/>
    <m/>
    <n v="4"/>
    <n v="15"/>
    <m/>
    <m/>
    <n v="6"/>
  </r>
  <r>
    <x v="9"/>
    <x v="0"/>
    <m/>
    <x v="10"/>
    <m/>
    <m/>
    <m/>
    <n v="4"/>
    <n v="20"/>
    <m/>
    <m/>
    <n v="5"/>
  </r>
  <r>
    <x v="9"/>
    <x v="0"/>
    <m/>
    <x v="5"/>
    <m/>
    <m/>
    <m/>
    <m/>
    <m/>
    <m/>
    <m/>
    <n v="3"/>
  </r>
  <r>
    <x v="9"/>
    <x v="0"/>
    <m/>
    <x v="11"/>
    <m/>
    <m/>
    <m/>
    <n v="16"/>
    <n v="44"/>
    <m/>
    <m/>
    <n v="15"/>
  </r>
  <r>
    <x v="9"/>
    <x v="0"/>
    <m/>
    <x v="28"/>
    <m/>
    <m/>
    <m/>
    <n v="36"/>
    <n v="102"/>
    <m/>
    <m/>
    <n v="21"/>
  </r>
  <r>
    <x v="9"/>
    <x v="0"/>
    <m/>
    <x v="12"/>
    <m/>
    <m/>
    <m/>
    <m/>
    <m/>
    <m/>
    <m/>
    <n v="1"/>
  </r>
  <r>
    <x v="9"/>
    <x v="0"/>
    <m/>
    <x v="13"/>
    <m/>
    <m/>
    <m/>
    <n v="11"/>
    <n v="53"/>
    <m/>
    <m/>
    <n v="5"/>
  </r>
  <r>
    <x v="9"/>
    <x v="0"/>
    <m/>
    <x v="23"/>
    <m/>
    <m/>
    <m/>
    <n v="20"/>
    <n v="60"/>
    <m/>
    <m/>
    <n v="15"/>
  </r>
  <r>
    <x v="9"/>
    <x v="0"/>
    <m/>
    <x v="14"/>
    <m/>
    <m/>
    <m/>
    <n v="9"/>
    <n v="37"/>
    <m/>
    <m/>
    <n v="10"/>
  </r>
  <r>
    <x v="9"/>
    <x v="0"/>
    <m/>
    <x v="15"/>
    <m/>
    <m/>
    <m/>
    <m/>
    <m/>
    <m/>
    <m/>
    <n v="1"/>
  </r>
  <r>
    <x v="9"/>
    <x v="0"/>
    <m/>
    <x v="16"/>
    <m/>
    <m/>
    <m/>
    <n v="9"/>
    <n v="34"/>
    <m/>
    <m/>
    <n v="5"/>
  </r>
  <r>
    <x v="9"/>
    <x v="0"/>
    <m/>
    <x v="17"/>
    <m/>
    <m/>
    <m/>
    <n v="35"/>
    <n v="109"/>
    <m/>
    <m/>
    <n v="20"/>
  </r>
  <r>
    <x v="9"/>
    <x v="0"/>
    <m/>
    <x v="18"/>
    <m/>
    <m/>
    <m/>
    <n v="9"/>
    <n v="32"/>
    <m/>
    <m/>
    <n v="5"/>
  </r>
  <r>
    <x v="9"/>
    <x v="0"/>
    <m/>
    <x v="24"/>
    <m/>
    <m/>
    <m/>
    <n v="15"/>
    <n v="43"/>
    <m/>
    <m/>
    <n v="10"/>
  </r>
  <r>
    <x v="9"/>
    <x v="0"/>
    <m/>
    <x v="25"/>
    <m/>
    <m/>
    <m/>
    <n v="10"/>
    <n v="35.5"/>
    <m/>
    <m/>
    <n v="12"/>
  </r>
  <r>
    <x v="9"/>
    <x v="1"/>
    <m/>
    <x v="48"/>
    <m/>
    <n v="1"/>
    <m/>
    <m/>
    <m/>
    <n v="4"/>
    <n v="10"/>
    <n v="9"/>
  </r>
  <r>
    <x v="9"/>
    <x v="1"/>
    <m/>
    <x v="33"/>
    <m/>
    <n v="1"/>
    <m/>
    <n v="6"/>
    <n v="2"/>
    <n v="4"/>
    <n v="10"/>
    <n v="7"/>
  </r>
  <r>
    <x v="9"/>
    <x v="1"/>
    <m/>
    <x v="1"/>
    <m/>
    <n v="1"/>
    <m/>
    <n v="4"/>
    <n v="1.83"/>
    <n v="2"/>
    <n v="6"/>
    <n v="3"/>
  </r>
  <r>
    <x v="9"/>
    <x v="1"/>
    <m/>
    <x v="42"/>
    <m/>
    <n v="1"/>
    <m/>
    <m/>
    <n v="2"/>
    <n v="4"/>
    <n v="7"/>
    <n v="9"/>
  </r>
  <r>
    <x v="9"/>
    <x v="1"/>
    <m/>
    <x v="34"/>
    <m/>
    <n v="1"/>
    <m/>
    <n v="4"/>
    <m/>
    <n v="4"/>
    <n v="10"/>
    <n v="7"/>
  </r>
  <r>
    <x v="9"/>
    <x v="1"/>
    <m/>
    <x v="35"/>
    <m/>
    <n v="1"/>
    <m/>
    <n v="6"/>
    <n v="4"/>
    <n v="4"/>
    <n v="6"/>
    <n v="11"/>
  </r>
  <r>
    <x v="9"/>
    <x v="1"/>
    <m/>
    <x v="36"/>
    <m/>
    <n v="1"/>
    <m/>
    <n v="4"/>
    <n v="1"/>
    <n v="3"/>
    <n v="6"/>
    <n v="4"/>
  </r>
  <r>
    <x v="9"/>
    <x v="1"/>
    <m/>
    <x v="37"/>
    <m/>
    <n v="1"/>
    <m/>
    <n v="3"/>
    <n v="3"/>
    <n v="3"/>
    <n v="8"/>
    <n v="8"/>
  </r>
  <r>
    <x v="9"/>
    <x v="1"/>
    <m/>
    <x v="38"/>
    <m/>
    <n v="1"/>
    <m/>
    <n v="4"/>
    <n v="1"/>
    <n v="1"/>
    <n v="6"/>
    <n v="6"/>
  </r>
  <r>
    <x v="9"/>
    <x v="1"/>
    <m/>
    <x v="30"/>
    <m/>
    <n v="1"/>
    <m/>
    <n v="2"/>
    <n v="1"/>
    <n v="4"/>
    <n v="9"/>
    <n v="6"/>
  </r>
  <r>
    <x v="9"/>
    <x v="1"/>
    <m/>
    <x v="39"/>
    <m/>
    <n v="1"/>
    <m/>
    <m/>
    <n v="1"/>
    <n v="4"/>
    <n v="10"/>
    <n v="4"/>
  </r>
  <r>
    <x v="9"/>
    <x v="1"/>
    <m/>
    <x v="49"/>
    <m/>
    <n v="1"/>
    <m/>
    <n v="4"/>
    <n v="1"/>
    <n v="3"/>
    <n v="8"/>
    <n v="10"/>
  </r>
  <r>
    <x v="9"/>
    <x v="1"/>
    <m/>
    <x v="47"/>
    <m/>
    <n v="1"/>
    <m/>
    <n v="6"/>
    <n v="2"/>
    <n v="4"/>
    <n v="10"/>
    <n v="8"/>
  </r>
  <r>
    <x v="9"/>
    <x v="1"/>
    <m/>
    <x v="41"/>
    <m/>
    <m/>
    <m/>
    <m/>
    <m/>
    <n v="1"/>
    <m/>
    <m/>
  </r>
  <r>
    <x v="9"/>
    <x v="1"/>
    <m/>
    <x v="41"/>
    <m/>
    <n v="1"/>
    <m/>
    <m/>
    <m/>
    <n v="3"/>
    <n v="5"/>
    <m/>
  </r>
  <r>
    <x v="9"/>
    <x v="2"/>
    <m/>
    <x v="45"/>
    <m/>
    <n v="2"/>
    <m/>
    <n v="12"/>
    <n v="25"/>
    <n v="3"/>
    <n v="6"/>
    <n v="22"/>
  </r>
  <r>
    <x v="9"/>
    <x v="2"/>
    <m/>
    <x v="43"/>
    <m/>
    <n v="2"/>
    <m/>
    <n v="10"/>
    <n v="48"/>
    <n v="5"/>
    <n v="11"/>
    <n v="43"/>
  </r>
  <r>
    <x v="9"/>
    <x v="2"/>
    <s v="S40000004"/>
    <x v="44"/>
    <m/>
    <n v="1"/>
    <m/>
    <n v="4"/>
    <n v="30"/>
    <n v="3"/>
    <n v="4"/>
    <n v="25"/>
  </r>
  <r>
    <x v="9"/>
    <x v="3"/>
    <s v="S92000003"/>
    <x v="46"/>
    <m/>
    <n v="12"/>
    <n v="5"/>
    <n v="1"/>
    <m/>
    <n v="19"/>
    <n v="16"/>
    <n v="16"/>
  </r>
  <r>
    <x v="10"/>
    <x v="0"/>
    <m/>
    <x v="19"/>
    <m/>
    <m/>
    <m/>
    <n v="34"/>
    <n v="106"/>
    <m/>
    <m/>
    <n v="22"/>
  </r>
  <r>
    <x v="10"/>
    <x v="0"/>
    <m/>
    <x v="20"/>
    <m/>
    <m/>
    <m/>
    <n v="6"/>
    <n v="17"/>
    <m/>
    <m/>
    <n v="5"/>
  </r>
  <r>
    <x v="10"/>
    <x v="0"/>
    <m/>
    <x v="26"/>
    <m/>
    <m/>
    <m/>
    <n v="5"/>
    <n v="17"/>
    <m/>
    <m/>
    <n v="5"/>
  </r>
  <r>
    <x v="10"/>
    <x v="0"/>
    <m/>
    <x v="21"/>
    <m/>
    <m/>
    <m/>
    <n v="10"/>
    <n v="34"/>
    <m/>
    <m/>
    <n v="11"/>
  </r>
  <r>
    <x v="10"/>
    <x v="0"/>
    <m/>
    <x v="22"/>
    <m/>
    <m/>
    <m/>
    <n v="59"/>
    <n v="198.5"/>
    <m/>
    <m/>
    <n v="35"/>
  </r>
  <r>
    <x v="10"/>
    <x v="0"/>
    <m/>
    <x v="0"/>
    <m/>
    <m/>
    <m/>
    <n v="5"/>
    <n v="16"/>
    <m/>
    <m/>
    <n v="6"/>
  </r>
  <r>
    <x v="10"/>
    <x v="0"/>
    <m/>
    <x v="1"/>
    <m/>
    <m/>
    <m/>
    <n v="10"/>
    <n v="38"/>
    <m/>
    <m/>
    <n v="5"/>
  </r>
  <r>
    <x v="10"/>
    <x v="0"/>
    <m/>
    <x v="27"/>
    <m/>
    <m/>
    <m/>
    <n v="30"/>
    <n v="118"/>
    <m/>
    <m/>
    <n v="20"/>
  </r>
  <r>
    <x v="10"/>
    <x v="0"/>
    <m/>
    <x v="2"/>
    <m/>
    <m/>
    <m/>
    <n v="10"/>
    <n v="32"/>
    <m/>
    <m/>
    <n v="6"/>
  </r>
  <r>
    <x v="10"/>
    <x v="0"/>
    <m/>
    <x v="29"/>
    <m/>
    <m/>
    <m/>
    <n v="15"/>
    <n v="46"/>
    <m/>
    <m/>
    <n v="15"/>
  </r>
  <r>
    <x v="10"/>
    <x v="0"/>
    <m/>
    <x v="3"/>
    <m/>
    <m/>
    <m/>
    <n v="5"/>
    <n v="15"/>
    <m/>
    <m/>
    <n v="5"/>
  </r>
  <r>
    <x v="10"/>
    <x v="0"/>
    <m/>
    <x v="4"/>
    <m/>
    <m/>
    <m/>
    <n v="10"/>
    <n v="33"/>
    <m/>
    <m/>
    <n v="10"/>
  </r>
  <r>
    <x v="10"/>
    <x v="0"/>
    <m/>
    <x v="6"/>
    <m/>
    <m/>
    <m/>
    <n v="20"/>
    <n v="56"/>
    <m/>
    <m/>
    <n v="15"/>
  </r>
  <r>
    <x v="10"/>
    <x v="0"/>
    <m/>
    <x v="31"/>
    <m/>
    <m/>
    <m/>
    <n v="43"/>
    <n v="146"/>
    <m/>
    <m/>
    <n v="27"/>
  </r>
  <r>
    <x v="10"/>
    <x v="0"/>
    <m/>
    <x v="30"/>
    <m/>
    <m/>
    <m/>
    <n v="94"/>
    <n v="302"/>
    <m/>
    <m/>
    <n v="67"/>
  </r>
  <r>
    <x v="10"/>
    <x v="0"/>
    <m/>
    <x v="7"/>
    <m/>
    <m/>
    <m/>
    <n v="20"/>
    <n v="52"/>
    <m/>
    <m/>
    <n v="8"/>
  </r>
  <r>
    <x v="10"/>
    <x v="0"/>
    <m/>
    <x v="8"/>
    <m/>
    <m/>
    <m/>
    <n v="14"/>
    <n v="39"/>
    <m/>
    <m/>
    <n v="10"/>
  </r>
  <r>
    <x v="10"/>
    <x v="0"/>
    <m/>
    <x v="9"/>
    <m/>
    <m/>
    <m/>
    <n v="7"/>
    <n v="16"/>
    <m/>
    <m/>
    <n v="6"/>
  </r>
  <r>
    <x v="10"/>
    <x v="0"/>
    <m/>
    <x v="10"/>
    <m/>
    <m/>
    <m/>
    <n v="4"/>
    <n v="21"/>
    <m/>
    <m/>
    <n v="5"/>
  </r>
  <r>
    <x v="10"/>
    <x v="0"/>
    <m/>
    <x v="5"/>
    <m/>
    <m/>
    <m/>
    <m/>
    <m/>
    <m/>
    <m/>
    <n v="3"/>
  </r>
  <r>
    <x v="10"/>
    <x v="0"/>
    <m/>
    <x v="11"/>
    <m/>
    <m/>
    <m/>
    <n v="16"/>
    <n v="54"/>
    <m/>
    <m/>
    <n v="15"/>
  </r>
  <r>
    <x v="10"/>
    <x v="0"/>
    <m/>
    <x v="28"/>
    <m/>
    <m/>
    <m/>
    <n v="36"/>
    <n v="112"/>
    <m/>
    <m/>
    <n v="21"/>
  </r>
  <r>
    <x v="10"/>
    <x v="0"/>
    <m/>
    <x v="13"/>
    <m/>
    <m/>
    <m/>
    <n v="12"/>
    <n v="49"/>
    <m/>
    <m/>
    <n v="5"/>
  </r>
  <r>
    <x v="10"/>
    <x v="0"/>
    <m/>
    <x v="23"/>
    <m/>
    <m/>
    <m/>
    <n v="21"/>
    <n v="66"/>
    <m/>
    <m/>
    <n v="15"/>
  </r>
  <r>
    <x v="10"/>
    <x v="0"/>
    <m/>
    <x v="14"/>
    <m/>
    <m/>
    <m/>
    <n v="9"/>
    <n v="38"/>
    <m/>
    <m/>
    <n v="10"/>
  </r>
  <r>
    <x v="10"/>
    <x v="0"/>
    <m/>
    <x v="15"/>
    <m/>
    <m/>
    <m/>
    <m/>
    <m/>
    <m/>
    <m/>
    <n v="1"/>
  </r>
  <r>
    <x v="10"/>
    <x v="0"/>
    <m/>
    <x v="16"/>
    <m/>
    <m/>
    <m/>
    <n v="10"/>
    <n v="36"/>
    <m/>
    <m/>
    <n v="6"/>
  </r>
  <r>
    <x v="10"/>
    <x v="0"/>
    <m/>
    <x v="17"/>
    <m/>
    <m/>
    <m/>
    <n v="30"/>
    <n v="111"/>
    <m/>
    <m/>
    <n v="20"/>
  </r>
  <r>
    <x v="10"/>
    <x v="0"/>
    <m/>
    <x v="18"/>
    <m/>
    <m/>
    <m/>
    <n v="10"/>
    <n v="34"/>
    <m/>
    <m/>
    <n v="5"/>
  </r>
  <r>
    <x v="10"/>
    <x v="0"/>
    <m/>
    <x v="24"/>
    <m/>
    <m/>
    <m/>
    <n v="13"/>
    <n v="51"/>
    <m/>
    <m/>
    <n v="11"/>
  </r>
  <r>
    <x v="10"/>
    <x v="0"/>
    <m/>
    <x v="25"/>
    <m/>
    <m/>
    <m/>
    <n v="11"/>
    <n v="36.980000000000004"/>
    <m/>
    <m/>
    <n v="13"/>
  </r>
  <r>
    <x v="10"/>
    <x v="1"/>
    <m/>
    <x v="48"/>
    <m/>
    <n v="1"/>
    <m/>
    <m/>
    <m/>
    <n v="4"/>
    <n v="11"/>
    <n v="6"/>
  </r>
  <r>
    <x v="10"/>
    <x v="1"/>
    <m/>
    <x v="33"/>
    <m/>
    <n v="1"/>
    <m/>
    <n v="6"/>
    <n v="2"/>
    <n v="4"/>
    <n v="9"/>
    <n v="6"/>
  </r>
  <r>
    <x v="10"/>
    <x v="1"/>
    <m/>
    <x v="1"/>
    <m/>
    <n v="1"/>
    <m/>
    <n v="5"/>
    <n v="1.83"/>
    <n v="2"/>
    <n v="5"/>
    <n v="7"/>
  </r>
  <r>
    <x v="10"/>
    <x v="1"/>
    <m/>
    <x v="42"/>
    <m/>
    <n v="2"/>
    <m/>
    <m/>
    <m/>
    <n v="4"/>
    <n v="8"/>
    <n v="8.77"/>
  </r>
  <r>
    <x v="10"/>
    <x v="1"/>
    <m/>
    <x v="34"/>
    <m/>
    <n v="1"/>
    <m/>
    <n v="5"/>
    <m/>
    <n v="3"/>
    <n v="9"/>
    <n v="7"/>
  </r>
  <r>
    <x v="10"/>
    <x v="1"/>
    <m/>
    <x v="35"/>
    <m/>
    <n v="1"/>
    <m/>
    <n v="3"/>
    <n v="4"/>
    <n v="3"/>
    <n v="6"/>
    <n v="9"/>
  </r>
  <r>
    <x v="10"/>
    <x v="1"/>
    <m/>
    <x v="36"/>
    <m/>
    <n v="1"/>
    <m/>
    <n v="3"/>
    <n v="1"/>
    <n v="3"/>
    <n v="6"/>
    <n v="4"/>
  </r>
  <r>
    <x v="10"/>
    <x v="1"/>
    <m/>
    <x v="37"/>
    <m/>
    <n v="1"/>
    <m/>
    <n v="4"/>
    <n v="3"/>
    <n v="3"/>
    <n v="7"/>
    <n v="9"/>
  </r>
  <r>
    <x v="10"/>
    <x v="1"/>
    <m/>
    <x v="38"/>
    <m/>
    <n v="1"/>
    <m/>
    <n v="3"/>
    <n v="1"/>
    <n v="2"/>
    <n v="6"/>
    <n v="6"/>
  </r>
  <r>
    <x v="10"/>
    <x v="1"/>
    <m/>
    <x v="30"/>
    <m/>
    <n v="1"/>
    <m/>
    <n v="2"/>
    <n v="1"/>
    <n v="4"/>
    <n v="8"/>
    <n v="7"/>
  </r>
  <r>
    <x v="10"/>
    <x v="1"/>
    <m/>
    <x v="39"/>
    <m/>
    <n v="1"/>
    <m/>
    <n v="1"/>
    <n v="1"/>
    <n v="4"/>
    <n v="12"/>
    <n v="4"/>
  </r>
  <r>
    <x v="10"/>
    <x v="1"/>
    <m/>
    <x v="49"/>
    <m/>
    <n v="1"/>
    <m/>
    <n v="3"/>
    <n v="1"/>
    <n v="3"/>
    <n v="10"/>
    <n v="9"/>
  </r>
  <r>
    <x v="10"/>
    <x v="1"/>
    <m/>
    <x v="47"/>
    <m/>
    <n v="1"/>
    <m/>
    <n v="7"/>
    <n v="2"/>
    <n v="4"/>
    <n v="9"/>
    <n v="10"/>
  </r>
  <r>
    <x v="10"/>
    <x v="1"/>
    <m/>
    <x v="41"/>
    <m/>
    <m/>
    <m/>
    <m/>
    <m/>
    <n v="1"/>
    <m/>
    <m/>
  </r>
  <r>
    <x v="10"/>
    <x v="1"/>
    <m/>
    <x v="41"/>
    <m/>
    <n v="1"/>
    <m/>
    <m/>
    <m/>
    <n v="3"/>
    <n v="6"/>
    <m/>
  </r>
  <r>
    <x v="10"/>
    <x v="2"/>
    <m/>
    <x v="45"/>
    <m/>
    <n v="2"/>
    <m/>
    <n v="17"/>
    <m/>
    <n v="2"/>
    <n v="8"/>
    <n v="23"/>
  </r>
  <r>
    <x v="10"/>
    <x v="2"/>
    <m/>
    <x v="43"/>
    <m/>
    <n v="2"/>
    <m/>
    <n v="8"/>
    <n v="1"/>
    <n v="4"/>
    <n v="7"/>
    <n v="38"/>
  </r>
  <r>
    <x v="10"/>
    <x v="2"/>
    <s v="S40000004"/>
    <x v="44"/>
    <m/>
    <n v="1"/>
    <m/>
    <n v="3"/>
    <m/>
    <n v="2"/>
    <n v="5"/>
    <n v="18"/>
  </r>
  <r>
    <x v="10"/>
    <x v="3"/>
    <s v="S92000003"/>
    <x v="46"/>
    <m/>
    <n v="11"/>
    <n v="5"/>
    <n v="1"/>
    <m/>
    <n v="16"/>
    <n v="24"/>
    <n v="27"/>
  </r>
  <r>
    <x v="11"/>
    <x v="0"/>
    <m/>
    <x v="19"/>
    <m/>
    <m/>
    <m/>
    <n v="35"/>
    <n v="102"/>
    <m/>
    <m/>
    <n v="20"/>
  </r>
  <r>
    <x v="11"/>
    <x v="0"/>
    <m/>
    <x v="20"/>
    <m/>
    <m/>
    <m/>
    <n v="6"/>
    <n v="20"/>
    <m/>
    <m/>
    <n v="5"/>
  </r>
  <r>
    <x v="11"/>
    <x v="0"/>
    <m/>
    <x v="26"/>
    <m/>
    <m/>
    <m/>
    <n v="5"/>
    <n v="15"/>
    <m/>
    <m/>
    <n v="6"/>
  </r>
  <r>
    <x v="11"/>
    <x v="0"/>
    <m/>
    <x v="21"/>
    <m/>
    <m/>
    <m/>
    <n v="10"/>
    <n v="32"/>
    <m/>
    <m/>
    <n v="11"/>
  </r>
  <r>
    <x v="11"/>
    <x v="0"/>
    <m/>
    <x v="22"/>
    <m/>
    <m/>
    <m/>
    <n v="56"/>
    <n v="197.5"/>
    <m/>
    <m/>
    <n v="34"/>
  </r>
  <r>
    <x v="11"/>
    <x v="0"/>
    <m/>
    <x v="0"/>
    <m/>
    <m/>
    <m/>
    <n v="5"/>
    <n v="16"/>
    <m/>
    <m/>
    <n v="5"/>
  </r>
  <r>
    <x v="11"/>
    <x v="0"/>
    <m/>
    <x v="1"/>
    <m/>
    <m/>
    <m/>
    <n v="9"/>
    <n v="37"/>
    <m/>
    <m/>
    <n v="6"/>
  </r>
  <r>
    <x v="11"/>
    <x v="0"/>
    <m/>
    <x v="27"/>
    <m/>
    <m/>
    <m/>
    <n v="29"/>
    <n v="112"/>
    <m/>
    <m/>
    <n v="21"/>
  </r>
  <r>
    <x v="11"/>
    <x v="0"/>
    <m/>
    <x v="2"/>
    <m/>
    <m/>
    <m/>
    <n v="10"/>
    <n v="39"/>
    <m/>
    <m/>
    <n v="6"/>
  </r>
  <r>
    <x v="11"/>
    <x v="0"/>
    <m/>
    <x v="29"/>
    <m/>
    <m/>
    <m/>
    <n v="14"/>
    <n v="46"/>
    <m/>
    <m/>
    <n v="15"/>
  </r>
  <r>
    <x v="11"/>
    <x v="0"/>
    <m/>
    <x v="3"/>
    <m/>
    <m/>
    <m/>
    <n v="5"/>
    <n v="16"/>
    <m/>
    <m/>
    <n v="5"/>
  </r>
  <r>
    <x v="11"/>
    <x v="0"/>
    <m/>
    <x v="4"/>
    <m/>
    <m/>
    <m/>
    <n v="10"/>
    <n v="32"/>
    <m/>
    <m/>
    <n v="10"/>
  </r>
  <r>
    <x v="11"/>
    <x v="0"/>
    <m/>
    <x v="6"/>
    <m/>
    <m/>
    <m/>
    <n v="19"/>
    <n v="50"/>
    <m/>
    <m/>
    <n v="14"/>
  </r>
  <r>
    <x v="11"/>
    <x v="0"/>
    <m/>
    <x v="31"/>
    <m/>
    <m/>
    <m/>
    <n v="43"/>
    <n v="143"/>
    <m/>
    <m/>
    <n v="25"/>
  </r>
  <r>
    <x v="11"/>
    <x v="0"/>
    <m/>
    <x v="30"/>
    <m/>
    <m/>
    <m/>
    <n v="91"/>
    <n v="290"/>
    <m/>
    <m/>
    <n v="67"/>
  </r>
  <r>
    <x v="11"/>
    <x v="0"/>
    <m/>
    <x v="7"/>
    <m/>
    <m/>
    <m/>
    <n v="17"/>
    <n v="51"/>
    <m/>
    <m/>
    <n v="5"/>
  </r>
  <r>
    <x v="11"/>
    <x v="0"/>
    <m/>
    <x v="8"/>
    <m/>
    <m/>
    <m/>
    <n v="15"/>
    <n v="39"/>
    <m/>
    <m/>
    <n v="10"/>
  </r>
  <r>
    <x v="11"/>
    <x v="0"/>
    <m/>
    <x v="9"/>
    <m/>
    <m/>
    <m/>
    <n v="4"/>
    <n v="21"/>
    <m/>
    <m/>
    <n v="4"/>
  </r>
  <r>
    <x v="11"/>
    <x v="0"/>
    <m/>
    <x v="10"/>
    <m/>
    <m/>
    <m/>
    <n v="5"/>
    <n v="20"/>
    <m/>
    <m/>
    <n v="5"/>
  </r>
  <r>
    <x v="11"/>
    <x v="0"/>
    <m/>
    <x v="5"/>
    <m/>
    <m/>
    <m/>
    <m/>
    <m/>
    <m/>
    <m/>
    <n v="3"/>
  </r>
  <r>
    <x v="11"/>
    <x v="0"/>
    <m/>
    <x v="11"/>
    <m/>
    <m/>
    <m/>
    <n v="15"/>
    <n v="42"/>
    <m/>
    <m/>
    <n v="15"/>
  </r>
  <r>
    <x v="11"/>
    <x v="0"/>
    <m/>
    <x v="28"/>
    <m/>
    <m/>
    <m/>
    <n v="31"/>
    <n v="112"/>
    <m/>
    <m/>
    <n v="20"/>
  </r>
  <r>
    <x v="11"/>
    <x v="0"/>
    <m/>
    <x v="13"/>
    <m/>
    <m/>
    <m/>
    <n v="11"/>
    <n v="43"/>
    <m/>
    <m/>
    <n v="5"/>
  </r>
  <r>
    <x v="11"/>
    <x v="0"/>
    <m/>
    <x v="23"/>
    <m/>
    <m/>
    <m/>
    <n v="21"/>
    <n v="66"/>
    <m/>
    <m/>
    <n v="15"/>
  </r>
  <r>
    <x v="11"/>
    <x v="0"/>
    <m/>
    <x v="14"/>
    <m/>
    <m/>
    <m/>
    <n v="10"/>
    <n v="38"/>
    <m/>
    <m/>
    <n v="10"/>
  </r>
  <r>
    <x v="11"/>
    <x v="0"/>
    <m/>
    <x v="16"/>
    <m/>
    <m/>
    <m/>
    <n v="11"/>
    <n v="36"/>
    <m/>
    <m/>
    <n v="6"/>
  </r>
  <r>
    <x v="11"/>
    <x v="0"/>
    <m/>
    <x v="17"/>
    <m/>
    <m/>
    <m/>
    <n v="28"/>
    <n v="108"/>
    <m/>
    <m/>
    <n v="19"/>
  </r>
  <r>
    <x v="11"/>
    <x v="0"/>
    <m/>
    <x v="18"/>
    <m/>
    <m/>
    <m/>
    <n v="10"/>
    <n v="32"/>
    <m/>
    <m/>
    <n v="5"/>
  </r>
  <r>
    <x v="11"/>
    <x v="0"/>
    <m/>
    <x v="24"/>
    <m/>
    <m/>
    <m/>
    <n v="15"/>
    <n v="50"/>
    <m/>
    <m/>
    <n v="10"/>
  </r>
  <r>
    <x v="11"/>
    <x v="0"/>
    <m/>
    <x v="25"/>
    <m/>
    <m/>
    <m/>
    <n v="11"/>
    <n v="36.979999999999997"/>
    <m/>
    <m/>
    <n v="14"/>
  </r>
  <r>
    <x v="11"/>
    <x v="1"/>
    <m/>
    <x v="48"/>
    <m/>
    <n v="1"/>
    <m/>
    <m/>
    <m/>
    <n v="4"/>
    <n v="10"/>
    <n v="5"/>
  </r>
  <r>
    <x v="11"/>
    <x v="1"/>
    <m/>
    <x v="33"/>
    <m/>
    <n v="1"/>
    <m/>
    <m/>
    <n v="2"/>
    <n v="4"/>
    <n v="9"/>
    <n v="4"/>
  </r>
  <r>
    <x v="11"/>
    <x v="1"/>
    <m/>
    <x v="1"/>
    <m/>
    <m/>
    <m/>
    <m/>
    <m/>
    <m/>
    <n v="1"/>
    <m/>
  </r>
  <r>
    <x v="11"/>
    <x v="1"/>
    <m/>
    <x v="1"/>
    <m/>
    <n v="1"/>
    <m/>
    <m/>
    <n v="1.83"/>
    <n v="2"/>
    <n v="5"/>
    <n v="5"/>
  </r>
  <r>
    <x v="11"/>
    <x v="1"/>
    <m/>
    <x v="42"/>
    <m/>
    <n v="1"/>
    <m/>
    <m/>
    <n v="4"/>
    <n v="4"/>
    <n v="8"/>
    <n v="7.77"/>
  </r>
  <r>
    <x v="11"/>
    <x v="1"/>
    <m/>
    <x v="34"/>
    <m/>
    <n v="1"/>
    <m/>
    <m/>
    <m/>
    <n v="3"/>
    <n v="9"/>
    <n v="5"/>
  </r>
  <r>
    <x v="11"/>
    <x v="1"/>
    <m/>
    <x v="35"/>
    <m/>
    <n v="1"/>
    <m/>
    <m/>
    <n v="4"/>
    <n v="3"/>
    <n v="6"/>
    <n v="6"/>
  </r>
  <r>
    <x v="11"/>
    <x v="1"/>
    <m/>
    <x v="36"/>
    <m/>
    <n v="1"/>
    <m/>
    <n v="2"/>
    <n v="1"/>
    <n v="3"/>
    <n v="5"/>
    <n v="3"/>
  </r>
  <r>
    <x v="11"/>
    <x v="1"/>
    <m/>
    <x v="37"/>
    <m/>
    <n v="1"/>
    <m/>
    <n v="2"/>
    <n v="3"/>
    <n v="3"/>
    <n v="6"/>
    <n v="10"/>
  </r>
  <r>
    <x v="11"/>
    <x v="1"/>
    <m/>
    <x v="38"/>
    <m/>
    <n v="1"/>
    <m/>
    <n v="1"/>
    <m/>
    <n v="2"/>
    <n v="6"/>
    <n v="5"/>
  </r>
  <r>
    <x v="11"/>
    <x v="1"/>
    <m/>
    <x v="30"/>
    <m/>
    <n v="1"/>
    <m/>
    <m/>
    <n v="1"/>
    <n v="4"/>
    <n v="8"/>
    <n v="6"/>
  </r>
  <r>
    <x v="11"/>
    <x v="1"/>
    <m/>
    <x v="39"/>
    <m/>
    <n v="1"/>
    <m/>
    <n v="1"/>
    <m/>
    <n v="4"/>
    <n v="14"/>
    <n v="5"/>
  </r>
  <r>
    <x v="11"/>
    <x v="1"/>
    <m/>
    <x v="49"/>
    <m/>
    <n v="1"/>
    <m/>
    <n v="1"/>
    <n v="2"/>
    <n v="3"/>
    <n v="9"/>
    <n v="7"/>
  </r>
  <r>
    <x v="11"/>
    <x v="1"/>
    <m/>
    <x v="47"/>
    <m/>
    <n v="1"/>
    <m/>
    <n v="1"/>
    <n v="2"/>
    <n v="4"/>
    <n v="10"/>
    <n v="8"/>
  </r>
  <r>
    <x v="11"/>
    <x v="1"/>
    <m/>
    <x v="41"/>
    <m/>
    <n v="1"/>
    <m/>
    <m/>
    <m/>
    <n v="4"/>
    <n v="6"/>
    <m/>
  </r>
  <r>
    <x v="11"/>
    <x v="2"/>
    <m/>
    <x v="45"/>
    <m/>
    <n v="2"/>
    <m/>
    <n v="18"/>
    <n v="6"/>
    <n v="3"/>
    <n v="9"/>
    <n v="26"/>
  </r>
  <r>
    <x v="11"/>
    <x v="2"/>
    <m/>
    <x v="43"/>
    <m/>
    <n v="1"/>
    <m/>
    <n v="26"/>
    <n v="47"/>
    <n v="4"/>
    <n v="7"/>
    <n v="47"/>
  </r>
  <r>
    <x v="11"/>
    <x v="2"/>
    <s v="S40000004"/>
    <x v="44"/>
    <m/>
    <n v="1"/>
    <m/>
    <n v="18"/>
    <n v="16"/>
    <n v="2"/>
    <n v="8"/>
    <n v="28"/>
  </r>
  <r>
    <x v="11"/>
    <x v="3"/>
    <s v="S92000003"/>
    <x v="46"/>
    <n v="90"/>
    <n v="12"/>
    <n v="5"/>
    <n v="1"/>
    <n v="1"/>
    <n v="16"/>
    <n v="24"/>
    <n v="31"/>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
  <r>
    <x v="0"/>
    <x v="0"/>
    <m/>
    <x v="0"/>
    <m/>
    <m/>
    <m/>
    <m/>
  </r>
  <r>
    <x v="1"/>
    <x v="1"/>
    <s v=""/>
    <x v="1"/>
    <n v="2665.13"/>
    <n v="262.12"/>
    <n v="489.46"/>
    <n v="1913.55"/>
  </r>
  <r>
    <x v="1"/>
    <x v="1"/>
    <s v="S12000005"/>
    <x v="2"/>
    <n v="16.71"/>
    <n v="1.52"/>
    <n v="3.29"/>
    <n v="11.9"/>
  </r>
  <r>
    <x v="1"/>
    <x v="1"/>
    <s v="S12000006"/>
    <x v="3"/>
    <n v="177.25"/>
    <n v="15.25"/>
    <n v="31.25"/>
    <n v="130.75"/>
  </r>
  <r>
    <x v="1"/>
    <x v="1"/>
    <s v="S12000008"/>
    <x v="4"/>
    <n v="66.86"/>
    <n v="8.25"/>
    <n v="8.5"/>
    <n v="50.11"/>
  </r>
  <r>
    <x v="1"/>
    <x v="1"/>
    <s v="S12000010"/>
    <x v="5"/>
    <n v="46.75"/>
    <n v="5"/>
    <n v="8.75"/>
    <n v="33"/>
  </r>
  <r>
    <x v="1"/>
    <x v="1"/>
    <s v="S12000011"/>
    <x v="6"/>
    <m/>
    <m/>
    <m/>
    <m/>
  </r>
  <r>
    <x v="1"/>
    <x v="1"/>
    <s v="S12000013"/>
    <x v="7"/>
    <n v="124"/>
    <n v="12.5"/>
    <n v="24"/>
    <n v="87.5"/>
  </r>
  <r>
    <x v="1"/>
    <x v="1"/>
    <s v="S12000014"/>
    <x v="8"/>
    <n v="49.69"/>
    <n v="3.81"/>
    <n v="7.6"/>
    <n v="38.28"/>
  </r>
  <r>
    <x v="1"/>
    <x v="1"/>
    <s v="S12000017"/>
    <x v="9"/>
    <n v="525.5"/>
    <n v="52.25"/>
    <n v="108.25"/>
    <n v="365"/>
  </r>
  <r>
    <x v="1"/>
    <x v="1"/>
    <s v="S12000018"/>
    <x v="10"/>
    <n v="35.5"/>
    <n v="3"/>
    <n v="3.75"/>
    <n v="28.75"/>
  </r>
  <r>
    <x v="1"/>
    <x v="1"/>
    <s v="S12000019"/>
    <x v="11"/>
    <n v="8.75"/>
    <n v="1"/>
    <n v="1.75"/>
    <n v="6"/>
  </r>
  <r>
    <x v="1"/>
    <x v="1"/>
    <s v="S12000020"/>
    <x v="12"/>
    <n v="95.38"/>
    <n v="8"/>
    <n v="19.5"/>
    <n v="67.88"/>
  </r>
  <r>
    <x v="1"/>
    <x v="1"/>
    <s v="S12000021"/>
    <x v="13"/>
    <n v="86.25"/>
    <n v="8.5"/>
    <n v="14"/>
    <n v="63.75"/>
  </r>
  <r>
    <x v="1"/>
    <x v="1"/>
    <s v="S12000023"/>
    <x v="14"/>
    <n v="111"/>
    <n v="12"/>
    <n v="21.25"/>
    <n v="77.75"/>
  </r>
  <r>
    <x v="1"/>
    <x v="1"/>
    <s v="S12000024"/>
    <x v="15"/>
    <n v="128"/>
    <n v="9.5"/>
    <n v="24"/>
    <n v="94.5"/>
  </r>
  <r>
    <x v="1"/>
    <x v="1"/>
    <s v="S12000026"/>
    <x v="16"/>
    <n v="119.5"/>
    <n v="12.5"/>
    <n v="22"/>
    <n v="85"/>
  </r>
  <r>
    <x v="1"/>
    <x v="1"/>
    <s v="S12000027"/>
    <x v="17"/>
    <n v="126"/>
    <n v="12.25"/>
    <n v="28.25"/>
    <n v="85.5"/>
  </r>
  <r>
    <x v="1"/>
    <x v="1"/>
    <s v="S12000028"/>
    <x v="18"/>
    <n v="49.25"/>
    <n v="5"/>
    <n v="8.25"/>
    <n v="36"/>
  </r>
  <r>
    <x v="1"/>
    <x v="1"/>
    <s v="S12000029"/>
    <x v="19"/>
    <n v="79.25"/>
    <n v="8.75"/>
    <n v="8"/>
    <n v="62.5"/>
  </r>
  <r>
    <x v="1"/>
    <x v="1"/>
    <s v="S12000030"/>
    <x v="20"/>
    <n v="58.03"/>
    <n v="7.33"/>
    <n v="11.9"/>
    <n v="38.799999999999997"/>
  </r>
  <r>
    <x v="1"/>
    <x v="1"/>
    <s v="S12000033"/>
    <x v="21"/>
    <n v="6.5"/>
    <n v="1"/>
    <n v="1.75"/>
    <n v="3.75"/>
  </r>
  <r>
    <x v="1"/>
    <x v="1"/>
    <s v="S12000034"/>
    <x v="22"/>
    <n v="269.71000000000004"/>
    <n v="27.46"/>
    <n v="57.67"/>
    <n v="184.58"/>
  </r>
  <r>
    <x v="1"/>
    <x v="1"/>
    <s v="S12000035"/>
    <x v="23"/>
    <n v="178.25"/>
    <n v="16.75"/>
    <n v="22.75"/>
    <n v="138.75"/>
  </r>
  <r>
    <x v="1"/>
    <x v="1"/>
    <s v="S12000036"/>
    <x v="24"/>
    <n v="9.75"/>
    <n v="0.75"/>
    <n v="1.75"/>
    <n v="7.25"/>
  </r>
  <r>
    <x v="1"/>
    <x v="1"/>
    <s v="S12000038"/>
    <x v="25"/>
    <n v="11.75"/>
    <n v="1"/>
    <n v="2"/>
    <n v="8.75"/>
  </r>
  <r>
    <x v="1"/>
    <x v="1"/>
    <s v="S12000039"/>
    <x v="26"/>
    <n v="15.75"/>
    <n v="1.75"/>
    <n v="1"/>
    <n v="13"/>
  </r>
  <r>
    <x v="1"/>
    <x v="1"/>
    <s v="S12000040"/>
    <x v="27"/>
    <n v="49.75"/>
    <n v="5.75"/>
    <n v="9.5"/>
    <n v="34.5"/>
  </r>
  <r>
    <x v="1"/>
    <x v="1"/>
    <s v="S12000041"/>
    <x v="28"/>
    <n v="86.75"/>
    <n v="7"/>
    <n v="17"/>
    <n v="62.75"/>
  </r>
  <r>
    <x v="1"/>
    <x v="1"/>
    <s v="S12000042"/>
    <x v="29"/>
    <n v="12.25"/>
    <n v="0.75"/>
    <n v="2.75"/>
    <n v="8.75"/>
  </r>
  <r>
    <x v="1"/>
    <x v="1"/>
    <s v="S12000044"/>
    <x v="30"/>
    <n v="27"/>
    <n v="2.75"/>
    <n v="3"/>
    <n v="21.25"/>
  </r>
  <r>
    <x v="1"/>
    <x v="1"/>
    <s v="S12000045"/>
    <x v="31"/>
    <m/>
    <m/>
    <m/>
    <m/>
  </r>
  <r>
    <x v="1"/>
    <x v="1"/>
    <s v="S12000046"/>
    <x v="32"/>
    <m/>
    <m/>
    <n v="1"/>
    <n v="1"/>
  </r>
  <r>
    <x v="1"/>
    <x v="1"/>
    <s v="S12000047"/>
    <x v="33"/>
    <n v="92"/>
    <n v="10.75"/>
    <n v="15"/>
    <n v="66.25"/>
  </r>
  <r>
    <x v="2"/>
    <x v="1"/>
    <s v=""/>
    <x v="1"/>
    <n v="2668.5"/>
    <n v="263.75"/>
    <n v="498"/>
    <n v="1906.75"/>
  </r>
  <r>
    <x v="2"/>
    <x v="1"/>
    <s v="S12000005"/>
    <x v="2"/>
    <n v="18.25"/>
    <n v="1.5"/>
    <n v="4"/>
    <n v="12.75"/>
  </r>
  <r>
    <x v="2"/>
    <x v="1"/>
    <s v="S12000006"/>
    <x v="3"/>
    <n v="185"/>
    <n v="15.25"/>
    <n v="32.75"/>
    <n v="137"/>
  </r>
  <r>
    <x v="2"/>
    <x v="1"/>
    <s v="S12000008"/>
    <x v="4"/>
    <n v="71.25"/>
    <n v="7.5"/>
    <n v="7.25"/>
    <n v="56.5"/>
  </r>
  <r>
    <x v="2"/>
    <x v="1"/>
    <s v="S12000010"/>
    <x v="5"/>
    <n v="52.75"/>
    <n v="5"/>
    <n v="11.5"/>
    <n v="36.25"/>
  </r>
  <r>
    <x v="2"/>
    <x v="1"/>
    <s v="S12000011"/>
    <x v="6"/>
    <n v="0"/>
    <n v="0"/>
    <n v="0"/>
    <n v="0"/>
  </r>
  <r>
    <x v="2"/>
    <x v="1"/>
    <s v="S12000013"/>
    <x v="7"/>
    <n v="140.25"/>
    <n v="15.5"/>
    <n v="26.5"/>
    <n v="98.25"/>
  </r>
  <r>
    <x v="2"/>
    <x v="1"/>
    <s v="S12000014"/>
    <x v="8"/>
    <n v="51.75"/>
    <n v="4.5"/>
    <n v="6.75"/>
    <n v="40.5"/>
  </r>
  <r>
    <x v="2"/>
    <x v="1"/>
    <s v="S12000017"/>
    <x v="9"/>
    <n v="512.75"/>
    <n v="52.25"/>
    <n v="100.25"/>
    <n v="360.25"/>
  </r>
  <r>
    <x v="2"/>
    <x v="1"/>
    <s v="S12000018"/>
    <x v="10"/>
    <n v="33.5"/>
    <n v="3"/>
    <n v="3.75"/>
    <n v="26.75"/>
  </r>
  <r>
    <x v="2"/>
    <x v="1"/>
    <s v="S12000019"/>
    <x v="11"/>
    <n v="11.75"/>
    <n v="1"/>
    <n v="1.75"/>
    <n v="9"/>
  </r>
  <r>
    <x v="2"/>
    <x v="1"/>
    <s v="S12000020"/>
    <x v="12"/>
    <n v="111.75"/>
    <n v="10"/>
    <n v="23"/>
    <n v="78.75"/>
  </r>
  <r>
    <x v="2"/>
    <x v="1"/>
    <s v="S12000021"/>
    <x v="13"/>
    <n v="82.5"/>
    <n v="8.5"/>
    <n v="15.5"/>
    <n v="58.5"/>
  </r>
  <r>
    <x v="2"/>
    <x v="1"/>
    <s v="S12000023"/>
    <x v="14"/>
    <n v="107.25"/>
    <n v="12"/>
    <n v="25"/>
    <n v="70.25"/>
  </r>
  <r>
    <x v="2"/>
    <x v="1"/>
    <s v="S12000024"/>
    <x v="15"/>
    <n v="116.75"/>
    <n v="12.75"/>
    <n v="24.25"/>
    <n v="79.75"/>
  </r>
  <r>
    <x v="2"/>
    <x v="1"/>
    <s v="S12000026"/>
    <x v="16"/>
    <n v="132.25"/>
    <n v="13.25"/>
    <n v="22.75"/>
    <n v="96.25"/>
  </r>
  <r>
    <x v="2"/>
    <x v="1"/>
    <s v="S12000027"/>
    <x v="17"/>
    <n v="119"/>
    <n v="11.25"/>
    <n v="28"/>
    <n v="79.75"/>
  </r>
  <r>
    <x v="2"/>
    <x v="1"/>
    <s v="S12000028"/>
    <x v="18"/>
    <n v="49"/>
    <n v="5"/>
    <n v="8.25"/>
    <n v="35.75"/>
  </r>
  <r>
    <x v="2"/>
    <x v="1"/>
    <s v="S12000029"/>
    <x v="19"/>
    <n v="76.75"/>
    <n v="8.75"/>
    <n v="8"/>
    <n v="60"/>
  </r>
  <r>
    <x v="2"/>
    <x v="1"/>
    <s v="S12000030"/>
    <x v="20"/>
    <n v="58.5"/>
    <n v="7.25"/>
    <n v="11"/>
    <n v="40.25"/>
  </r>
  <r>
    <x v="2"/>
    <x v="1"/>
    <s v="S12000033"/>
    <x v="21"/>
    <n v="6.5"/>
    <n v="1"/>
    <n v="1.75"/>
    <n v="3.75"/>
  </r>
  <r>
    <x v="2"/>
    <x v="1"/>
    <s v="S12000034"/>
    <x v="22"/>
    <n v="253.25"/>
    <n v="25.25"/>
    <n v="56"/>
    <n v="172"/>
  </r>
  <r>
    <x v="2"/>
    <x v="1"/>
    <s v="S12000035"/>
    <x v="23"/>
    <n v="166.5"/>
    <n v="14.75"/>
    <n v="22.75"/>
    <n v="129"/>
  </r>
  <r>
    <x v="2"/>
    <x v="1"/>
    <s v="S12000036"/>
    <x v="24"/>
    <n v="10.5"/>
    <n v="0.75"/>
    <n v="1.75"/>
    <n v="8"/>
  </r>
  <r>
    <x v="2"/>
    <x v="1"/>
    <s v="S12000038"/>
    <x v="25"/>
    <n v="11.75"/>
    <n v="1"/>
    <n v="2"/>
    <n v="8.75"/>
  </r>
  <r>
    <x v="2"/>
    <x v="1"/>
    <s v="S12000039"/>
    <x v="26"/>
    <n v="18.5"/>
    <n v="1.75"/>
    <n v="1"/>
    <n v="15.75"/>
  </r>
  <r>
    <x v="2"/>
    <x v="1"/>
    <s v="S12000040"/>
    <x v="27"/>
    <n v="53"/>
    <n v="5"/>
    <n v="10"/>
    <n v="38"/>
  </r>
  <r>
    <x v="2"/>
    <x v="1"/>
    <s v="S12000041"/>
    <x v="28"/>
    <n v="83.5"/>
    <n v="7"/>
    <n v="18"/>
    <n v="58.5"/>
  </r>
  <r>
    <x v="2"/>
    <x v="1"/>
    <s v="S12000042"/>
    <x v="29"/>
    <n v="11.75"/>
    <n v="0.75"/>
    <n v="2.75"/>
    <n v="8.25"/>
  </r>
  <r>
    <x v="2"/>
    <x v="1"/>
    <s v="S12000044"/>
    <x v="30"/>
    <n v="28.25"/>
    <n v="2.5"/>
    <n v="3"/>
    <n v="22.75"/>
  </r>
  <r>
    <x v="2"/>
    <x v="1"/>
    <s v="S12000045"/>
    <x v="31"/>
    <n v="0"/>
    <n v="0"/>
    <n v="0"/>
    <n v="0"/>
  </r>
  <r>
    <x v="2"/>
    <x v="1"/>
    <s v="S12000046"/>
    <x v="32"/>
    <n v="0"/>
    <n v="0"/>
    <n v="0"/>
    <n v="0"/>
  </r>
  <r>
    <x v="2"/>
    <x v="1"/>
    <s v="S12000047"/>
    <x v="33"/>
    <n v="94"/>
    <n v="9.75"/>
    <n v="18.75"/>
    <n v="65.5"/>
  </r>
  <r>
    <x v="3"/>
    <x v="1"/>
    <s v=""/>
    <x v="1"/>
    <n v="2527"/>
    <n v="248"/>
    <n v="486"/>
    <n v="1793"/>
  </r>
  <r>
    <x v="3"/>
    <x v="1"/>
    <s v="S12000005"/>
    <x v="2"/>
    <n v="16.25"/>
    <n v="2"/>
    <n v="3"/>
    <n v="11.25"/>
  </r>
  <r>
    <x v="3"/>
    <x v="1"/>
    <s v="S12000006"/>
    <x v="3"/>
    <n v="169"/>
    <n v="14.5"/>
    <n v="30.75"/>
    <n v="123.75"/>
  </r>
  <r>
    <x v="3"/>
    <x v="1"/>
    <s v="S12000008"/>
    <x v="4"/>
    <n v="71"/>
    <n v="6.25"/>
    <n v="8.75"/>
    <n v="56"/>
  </r>
  <r>
    <x v="3"/>
    <x v="1"/>
    <s v="S12000010"/>
    <x v="5"/>
    <n v="45.25"/>
    <n v="4"/>
    <n v="9.75"/>
    <n v="31.5"/>
  </r>
  <r>
    <x v="3"/>
    <x v="1"/>
    <s v="S12000011"/>
    <x v="6"/>
    <n v="1"/>
    <n v="0"/>
    <n v="0"/>
    <n v="1"/>
  </r>
  <r>
    <x v="3"/>
    <x v="1"/>
    <s v="S12000013"/>
    <x v="7"/>
    <n v="134.25"/>
    <n v="11.75"/>
    <n v="33"/>
    <n v="89.5"/>
  </r>
  <r>
    <x v="3"/>
    <x v="1"/>
    <s v="S12000014"/>
    <x v="8"/>
    <n v="39.75"/>
    <n v="3.75"/>
    <n v="7"/>
    <n v="29"/>
  </r>
  <r>
    <x v="3"/>
    <x v="1"/>
    <s v="S12000017"/>
    <x v="9"/>
    <n v="489.75"/>
    <n v="51"/>
    <n v="102.5"/>
    <n v="336.25"/>
  </r>
  <r>
    <x v="3"/>
    <x v="1"/>
    <s v="S12000018"/>
    <x v="10"/>
    <n v="33.75"/>
    <n v="3.5"/>
    <n v="5.5"/>
    <n v="24.75"/>
  </r>
  <r>
    <x v="3"/>
    <x v="1"/>
    <s v="S12000019"/>
    <x v="11"/>
    <n v="9.25"/>
    <n v="1"/>
    <n v="1.75"/>
    <n v="6.5"/>
  </r>
  <r>
    <x v="3"/>
    <x v="1"/>
    <s v="S12000020"/>
    <x v="12"/>
    <n v="97.25"/>
    <n v="11"/>
    <n v="21"/>
    <n v="65.25"/>
  </r>
  <r>
    <x v="3"/>
    <x v="1"/>
    <s v="S12000021"/>
    <x v="13"/>
    <n v="91.5"/>
    <n v="9"/>
    <n v="10"/>
    <n v="72.5"/>
  </r>
  <r>
    <x v="3"/>
    <x v="1"/>
    <s v="S12000023"/>
    <x v="14"/>
    <n v="96.5"/>
    <n v="12"/>
    <n v="18.75"/>
    <n v="65.75"/>
  </r>
  <r>
    <x v="3"/>
    <x v="1"/>
    <s v="S12000024"/>
    <x v="15"/>
    <n v="110.5"/>
    <n v="8.75"/>
    <n v="22.5"/>
    <n v="79.25"/>
  </r>
  <r>
    <x v="3"/>
    <x v="1"/>
    <s v="S12000026"/>
    <x v="16"/>
    <n v="123.25"/>
    <n v="11.5"/>
    <n v="22.5"/>
    <n v="89.25"/>
  </r>
  <r>
    <x v="3"/>
    <x v="1"/>
    <s v="S12000027"/>
    <x v="17"/>
    <n v="116.75"/>
    <n v="13.25"/>
    <n v="23.25"/>
    <n v="80.25"/>
  </r>
  <r>
    <x v="3"/>
    <x v="1"/>
    <s v="S12000028"/>
    <x v="18"/>
    <n v="46"/>
    <n v="4.75"/>
    <n v="5.75"/>
    <n v="35.5"/>
  </r>
  <r>
    <x v="3"/>
    <x v="1"/>
    <s v="S12000029"/>
    <x v="19"/>
    <n v="64"/>
    <n v="7.75"/>
    <n v="8.75"/>
    <n v="47.5"/>
  </r>
  <r>
    <x v="3"/>
    <x v="1"/>
    <s v="S12000030"/>
    <x v="20"/>
    <n v="62.25"/>
    <n v="8.25"/>
    <n v="15"/>
    <n v="39"/>
  </r>
  <r>
    <x v="3"/>
    <x v="1"/>
    <s v="S12000033"/>
    <x v="21"/>
    <n v="15.25"/>
    <n v="1.75"/>
    <n v="5.5"/>
    <n v="8"/>
  </r>
  <r>
    <x v="3"/>
    <x v="1"/>
    <s v="S12000034"/>
    <x v="22"/>
    <n v="226.25"/>
    <n v="24"/>
    <n v="56.25"/>
    <n v="146"/>
  </r>
  <r>
    <x v="3"/>
    <x v="1"/>
    <s v="S12000035"/>
    <x v="23"/>
    <n v="171.39285714285714"/>
    <n v="11.75"/>
    <n v="24.75"/>
    <n v="134.89285714285714"/>
  </r>
  <r>
    <x v="3"/>
    <x v="1"/>
    <s v="S12000036"/>
    <x v="24"/>
    <n v="10"/>
    <n v="1"/>
    <n v="1.75"/>
    <n v="7.25"/>
  </r>
  <r>
    <x v="3"/>
    <x v="1"/>
    <s v="S12000038"/>
    <x v="25"/>
    <n v="10.5"/>
    <n v="1"/>
    <n v="1"/>
    <n v="8.5"/>
  </r>
  <r>
    <x v="3"/>
    <x v="1"/>
    <s v="S12000039"/>
    <x v="26"/>
    <n v="16.75"/>
    <n v="1.75"/>
    <n v="1.75"/>
    <n v="13.25"/>
  </r>
  <r>
    <x v="3"/>
    <x v="1"/>
    <s v="S12000040"/>
    <x v="27"/>
    <n v="44.25"/>
    <n v="4.25"/>
    <n v="8.25"/>
    <n v="31.75"/>
  </r>
  <r>
    <x v="3"/>
    <x v="1"/>
    <s v="S12000041"/>
    <x v="28"/>
    <n v="82"/>
    <n v="6"/>
    <n v="13.5"/>
    <n v="62.5"/>
  </r>
  <r>
    <x v="3"/>
    <x v="1"/>
    <s v="S12000042"/>
    <x v="29"/>
    <n v="9.5"/>
    <n v="0.75"/>
    <n v="2.5"/>
    <n v="6.25"/>
  </r>
  <r>
    <x v="3"/>
    <x v="1"/>
    <s v="S12000044"/>
    <x v="30"/>
    <n v="27"/>
    <n v="2.5"/>
    <n v="2.5"/>
    <n v="22"/>
  </r>
  <r>
    <x v="3"/>
    <x v="1"/>
    <s v="S12000045"/>
    <x v="31"/>
    <n v="0"/>
    <n v="0"/>
    <n v="0"/>
    <n v="0"/>
  </r>
  <r>
    <x v="3"/>
    <x v="1"/>
    <s v="S12000046"/>
    <x v="32"/>
    <n v="3.25"/>
    <n v="0"/>
    <n v="0"/>
    <n v="3.25"/>
  </r>
  <r>
    <x v="3"/>
    <x v="1"/>
    <s v="S12000047"/>
    <x v="33"/>
    <n v="93.37"/>
    <n v="9"/>
    <n v="18.93"/>
    <n v="65.44"/>
  </r>
  <r>
    <x v="4"/>
    <x v="1"/>
    <s v=""/>
    <x v="1"/>
    <n v="2545"/>
    <n v="246"/>
    <n v="499"/>
    <n v="1800"/>
  </r>
  <r>
    <x v="4"/>
    <x v="1"/>
    <s v="S12000005"/>
    <x v="2"/>
    <n v="17"/>
    <n v="2"/>
    <n v="2"/>
    <n v="13"/>
  </r>
  <r>
    <x v="4"/>
    <x v="1"/>
    <s v="S12000006"/>
    <x v="3"/>
    <n v="177"/>
    <n v="14"/>
    <n v="34"/>
    <n v="129"/>
  </r>
  <r>
    <x v="4"/>
    <x v="1"/>
    <s v="S12000008"/>
    <x v="4"/>
    <n v="69"/>
    <n v="6"/>
    <n v="9"/>
    <n v="54"/>
  </r>
  <r>
    <x v="4"/>
    <x v="1"/>
    <s v="S12000010"/>
    <x v="5"/>
    <n v="45"/>
    <n v="4"/>
    <n v="11"/>
    <n v="30"/>
  </r>
  <r>
    <x v="4"/>
    <x v="1"/>
    <s v="S12000011"/>
    <x v="6"/>
    <n v="0"/>
    <n v="0"/>
    <n v="0"/>
    <n v="0"/>
  </r>
  <r>
    <x v="4"/>
    <x v="1"/>
    <s v="S12000013"/>
    <x v="7"/>
    <n v="130"/>
    <n v="12"/>
    <n v="32"/>
    <n v="86"/>
  </r>
  <r>
    <x v="4"/>
    <x v="1"/>
    <s v="S12000014"/>
    <x v="8"/>
    <n v="39"/>
    <n v="3"/>
    <n v="7"/>
    <n v="29"/>
  </r>
  <r>
    <x v="4"/>
    <x v="1"/>
    <s v="S12000017"/>
    <x v="9"/>
    <n v="485"/>
    <n v="50"/>
    <n v="97"/>
    <n v="338"/>
  </r>
  <r>
    <x v="4"/>
    <x v="1"/>
    <s v="S12000018"/>
    <x v="10"/>
    <n v="31"/>
    <n v="2"/>
    <n v="5"/>
    <n v="24"/>
  </r>
  <r>
    <x v="4"/>
    <x v="1"/>
    <s v="S12000019"/>
    <x v="11"/>
    <n v="8"/>
    <n v="1"/>
    <n v="1"/>
    <n v="6"/>
  </r>
  <r>
    <x v="4"/>
    <x v="1"/>
    <s v="S12000020"/>
    <x v="12"/>
    <n v="112"/>
    <n v="11"/>
    <n v="22"/>
    <n v="79"/>
  </r>
  <r>
    <x v="4"/>
    <x v="1"/>
    <s v="S12000021"/>
    <x v="13"/>
    <n v="89"/>
    <n v="9"/>
    <n v="10"/>
    <n v="70"/>
  </r>
  <r>
    <x v="4"/>
    <x v="1"/>
    <s v="S12000023"/>
    <x v="14"/>
    <n v="92"/>
    <n v="11"/>
    <n v="20"/>
    <n v="61"/>
  </r>
  <r>
    <x v="4"/>
    <x v="1"/>
    <s v="S12000024"/>
    <x v="15"/>
    <n v="107"/>
    <n v="8"/>
    <n v="21"/>
    <n v="78"/>
  </r>
  <r>
    <x v="4"/>
    <x v="1"/>
    <s v="S12000026"/>
    <x v="16"/>
    <n v="118"/>
    <n v="12"/>
    <n v="23"/>
    <n v="83"/>
  </r>
  <r>
    <x v="4"/>
    <x v="1"/>
    <s v="S12000027"/>
    <x v="17"/>
    <n v="112"/>
    <n v="11"/>
    <n v="25"/>
    <n v="76"/>
  </r>
  <r>
    <x v="4"/>
    <x v="1"/>
    <s v="S12000028"/>
    <x v="18"/>
    <n v="42"/>
    <n v="5"/>
    <n v="7"/>
    <n v="30"/>
  </r>
  <r>
    <x v="4"/>
    <x v="1"/>
    <s v="S12000029"/>
    <x v="19"/>
    <n v="64"/>
    <n v="7"/>
    <n v="8"/>
    <n v="49"/>
  </r>
  <r>
    <x v="4"/>
    <x v="1"/>
    <s v="S12000030"/>
    <x v="20"/>
    <n v="63"/>
    <n v="7"/>
    <n v="15"/>
    <n v="41"/>
  </r>
  <r>
    <x v="4"/>
    <x v="1"/>
    <s v="S12000033"/>
    <x v="21"/>
    <n v="5"/>
    <n v="1"/>
    <n v="1"/>
    <n v="3"/>
  </r>
  <r>
    <x v="4"/>
    <x v="1"/>
    <s v="S12000034"/>
    <x v="22"/>
    <n v="250"/>
    <n v="24"/>
    <n v="61"/>
    <n v="165"/>
  </r>
  <r>
    <x v="4"/>
    <x v="1"/>
    <s v="S12000035"/>
    <x v="23"/>
    <n v="171"/>
    <n v="13"/>
    <n v="25"/>
    <n v="133"/>
  </r>
  <r>
    <x v="4"/>
    <x v="1"/>
    <s v="S12000036"/>
    <x v="24"/>
    <n v="9"/>
    <n v="1"/>
    <n v="1"/>
    <n v="7"/>
  </r>
  <r>
    <x v="4"/>
    <x v="1"/>
    <s v="S12000038"/>
    <x v="25"/>
    <n v="10"/>
    <n v="1"/>
    <n v="1"/>
    <n v="8"/>
  </r>
  <r>
    <x v="4"/>
    <x v="1"/>
    <s v="S12000039"/>
    <x v="26"/>
    <n v="12"/>
    <n v="0"/>
    <n v="0"/>
    <n v="12"/>
  </r>
  <r>
    <x v="4"/>
    <x v="1"/>
    <s v="S12000040"/>
    <x v="27"/>
    <n v="48"/>
    <n v="4"/>
    <n v="9"/>
    <n v="35"/>
  </r>
  <r>
    <x v="4"/>
    <x v="1"/>
    <s v="S12000041"/>
    <x v="28"/>
    <n v="78"/>
    <n v="6"/>
    <n v="14"/>
    <n v="58"/>
  </r>
  <r>
    <x v="4"/>
    <x v="1"/>
    <s v="S12000042"/>
    <x v="29"/>
    <n v="11"/>
    <n v="1"/>
    <n v="2"/>
    <n v="8"/>
  </r>
  <r>
    <x v="4"/>
    <x v="1"/>
    <s v="S12000044"/>
    <x v="30"/>
    <n v="25"/>
    <n v="3"/>
    <n v="5"/>
    <n v="17"/>
  </r>
  <r>
    <x v="4"/>
    <x v="1"/>
    <s v="S12000045"/>
    <x v="31"/>
    <n v="0"/>
    <n v="0"/>
    <n v="0"/>
    <n v="0"/>
  </r>
  <r>
    <x v="4"/>
    <x v="1"/>
    <s v="S12000046"/>
    <x v="32"/>
    <n v="0"/>
    <n v="0"/>
    <n v="0"/>
    <n v="0"/>
  </r>
  <r>
    <x v="4"/>
    <x v="1"/>
    <s v="S12000047"/>
    <x v="33"/>
    <n v="93"/>
    <n v="9"/>
    <n v="18"/>
    <n v="66"/>
  </r>
  <r>
    <x v="5"/>
    <x v="1"/>
    <s v=""/>
    <x v="1"/>
    <n v="2545"/>
    <n v="246"/>
    <n v="477"/>
    <n v="1822"/>
  </r>
  <r>
    <x v="5"/>
    <x v="1"/>
    <s v="S12000005"/>
    <x v="2"/>
    <n v="17"/>
    <n v="2"/>
    <n v="2"/>
    <n v="13"/>
  </r>
  <r>
    <x v="5"/>
    <x v="1"/>
    <s v="S12000006"/>
    <x v="3"/>
    <n v="167"/>
    <n v="14"/>
    <n v="31"/>
    <n v="122"/>
  </r>
  <r>
    <x v="5"/>
    <x v="1"/>
    <s v="S12000008"/>
    <x v="4"/>
    <n v="69"/>
    <n v="6"/>
    <n v="7"/>
    <n v="56"/>
  </r>
  <r>
    <x v="5"/>
    <x v="1"/>
    <s v="S12000010"/>
    <x v="5"/>
    <n v="48"/>
    <n v="5"/>
    <n v="9"/>
    <n v="34"/>
  </r>
  <r>
    <x v="5"/>
    <x v="1"/>
    <s v="S12000013"/>
    <x v="7"/>
    <n v="125"/>
    <n v="13"/>
    <n v="24"/>
    <n v="88"/>
  </r>
  <r>
    <x v="5"/>
    <x v="1"/>
    <s v="S12000014"/>
    <x v="8"/>
    <n v="40"/>
    <n v="4"/>
    <n v="8"/>
    <n v="28"/>
  </r>
  <r>
    <x v="5"/>
    <x v="1"/>
    <s v="S12000017"/>
    <x v="9"/>
    <n v="494"/>
    <n v="53"/>
    <n v="101"/>
    <n v="340"/>
  </r>
  <r>
    <x v="5"/>
    <x v="1"/>
    <s v="S12000018"/>
    <x v="10"/>
    <n v="34"/>
    <n v="3"/>
    <n v="5"/>
    <n v="26"/>
  </r>
  <r>
    <x v="5"/>
    <x v="1"/>
    <s v="S12000019"/>
    <x v="11"/>
    <n v="10"/>
    <n v="1"/>
    <n v="2"/>
    <n v="7"/>
  </r>
  <r>
    <x v="5"/>
    <x v="1"/>
    <s v="S12000020"/>
    <x v="12"/>
    <n v="111"/>
    <n v="11"/>
    <n v="24"/>
    <n v="76"/>
  </r>
  <r>
    <x v="5"/>
    <x v="1"/>
    <s v="S12000021"/>
    <x v="13"/>
    <n v="92"/>
    <n v="10"/>
    <n v="9"/>
    <n v="73"/>
  </r>
  <r>
    <x v="5"/>
    <x v="1"/>
    <s v="S12000023"/>
    <x v="14"/>
    <n v="99"/>
    <n v="9"/>
    <n v="22"/>
    <n v="68"/>
  </r>
  <r>
    <x v="5"/>
    <x v="1"/>
    <s v="S12000024"/>
    <x v="15"/>
    <n v="110"/>
    <n v="8"/>
    <n v="22"/>
    <n v="80"/>
  </r>
  <r>
    <x v="5"/>
    <x v="1"/>
    <s v="S12000026"/>
    <x v="16"/>
    <n v="118"/>
    <n v="12"/>
    <n v="24"/>
    <n v="82"/>
  </r>
  <r>
    <x v="5"/>
    <x v="1"/>
    <s v="S12000027"/>
    <x v="17"/>
    <n v="110"/>
    <n v="11"/>
    <n v="23"/>
    <n v="76"/>
  </r>
  <r>
    <x v="5"/>
    <x v="1"/>
    <s v="S12000028"/>
    <x v="18"/>
    <n v="44"/>
    <n v="5"/>
    <n v="5"/>
    <n v="34"/>
  </r>
  <r>
    <x v="5"/>
    <x v="1"/>
    <s v="S12000029"/>
    <x v="19"/>
    <n v="66"/>
    <n v="9"/>
    <n v="7"/>
    <n v="50"/>
  </r>
  <r>
    <x v="5"/>
    <x v="1"/>
    <s v="S12000030"/>
    <x v="20"/>
    <n v="66"/>
    <n v="8"/>
    <n v="14"/>
    <n v="44"/>
  </r>
  <r>
    <x v="5"/>
    <x v="1"/>
    <s v="S12000033"/>
    <x v="21"/>
    <n v="6"/>
    <n v="1"/>
    <n v="1"/>
    <n v="4"/>
  </r>
  <r>
    <x v="5"/>
    <x v="1"/>
    <s v="S12000034"/>
    <x v="22"/>
    <n v="248"/>
    <n v="23"/>
    <n v="63"/>
    <n v="162"/>
  </r>
  <r>
    <x v="5"/>
    <x v="1"/>
    <s v="S12000035"/>
    <x v="23"/>
    <n v="166"/>
    <n v="14"/>
    <n v="24"/>
    <n v="128"/>
  </r>
  <r>
    <x v="5"/>
    <x v="1"/>
    <s v="S12000036"/>
    <x v="24"/>
    <n v="8"/>
    <n v="1"/>
    <n v="1"/>
    <n v="6"/>
  </r>
  <r>
    <x v="5"/>
    <x v="1"/>
    <s v="S12000038"/>
    <x v="25"/>
    <n v="13"/>
    <n v="1"/>
    <n v="2"/>
    <n v="10"/>
  </r>
  <r>
    <x v="5"/>
    <x v="1"/>
    <s v="S12000039"/>
    <x v="26"/>
    <n v="16"/>
    <n v="2"/>
    <n v="2"/>
    <n v="12"/>
  </r>
  <r>
    <x v="5"/>
    <x v="1"/>
    <s v="S12000040"/>
    <x v="27"/>
    <n v="49"/>
    <n v="4"/>
    <n v="9"/>
    <n v="36"/>
  </r>
  <r>
    <x v="5"/>
    <x v="1"/>
    <s v="S12000041"/>
    <x v="28"/>
    <n v="80"/>
    <n v="6"/>
    <n v="14"/>
    <n v="60"/>
  </r>
  <r>
    <x v="5"/>
    <x v="1"/>
    <s v="S12000042"/>
    <x v="29"/>
    <n v="12"/>
    <n v="1"/>
    <n v="2"/>
    <n v="9"/>
  </r>
  <r>
    <x v="5"/>
    <x v="1"/>
    <s v="S12000044"/>
    <x v="30"/>
    <n v="28"/>
    <n v="2"/>
    <n v="5"/>
    <n v="21"/>
  </r>
  <r>
    <x v="5"/>
    <x v="1"/>
    <s v="S12000047"/>
    <x v="33"/>
    <n v="102"/>
    <n v="9"/>
    <n v="18"/>
    <n v="75"/>
  </r>
  <r>
    <x v="6"/>
    <x v="1"/>
    <m/>
    <x v="1"/>
    <n v="2583.98"/>
    <n v="241.25"/>
    <n v="478.93"/>
    <n v="1863.8"/>
  </r>
  <r>
    <x v="6"/>
    <x v="1"/>
    <s v="S12000005"/>
    <x v="2"/>
    <n v="15"/>
    <n v="1.25"/>
    <n v="2.75"/>
    <n v="11"/>
  </r>
  <r>
    <x v="6"/>
    <x v="1"/>
    <s v="S12000006"/>
    <x v="3"/>
    <n v="173.25"/>
    <n v="15.25"/>
    <n v="31"/>
    <n v="127"/>
  </r>
  <r>
    <x v="6"/>
    <x v="1"/>
    <s v="S12000008"/>
    <x v="4"/>
    <n v="62"/>
    <n v="4.5"/>
    <n v="8.25"/>
    <n v="49.25"/>
  </r>
  <r>
    <x v="6"/>
    <x v="1"/>
    <s v="S12000010"/>
    <x v="5"/>
    <n v="51"/>
    <n v="4"/>
    <n v="10.5"/>
    <n v="36.5"/>
  </r>
  <r>
    <x v="6"/>
    <x v="1"/>
    <s v="S12000013"/>
    <x v="7"/>
    <n v="126.75"/>
    <n v="12.5"/>
    <n v="24.25"/>
    <n v="90"/>
  </r>
  <r>
    <x v="6"/>
    <x v="1"/>
    <s v="S12000014"/>
    <x v="8"/>
    <n v="41"/>
    <n v="4"/>
    <n v="7.75"/>
    <n v="29.25"/>
  </r>
  <r>
    <x v="6"/>
    <x v="1"/>
    <s v="S12000017"/>
    <x v="9"/>
    <n v="503"/>
    <n v="53.5"/>
    <n v="96.25"/>
    <n v="353.25"/>
  </r>
  <r>
    <x v="6"/>
    <x v="1"/>
    <s v="S12000018"/>
    <x v="10"/>
    <n v="36.5"/>
    <n v="2.75"/>
    <n v="4.75"/>
    <n v="29"/>
  </r>
  <r>
    <x v="6"/>
    <x v="1"/>
    <s v="S12000019"/>
    <x v="11"/>
    <n v="11"/>
    <n v="1"/>
    <n v="2.5"/>
    <n v="7.5"/>
  </r>
  <r>
    <x v="6"/>
    <x v="1"/>
    <s v="S12000020"/>
    <x v="12"/>
    <n v="109.25"/>
    <n v="10.25"/>
    <n v="24.25"/>
    <n v="74.75"/>
  </r>
  <r>
    <x v="6"/>
    <x v="1"/>
    <s v="S12000021"/>
    <x v="13"/>
    <n v="90.75"/>
    <n v="10.75"/>
    <n v="9.5"/>
    <n v="70.5"/>
  </r>
  <r>
    <x v="6"/>
    <x v="1"/>
    <s v="S12000023"/>
    <x v="14"/>
    <n v="106.5"/>
    <n v="8.5"/>
    <n v="23"/>
    <n v="75"/>
  </r>
  <r>
    <x v="6"/>
    <x v="1"/>
    <s v="S12000026"/>
    <x v="16"/>
    <n v="117.75"/>
    <n v="11"/>
    <n v="24.75"/>
    <n v="82"/>
  </r>
  <r>
    <x v="6"/>
    <x v="1"/>
    <s v="S12000027"/>
    <x v="17"/>
    <n v="118.25"/>
    <n v="11.75"/>
    <n v="23.75"/>
    <n v="82.75"/>
  </r>
  <r>
    <x v="6"/>
    <x v="1"/>
    <s v="S12000028"/>
    <x v="18"/>
    <n v="50.75"/>
    <n v="5"/>
    <n v="6.25"/>
    <n v="39.5"/>
  </r>
  <r>
    <x v="6"/>
    <x v="1"/>
    <s v="S12000029"/>
    <x v="19"/>
    <n v="65.25"/>
    <n v="7.25"/>
    <n v="7.25"/>
    <n v="50.75"/>
  </r>
  <r>
    <x v="6"/>
    <x v="1"/>
    <s v="S12000030"/>
    <x v="20"/>
    <n v="66.5"/>
    <n v="7.5"/>
    <n v="14.25"/>
    <n v="44.75"/>
  </r>
  <r>
    <x v="6"/>
    <x v="1"/>
    <s v="S12000033"/>
    <x v="21"/>
    <n v="6.75"/>
    <n v="1"/>
    <n v="2.5"/>
    <n v="3.25"/>
  </r>
  <r>
    <x v="6"/>
    <x v="1"/>
    <s v="S12000034"/>
    <x v="22"/>
    <n v="255.25"/>
    <n v="22.5"/>
    <n v="62.5"/>
    <n v="170.25"/>
  </r>
  <r>
    <x v="6"/>
    <x v="1"/>
    <s v="S12000035"/>
    <x v="23"/>
    <n v="163.75"/>
    <n v="13.25"/>
    <n v="23"/>
    <n v="127.5"/>
  </r>
  <r>
    <x v="6"/>
    <x v="1"/>
    <s v="S12000036"/>
    <x v="24"/>
    <m/>
    <m/>
    <n v="1.25"/>
    <n v="4.25"/>
  </r>
  <r>
    <x v="6"/>
    <x v="1"/>
    <s v="S12000038"/>
    <x v="25"/>
    <n v="12.25"/>
    <n v="0.75"/>
    <n v="1.5"/>
    <n v="10"/>
  </r>
  <r>
    <x v="6"/>
    <x v="1"/>
    <s v="S12000039"/>
    <x v="26"/>
    <n v="17.5"/>
    <n v="1.75"/>
    <n v="1.5"/>
    <n v="14.25"/>
  </r>
  <r>
    <x v="6"/>
    <x v="1"/>
    <s v="S12000040"/>
    <x v="27"/>
    <n v="45.25"/>
    <n v="3.75"/>
    <n v="8.75"/>
    <n v="32.75"/>
  </r>
  <r>
    <x v="6"/>
    <x v="1"/>
    <s v="S12000041"/>
    <x v="28"/>
    <n v="84"/>
    <n v="6"/>
    <n v="12.5"/>
    <n v="65.5"/>
  </r>
  <r>
    <x v="6"/>
    <x v="1"/>
    <s v="S12000042"/>
    <x v="29"/>
    <n v="10.25"/>
    <n v="1"/>
    <n v="1.5"/>
    <n v="7.75"/>
  </r>
  <r>
    <x v="6"/>
    <x v="1"/>
    <s v="S12000044"/>
    <x v="30"/>
    <n v="25.5"/>
    <n v="2.5"/>
    <n v="4.75"/>
    <n v="18.25"/>
  </r>
  <r>
    <x v="6"/>
    <x v="1"/>
    <s v="S12000047"/>
    <x v="33"/>
    <n v="101.48"/>
    <n v="8.75"/>
    <n v="17.929999999999996"/>
    <n v="74.800000000000011"/>
  </r>
  <r>
    <x v="6"/>
    <x v="1"/>
    <s v="S12000048"/>
    <x v="15"/>
    <n v="112"/>
    <n v="9.25"/>
    <n v="20.25"/>
    <n v="82.5"/>
  </r>
  <r>
    <x v="7"/>
    <x v="1"/>
    <m/>
    <x v="1"/>
    <n v="2551.73"/>
    <n v="236.5"/>
    <n v="459.93"/>
    <n v="1855.3"/>
  </r>
  <r>
    <x v="7"/>
    <x v="1"/>
    <s v="S40000003"/>
    <x v="23"/>
    <n v="160.5"/>
    <n v="11.75"/>
    <n v="22.25"/>
    <n v="126.5"/>
  </r>
  <r>
    <x v="7"/>
    <x v="1"/>
    <s v="S40000003"/>
    <x v="3"/>
    <n v="163"/>
    <n v="14.25"/>
    <n v="29.75"/>
    <n v="119"/>
  </r>
  <r>
    <x v="7"/>
    <x v="1"/>
    <s v="S40000003"/>
    <x v="4"/>
    <n v="64"/>
    <n v="6"/>
    <n v="6.75"/>
    <n v="51.25"/>
  </r>
  <r>
    <x v="7"/>
    <x v="1"/>
    <s v="S40000003"/>
    <x v="10"/>
    <n v="34.5"/>
    <n v="2.75"/>
    <n v="4.75"/>
    <n v="27"/>
  </r>
  <r>
    <x v="7"/>
    <x v="1"/>
    <s v="S40000003"/>
    <x v="13"/>
    <n v="88.25"/>
    <n v="10.5"/>
    <n v="9.5"/>
    <n v="68.25"/>
  </r>
  <r>
    <x v="7"/>
    <x v="1"/>
    <s v="S40000003"/>
    <x v="30"/>
    <n v="27"/>
    <n v="2.5"/>
    <n v="3.75"/>
    <n v="20.75"/>
  </r>
  <r>
    <x v="7"/>
    <x v="1"/>
    <s v="S40000003"/>
    <x v="25"/>
    <n v="11"/>
    <n v="0.75"/>
    <n v="1.5"/>
    <n v="8.75"/>
  </r>
  <r>
    <x v="7"/>
    <x v="1"/>
    <s v="S40000003"/>
    <x v="18"/>
    <n v="46.5"/>
    <n v="4.5"/>
    <n v="6.5"/>
    <n v="35.5"/>
  </r>
  <r>
    <x v="7"/>
    <x v="1"/>
    <s v="S40000003"/>
    <x v="19"/>
    <n v="70.25"/>
    <n v="6.5"/>
    <n v="7.25"/>
    <n v="56.5"/>
  </r>
  <r>
    <x v="7"/>
    <x v="1"/>
    <s v="S40000003"/>
    <x v="26"/>
    <n v="16.25"/>
    <n v="1.5"/>
    <n v="1.5"/>
    <n v="13.25"/>
  </r>
  <r>
    <x v="7"/>
    <x v="1"/>
    <s v="S40000004"/>
    <x v="24"/>
    <n v="4.75"/>
    <n v="0.75"/>
    <n v="1"/>
    <n v="3"/>
  </r>
  <r>
    <x v="7"/>
    <x v="1"/>
    <s v="S40000004"/>
    <x v="2"/>
    <n v="19"/>
    <n v="2.25"/>
    <n v="3.5"/>
    <n v="13.25"/>
  </r>
  <r>
    <x v="7"/>
    <x v="1"/>
    <s v="S40000004"/>
    <x v="5"/>
    <n v="52.25"/>
    <n v="4"/>
    <n v="10.25"/>
    <n v="38"/>
  </r>
  <r>
    <x v="7"/>
    <x v="1"/>
    <s v="S40000004"/>
    <x v="8"/>
    <n v="42.5"/>
    <n v="3"/>
    <n v="7.5"/>
    <n v="32"/>
  </r>
  <r>
    <x v="7"/>
    <x v="1"/>
    <s v="S40000004"/>
    <x v="33"/>
    <n v="97.23"/>
    <n v="8.75"/>
    <n v="17.179999999999996"/>
    <n v="71.300000000000011"/>
  </r>
  <r>
    <x v="7"/>
    <x v="1"/>
    <s v="S40000004"/>
    <x v="11"/>
    <n v="10.5"/>
    <n v="1"/>
    <n v="1.5"/>
    <n v="8"/>
  </r>
  <r>
    <x v="7"/>
    <x v="1"/>
    <s v="S40000004"/>
    <x v="16"/>
    <n v="120.75"/>
    <n v="10.75"/>
    <n v="24.75"/>
    <n v="85.25"/>
  </r>
  <r>
    <x v="7"/>
    <x v="1"/>
    <s v="S40000004"/>
    <x v="20"/>
    <n v="65"/>
    <n v="8.25"/>
    <n v="12.75"/>
    <n v="44"/>
  </r>
  <r>
    <x v="7"/>
    <x v="1"/>
    <s v="S40000004"/>
    <x v="27"/>
    <n v="49.75"/>
    <n v="4.75"/>
    <n v="8.25"/>
    <n v="36.75"/>
  </r>
  <r>
    <x v="7"/>
    <x v="1"/>
    <s v="S40000005"/>
    <x v="21"/>
    <n v="6.5"/>
    <n v="1"/>
    <n v="2.5"/>
    <n v="3"/>
  </r>
  <r>
    <x v="7"/>
    <x v="1"/>
    <s v="S40000005"/>
    <x v="22"/>
    <n v="252.5"/>
    <n v="22.5"/>
    <n v="58"/>
    <n v="172"/>
  </r>
  <r>
    <x v="7"/>
    <x v="1"/>
    <s v="S40000005"/>
    <x v="28"/>
    <n v="86.5"/>
    <n v="6"/>
    <n v="13.75"/>
    <n v="66.75"/>
  </r>
  <r>
    <x v="7"/>
    <x v="1"/>
    <s v="S40000005"/>
    <x v="29"/>
    <n v="10.25"/>
    <n v="1"/>
    <n v="1.5"/>
    <n v="7.75"/>
  </r>
  <r>
    <x v="7"/>
    <x v="1"/>
    <s v="S40000005"/>
    <x v="9"/>
    <n v="476.75"/>
    <n v="49.5"/>
    <n v="87"/>
    <n v="340.25"/>
  </r>
  <r>
    <x v="7"/>
    <x v="1"/>
    <s v="S40000005"/>
    <x v="12"/>
    <n v="109"/>
    <n v="9.75"/>
    <n v="23.75"/>
    <n v="75.5"/>
  </r>
  <r>
    <x v="7"/>
    <x v="1"/>
    <s v="S40000005"/>
    <x v="7"/>
    <n v="127.75"/>
    <n v="13.5"/>
    <n v="28.75"/>
    <n v="85.5"/>
  </r>
  <r>
    <x v="7"/>
    <x v="1"/>
    <s v="S40000005"/>
    <x v="14"/>
    <n v="106.25"/>
    <n v="8.75"/>
    <n v="22"/>
    <n v="75.5"/>
  </r>
  <r>
    <x v="7"/>
    <x v="1"/>
    <s v="S40000005"/>
    <x v="15"/>
    <n v="112.25"/>
    <n v="9.25"/>
    <n v="19.75"/>
    <n v="83.25"/>
  </r>
  <r>
    <x v="7"/>
    <x v="1"/>
    <s v="S40000005"/>
    <x v="17"/>
    <n v="121"/>
    <n v="10.75"/>
    <n v="22.75"/>
    <n v="87.5"/>
  </r>
  <r>
    <x v="8"/>
    <x v="1"/>
    <m/>
    <x v="1"/>
    <n v="2482.48"/>
    <n v="236"/>
    <n v="461.93"/>
    <n v="1784.55"/>
  </r>
  <r>
    <x v="8"/>
    <x v="1"/>
    <s v="S40000002"/>
    <x v="2"/>
    <n v="20.25"/>
    <n v="1.5"/>
    <n v="2.75"/>
    <n v="16"/>
  </r>
  <r>
    <x v="8"/>
    <x v="1"/>
    <s v="S40000002"/>
    <x v="33"/>
    <n v="92.22999999999999"/>
    <n v="7.75"/>
    <n v="18.429999999999996"/>
    <n v="66.05"/>
  </r>
  <r>
    <x v="8"/>
    <x v="1"/>
    <s v="S40000002"/>
    <x v="20"/>
    <n v="64"/>
    <n v="7.75"/>
    <n v="13"/>
    <n v="43.25"/>
  </r>
  <r>
    <x v="8"/>
    <x v="1"/>
    <s v="S40000003"/>
    <x v="23"/>
    <n v="156"/>
    <n v="13"/>
    <n v="23.25"/>
    <n v="119.75"/>
  </r>
  <r>
    <x v="8"/>
    <x v="1"/>
    <s v="S40000003"/>
    <x v="3"/>
    <n v="159"/>
    <n v="14.25"/>
    <n v="31"/>
    <n v="113.75"/>
  </r>
  <r>
    <x v="8"/>
    <x v="1"/>
    <s v="S40000003"/>
    <x v="4"/>
    <n v="63.5"/>
    <n v="6"/>
    <n v="6.75"/>
    <n v="50.75"/>
  </r>
  <r>
    <x v="8"/>
    <x v="1"/>
    <s v="S40000003"/>
    <x v="10"/>
    <n v="35.75"/>
    <n v="2.25"/>
    <n v="4.75"/>
    <n v="28.75"/>
  </r>
  <r>
    <x v="8"/>
    <x v="1"/>
    <s v="S40000003"/>
    <x v="13"/>
    <n v="85"/>
    <n v="9.75"/>
    <n v="9.5"/>
    <n v="65.75"/>
  </r>
  <r>
    <x v="8"/>
    <x v="1"/>
    <s v="S40000003"/>
    <x v="30"/>
    <n v="27.25"/>
    <n v="2"/>
    <n v="4.5"/>
    <n v="20.75"/>
  </r>
  <r>
    <x v="8"/>
    <x v="1"/>
    <s v="S40000003"/>
    <x v="25"/>
    <n v="9.5"/>
    <n v="1.5"/>
    <n v="0.75"/>
    <n v="7.25"/>
  </r>
  <r>
    <x v="8"/>
    <x v="1"/>
    <s v="S40000003"/>
    <x v="18"/>
    <n v="43"/>
    <n v="3.5"/>
    <n v="5.75"/>
    <n v="33.75"/>
  </r>
  <r>
    <x v="8"/>
    <x v="1"/>
    <s v="S40000003"/>
    <x v="19"/>
    <n v="67"/>
    <n v="8.75"/>
    <n v="5.75"/>
    <n v="52.5"/>
  </r>
  <r>
    <x v="8"/>
    <x v="1"/>
    <s v="S40000003"/>
    <x v="26"/>
    <n v="18"/>
    <n v="1.5"/>
    <n v="1.5"/>
    <n v="15"/>
  </r>
  <r>
    <x v="8"/>
    <x v="1"/>
    <s v="S40000004"/>
    <x v="24"/>
    <n v="4.75"/>
    <n v="0.5"/>
    <n v="0.5"/>
    <n v="3.75"/>
  </r>
  <r>
    <x v="8"/>
    <x v="1"/>
    <s v="S40000004"/>
    <x v="5"/>
    <n v="50.75"/>
    <n v="4.25"/>
    <n v="10"/>
    <n v="36.5"/>
  </r>
  <r>
    <x v="8"/>
    <x v="1"/>
    <s v="S40000004"/>
    <x v="8"/>
    <n v="42"/>
    <n v="3.75"/>
    <n v="6.75"/>
    <n v="31.5"/>
  </r>
  <r>
    <x v="8"/>
    <x v="1"/>
    <s v="S40000004"/>
    <x v="11"/>
    <n v="9"/>
    <n v="1"/>
    <n v="1.5"/>
    <n v="6.5"/>
  </r>
  <r>
    <x v="8"/>
    <x v="1"/>
    <s v="S40000004"/>
    <x v="16"/>
    <n v="121.75"/>
    <n v="10.25"/>
    <n v="26.5"/>
    <n v="85"/>
  </r>
  <r>
    <x v="8"/>
    <x v="1"/>
    <s v="S40000004"/>
    <x v="27"/>
    <n v="44.75"/>
    <n v="5"/>
    <n v="7.25"/>
    <n v="32.5"/>
  </r>
  <r>
    <x v="8"/>
    <x v="1"/>
    <s v="S40000005"/>
    <x v="21"/>
    <n v="8.5"/>
    <n v="1"/>
    <n v="2.5"/>
    <n v="5"/>
  </r>
  <r>
    <x v="8"/>
    <x v="1"/>
    <s v="S40000005"/>
    <x v="22"/>
    <n v="251.75"/>
    <n v="22.75"/>
    <n v="60.25"/>
    <n v="168.75"/>
  </r>
  <r>
    <x v="8"/>
    <x v="1"/>
    <s v="S40000005"/>
    <x v="28"/>
    <n v="87.25"/>
    <n v="7"/>
    <n v="14"/>
    <n v="66.25"/>
  </r>
  <r>
    <x v="8"/>
    <x v="1"/>
    <s v="S40000005"/>
    <x v="29"/>
    <n v="9.5"/>
    <n v="1"/>
    <n v="1.5"/>
    <n v="7"/>
  </r>
  <r>
    <x v="8"/>
    <x v="1"/>
    <s v="S40000005"/>
    <x v="9"/>
    <n v="449.5"/>
    <n v="48.25"/>
    <n v="89.75"/>
    <n v="311.5"/>
  </r>
  <r>
    <x v="8"/>
    <x v="1"/>
    <s v="S40000005"/>
    <x v="12"/>
    <n v="102.25"/>
    <n v="9.75"/>
    <n v="23.5"/>
    <n v="69"/>
  </r>
  <r>
    <x v="8"/>
    <x v="1"/>
    <s v="S40000005"/>
    <x v="7"/>
    <n v="123.75"/>
    <n v="14"/>
    <n v="26.25"/>
    <n v="83.5"/>
  </r>
  <r>
    <x v="8"/>
    <x v="1"/>
    <s v="S40000005"/>
    <x v="14"/>
    <n v="108.75"/>
    <n v="7.25"/>
    <n v="21"/>
    <n v="80.5"/>
  </r>
  <r>
    <x v="8"/>
    <x v="1"/>
    <s v="S40000005"/>
    <x v="15"/>
    <n v="110.25"/>
    <n v="9.25"/>
    <n v="19.25"/>
    <n v="81.75"/>
  </r>
  <r>
    <x v="8"/>
    <x v="1"/>
    <s v="S40000005"/>
    <x v="17"/>
    <n v="117.5"/>
    <n v="11.5"/>
    <n v="23.75"/>
    <n v="82.25"/>
  </r>
  <r>
    <x v="9"/>
    <x v="1"/>
    <m/>
    <x v="21"/>
    <n v="9"/>
    <n v="1"/>
    <n v="2.25"/>
    <n v="5.75"/>
  </r>
  <r>
    <x v="9"/>
    <x v="1"/>
    <m/>
    <x v="22"/>
    <n v="250.25"/>
    <n v="23"/>
    <n v="58.75"/>
    <n v="168.5"/>
  </r>
  <r>
    <x v="9"/>
    <x v="1"/>
    <m/>
    <x v="1"/>
    <n v="2375.48"/>
    <n v="235.85"/>
    <n v="461.29"/>
    <n v="1678.3400000000001"/>
  </r>
  <r>
    <x v="9"/>
    <x v="1"/>
    <m/>
    <x v="28"/>
    <n v="80.25"/>
    <n v="7"/>
    <n v="14.5"/>
    <n v="58.75"/>
  </r>
  <r>
    <x v="9"/>
    <x v="1"/>
    <m/>
    <x v="23"/>
    <n v="158.5"/>
    <n v="13"/>
    <n v="23.75"/>
    <n v="121.75"/>
  </r>
  <r>
    <x v="9"/>
    <x v="1"/>
    <m/>
    <x v="24"/>
    <n v="4.25"/>
    <n v="0.5"/>
    <n v="0.5"/>
    <n v="3.25"/>
  </r>
  <r>
    <x v="9"/>
    <x v="1"/>
    <m/>
    <x v="2"/>
    <n v="19"/>
    <n v="1.5"/>
    <n v="2.75"/>
    <n v="14.75"/>
  </r>
  <r>
    <x v="9"/>
    <x v="1"/>
    <m/>
    <x v="3"/>
    <n v="162"/>
    <n v="15.25"/>
    <n v="29.25"/>
    <n v="117.5"/>
  </r>
  <r>
    <x v="9"/>
    <x v="1"/>
    <m/>
    <x v="29"/>
    <n v="10.75"/>
    <n v="1"/>
    <n v="1.5"/>
    <n v="8.25"/>
  </r>
  <r>
    <x v="9"/>
    <x v="1"/>
    <m/>
    <x v="4"/>
    <n v="61.5"/>
    <n v="6"/>
    <n v="6.5"/>
    <n v="49"/>
  </r>
  <r>
    <x v="9"/>
    <x v="1"/>
    <m/>
    <x v="5"/>
    <n v="46"/>
    <n v="4.25"/>
    <n v="10.75"/>
    <n v="31"/>
  </r>
  <r>
    <x v="9"/>
    <x v="1"/>
    <m/>
    <x v="8"/>
    <n v="37.5"/>
    <n v="3.75"/>
    <n v="6.75"/>
    <n v="27"/>
  </r>
  <r>
    <x v="9"/>
    <x v="1"/>
    <m/>
    <x v="33"/>
    <n v="87.72999999999999"/>
    <n v="7.6"/>
    <n v="17.79"/>
    <n v="62.339999999999996"/>
  </r>
  <r>
    <x v="9"/>
    <x v="1"/>
    <m/>
    <x v="9"/>
    <n v="428.75"/>
    <n v="46.25"/>
    <n v="88.75"/>
    <n v="293.75"/>
  </r>
  <r>
    <x v="9"/>
    <x v="1"/>
    <m/>
    <x v="10"/>
    <n v="31.25"/>
    <n v="2.5"/>
    <n v="5.5"/>
    <n v="23.25"/>
  </r>
  <r>
    <x v="9"/>
    <x v="1"/>
    <m/>
    <x v="11"/>
    <n v="8.5"/>
    <n v="1"/>
    <n v="1.5"/>
    <n v="6"/>
  </r>
  <r>
    <x v="9"/>
    <x v="1"/>
    <m/>
    <x v="12"/>
    <n v="101.25"/>
    <n v="9.75"/>
    <n v="23.25"/>
    <n v="68.25"/>
  </r>
  <r>
    <x v="9"/>
    <x v="1"/>
    <m/>
    <x v="7"/>
    <n v="113"/>
    <n v="13.25"/>
    <n v="27.25"/>
    <n v="72.5"/>
  </r>
  <r>
    <x v="9"/>
    <x v="1"/>
    <m/>
    <x v="13"/>
    <n v="81.5"/>
    <n v="9.75"/>
    <n v="10.25"/>
    <n v="61.5"/>
  </r>
  <r>
    <x v="9"/>
    <x v="1"/>
    <m/>
    <x v="30"/>
    <n v="21.25"/>
    <n v="2.5"/>
    <n v="4.5"/>
    <n v="14.25"/>
  </r>
  <r>
    <x v="9"/>
    <x v="1"/>
    <m/>
    <x v="14"/>
    <n v="110.75"/>
    <n v="11.5"/>
    <n v="18"/>
    <n v="81.25"/>
  </r>
  <r>
    <x v="9"/>
    <x v="1"/>
    <m/>
    <x v="15"/>
    <n v="99.5"/>
    <n v="8.25"/>
    <n v="19"/>
    <n v="72.25"/>
  </r>
  <r>
    <x v="9"/>
    <x v="1"/>
    <m/>
    <x v="25"/>
    <n v="9.75"/>
    <n v="0.75"/>
    <n v="1.5"/>
    <n v="7.5"/>
  </r>
  <r>
    <x v="9"/>
    <x v="1"/>
    <m/>
    <x v="16"/>
    <n v="112.5"/>
    <n v="10.75"/>
    <n v="23.75"/>
    <n v="78"/>
  </r>
  <r>
    <x v="9"/>
    <x v="1"/>
    <m/>
    <x v="17"/>
    <n v="118.25"/>
    <n v="11"/>
    <n v="24.5"/>
    <n v="82.75"/>
  </r>
  <r>
    <x v="9"/>
    <x v="1"/>
    <m/>
    <x v="18"/>
    <n v="36.75"/>
    <n v="4.75"/>
    <n v="5"/>
    <n v="27"/>
  </r>
  <r>
    <x v="9"/>
    <x v="1"/>
    <m/>
    <x v="19"/>
    <n v="56.5"/>
    <n v="7"/>
    <n v="10.5"/>
    <n v="39"/>
  </r>
  <r>
    <x v="9"/>
    <x v="1"/>
    <m/>
    <x v="20"/>
    <n v="58.25"/>
    <n v="7"/>
    <n v="13"/>
    <n v="38.25"/>
  </r>
  <r>
    <x v="9"/>
    <x v="1"/>
    <m/>
    <x v="26"/>
    <n v="17"/>
    <n v="1.5"/>
    <n v="1.5"/>
    <n v="14"/>
  </r>
  <r>
    <x v="9"/>
    <x v="1"/>
    <m/>
    <x v="27"/>
    <n v="44"/>
    <n v="4.5"/>
    <n v="8.5"/>
    <n v="31"/>
  </r>
  <r>
    <x v="10"/>
    <x v="1"/>
    <m/>
    <x v="21"/>
    <n v="8.25"/>
    <n v="1"/>
    <n v="1.5"/>
    <n v="5.75"/>
  </r>
  <r>
    <x v="10"/>
    <x v="1"/>
    <m/>
    <x v="22"/>
    <n v="242.25"/>
    <n v="20.5"/>
    <n v="59.25"/>
    <n v="162.5"/>
  </r>
  <r>
    <x v="10"/>
    <x v="1"/>
    <m/>
    <x v="1"/>
    <n v="2333.12"/>
    <n v="231.8"/>
    <n v="453.13"/>
    <n v="1648.19"/>
  </r>
  <r>
    <x v="10"/>
    <x v="1"/>
    <m/>
    <x v="28"/>
    <n v="78.25"/>
    <n v="6.75"/>
    <n v="14"/>
    <n v="57.5"/>
  </r>
  <r>
    <x v="10"/>
    <x v="1"/>
    <m/>
    <x v="23"/>
    <n v="153.25"/>
    <n v="13"/>
    <n v="22.5"/>
    <n v="117.75"/>
  </r>
  <r>
    <x v="10"/>
    <x v="1"/>
    <m/>
    <x v="24"/>
    <n v="5"/>
    <n v="0.5"/>
    <n v="0.5"/>
    <n v="4"/>
  </r>
  <r>
    <x v="10"/>
    <x v="1"/>
    <m/>
    <x v="2"/>
    <n v="18.75"/>
    <n v="1.5"/>
    <n v="3.75"/>
    <n v="13.5"/>
  </r>
  <r>
    <x v="10"/>
    <x v="1"/>
    <m/>
    <x v="3"/>
    <n v="162"/>
    <n v="14.5"/>
    <n v="28.5"/>
    <n v="119"/>
  </r>
  <r>
    <x v="10"/>
    <x v="1"/>
    <m/>
    <x v="29"/>
    <n v="10.25"/>
    <n v="1"/>
    <n v="1.5"/>
    <n v="7.75"/>
  </r>
  <r>
    <x v="10"/>
    <x v="1"/>
    <m/>
    <x v="4"/>
    <n v="56.75"/>
    <n v="6"/>
    <n v="8"/>
    <n v="42.75"/>
  </r>
  <r>
    <x v="10"/>
    <x v="1"/>
    <m/>
    <x v="5"/>
    <n v="41"/>
    <n v="4"/>
    <n v="9.25"/>
    <n v="27.75"/>
  </r>
  <r>
    <x v="10"/>
    <x v="1"/>
    <m/>
    <x v="8"/>
    <n v="39.25"/>
    <n v="3.75"/>
    <n v="7.25"/>
    <n v="28.25"/>
  </r>
  <r>
    <x v="10"/>
    <x v="1"/>
    <m/>
    <x v="33"/>
    <n v="88.62"/>
    <n v="8.5499999999999989"/>
    <n v="17.63"/>
    <n v="62.44"/>
  </r>
  <r>
    <x v="10"/>
    <x v="1"/>
    <m/>
    <x v="9"/>
    <n v="409"/>
    <n v="44.5"/>
    <n v="84.25"/>
    <n v="280.25"/>
  </r>
  <r>
    <x v="10"/>
    <x v="1"/>
    <m/>
    <x v="10"/>
    <n v="29.25"/>
    <n v="2.5"/>
    <n v="5.5"/>
    <n v="21.25"/>
  </r>
  <r>
    <x v="10"/>
    <x v="1"/>
    <m/>
    <x v="11"/>
    <n v="8.5"/>
    <n v="1"/>
    <n v="1.5"/>
    <n v="6"/>
  </r>
  <r>
    <x v="10"/>
    <x v="1"/>
    <m/>
    <x v="12"/>
    <n v="97.25"/>
    <n v="9.75"/>
    <n v="25.5"/>
    <n v="62"/>
  </r>
  <r>
    <x v="10"/>
    <x v="1"/>
    <m/>
    <x v="7"/>
    <n v="122"/>
    <n v="13.25"/>
    <n v="24.75"/>
    <n v="84"/>
  </r>
  <r>
    <x v="10"/>
    <x v="1"/>
    <m/>
    <x v="13"/>
    <n v="80.75"/>
    <n v="8.5"/>
    <n v="10.75"/>
    <n v="61.5"/>
  </r>
  <r>
    <x v="10"/>
    <x v="1"/>
    <m/>
    <x v="30"/>
    <n v="21.5"/>
    <n v="2.25"/>
    <n v="4.75"/>
    <n v="14.5"/>
  </r>
  <r>
    <x v="10"/>
    <x v="1"/>
    <m/>
    <x v="14"/>
    <n v="110.75"/>
    <n v="11.25"/>
    <n v="20"/>
    <n v="79.5"/>
  </r>
  <r>
    <x v="10"/>
    <x v="1"/>
    <m/>
    <x v="15"/>
    <n v="103.5"/>
    <n v="8.25"/>
    <n v="19.5"/>
    <n v="75.75"/>
  </r>
  <r>
    <x v="10"/>
    <x v="1"/>
    <m/>
    <x v="25"/>
    <n v="10.75"/>
    <n v="0.75"/>
    <n v="1.5"/>
    <n v="8.5"/>
  </r>
  <r>
    <x v="10"/>
    <x v="1"/>
    <m/>
    <x v="16"/>
    <n v="124.5"/>
    <n v="11"/>
    <n v="23.75"/>
    <n v="89.75"/>
  </r>
  <r>
    <x v="10"/>
    <x v="1"/>
    <m/>
    <x v="17"/>
    <n v="109.75"/>
    <n v="13"/>
    <n v="23"/>
    <n v="73.75"/>
  </r>
  <r>
    <x v="10"/>
    <x v="1"/>
    <m/>
    <x v="18"/>
    <n v="36"/>
    <n v="4.25"/>
    <n v="5.25"/>
    <n v="26.5"/>
  </r>
  <r>
    <x v="10"/>
    <x v="1"/>
    <m/>
    <x v="19"/>
    <n v="53.25"/>
    <n v="7.5"/>
    <n v="10.25"/>
    <n v="35.5"/>
  </r>
  <r>
    <x v="10"/>
    <x v="1"/>
    <m/>
    <x v="20"/>
    <n v="56.5"/>
    <n v="6"/>
    <n v="11"/>
    <n v="39.5"/>
  </r>
  <r>
    <x v="10"/>
    <x v="1"/>
    <m/>
    <x v="26"/>
    <n v="15"/>
    <n v="1.5"/>
    <n v="1.5"/>
    <n v="12"/>
  </r>
  <r>
    <x v="10"/>
    <x v="1"/>
    <m/>
    <x v="27"/>
    <n v="41.25"/>
    <n v="5.5"/>
    <n v="6.75"/>
    <n v="29"/>
  </r>
  <r>
    <x v="11"/>
    <x v="1"/>
    <m/>
    <x v="21"/>
    <n v="8"/>
    <n v="1"/>
    <n v="3"/>
    <n v="4"/>
  </r>
  <r>
    <x v="11"/>
    <x v="1"/>
    <m/>
    <x v="22"/>
    <n v="230.75"/>
    <n v="19.25"/>
    <n v="57.5"/>
    <n v="154"/>
  </r>
  <r>
    <x v="11"/>
    <x v="1"/>
    <m/>
    <x v="1"/>
    <n v="2289.7700000000004"/>
    <n v="222.3"/>
    <n v="452.13"/>
    <n v="1615.3400000000001"/>
  </r>
  <r>
    <x v="11"/>
    <x v="1"/>
    <m/>
    <x v="28"/>
    <n v="81.25"/>
    <n v="5.75"/>
    <n v="14.75"/>
    <n v="60.75"/>
  </r>
  <r>
    <x v="11"/>
    <x v="1"/>
    <m/>
    <x v="23"/>
    <n v="157.5"/>
    <n v="13.75"/>
    <n v="21"/>
    <n v="122.75"/>
  </r>
  <r>
    <x v="11"/>
    <x v="1"/>
    <m/>
    <x v="24"/>
    <n v="5.25"/>
    <n v="0.5"/>
    <n v="1"/>
    <n v="3.75"/>
  </r>
  <r>
    <x v="11"/>
    <x v="1"/>
    <m/>
    <x v="2"/>
    <n v="17.25"/>
    <n v="1.5"/>
    <n v="3"/>
    <n v="12.75"/>
  </r>
  <r>
    <x v="11"/>
    <x v="1"/>
    <m/>
    <x v="3"/>
    <n v="149.25"/>
    <n v="13.75"/>
    <n v="27.75"/>
    <n v="107.75"/>
  </r>
  <r>
    <x v="11"/>
    <x v="1"/>
    <m/>
    <x v="29"/>
    <n v="11.75"/>
    <n v="1"/>
    <n v="1.5"/>
    <n v="9.25"/>
  </r>
  <r>
    <x v="11"/>
    <x v="1"/>
    <m/>
    <x v="4"/>
    <n v="55.5"/>
    <n v="5"/>
    <n v="9.5"/>
    <n v="41"/>
  </r>
  <r>
    <x v="11"/>
    <x v="1"/>
    <m/>
    <x v="5"/>
    <n v="44"/>
    <n v="4"/>
    <n v="9.75"/>
    <n v="30.25"/>
  </r>
  <r>
    <x v="11"/>
    <x v="1"/>
    <m/>
    <x v="8"/>
    <n v="46"/>
    <n v="3.75"/>
    <n v="7.25"/>
    <n v="35"/>
  </r>
  <r>
    <x v="11"/>
    <x v="1"/>
    <m/>
    <x v="33"/>
    <n v="86.27000000000001"/>
    <n v="7.55"/>
    <n v="17.63"/>
    <n v="61.09"/>
  </r>
  <r>
    <x v="11"/>
    <x v="1"/>
    <m/>
    <x v="9"/>
    <n v="404"/>
    <n v="40.25"/>
    <n v="82.75"/>
    <n v="281"/>
  </r>
  <r>
    <x v="11"/>
    <x v="1"/>
    <m/>
    <x v="10"/>
    <n v="28.25"/>
    <n v="2.5"/>
    <n v="5.5"/>
    <n v="20.25"/>
  </r>
  <r>
    <x v="11"/>
    <x v="1"/>
    <m/>
    <x v="11"/>
    <n v="9.5"/>
    <n v="1"/>
    <n v="1.5"/>
    <n v="7"/>
  </r>
  <r>
    <x v="11"/>
    <x v="1"/>
    <m/>
    <x v="12"/>
    <n v="103"/>
    <n v="10.75"/>
    <n v="25.75"/>
    <n v="66.5"/>
  </r>
  <r>
    <x v="11"/>
    <x v="1"/>
    <m/>
    <x v="7"/>
    <n v="118.5"/>
    <n v="13.75"/>
    <n v="26.5"/>
    <n v="78.25"/>
  </r>
  <r>
    <x v="11"/>
    <x v="1"/>
    <m/>
    <x v="13"/>
    <n v="79.75"/>
    <n v="7.75"/>
    <n v="10"/>
    <n v="62"/>
  </r>
  <r>
    <x v="11"/>
    <x v="1"/>
    <m/>
    <x v="30"/>
    <n v="19.5"/>
    <n v="2"/>
    <n v="3.75"/>
    <n v="13.75"/>
  </r>
  <r>
    <x v="11"/>
    <x v="1"/>
    <m/>
    <x v="14"/>
    <n v="107.25"/>
    <n v="11.5"/>
    <n v="22"/>
    <n v="73.75"/>
  </r>
  <r>
    <x v="11"/>
    <x v="1"/>
    <m/>
    <x v="15"/>
    <n v="101"/>
    <n v="10"/>
    <n v="18.25"/>
    <n v="72.75"/>
  </r>
  <r>
    <x v="11"/>
    <x v="1"/>
    <m/>
    <x v="25"/>
    <n v="8.25"/>
    <n v="0.75"/>
    <n v="1.5"/>
    <n v="6"/>
  </r>
  <r>
    <x v="11"/>
    <x v="1"/>
    <m/>
    <x v="16"/>
    <n v="111.5"/>
    <n v="10.75"/>
    <n v="22.75"/>
    <n v="78"/>
  </r>
  <r>
    <x v="11"/>
    <x v="1"/>
    <m/>
    <x v="17"/>
    <n v="102.25"/>
    <n v="13"/>
    <n v="21.25"/>
    <n v="68"/>
  </r>
  <r>
    <x v="11"/>
    <x v="1"/>
    <m/>
    <x v="18"/>
    <n v="35"/>
    <n v="3.25"/>
    <n v="6.25"/>
    <n v="25.5"/>
  </r>
  <r>
    <x v="11"/>
    <x v="1"/>
    <m/>
    <x v="19"/>
    <n v="54"/>
    <n v="6.25"/>
    <n v="9.5"/>
    <n v="38.25"/>
  </r>
  <r>
    <x v="11"/>
    <x v="1"/>
    <m/>
    <x v="20"/>
    <n v="56.25"/>
    <n v="6"/>
    <n v="12"/>
    <n v="38.25"/>
  </r>
  <r>
    <x v="11"/>
    <x v="1"/>
    <m/>
    <x v="26"/>
    <n v="16.75"/>
    <n v="1.5"/>
    <n v="1.5"/>
    <n v="13.75"/>
  </r>
  <r>
    <x v="11"/>
    <x v="1"/>
    <m/>
    <x v="27"/>
    <n v="42.25"/>
    <n v="4.5"/>
    <n v="7.75"/>
    <n v="30"/>
  </r>
  <r>
    <x v="12"/>
    <x v="1"/>
    <m/>
    <x v="21"/>
    <n v="6.33"/>
    <n v="0.83"/>
    <n v="2.0100000000000002"/>
    <n v="3.4899999999999998"/>
  </r>
  <r>
    <x v="12"/>
    <x v="1"/>
    <m/>
    <x v="22"/>
    <n v="232"/>
    <n v="19.200000000000003"/>
    <n v="52.540000000000013"/>
    <n v="160.26"/>
  </r>
  <r>
    <x v="12"/>
    <x v="1"/>
    <m/>
    <x v="1"/>
    <n v="2293.920000000001"/>
    <n v="211.69999999999973"/>
    <n v="431.42000000000087"/>
    <n v="1650.8000000000006"/>
  </r>
  <r>
    <x v="12"/>
    <x v="1"/>
    <m/>
    <x v="28"/>
    <n v="78.019999999999982"/>
    <n v="4.68"/>
    <n v="14.04"/>
    <n v="59.299999999999983"/>
  </r>
  <r>
    <x v="12"/>
    <x v="1"/>
    <m/>
    <x v="23"/>
    <n v="165.28"/>
    <n v="13.33"/>
    <n v="22.67"/>
    <n v="129.28"/>
  </r>
  <r>
    <x v="12"/>
    <x v="1"/>
    <m/>
    <x v="24"/>
    <n v="5.6800000000000006"/>
    <n v="0.67"/>
    <n v="1.34"/>
    <n v="3.6700000000000004"/>
  </r>
  <r>
    <x v="12"/>
    <x v="1"/>
    <m/>
    <x v="2"/>
    <n v="16.53"/>
    <n v="1.34"/>
    <n v="2.0100000000000002"/>
    <n v="13.18"/>
  </r>
  <r>
    <x v="12"/>
    <x v="1"/>
    <m/>
    <x v="3"/>
    <n v="151.26000000000005"/>
    <n v="15.17"/>
    <n v="25.35"/>
    <n v="110.74000000000005"/>
  </r>
  <r>
    <x v="12"/>
    <x v="1"/>
    <m/>
    <x v="29"/>
    <n v="12.35"/>
    <n v="1"/>
    <n v="1.67"/>
    <n v="9.68"/>
  </r>
  <r>
    <x v="12"/>
    <x v="1"/>
    <m/>
    <x v="4"/>
    <n v="54.439999999999976"/>
    <n v="3.8400000000000003"/>
    <n v="7.67"/>
    <n v="42.929999999999978"/>
  </r>
  <r>
    <x v="12"/>
    <x v="1"/>
    <m/>
    <x v="5"/>
    <n v="43.929999999999978"/>
    <n v="4"/>
    <n v="9.16"/>
    <n v="30.769999999999978"/>
  </r>
  <r>
    <x v="12"/>
    <x v="1"/>
    <m/>
    <x v="8"/>
    <n v="43.169999999999995"/>
    <n v="3.51"/>
    <n v="7.17"/>
    <n v="32.489999999999995"/>
  </r>
  <r>
    <x v="12"/>
    <x v="1"/>
    <m/>
    <x v="33"/>
    <n v="82.99"/>
    <n v="7.33"/>
    <n v="15.69"/>
    <n v="59.97"/>
  </r>
  <r>
    <x v="12"/>
    <x v="1"/>
    <m/>
    <x v="9"/>
    <n v="395.87000000000057"/>
    <n v="41.839999999999996"/>
    <n v="85.289999999999978"/>
    <n v="268.74000000000063"/>
  </r>
  <r>
    <x v="12"/>
    <x v="1"/>
    <m/>
    <x v="10"/>
    <n v="29.669999999999995"/>
    <n v="2.33"/>
    <n v="5.18"/>
    <n v="22.159999999999997"/>
  </r>
  <r>
    <x v="12"/>
    <x v="1"/>
    <m/>
    <x v="11"/>
    <n v="10.159999999999998"/>
    <n v="0.67"/>
    <n v="1.34"/>
    <n v="8.1499999999999986"/>
  </r>
  <r>
    <x v="12"/>
    <x v="1"/>
    <m/>
    <x v="12"/>
    <n v="93.95999999999998"/>
    <n v="8.68"/>
    <n v="23.32"/>
    <n v="61.95999999999998"/>
  </r>
  <r>
    <x v="12"/>
    <x v="1"/>
    <m/>
    <x v="7"/>
    <n v="120.15999999999991"/>
    <n v="12.67"/>
    <n v="25.659999999999993"/>
    <n v="81.829999999999927"/>
  </r>
  <r>
    <x v="12"/>
    <x v="1"/>
    <m/>
    <x v="13"/>
    <n v="82.629999999999981"/>
    <n v="7.85"/>
    <n v="9.35"/>
    <n v="65.429999999999978"/>
  </r>
  <r>
    <x v="12"/>
    <x v="1"/>
    <m/>
    <x v="30"/>
    <n v="18.86"/>
    <n v="2.0100000000000002"/>
    <n v="4.18"/>
    <n v="12.67"/>
  </r>
  <r>
    <x v="12"/>
    <x v="1"/>
    <m/>
    <x v="14"/>
    <n v="99.649999999999991"/>
    <n v="11.34"/>
    <n v="20.5"/>
    <n v="67.809999999999988"/>
  </r>
  <r>
    <x v="12"/>
    <x v="1"/>
    <m/>
    <x v="15"/>
    <n v="96.489999999999966"/>
    <n v="6.02"/>
    <n v="16.04"/>
    <n v="74.429999999999964"/>
  </r>
  <r>
    <x v="12"/>
    <x v="1"/>
    <m/>
    <x v="25"/>
    <n v="10.34"/>
    <n v="0.83"/>
    <n v="1.34"/>
    <n v="8.17"/>
  </r>
  <r>
    <x v="12"/>
    <x v="1"/>
    <m/>
    <x v="16"/>
    <n v="118.90999999999994"/>
    <n v="10.51"/>
    <n v="22.169999999999995"/>
    <n v="86.229999999999947"/>
  </r>
  <r>
    <x v="12"/>
    <x v="1"/>
    <m/>
    <x v="17"/>
    <n v="111.72999999999995"/>
    <n v="12.34"/>
    <n v="22.979999999999997"/>
    <n v="76.409999999999954"/>
  </r>
  <r>
    <x v="12"/>
    <x v="1"/>
    <m/>
    <x v="18"/>
    <n v="33.61999999999999"/>
    <n v="3.17"/>
    <n v="5.84"/>
    <n v="24.609999999999989"/>
  </r>
  <r>
    <x v="12"/>
    <x v="1"/>
    <m/>
    <x v="19"/>
    <n v="56.819999999999979"/>
    <n v="5.5200000000000005"/>
    <n v="8.68"/>
    <n v="42.619999999999983"/>
  </r>
  <r>
    <x v="12"/>
    <x v="1"/>
    <m/>
    <x v="20"/>
    <n v="58.070000000000014"/>
    <n v="5.01"/>
    <n v="10.7"/>
    <n v="42.360000000000014"/>
  </r>
  <r>
    <x v="12"/>
    <x v="1"/>
    <m/>
    <x v="26"/>
    <n v="18.66"/>
    <n v="1.5"/>
    <n v="1.34"/>
    <n v="15.82"/>
  </r>
  <r>
    <x v="12"/>
    <x v="1"/>
    <m/>
    <x v="27"/>
    <n v="46.339999999999989"/>
    <n v="4.51"/>
    <n v="6.1899999999999995"/>
    <n v="35.639999999999986"/>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s v="S92000003"/>
    <x v="0"/>
    <s v="Scotland"/>
    <m/>
    <n v="69.7"/>
    <n v="19.8"/>
    <n v="42.3"/>
    <n v="256.40000000000003"/>
    <n v="199.5"/>
    <n v="223.6"/>
    <n v="811.3"/>
  </r>
  <r>
    <x v="1"/>
    <s v="S92000003"/>
    <x v="0"/>
    <s v="Scotland"/>
    <n v="2"/>
    <n v="43.99"/>
    <n v="35.9"/>
    <n v="55.47"/>
    <n v="327.22999999999996"/>
    <n v="126.98"/>
    <n v="152.39000000000001"/>
    <n v="743.95999999999992"/>
  </r>
  <r>
    <x v="2"/>
    <s v="S92000003"/>
    <x v="0"/>
    <s v="Scotland"/>
    <n v="3"/>
    <n v="40"/>
    <n v="33.309428571428569"/>
    <n v="70.714285714285722"/>
    <n v="303.60857142857139"/>
    <n v="122.20028571428574"/>
    <n v="146"/>
    <n v="718.56228571428574"/>
  </r>
  <r>
    <x v="3"/>
    <s v="S92000003"/>
    <x v="0"/>
    <s v="Scotland"/>
    <n v="3"/>
    <n v="42"/>
    <n v="33"/>
    <n v="74"/>
    <n v="334"/>
    <n v="115"/>
    <n v="140"/>
    <n v="745"/>
  </r>
  <r>
    <x v="4"/>
    <s v="S92000003"/>
    <x v="0"/>
    <s v="Scotland"/>
    <n v="2"/>
    <n v="50"/>
    <n v="31"/>
    <n v="76"/>
    <n v="355"/>
    <n v="110"/>
    <n v="135"/>
    <n v="759"/>
  </r>
  <r>
    <x v="5"/>
    <s v="S92000003"/>
    <x v="0"/>
    <s v="Scotland"/>
    <n v="3"/>
    <n v="49"/>
    <n v="34"/>
    <n v="80.399999999999991"/>
    <n v="375.56000000000012"/>
    <n v="58.610000000000042"/>
    <n v="144.99"/>
    <n v="745.56000000000006"/>
  </r>
  <r>
    <x v="6"/>
    <s v="S92000003"/>
    <x v="0"/>
    <s v="Scotland"/>
    <n v="3"/>
    <n v="47"/>
    <n v="32"/>
    <n v="88.61"/>
    <n v="382.50000000000017"/>
    <n v="56.950000000000038"/>
    <n v="154.34"/>
    <n v="764.4000000000002"/>
  </r>
  <r>
    <x v="7"/>
    <s v="S92000003"/>
    <x v="0"/>
    <s v="Scotland"/>
    <n v="3"/>
    <n v="49.8"/>
    <n v="30"/>
    <n v="88.429999999999993"/>
    <n v="398.88000000000017"/>
    <n v="55.73000000000004"/>
    <n v="160.44999999999996"/>
    <n v="786.29000000000008"/>
  </r>
  <r>
    <x v="8"/>
    <s v="S92000003"/>
    <x v="0"/>
    <s v="Scotland"/>
    <n v="4"/>
    <n v="57"/>
    <n v="32"/>
    <n v="100.35"/>
    <n v="449.55000000000018"/>
    <n v="55.650000000000041"/>
    <n v="163.91000000000003"/>
    <n v="862.46000000000026"/>
  </r>
  <r>
    <x v="9"/>
    <s v="S92000003"/>
    <x v="0"/>
    <s v="Scotland"/>
    <n v="4"/>
    <n v="80.139999999999986"/>
    <n v="36"/>
    <n v="94.669999999999973"/>
    <n v="441.38000000000017"/>
    <n v="53.880000000000038"/>
    <n v="140.27999999999997"/>
    <n v="850.35"/>
  </r>
  <r>
    <x v="10"/>
    <s v="S92000003"/>
    <x v="0"/>
    <s v="Scotland"/>
    <n v="3"/>
    <n v="85.679999999999993"/>
    <n v="35"/>
    <n v="88.1"/>
    <n v="438.38000000000022"/>
    <n v="55.880000000000038"/>
    <n v="123.36"/>
    <n v="829.4000000000002"/>
  </r>
  <r>
    <x v="11"/>
    <s v="S92000003"/>
    <x v="0"/>
    <s v="Scotland"/>
    <n v="4"/>
    <n v="94.089999999999989"/>
    <n v="35"/>
    <n v="89.24"/>
    <n v="447.61000000000024"/>
    <n v="54.53000000000003"/>
    <n v="129.12"/>
    <n v="853.59000000000026"/>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x v="0"/>
    <n v="285"/>
    <m/>
    <m/>
    <m/>
    <m/>
    <m/>
  </r>
  <r>
    <x v="1"/>
    <x v="1"/>
    <n v="2868"/>
    <n v="2863"/>
    <m/>
    <m/>
    <m/>
    <n v="336"/>
  </r>
  <r>
    <x v="2"/>
    <x v="2"/>
    <n v="149"/>
    <n v="0"/>
    <n v="0"/>
    <n v="207"/>
    <n v="792"/>
    <n v="0"/>
  </r>
  <r>
    <x v="3"/>
    <x v="1"/>
    <n v="2903"/>
    <n v="2872"/>
    <n v="0"/>
    <n v="0"/>
    <n v="0"/>
    <n v="303"/>
  </r>
  <r>
    <x v="4"/>
    <x v="2"/>
    <n v="69"/>
    <n v="0"/>
    <n v="0"/>
    <n v="172"/>
    <n v="901"/>
    <n v="0"/>
  </r>
  <r>
    <x v="5"/>
    <x v="3"/>
    <n v="269"/>
    <n v="0"/>
    <n v="0"/>
    <n v="0"/>
    <n v="0"/>
    <n v="0"/>
  </r>
  <r>
    <x v="6"/>
    <x v="0"/>
    <n v="385"/>
    <m/>
    <m/>
    <m/>
    <m/>
    <m/>
  </r>
  <r>
    <x v="6"/>
    <x v="2"/>
    <n v="195"/>
    <m/>
    <m/>
    <n v="203"/>
    <n v="297"/>
    <m/>
  </r>
  <r>
    <x v="7"/>
    <x v="1"/>
    <n v="2923"/>
    <n v="2870"/>
    <m/>
    <m/>
    <m/>
    <n v="320"/>
  </r>
  <r>
    <x v="1"/>
    <x v="3"/>
    <n v="156"/>
    <m/>
    <m/>
    <m/>
    <n v="569"/>
    <m/>
  </r>
  <r>
    <x v="1"/>
    <x v="2"/>
    <n v="143"/>
    <m/>
    <m/>
    <n v="189"/>
    <n v="277"/>
    <m/>
  </r>
  <r>
    <x v="3"/>
    <x v="0"/>
    <n v="376"/>
    <n v="0"/>
    <n v="54"/>
    <n v="0"/>
    <n v="0"/>
    <n v="0"/>
  </r>
  <r>
    <x v="8"/>
    <x v="0"/>
    <n v="378"/>
    <n v="0"/>
    <n v="53"/>
    <n v="0"/>
    <n v="0"/>
    <n v="0"/>
  </r>
  <r>
    <x v="4"/>
    <x v="3"/>
    <n v="256"/>
    <n v="0"/>
    <n v="0"/>
    <n v="0"/>
    <n v="0"/>
    <n v="0"/>
  </r>
  <r>
    <x v="9"/>
    <x v="0"/>
    <n v="270"/>
    <m/>
    <m/>
    <m/>
    <m/>
    <m/>
  </r>
  <r>
    <x v="6"/>
    <x v="1"/>
    <n v="3025"/>
    <n v="2870"/>
    <m/>
    <m/>
    <m/>
    <n v="342"/>
  </r>
  <r>
    <x v="6"/>
    <x v="3"/>
    <n v="85"/>
    <m/>
    <m/>
    <m/>
    <n v="531"/>
    <m/>
  </r>
  <r>
    <x v="7"/>
    <x v="0"/>
    <n v="389"/>
    <m/>
    <m/>
    <m/>
    <m/>
    <m/>
  </r>
  <r>
    <x v="7"/>
    <x v="3"/>
    <n v="151"/>
    <m/>
    <m/>
    <m/>
    <n v="571"/>
    <m/>
  </r>
  <r>
    <x v="10"/>
    <x v="2"/>
    <n v="90"/>
    <n v="0"/>
    <n v="0"/>
    <n v="188"/>
    <n v="817"/>
    <n v="0"/>
  </r>
  <r>
    <x v="8"/>
    <x v="1"/>
    <n v="2843"/>
    <n v="2758"/>
    <n v="0"/>
    <n v="0"/>
    <n v="0"/>
    <n v="277"/>
  </r>
  <r>
    <x v="8"/>
    <x v="3"/>
    <n v="221"/>
    <n v="0"/>
    <n v="0"/>
    <n v="0"/>
    <n v="0"/>
    <n v="0"/>
  </r>
  <r>
    <x v="0"/>
    <x v="2"/>
    <n v="56"/>
    <m/>
    <m/>
    <n v="223"/>
    <n v="237"/>
    <m/>
  </r>
  <r>
    <x v="2"/>
    <x v="0"/>
    <n v="387"/>
    <n v="0"/>
    <n v="18"/>
    <n v="0"/>
    <n v="0"/>
    <n v="0"/>
  </r>
  <r>
    <x v="2"/>
    <x v="3"/>
    <n v="146"/>
    <n v="0"/>
    <n v="0"/>
    <n v="0"/>
    <n v="0"/>
    <n v="0"/>
  </r>
  <r>
    <x v="8"/>
    <x v="2"/>
    <n v="88"/>
    <n v="0"/>
    <n v="0"/>
    <n v="174"/>
    <n v="920"/>
    <n v="0"/>
  </r>
  <r>
    <x v="0"/>
    <x v="3"/>
    <n v="268"/>
    <m/>
    <m/>
    <m/>
    <n v="724"/>
    <m/>
  </r>
  <r>
    <x v="9"/>
    <x v="1"/>
    <n v="3285"/>
    <n v="2950"/>
    <m/>
    <m/>
    <m/>
    <n v="378"/>
  </r>
  <r>
    <x v="2"/>
    <x v="1"/>
    <n v="2955"/>
    <n v="2935"/>
    <n v="0"/>
    <n v="0"/>
    <n v="0"/>
    <n v="321"/>
  </r>
  <r>
    <x v="10"/>
    <x v="1"/>
    <n v="2966"/>
    <n v="2937"/>
    <n v="0"/>
    <n v="0"/>
    <n v="0"/>
    <n v="315"/>
  </r>
  <r>
    <x v="10"/>
    <x v="0"/>
    <n v="383"/>
    <n v="0"/>
    <n v="36"/>
    <n v="0"/>
    <n v="0"/>
    <n v="0"/>
  </r>
  <r>
    <x v="4"/>
    <x v="0"/>
    <n v="328"/>
    <n v="0"/>
    <n v="55"/>
    <n v="0"/>
    <n v="0"/>
    <n v="0"/>
  </r>
  <r>
    <x v="11"/>
    <x v="1"/>
    <n v="2870"/>
    <n v="2708"/>
    <n v="0"/>
    <n v="0"/>
    <n v="0"/>
    <n v="269"/>
  </r>
  <r>
    <x v="5"/>
    <x v="0"/>
    <n v="279"/>
    <n v="0"/>
    <n v="60"/>
    <n v="0"/>
    <n v="0"/>
    <n v="0"/>
  </r>
  <r>
    <x v="9"/>
    <x v="2"/>
    <n v="50"/>
    <m/>
    <m/>
    <n v="230"/>
    <n v="238"/>
    <m/>
  </r>
  <r>
    <x v="7"/>
    <x v="2"/>
    <n v="182"/>
    <m/>
    <m/>
    <n v="165"/>
    <n v="267"/>
    <m/>
  </r>
  <r>
    <x v="1"/>
    <x v="0"/>
    <n v="379"/>
    <m/>
    <m/>
    <m/>
    <m/>
    <m/>
  </r>
  <r>
    <x v="11"/>
    <x v="0"/>
    <n v="327"/>
    <n v="0"/>
    <n v="55"/>
    <n v="0"/>
    <n v="0"/>
    <n v="0"/>
  </r>
  <r>
    <x v="11"/>
    <x v="2"/>
    <n v="84"/>
    <n v="0"/>
    <n v="0"/>
    <n v="171"/>
    <n v="887"/>
    <n v="0"/>
  </r>
  <r>
    <x v="5"/>
    <x v="1"/>
    <n v="2792"/>
    <n v="2705"/>
    <n v="0"/>
    <n v="0"/>
    <n v="0"/>
    <n v="273"/>
  </r>
  <r>
    <x v="0"/>
    <x v="1"/>
    <n v="3392"/>
    <n v="2940"/>
    <m/>
    <m/>
    <m/>
    <n v="359"/>
  </r>
  <r>
    <x v="9"/>
    <x v="3"/>
    <n v="251"/>
    <m/>
    <m/>
    <m/>
    <n v="629"/>
    <m/>
  </r>
  <r>
    <x v="10"/>
    <x v="3"/>
    <n v="197"/>
    <n v="0"/>
    <n v="0"/>
    <n v="0"/>
    <n v="0"/>
    <n v="0"/>
  </r>
  <r>
    <x v="3"/>
    <x v="3"/>
    <n v="212"/>
    <n v="0"/>
    <n v="0"/>
    <n v="0"/>
    <n v="0"/>
    <n v="0"/>
  </r>
  <r>
    <x v="3"/>
    <x v="2"/>
    <n v="90"/>
    <n v="0"/>
    <n v="0"/>
    <n v="182"/>
    <n v="835"/>
    <n v="0"/>
  </r>
  <r>
    <x v="4"/>
    <x v="1"/>
    <n v="2837"/>
    <n v="2735"/>
    <n v="0"/>
    <n v="0"/>
    <n v="0"/>
    <n v="266"/>
  </r>
  <r>
    <x v="11"/>
    <x v="3"/>
    <n v="141"/>
    <n v="0"/>
    <n v="0"/>
    <n v="0"/>
    <n v="0"/>
    <n v="0"/>
  </r>
  <r>
    <x v="5"/>
    <x v="2"/>
    <n v="90"/>
    <n v="0"/>
    <n v="0"/>
    <n v="171"/>
    <n v="917"/>
    <n v="0"/>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s v="Scotland"/>
    <x v="0"/>
    <n v="2042809"/>
  </r>
  <r>
    <s v="Scotland"/>
    <x v="1"/>
    <n v="2194564"/>
  </r>
  <r>
    <s v="Scotland"/>
    <x v="2"/>
    <n v="2211430"/>
  </r>
  <r>
    <s v="Scotland"/>
    <x v="3"/>
    <n v="2230797"/>
  </r>
  <r>
    <s v="Scotland"/>
    <x v="4"/>
    <n v="2251262"/>
  </r>
  <r>
    <s v="Scotland"/>
    <x v="5"/>
    <n v="2274283"/>
  </r>
  <r>
    <s v="Scotland"/>
    <x v="6"/>
    <n v="2295185"/>
  </r>
  <r>
    <s v="Scotland"/>
    <x v="7"/>
    <n v="2318966"/>
  </r>
  <r>
    <s v="Scotland"/>
    <x v="8"/>
    <n v="2337967"/>
  </r>
  <r>
    <s v="Scotland"/>
    <x v="9"/>
    <n v="2351780"/>
  </r>
  <r>
    <s v="Scotland"/>
    <x v="10"/>
    <n v="2364850"/>
  </r>
  <r>
    <s v="Scotland"/>
    <x v="11"/>
    <n v="2376424"/>
  </r>
  <r>
    <s v="Scotland"/>
    <x v="12"/>
    <n v="2386660"/>
  </r>
  <r>
    <s v="Scotland"/>
    <x v="13"/>
    <n v="2400342"/>
  </r>
  <r>
    <s v="Scotland"/>
    <x v="14"/>
    <n v="2416014"/>
  </r>
  <r>
    <s v="Scotland"/>
    <x v="15"/>
    <n v="2429943"/>
  </r>
  <r>
    <s v="Scotland"/>
    <x v="16"/>
    <n v="2446171"/>
  </r>
  <r>
    <s v="Scotland"/>
    <x v="17"/>
    <n v="2462736"/>
  </r>
  <r>
    <s v="Scotland"/>
    <x v="18"/>
    <n v="2477275"/>
  </r>
  <r>
    <s v="Scotland"/>
    <x v="19"/>
    <n v="2495623"/>
  </r>
  <r>
    <s v="Scotland"/>
    <x v="20"/>
    <n v="2507625"/>
  </r>
  <r>
    <s v="Scotland"/>
    <x v="21"/>
    <n v="2528823"/>
  </r>
  <r>
    <s v="Scotland"/>
    <x v="22"/>
    <n v="2549797"/>
  </r>
  <r>
    <s v="Scotland"/>
    <x v="23"/>
    <n v="2535310"/>
  </r>
  <r>
    <s v="Scotland"/>
    <x v="24"/>
    <n v="2552388.2351710973"/>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
  <r>
    <x v="0"/>
    <x v="0"/>
    <x v="0"/>
    <n v="5"/>
    <n v="4"/>
    <n v="1"/>
  </r>
  <r>
    <x v="1"/>
    <x v="1"/>
    <x v="1"/>
    <n v="335"/>
    <n v="99"/>
    <n v="236"/>
  </r>
  <r>
    <x v="1"/>
    <x v="2"/>
    <x v="2"/>
    <n v="44"/>
    <n v="4"/>
    <n v="40"/>
  </r>
  <r>
    <x v="2"/>
    <x v="1"/>
    <x v="1"/>
    <n v="316"/>
    <n v="101"/>
    <n v="215"/>
  </r>
  <r>
    <x v="2"/>
    <x v="1"/>
    <x v="3"/>
    <n v="167"/>
    <n v="94"/>
    <n v="73"/>
  </r>
  <r>
    <x v="2"/>
    <x v="3"/>
    <x v="4"/>
    <n v="35"/>
    <n v="0"/>
    <n v="35"/>
  </r>
  <r>
    <x v="3"/>
    <x v="1"/>
    <x v="5"/>
    <n v="170"/>
    <n v="159"/>
    <n v="11"/>
  </r>
  <r>
    <x v="3"/>
    <x v="1"/>
    <x v="1"/>
    <n v="346"/>
    <n v="113"/>
    <n v="233"/>
  </r>
  <r>
    <x v="4"/>
    <x v="4"/>
    <x v="2"/>
    <n v="525"/>
    <n v="19"/>
    <n v="506"/>
  </r>
  <r>
    <x v="4"/>
    <x v="3"/>
    <x v="6"/>
    <n v="1989"/>
    <n v="114"/>
    <n v="1875"/>
  </r>
  <r>
    <x v="5"/>
    <x v="0"/>
    <x v="6"/>
    <n v="104"/>
    <n v="86"/>
    <n v="18"/>
  </r>
  <r>
    <x v="5"/>
    <x v="5"/>
    <x v="7"/>
    <n v="36"/>
    <n v="7"/>
    <n v="29"/>
  </r>
  <r>
    <x v="5"/>
    <x v="1"/>
    <x v="8"/>
    <n v="3"/>
    <n v="2"/>
    <n v="1"/>
  </r>
  <r>
    <x v="6"/>
    <x v="4"/>
    <x v="2"/>
    <n v="522"/>
    <n v="16"/>
    <n v="506"/>
  </r>
  <r>
    <x v="6"/>
    <x v="2"/>
    <x v="2"/>
    <n v="43"/>
    <n v="3"/>
    <n v="40"/>
  </r>
  <r>
    <x v="6"/>
    <x v="3"/>
    <x v="4"/>
    <n v="35"/>
    <n v="0"/>
    <n v="35"/>
  </r>
  <r>
    <x v="6"/>
    <x v="3"/>
    <x v="9"/>
    <n v="5"/>
    <n v="0"/>
    <n v="5"/>
  </r>
  <r>
    <x v="7"/>
    <x v="3"/>
    <x v="0"/>
    <n v="76"/>
    <n v="2"/>
    <n v="74"/>
  </r>
  <r>
    <x v="8"/>
    <x v="0"/>
    <x v="10"/>
    <n v="10"/>
    <n v="9"/>
    <n v="1"/>
  </r>
  <r>
    <x v="8"/>
    <x v="4"/>
    <x v="6"/>
    <n v="1952"/>
    <n v="147"/>
    <n v="1805"/>
  </r>
  <r>
    <x v="8"/>
    <x v="4"/>
    <x v="7"/>
    <n v="262"/>
    <n v="16"/>
    <n v="246"/>
  </r>
  <r>
    <x v="8"/>
    <x v="5"/>
    <x v="2"/>
    <n v="1"/>
    <n v="0"/>
    <n v="1"/>
  </r>
  <r>
    <x v="8"/>
    <x v="2"/>
    <x v="2"/>
    <n v="40"/>
    <n v="3"/>
    <n v="37"/>
  </r>
  <r>
    <x v="8"/>
    <x v="3"/>
    <x v="2"/>
    <n v="655"/>
    <n v="39"/>
    <n v="616"/>
  </r>
  <r>
    <x v="8"/>
    <x v="3"/>
    <x v="0"/>
    <n v="78"/>
    <n v="2"/>
    <n v="76"/>
  </r>
  <r>
    <x v="8"/>
    <x v="3"/>
    <x v="10"/>
    <n v="148"/>
    <n v="9"/>
    <n v="139"/>
  </r>
  <r>
    <x v="9"/>
    <x v="0"/>
    <x v="6"/>
    <n v="91"/>
    <n v="73"/>
    <n v="18"/>
  </r>
  <r>
    <x v="9"/>
    <x v="4"/>
    <x v="7"/>
    <n v="251"/>
    <n v="12"/>
    <n v="239"/>
  </r>
  <r>
    <x v="9"/>
    <x v="1"/>
    <x v="1"/>
    <n v="470"/>
    <n v="218"/>
    <n v="252"/>
  </r>
  <r>
    <x v="9"/>
    <x v="1"/>
    <x v="3"/>
    <n v="60"/>
    <n v="19"/>
    <n v="41"/>
  </r>
  <r>
    <x v="9"/>
    <x v="2"/>
    <x v="6"/>
    <n v="193"/>
    <n v="31"/>
    <n v="162"/>
  </r>
  <r>
    <x v="9"/>
    <x v="2"/>
    <x v="7"/>
    <n v="35"/>
    <n v="5"/>
    <n v="30"/>
  </r>
  <r>
    <x v="9"/>
    <x v="3"/>
    <x v="9"/>
    <n v="5"/>
    <n v="0"/>
    <n v="5"/>
  </r>
  <r>
    <x v="10"/>
    <x v="4"/>
    <x v="2"/>
    <n v="514"/>
    <n v="30"/>
    <n v="484"/>
  </r>
  <r>
    <x v="10"/>
    <x v="3"/>
    <x v="9"/>
    <n v="5"/>
    <n v="0"/>
    <n v="5"/>
  </r>
  <r>
    <x v="0"/>
    <x v="1"/>
    <x v="5"/>
    <n v="278"/>
    <n v="248"/>
    <n v="30"/>
  </r>
  <r>
    <x v="0"/>
    <x v="2"/>
    <x v="6"/>
    <n v="277"/>
    <n v="44"/>
    <n v="233"/>
  </r>
  <r>
    <x v="0"/>
    <x v="3"/>
    <x v="4"/>
    <n v="28"/>
    <n v="0"/>
    <n v="28"/>
  </r>
  <r>
    <x v="1"/>
    <x v="3"/>
    <x v="2"/>
    <n v="634"/>
    <n v="24"/>
    <n v="610"/>
  </r>
  <r>
    <x v="2"/>
    <x v="1"/>
    <x v="5"/>
    <n v="194"/>
    <n v="176"/>
    <n v="18"/>
  </r>
  <r>
    <x v="2"/>
    <x v="1"/>
    <x v="8"/>
    <n v="3"/>
    <n v="2"/>
    <n v="1"/>
  </r>
  <r>
    <x v="2"/>
    <x v="1"/>
    <x v="11"/>
    <n v="34"/>
    <n v="18"/>
    <n v="16"/>
  </r>
  <r>
    <x v="3"/>
    <x v="0"/>
    <x v="7"/>
    <n v="41"/>
    <n v="35"/>
    <n v="6"/>
  </r>
  <r>
    <x v="3"/>
    <x v="1"/>
    <x v="3"/>
    <n v="165"/>
    <n v="98"/>
    <n v="67"/>
  </r>
  <r>
    <x v="3"/>
    <x v="2"/>
    <x v="2"/>
    <n v="46"/>
    <n v="4"/>
    <n v="38"/>
  </r>
  <r>
    <x v="3"/>
    <x v="2"/>
    <x v="6"/>
    <n v="260"/>
    <n v="40"/>
    <n v="198"/>
  </r>
  <r>
    <x v="4"/>
    <x v="0"/>
    <x v="2"/>
    <n v="27"/>
    <n v="23"/>
    <n v="4"/>
  </r>
  <r>
    <x v="4"/>
    <x v="1"/>
    <x v="8"/>
    <n v="2"/>
    <n v="1"/>
    <n v="1"/>
  </r>
  <r>
    <x v="4"/>
    <x v="1"/>
    <x v="12"/>
    <n v="50"/>
    <n v="17"/>
    <n v="33"/>
  </r>
  <r>
    <x v="4"/>
    <x v="2"/>
    <x v="2"/>
    <n v="39"/>
    <n v="3"/>
    <n v="36"/>
  </r>
  <r>
    <x v="11"/>
    <x v="4"/>
    <x v="7"/>
    <n v="261"/>
    <n v="13"/>
    <n v="248"/>
  </r>
  <r>
    <x v="11"/>
    <x v="1"/>
    <x v="8"/>
    <n v="3"/>
    <n v="2"/>
    <n v="1"/>
  </r>
  <r>
    <x v="11"/>
    <x v="3"/>
    <x v="7"/>
    <n v="611"/>
    <n v="33"/>
    <n v="578"/>
  </r>
  <r>
    <x v="5"/>
    <x v="0"/>
    <x v="4"/>
    <n v="1"/>
    <n v="1"/>
    <n v="0"/>
  </r>
  <r>
    <x v="5"/>
    <x v="2"/>
    <x v="6"/>
    <n v="237"/>
    <n v="48"/>
    <n v="189"/>
  </r>
  <r>
    <x v="6"/>
    <x v="0"/>
    <x v="10"/>
    <n v="10"/>
    <n v="9"/>
    <n v="1"/>
  </r>
  <r>
    <x v="6"/>
    <x v="0"/>
    <x v="7"/>
    <n v="41"/>
    <n v="35"/>
    <n v="6"/>
  </r>
  <r>
    <x v="6"/>
    <x v="1"/>
    <x v="3"/>
    <n v="61"/>
    <n v="23"/>
    <n v="38"/>
  </r>
  <r>
    <x v="7"/>
    <x v="0"/>
    <x v="7"/>
    <n v="42"/>
    <n v="37"/>
    <n v="5"/>
  </r>
  <r>
    <x v="7"/>
    <x v="1"/>
    <x v="3"/>
    <n v="60"/>
    <n v="20"/>
    <n v="40"/>
  </r>
  <r>
    <x v="7"/>
    <x v="2"/>
    <x v="2"/>
    <n v="40"/>
    <n v="2"/>
    <n v="38"/>
  </r>
  <r>
    <x v="8"/>
    <x v="0"/>
    <x v="2"/>
    <n v="29"/>
    <n v="25"/>
    <n v="4"/>
  </r>
  <r>
    <x v="8"/>
    <x v="0"/>
    <x v="0"/>
    <n v="4"/>
    <n v="3"/>
    <n v="1"/>
  </r>
  <r>
    <x v="8"/>
    <x v="1"/>
    <x v="5"/>
    <n v="159"/>
    <n v="143"/>
    <n v="16"/>
  </r>
  <r>
    <x v="8"/>
    <x v="1"/>
    <x v="12"/>
    <n v="81"/>
    <n v="37"/>
    <n v="44"/>
  </r>
  <r>
    <x v="9"/>
    <x v="0"/>
    <x v="2"/>
    <n v="26"/>
    <n v="21"/>
    <n v="5"/>
  </r>
  <r>
    <x v="9"/>
    <x v="0"/>
    <x v="10"/>
    <n v="9"/>
    <n v="8"/>
    <n v="1"/>
  </r>
  <r>
    <x v="9"/>
    <x v="4"/>
    <x v="2"/>
    <n v="525"/>
    <n v="28"/>
    <n v="497"/>
  </r>
  <r>
    <x v="10"/>
    <x v="1"/>
    <x v="12"/>
    <n v="95"/>
    <n v="44"/>
    <n v="51"/>
  </r>
  <r>
    <x v="10"/>
    <x v="2"/>
    <x v="6"/>
    <n v="196"/>
    <n v="30"/>
    <n v="166"/>
  </r>
  <r>
    <x v="10"/>
    <x v="3"/>
    <x v="6"/>
    <n v="1936"/>
    <n v="139"/>
    <n v="1797"/>
  </r>
  <r>
    <x v="0"/>
    <x v="2"/>
    <x v="2"/>
    <n v="73"/>
    <n v="8"/>
    <n v="65"/>
  </r>
  <r>
    <x v="0"/>
    <x v="3"/>
    <x v="0"/>
    <n v="115"/>
    <n v="3"/>
    <n v="112"/>
  </r>
  <r>
    <x v="0"/>
    <x v="3"/>
    <x v="7"/>
    <n v="679"/>
    <n v="22"/>
    <n v="657"/>
  </r>
  <r>
    <x v="1"/>
    <x v="0"/>
    <x v="6"/>
    <n v="110"/>
    <n v="89"/>
    <n v="21"/>
  </r>
  <r>
    <x v="1"/>
    <x v="1"/>
    <x v="5"/>
    <n v="195"/>
    <n v="176"/>
    <n v="19"/>
  </r>
  <r>
    <x v="1"/>
    <x v="1"/>
    <x v="8"/>
    <n v="2"/>
    <n v="2"/>
    <n v="0"/>
  </r>
  <r>
    <x v="1"/>
    <x v="1"/>
    <x v="13"/>
    <n v="59"/>
    <n v="40"/>
    <n v="19"/>
  </r>
  <r>
    <x v="1"/>
    <x v="1"/>
    <x v="12"/>
    <n v="44"/>
    <n v="21"/>
    <n v="23"/>
  </r>
  <r>
    <x v="1"/>
    <x v="3"/>
    <x v="9"/>
    <n v="7"/>
    <n v="0"/>
    <n v="7"/>
  </r>
  <r>
    <x v="1"/>
    <x v="3"/>
    <x v="6"/>
    <n v="2285"/>
    <n v="109"/>
    <n v="2176"/>
  </r>
  <r>
    <x v="1"/>
    <x v="3"/>
    <x v="10"/>
    <n v="130"/>
    <n v="1"/>
    <n v="129"/>
  </r>
  <r>
    <x v="2"/>
    <x v="4"/>
    <x v="2"/>
    <n v="543"/>
    <n v="17"/>
    <n v="526"/>
  </r>
  <r>
    <x v="2"/>
    <x v="1"/>
    <x v="12"/>
    <n v="40"/>
    <n v="15"/>
    <n v="25"/>
  </r>
  <r>
    <x v="2"/>
    <x v="3"/>
    <x v="9"/>
    <n v="4"/>
    <n v="0"/>
    <n v="4"/>
  </r>
  <r>
    <x v="2"/>
    <x v="3"/>
    <x v="2"/>
    <n v="600"/>
    <n v="27"/>
    <n v="573"/>
  </r>
  <r>
    <x v="3"/>
    <x v="0"/>
    <x v="0"/>
    <n v="5"/>
    <n v="4"/>
    <n v="1"/>
  </r>
  <r>
    <x v="3"/>
    <x v="4"/>
    <x v="7"/>
    <n v="260"/>
    <n v="16"/>
    <n v="244"/>
  </r>
  <r>
    <x v="4"/>
    <x v="1"/>
    <x v="11"/>
    <n v="32"/>
    <n v="19"/>
    <n v="13"/>
  </r>
  <r>
    <x v="4"/>
    <x v="3"/>
    <x v="2"/>
    <n v="689"/>
    <n v="26"/>
    <n v="663"/>
  </r>
  <r>
    <x v="4"/>
    <x v="3"/>
    <x v="10"/>
    <n v="153"/>
    <n v="2"/>
    <n v="151"/>
  </r>
  <r>
    <x v="4"/>
    <x v="3"/>
    <x v="7"/>
    <n v="603"/>
    <n v="31"/>
    <n v="572"/>
  </r>
  <r>
    <x v="11"/>
    <x v="0"/>
    <x v="6"/>
    <n v="124"/>
    <n v="103"/>
    <n v="21"/>
  </r>
  <r>
    <x v="11"/>
    <x v="0"/>
    <x v="10"/>
    <n v="9"/>
    <n v="8"/>
    <n v="1"/>
  </r>
  <r>
    <x v="11"/>
    <x v="5"/>
    <x v="14"/>
    <n v="18"/>
    <n v="1"/>
    <n v="17"/>
  </r>
  <r>
    <x v="11"/>
    <x v="2"/>
    <x v="2"/>
    <n v="40"/>
    <n v="3"/>
    <n v="37"/>
  </r>
  <r>
    <x v="11"/>
    <x v="3"/>
    <x v="9"/>
    <n v="4"/>
    <n v="0"/>
    <n v="4"/>
  </r>
  <r>
    <x v="5"/>
    <x v="1"/>
    <x v="1"/>
    <n v="400"/>
    <n v="152"/>
    <n v="248"/>
  </r>
  <r>
    <x v="5"/>
    <x v="3"/>
    <x v="4"/>
    <n v="31"/>
    <n v="0"/>
    <n v="31"/>
  </r>
  <r>
    <x v="5"/>
    <x v="3"/>
    <x v="2"/>
    <n v="688"/>
    <n v="31"/>
    <n v="657"/>
  </r>
  <r>
    <x v="6"/>
    <x v="0"/>
    <x v="6"/>
    <n v="95"/>
    <n v="79"/>
    <n v="16"/>
  </r>
  <r>
    <x v="6"/>
    <x v="4"/>
    <x v="7"/>
    <n v="267"/>
    <n v="14"/>
    <n v="253"/>
  </r>
  <r>
    <x v="6"/>
    <x v="1"/>
    <x v="5"/>
    <n v="187"/>
    <n v="178"/>
    <n v="9"/>
  </r>
  <r>
    <x v="6"/>
    <x v="1"/>
    <x v="8"/>
    <n v="3"/>
    <n v="2"/>
    <n v="1"/>
  </r>
  <r>
    <x v="6"/>
    <x v="1"/>
    <x v="1"/>
    <n v="413"/>
    <n v="161"/>
    <n v="252"/>
  </r>
  <r>
    <x v="6"/>
    <x v="2"/>
    <x v="6"/>
    <n v="223"/>
    <n v="44"/>
    <n v="179"/>
  </r>
  <r>
    <x v="6"/>
    <x v="3"/>
    <x v="0"/>
    <n v="79"/>
    <n v="2"/>
    <n v="77"/>
  </r>
  <r>
    <x v="7"/>
    <x v="0"/>
    <x v="4"/>
    <n v="1"/>
    <n v="1"/>
    <n v="0"/>
  </r>
  <r>
    <x v="7"/>
    <x v="4"/>
    <x v="2"/>
    <n v="526"/>
    <n v="18"/>
    <n v="508"/>
  </r>
  <r>
    <x v="7"/>
    <x v="1"/>
    <x v="12"/>
    <n v="57"/>
    <n v="25"/>
    <n v="32"/>
  </r>
  <r>
    <x v="7"/>
    <x v="1"/>
    <x v="11"/>
    <n v="33"/>
    <n v="20"/>
    <n v="13"/>
  </r>
  <r>
    <x v="7"/>
    <x v="2"/>
    <x v="7"/>
    <n v="36"/>
    <n v="6"/>
    <n v="30"/>
  </r>
  <r>
    <x v="8"/>
    <x v="1"/>
    <x v="3"/>
    <n v="58"/>
    <n v="18"/>
    <n v="40"/>
  </r>
  <r>
    <x v="9"/>
    <x v="0"/>
    <x v="7"/>
    <n v="40"/>
    <n v="35"/>
    <n v="5"/>
  </r>
  <r>
    <x v="9"/>
    <x v="5"/>
    <x v="7"/>
    <n v="53"/>
    <n v="8"/>
    <n v="45"/>
  </r>
  <r>
    <x v="9"/>
    <x v="1"/>
    <x v="8"/>
    <n v="3"/>
    <n v="2"/>
    <n v="1"/>
  </r>
  <r>
    <x v="9"/>
    <x v="2"/>
    <x v="2"/>
    <n v="41"/>
    <n v="6"/>
    <n v="35"/>
  </r>
  <r>
    <x v="10"/>
    <x v="1"/>
    <x v="13"/>
    <n v="94"/>
    <n v="48"/>
    <n v="46"/>
  </r>
  <r>
    <x v="10"/>
    <x v="1"/>
    <x v="1"/>
    <n v="479"/>
    <n v="216"/>
    <n v="263"/>
  </r>
  <r>
    <x v="10"/>
    <x v="2"/>
    <x v="2"/>
    <n v="41"/>
    <n v="6"/>
    <n v="35"/>
  </r>
  <r>
    <x v="0"/>
    <x v="0"/>
    <x v="2"/>
    <n v="52"/>
    <n v="46"/>
    <n v="6"/>
  </r>
  <r>
    <x v="0"/>
    <x v="1"/>
    <x v="1"/>
    <n v="314"/>
    <n v="91"/>
    <n v="223"/>
  </r>
  <r>
    <x v="0"/>
    <x v="1"/>
    <x v="3"/>
    <n v="234"/>
    <n v="139"/>
    <n v="95"/>
  </r>
  <r>
    <x v="0"/>
    <x v="3"/>
    <x v="2"/>
    <n v="660"/>
    <n v="26"/>
    <n v="634"/>
  </r>
  <r>
    <x v="1"/>
    <x v="0"/>
    <x v="10"/>
    <n v="13"/>
    <n v="11"/>
    <n v="2"/>
  </r>
  <r>
    <x v="1"/>
    <x v="0"/>
    <x v="7"/>
    <n v="50"/>
    <n v="44"/>
    <n v="6"/>
  </r>
  <r>
    <x v="1"/>
    <x v="4"/>
    <x v="7"/>
    <n v="280"/>
    <n v="12"/>
    <n v="268"/>
  </r>
  <r>
    <x v="1"/>
    <x v="1"/>
    <x v="3"/>
    <n v="195"/>
    <n v="122"/>
    <n v="73"/>
  </r>
  <r>
    <x v="1"/>
    <x v="2"/>
    <x v="6"/>
    <n v="296"/>
    <n v="48"/>
    <n v="248"/>
  </r>
  <r>
    <x v="2"/>
    <x v="0"/>
    <x v="0"/>
    <n v="6"/>
    <n v="4"/>
    <n v="2"/>
  </r>
  <r>
    <x v="2"/>
    <x v="4"/>
    <x v="6"/>
    <n v="2065"/>
    <n v="132"/>
    <n v="1933"/>
  </r>
  <r>
    <x v="2"/>
    <x v="1"/>
    <x v="13"/>
    <n v="74"/>
    <n v="57"/>
    <n v="17"/>
  </r>
  <r>
    <x v="2"/>
    <x v="3"/>
    <x v="7"/>
    <n v="577"/>
    <n v="22"/>
    <n v="555"/>
  </r>
  <r>
    <x v="3"/>
    <x v="0"/>
    <x v="10"/>
    <n v="8"/>
    <n v="7"/>
    <n v="1"/>
  </r>
  <r>
    <x v="3"/>
    <x v="1"/>
    <x v="13"/>
    <n v="78"/>
    <n v="58"/>
    <n v="20"/>
  </r>
  <r>
    <x v="3"/>
    <x v="2"/>
    <x v="7"/>
    <n v="36"/>
    <n v="4"/>
    <n v="32"/>
  </r>
  <r>
    <x v="4"/>
    <x v="0"/>
    <x v="0"/>
    <n v="5"/>
    <n v="4"/>
    <n v="1"/>
  </r>
  <r>
    <x v="4"/>
    <x v="0"/>
    <x v="10"/>
    <n v="8"/>
    <n v="7"/>
    <n v="1"/>
  </r>
  <r>
    <x v="4"/>
    <x v="0"/>
    <x v="7"/>
    <n v="43"/>
    <n v="36"/>
    <n v="7"/>
  </r>
  <r>
    <x v="4"/>
    <x v="2"/>
    <x v="7"/>
    <n v="37"/>
    <n v="5"/>
    <n v="32"/>
  </r>
  <r>
    <x v="4"/>
    <x v="3"/>
    <x v="9"/>
    <n v="4"/>
    <m/>
    <n v="4"/>
  </r>
  <r>
    <x v="4"/>
    <x v="3"/>
    <x v="0"/>
    <n v="74"/>
    <n v="2"/>
    <n v="72"/>
  </r>
  <r>
    <x v="11"/>
    <x v="0"/>
    <x v="4"/>
    <n v="1"/>
    <n v="1"/>
    <n v="0"/>
  </r>
  <r>
    <x v="11"/>
    <x v="0"/>
    <x v="2"/>
    <n v="27"/>
    <n v="21"/>
    <n v="6"/>
  </r>
  <r>
    <x v="11"/>
    <x v="0"/>
    <x v="7"/>
    <n v="42"/>
    <n v="36"/>
    <n v="6"/>
  </r>
  <r>
    <x v="11"/>
    <x v="1"/>
    <x v="13"/>
    <n v="84"/>
    <n v="58"/>
    <n v="26"/>
  </r>
  <r>
    <x v="5"/>
    <x v="4"/>
    <x v="2"/>
    <n v="520"/>
    <n v="20"/>
    <n v="500"/>
  </r>
  <r>
    <x v="5"/>
    <x v="1"/>
    <x v="12"/>
    <n v="47"/>
    <n v="14"/>
    <n v="33"/>
  </r>
  <r>
    <x v="5"/>
    <x v="1"/>
    <x v="11"/>
    <n v="32"/>
    <n v="20"/>
    <n v="12"/>
  </r>
  <r>
    <x v="5"/>
    <x v="1"/>
    <x v="3"/>
    <n v="63"/>
    <n v="26"/>
    <n v="37"/>
  </r>
  <r>
    <x v="5"/>
    <x v="2"/>
    <x v="7"/>
    <n v="37"/>
    <n v="5"/>
    <n v="32"/>
  </r>
  <r>
    <x v="6"/>
    <x v="0"/>
    <x v="2"/>
    <n v="31"/>
    <n v="24"/>
    <n v="7"/>
  </r>
  <r>
    <x v="6"/>
    <x v="5"/>
    <x v="7"/>
    <n v="54"/>
    <n v="11"/>
    <n v="43"/>
  </r>
  <r>
    <x v="6"/>
    <x v="1"/>
    <x v="12"/>
    <n v="50"/>
    <n v="17"/>
    <n v="33"/>
  </r>
  <r>
    <x v="6"/>
    <x v="1"/>
    <x v="11"/>
    <n v="30"/>
    <n v="19"/>
    <n v="11"/>
  </r>
  <r>
    <x v="6"/>
    <x v="3"/>
    <x v="6"/>
    <n v="2020"/>
    <n v="150"/>
    <n v="1870"/>
  </r>
  <r>
    <x v="6"/>
    <x v="3"/>
    <x v="10"/>
    <n v="152"/>
    <n v="7"/>
    <n v="145"/>
  </r>
  <r>
    <x v="7"/>
    <x v="4"/>
    <x v="6"/>
    <n v="1967"/>
    <n v="158"/>
    <n v="1809"/>
  </r>
  <r>
    <x v="7"/>
    <x v="1"/>
    <x v="1"/>
    <n v="469"/>
    <n v="180"/>
    <n v="289"/>
  </r>
  <r>
    <x v="8"/>
    <x v="2"/>
    <x v="6"/>
    <n v="189"/>
    <n v="31"/>
    <n v="158"/>
  </r>
  <r>
    <x v="8"/>
    <x v="3"/>
    <x v="4"/>
    <n v="31"/>
    <n v="1"/>
    <n v="30"/>
  </r>
  <r>
    <x v="9"/>
    <x v="3"/>
    <x v="6"/>
    <n v="1912"/>
    <n v="138"/>
    <n v="1774"/>
  </r>
  <r>
    <x v="10"/>
    <x v="4"/>
    <x v="7"/>
    <n v="248"/>
    <n v="11"/>
    <n v="237"/>
  </r>
  <r>
    <x v="10"/>
    <x v="5"/>
    <x v="7"/>
    <n v="56"/>
    <n v="7"/>
    <n v="49"/>
  </r>
  <r>
    <x v="10"/>
    <x v="1"/>
    <x v="3"/>
    <n v="58"/>
    <n v="19"/>
    <n v="39"/>
  </r>
  <r>
    <x v="10"/>
    <x v="3"/>
    <x v="10"/>
    <n v="160"/>
    <n v="5"/>
    <n v="155"/>
  </r>
  <r>
    <x v="10"/>
    <x v="3"/>
    <x v="7"/>
    <n v="605"/>
    <n v="32"/>
    <n v="573"/>
  </r>
  <r>
    <x v="0"/>
    <x v="0"/>
    <x v="6"/>
    <n v="103"/>
    <n v="94"/>
    <n v="9"/>
  </r>
  <r>
    <x v="0"/>
    <x v="1"/>
    <x v="8"/>
    <n v="0"/>
    <n v="0"/>
    <n v="0"/>
  </r>
  <r>
    <x v="0"/>
    <x v="3"/>
    <x v="10"/>
    <n v="136"/>
    <n v="2"/>
    <n v="134"/>
  </r>
  <r>
    <x v="1"/>
    <x v="4"/>
    <x v="2"/>
    <n v="546"/>
    <n v="17"/>
    <n v="529"/>
  </r>
  <r>
    <x v="3"/>
    <x v="0"/>
    <x v="6"/>
    <n v="80"/>
    <n v="67"/>
    <n v="13"/>
  </r>
  <r>
    <x v="3"/>
    <x v="1"/>
    <x v="8"/>
    <n v="3"/>
    <n v="2"/>
    <n v="1"/>
  </r>
  <r>
    <x v="3"/>
    <x v="1"/>
    <x v="11"/>
    <n v="34"/>
    <n v="19"/>
    <n v="15"/>
  </r>
  <r>
    <x v="3"/>
    <x v="3"/>
    <x v="9"/>
    <n v="4"/>
    <n v="0"/>
    <n v="4"/>
  </r>
  <r>
    <x v="4"/>
    <x v="0"/>
    <x v="6"/>
    <n v="106"/>
    <n v="88"/>
    <n v="18"/>
  </r>
  <r>
    <x v="4"/>
    <x v="3"/>
    <x v="4"/>
    <n v="34"/>
    <m/>
    <n v="34"/>
  </r>
  <r>
    <x v="11"/>
    <x v="1"/>
    <x v="11"/>
    <n v="34"/>
    <n v="21"/>
    <n v="13"/>
  </r>
  <r>
    <x v="11"/>
    <x v="3"/>
    <x v="4"/>
    <n v="33"/>
    <n v="0"/>
    <n v="33"/>
  </r>
  <r>
    <x v="5"/>
    <x v="4"/>
    <x v="7"/>
    <n v="262"/>
    <n v="13"/>
    <n v="249"/>
  </r>
  <r>
    <x v="5"/>
    <x v="2"/>
    <x v="2"/>
    <n v="41"/>
    <n v="1"/>
    <n v="40"/>
  </r>
  <r>
    <x v="5"/>
    <x v="3"/>
    <x v="0"/>
    <n v="80"/>
    <n v="2"/>
    <n v="78"/>
  </r>
  <r>
    <x v="5"/>
    <x v="3"/>
    <x v="10"/>
    <n v="153"/>
    <n v="5"/>
    <n v="148"/>
  </r>
  <r>
    <x v="6"/>
    <x v="3"/>
    <x v="7"/>
    <n v="603"/>
    <n v="31"/>
    <n v="572"/>
  </r>
  <r>
    <x v="7"/>
    <x v="0"/>
    <x v="6"/>
    <n v="90"/>
    <n v="76"/>
    <n v="14"/>
  </r>
  <r>
    <x v="7"/>
    <x v="3"/>
    <x v="6"/>
    <n v="1990"/>
    <n v="148"/>
    <n v="1842"/>
  </r>
  <r>
    <x v="7"/>
    <x v="3"/>
    <x v="7"/>
    <n v="607"/>
    <n v="30"/>
    <n v="577"/>
  </r>
  <r>
    <x v="8"/>
    <x v="1"/>
    <x v="8"/>
    <n v="4"/>
    <n v="1"/>
    <n v="3"/>
  </r>
  <r>
    <x v="8"/>
    <x v="3"/>
    <x v="9"/>
    <n v="5"/>
    <n v="0"/>
    <n v="5"/>
  </r>
  <r>
    <x v="9"/>
    <x v="0"/>
    <x v="0"/>
    <n v="4"/>
    <n v="4"/>
    <n v="0"/>
  </r>
  <r>
    <x v="9"/>
    <x v="4"/>
    <x v="6"/>
    <n v="1932"/>
    <n v="151"/>
    <n v="1781"/>
  </r>
  <r>
    <x v="9"/>
    <x v="5"/>
    <x v="2"/>
    <n v="2"/>
    <n v="0"/>
    <n v="2"/>
  </r>
  <r>
    <x v="9"/>
    <x v="1"/>
    <x v="11"/>
    <n v="35"/>
    <n v="24"/>
    <n v="11"/>
  </r>
  <r>
    <x v="9"/>
    <x v="3"/>
    <x v="0"/>
    <n v="71"/>
    <n v="2"/>
    <n v="69"/>
  </r>
  <r>
    <x v="10"/>
    <x v="0"/>
    <x v="6"/>
    <n v="95"/>
    <n v="76"/>
    <n v="19"/>
  </r>
  <r>
    <x v="10"/>
    <x v="0"/>
    <x v="7"/>
    <n v="37"/>
    <n v="29"/>
    <n v="8"/>
  </r>
  <r>
    <x v="10"/>
    <x v="5"/>
    <x v="2"/>
    <n v="4"/>
    <n v="0"/>
    <n v="4"/>
  </r>
  <r>
    <x v="0"/>
    <x v="4"/>
    <x v="2"/>
    <n v="535"/>
    <n v="19"/>
    <n v="516"/>
  </r>
  <r>
    <x v="0"/>
    <x v="4"/>
    <x v="6"/>
    <n v="2127"/>
    <n v="149"/>
    <n v="1978"/>
  </r>
  <r>
    <x v="0"/>
    <x v="1"/>
    <x v="13"/>
    <n v="45"/>
    <n v="28"/>
    <n v="17"/>
  </r>
  <r>
    <x v="0"/>
    <x v="1"/>
    <x v="11"/>
    <n v="20"/>
    <n v="7"/>
    <n v="13"/>
  </r>
  <r>
    <x v="0"/>
    <x v="2"/>
    <x v="7"/>
    <n v="9"/>
    <n v="0"/>
    <n v="9"/>
  </r>
  <r>
    <x v="1"/>
    <x v="0"/>
    <x v="0"/>
    <n v="5"/>
    <n v="4"/>
    <n v="1"/>
  </r>
  <r>
    <x v="1"/>
    <x v="3"/>
    <x v="4"/>
    <n v="33"/>
    <n v="0"/>
    <n v="33"/>
  </r>
  <r>
    <x v="2"/>
    <x v="2"/>
    <x v="2"/>
    <n v="46"/>
    <n v="6"/>
    <n v="40"/>
  </r>
  <r>
    <x v="2"/>
    <x v="2"/>
    <x v="6"/>
    <n v="260"/>
    <n v="48"/>
    <n v="212"/>
  </r>
  <r>
    <x v="2"/>
    <x v="3"/>
    <x v="6"/>
    <n v="2258"/>
    <n v="113"/>
    <n v="2145"/>
  </r>
  <r>
    <x v="2"/>
    <x v="3"/>
    <x v="0"/>
    <n v="90"/>
    <n v="3"/>
    <n v="87"/>
  </r>
  <r>
    <x v="3"/>
    <x v="3"/>
    <x v="4"/>
    <n v="34"/>
    <n v="0"/>
    <n v="34"/>
  </r>
  <r>
    <x v="3"/>
    <x v="3"/>
    <x v="2"/>
    <n v="635"/>
    <n v="29"/>
    <n v="606"/>
  </r>
  <r>
    <x v="3"/>
    <x v="3"/>
    <x v="6"/>
    <n v="2161"/>
    <n v="122"/>
    <n v="2039"/>
  </r>
  <r>
    <x v="3"/>
    <x v="3"/>
    <x v="7"/>
    <n v="590"/>
    <n v="23"/>
    <n v="567"/>
  </r>
  <r>
    <x v="4"/>
    <x v="1"/>
    <x v="1"/>
    <n v="366"/>
    <n v="139"/>
    <n v="227"/>
  </r>
  <r>
    <x v="4"/>
    <x v="1"/>
    <x v="3"/>
    <n v="153"/>
    <n v="88"/>
    <n v="65"/>
  </r>
  <r>
    <x v="11"/>
    <x v="0"/>
    <x v="0"/>
    <n v="4"/>
    <n v="3"/>
    <n v="1"/>
  </r>
  <r>
    <x v="6"/>
    <x v="4"/>
    <x v="6"/>
    <n v="2083"/>
    <n v="167"/>
    <n v="1916"/>
  </r>
  <r>
    <x v="7"/>
    <x v="0"/>
    <x v="10"/>
    <n v="10"/>
    <n v="9"/>
    <n v="1"/>
  </r>
  <r>
    <x v="7"/>
    <x v="5"/>
    <x v="7"/>
    <n v="53"/>
    <n v="10"/>
    <n v="43"/>
  </r>
  <r>
    <x v="7"/>
    <x v="2"/>
    <x v="6"/>
    <n v="201"/>
    <n v="38"/>
    <n v="163"/>
  </r>
  <r>
    <x v="7"/>
    <x v="3"/>
    <x v="9"/>
    <n v="5"/>
    <n v="0"/>
    <n v="5"/>
  </r>
  <r>
    <x v="8"/>
    <x v="1"/>
    <x v="11"/>
    <n v="36"/>
    <n v="24"/>
    <n v="12"/>
  </r>
  <r>
    <x v="9"/>
    <x v="1"/>
    <x v="5"/>
    <n v="142"/>
    <n v="129"/>
    <n v="13"/>
  </r>
  <r>
    <x v="9"/>
    <x v="1"/>
    <x v="12"/>
    <n v="87"/>
    <n v="41"/>
    <n v="46"/>
  </r>
  <r>
    <x v="9"/>
    <x v="3"/>
    <x v="4"/>
    <n v="31"/>
    <n v="1"/>
    <n v="30"/>
  </r>
  <r>
    <x v="9"/>
    <x v="3"/>
    <x v="2"/>
    <n v="640"/>
    <n v="39"/>
    <n v="601"/>
  </r>
  <r>
    <x v="9"/>
    <x v="3"/>
    <x v="10"/>
    <n v="156"/>
    <n v="9"/>
    <n v="147"/>
  </r>
  <r>
    <x v="10"/>
    <x v="0"/>
    <x v="2"/>
    <n v="28"/>
    <n v="24"/>
    <n v="4"/>
  </r>
  <r>
    <x v="10"/>
    <x v="0"/>
    <x v="10"/>
    <n v="8"/>
    <n v="7"/>
    <n v="1"/>
  </r>
  <r>
    <x v="10"/>
    <x v="1"/>
    <x v="8"/>
    <n v="4"/>
    <n v="3"/>
    <n v="1"/>
  </r>
  <r>
    <x v="10"/>
    <x v="3"/>
    <x v="4"/>
    <n v="30"/>
    <n v="0"/>
    <n v="30"/>
  </r>
  <r>
    <x v="0"/>
    <x v="4"/>
    <x v="7"/>
    <n v="278"/>
    <n v="10"/>
    <n v="268"/>
  </r>
  <r>
    <x v="0"/>
    <x v="3"/>
    <x v="9"/>
    <n v="9"/>
    <n v="0"/>
    <n v="9"/>
  </r>
  <r>
    <x v="0"/>
    <x v="3"/>
    <x v="6"/>
    <n v="2374"/>
    <n v="106"/>
    <n v="2268"/>
  </r>
  <r>
    <x v="1"/>
    <x v="0"/>
    <x v="2"/>
    <n v="52"/>
    <n v="44"/>
    <n v="8"/>
  </r>
  <r>
    <x v="1"/>
    <x v="4"/>
    <x v="6"/>
    <n v="2124"/>
    <n v="143"/>
    <n v="1981"/>
  </r>
  <r>
    <x v="1"/>
    <x v="3"/>
    <x v="7"/>
    <n v="664"/>
    <n v="27"/>
    <n v="637"/>
  </r>
  <r>
    <x v="2"/>
    <x v="0"/>
    <x v="2"/>
    <n v="44"/>
    <n v="39"/>
    <n v="5"/>
  </r>
  <r>
    <x v="2"/>
    <x v="0"/>
    <x v="6"/>
    <n v="95"/>
    <n v="77"/>
    <n v="18"/>
  </r>
  <r>
    <x v="2"/>
    <x v="0"/>
    <x v="10"/>
    <n v="7"/>
    <n v="7"/>
    <n v="0"/>
  </r>
  <r>
    <x v="2"/>
    <x v="0"/>
    <x v="7"/>
    <n v="51"/>
    <n v="44"/>
    <n v="7"/>
  </r>
  <r>
    <x v="2"/>
    <x v="4"/>
    <x v="7"/>
    <n v="262"/>
    <n v="14"/>
    <n v="248"/>
  </r>
  <r>
    <x v="2"/>
    <x v="2"/>
    <x v="7"/>
    <n v="36"/>
    <n v="2"/>
    <n v="34"/>
  </r>
  <r>
    <x v="2"/>
    <x v="3"/>
    <x v="10"/>
    <n v="126"/>
    <n v="2"/>
    <n v="124"/>
  </r>
  <r>
    <x v="3"/>
    <x v="4"/>
    <x v="2"/>
    <n v="549"/>
    <n v="15"/>
    <n v="534"/>
  </r>
  <r>
    <x v="3"/>
    <x v="3"/>
    <x v="0"/>
    <n v="70"/>
    <n v="2"/>
    <n v="68"/>
  </r>
  <r>
    <x v="3"/>
    <x v="3"/>
    <x v="10"/>
    <n v="151"/>
    <n v="2"/>
    <n v="149"/>
  </r>
  <r>
    <x v="4"/>
    <x v="4"/>
    <x v="6"/>
    <n v="2077"/>
    <n v="138"/>
    <n v="1939"/>
  </r>
  <r>
    <x v="11"/>
    <x v="4"/>
    <x v="2"/>
    <n v="533"/>
    <n v="20"/>
    <n v="513"/>
  </r>
  <r>
    <x v="11"/>
    <x v="4"/>
    <x v="6"/>
    <n v="2141"/>
    <n v="168"/>
    <n v="1973"/>
  </r>
  <r>
    <x v="11"/>
    <x v="1"/>
    <x v="12"/>
    <n v="49"/>
    <n v="15"/>
    <n v="34"/>
  </r>
  <r>
    <x v="11"/>
    <x v="1"/>
    <x v="3"/>
    <n v="64"/>
    <n v="26"/>
    <n v="38"/>
  </r>
  <r>
    <x v="11"/>
    <x v="3"/>
    <x v="2"/>
    <n v="687"/>
    <n v="27"/>
    <n v="660"/>
  </r>
  <r>
    <x v="11"/>
    <x v="3"/>
    <x v="6"/>
    <n v="2075"/>
    <n v="132"/>
    <n v="1943"/>
  </r>
  <r>
    <x v="5"/>
    <x v="0"/>
    <x v="2"/>
    <n v="26"/>
    <n v="21"/>
    <n v="5"/>
  </r>
  <r>
    <x v="5"/>
    <x v="0"/>
    <x v="0"/>
    <n v="4"/>
    <n v="3"/>
    <n v="1"/>
  </r>
  <r>
    <x v="5"/>
    <x v="4"/>
    <x v="6"/>
    <n v="2155"/>
    <n v="175"/>
    <n v="1980"/>
  </r>
  <r>
    <x v="5"/>
    <x v="1"/>
    <x v="5"/>
    <n v="182"/>
    <n v="172"/>
    <n v="10"/>
  </r>
  <r>
    <x v="6"/>
    <x v="2"/>
    <x v="7"/>
    <n v="37"/>
    <n v="5"/>
    <n v="32"/>
  </r>
  <r>
    <x v="7"/>
    <x v="4"/>
    <x v="7"/>
    <n v="265"/>
    <n v="15"/>
    <n v="250"/>
  </r>
  <r>
    <x v="7"/>
    <x v="1"/>
    <x v="5"/>
    <n v="193"/>
    <n v="179"/>
    <n v="14"/>
  </r>
  <r>
    <x v="7"/>
    <x v="1"/>
    <x v="8"/>
    <n v="4"/>
    <n v="1"/>
    <n v="3"/>
  </r>
  <r>
    <x v="7"/>
    <x v="1"/>
    <x v="13"/>
    <n v="104"/>
    <n v="76"/>
    <n v="28"/>
  </r>
  <r>
    <x v="7"/>
    <x v="3"/>
    <x v="2"/>
    <n v="660"/>
    <n v="39"/>
    <n v="621"/>
  </r>
  <r>
    <x v="8"/>
    <x v="0"/>
    <x v="4"/>
    <n v="1"/>
    <n v="1"/>
    <n v="0"/>
  </r>
  <r>
    <x v="8"/>
    <x v="3"/>
    <x v="6"/>
    <n v="1972"/>
    <n v="145"/>
    <n v="1827"/>
  </r>
  <r>
    <x v="8"/>
    <x v="3"/>
    <x v="7"/>
    <n v="601"/>
    <n v="31"/>
    <n v="570"/>
  </r>
  <r>
    <x v="9"/>
    <x v="1"/>
    <x v="13"/>
    <n v="90"/>
    <n v="49"/>
    <n v="41"/>
  </r>
  <r>
    <x v="9"/>
    <x v="3"/>
    <x v="7"/>
    <n v="607"/>
    <n v="31"/>
    <n v="576"/>
  </r>
  <r>
    <x v="10"/>
    <x v="4"/>
    <x v="6"/>
    <n v="1943"/>
    <n v="162"/>
    <n v="1781"/>
  </r>
  <r>
    <x v="10"/>
    <x v="1"/>
    <x v="11"/>
    <n v="35"/>
    <n v="24"/>
    <n v="11"/>
  </r>
  <r>
    <x v="10"/>
    <x v="3"/>
    <x v="2"/>
    <n v="622"/>
    <n v="35"/>
    <n v="587"/>
  </r>
  <r>
    <x v="10"/>
    <x v="3"/>
    <x v="0"/>
    <n v="72"/>
    <n v="9"/>
    <n v="63"/>
  </r>
  <r>
    <x v="0"/>
    <x v="0"/>
    <x v="10"/>
    <n v="11"/>
    <n v="9"/>
    <n v="2"/>
  </r>
  <r>
    <x v="0"/>
    <x v="0"/>
    <x v="7"/>
    <n v="52"/>
    <n v="46"/>
    <n v="6"/>
  </r>
  <r>
    <x v="0"/>
    <x v="1"/>
    <x v="12"/>
    <n v="70"/>
    <n v="32"/>
    <n v="38"/>
  </r>
  <r>
    <x v="1"/>
    <x v="1"/>
    <x v="11"/>
    <n v="37"/>
    <n v="20"/>
    <n v="17"/>
  </r>
  <r>
    <x v="1"/>
    <x v="2"/>
    <x v="7"/>
    <n v="38"/>
    <n v="4"/>
    <n v="34"/>
  </r>
  <r>
    <x v="1"/>
    <x v="3"/>
    <x v="0"/>
    <n v="103"/>
    <n v="3"/>
    <n v="100"/>
  </r>
  <r>
    <x v="3"/>
    <x v="0"/>
    <x v="2"/>
    <n v="31"/>
    <n v="26"/>
    <n v="5"/>
  </r>
  <r>
    <x v="3"/>
    <x v="4"/>
    <x v="6"/>
    <n v="2061"/>
    <n v="127"/>
    <n v="1934"/>
  </r>
  <r>
    <x v="3"/>
    <x v="1"/>
    <x v="12"/>
    <n v="42"/>
    <n v="17"/>
    <n v="25"/>
  </r>
  <r>
    <x v="4"/>
    <x v="4"/>
    <x v="7"/>
    <n v="261"/>
    <n v="14"/>
    <n v="247"/>
  </r>
  <r>
    <x v="4"/>
    <x v="1"/>
    <x v="5"/>
    <n v="164"/>
    <n v="155"/>
    <n v="9"/>
  </r>
  <r>
    <x v="4"/>
    <x v="1"/>
    <x v="13"/>
    <n v="79"/>
    <n v="57"/>
    <n v="22"/>
  </r>
  <r>
    <x v="4"/>
    <x v="2"/>
    <x v="6"/>
    <n v="256"/>
    <n v="47"/>
    <n v="209"/>
  </r>
  <r>
    <x v="11"/>
    <x v="1"/>
    <x v="5"/>
    <n v="170"/>
    <n v="159"/>
    <n v="11"/>
  </r>
  <r>
    <x v="11"/>
    <x v="1"/>
    <x v="1"/>
    <n v="388"/>
    <n v="146"/>
    <n v="242"/>
  </r>
  <r>
    <x v="11"/>
    <x v="2"/>
    <x v="6"/>
    <n v="240"/>
    <n v="46"/>
    <n v="194"/>
  </r>
  <r>
    <x v="11"/>
    <x v="2"/>
    <x v="7"/>
    <n v="37"/>
    <n v="5"/>
    <n v="32"/>
  </r>
  <r>
    <x v="11"/>
    <x v="3"/>
    <x v="0"/>
    <n v="80"/>
    <n v="2"/>
    <n v="78"/>
  </r>
  <r>
    <x v="11"/>
    <x v="3"/>
    <x v="10"/>
    <n v="147"/>
    <n v="2"/>
    <n v="145"/>
  </r>
  <r>
    <x v="5"/>
    <x v="0"/>
    <x v="10"/>
    <n v="8"/>
    <n v="7"/>
    <n v="1"/>
  </r>
  <r>
    <x v="5"/>
    <x v="0"/>
    <x v="7"/>
    <n v="45"/>
    <n v="38"/>
    <n v="7"/>
  </r>
  <r>
    <x v="5"/>
    <x v="1"/>
    <x v="13"/>
    <n v="90"/>
    <n v="61"/>
    <n v="29"/>
  </r>
  <r>
    <x v="5"/>
    <x v="3"/>
    <x v="9"/>
    <n v="6"/>
    <n v="0"/>
    <n v="6"/>
  </r>
  <r>
    <x v="5"/>
    <x v="3"/>
    <x v="6"/>
    <n v="2070"/>
    <n v="154"/>
    <n v="1916"/>
  </r>
  <r>
    <x v="5"/>
    <x v="3"/>
    <x v="7"/>
    <n v="608"/>
    <n v="30"/>
    <n v="578"/>
  </r>
  <r>
    <x v="6"/>
    <x v="0"/>
    <x v="4"/>
    <n v="1"/>
    <n v="1"/>
    <n v="0"/>
  </r>
  <r>
    <x v="6"/>
    <x v="0"/>
    <x v="0"/>
    <n v="4"/>
    <n v="3"/>
    <n v="1"/>
  </r>
  <r>
    <x v="6"/>
    <x v="1"/>
    <x v="13"/>
    <n v="91"/>
    <n v="61"/>
    <n v="30"/>
  </r>
  <r>
    <x v="6"/>
    <x v="3"/>
    <x v="2"/>
    <n v="687"/>
    <n v="29"/>
    <n v="658"/>
  </r>
  <r>
    <x v="7"/>
    <x v="0"/>
    <x v="2"/>
    <n v="27"/>
    <n v="20"/>
    <n v="7"/>
  </r>
  <r>
    <x v="7"/>
    <x v="0"/>
    <x v="0"/>
    <n v="4"/>
    <n v="3"/>
    <n v="1"/>
  </r>
  <r>
    <x v="7"/>
    <x v="3"/>
    <x v="4"/>
    <n v="35"/>
    <n v="1"/>
    <n v="34"/>
  </r>
  <r>
    <x v="7"/>
    <x v="3"/>
    <x v="10"/>
    <n v="157"/>
    <n v="5"/>
    <n v="152"/>
  </r>
  <r>
    <x v="8"/>
    <x v="0"/>
    <x v="6"/>
    <n v="91"/>
    <n v="74"/>
    <n v="17"/>
  </r>
  <r>
    <x v="8"/>
    <x v="0"/>
    <x v="7"/>
    <n v="37"/>
    <n v="32"/>
    <n v="5"/>
  </r>
  <r>
    <x v="8"/>
    <x v="4"/>
    <x v="2"/>
    <n v="521"/>
    <n v="22"/>
    <n v="499"/>
  </r>
  <r>
    <x v="8"/>
    <x v="5"/>
    <x v="7"/>
    <n v="54"/>
    <n v="9"/>
    <n v="45"/>
  </r>
  <r>
    <x v="8"/>
    <x v="1"/>
    <x v="13"/>
    <n v="98"/>
    <n v="58"/>
    <n v="40"/>
  </r>
  <r>
    <x v="8"/>
    <x v="1"/>
    <x v="1"/>
    <n v="465"/>
    <n v="203"/>
    <n v="262"/>
  </r>
  <r>
    <x v="8"/>
    <x v="2"/>
    <x v="7"/>
    <n v="37"/>
    <n v="6"/>
    <n v="31"/>
  </r>
  <r>
    <x v="9"/>
    <x v="0"/>
    <x v="4"/>
    <n v="1"/>
    <n v="1"/>
    <n v="0"/>
  </r>
  <r>
    <x v="10"/>
    <x v="0"/>
    <x v="4"/>
    <n v="1"/>
    <n v="1"/>
    <n v="0"/>
  </r>
  <r>
    <x v="10"/>
    <x v="0"/>
    <x v="0"/>
    <n v="2"/>
    <n v="2"/>
    <n v="0"/>
  </r>
  <r>
    <x v="10"/>
    <x v="1"/>
    <x v="5"/>
    <n v="152"/>
    <n v="138"/>
    <n v="14"/>
  </r>
  <r>
    <x v="10"/>
    <x v="2"/>
    <x v="7"/>
    <n v="36"/>
    <n v="6"/>
    <n v="30"/>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1">
  <r>
    <x v="0"/>
    <x v="0"/>
    <x v="0"/>
    <n v="1913.5500000000002"/>
    <n v="132.88999999999999"/>
    <n v="1780.66"/>
  </r>
  <r>
    <x v="0"/>
    <x v="1"/>
    <x v="1"/>
    <n v="199.5"/>
    <n v="119.8"/>
    <n v="79.7"/>
  </r>
  <r>
    <x v="1"/>
    <x v="2"/>
    <x v="0"/>
    <n v="102.69"/>
    <n v="81.69"/>
    <n v="21"/>
  </r>
  <r>
    <x v="1"/>
    <x v="0"/>
    <x v="2"/>
    <n v="498"/>
    <n v="16.5"/>
    <n v="481.5"/>
  </r>
  <r>
    <x v="1"/>
    <x v="1"/>
    <x v="3"/>
    <n v="151.38999999999999"/>
    <n v="135.17999999999998"/>
    <n v="16.21"/>
  </r>
  <r>
    <x v="1"/>
    <x v="3"/>
    <x v="2"/>
    <n v="634"/>
    <n v="24"/>
    <n v="610"/>
  </r>
  <r>
    <x v="2"/>
    <x v="1"/>
    <x v="4"/>
    <n v="3"/>
    <n v="2"/>
    <n v="1"/>
  </r>
  <r>
    <x v="2"/>
    <x v="1"/>
    <x v="5"/>
    <n v="33.309428571428569"/>
    <n v="17.309428571428572"/>
    <n v="16"/>
  </r>
  <r>
    <x v="3"/>
    <x v="2"/>
    <x v="0"/>
    <n v="76.33"/>
    <n v="63.83"/>
    <n v="12.5"/>
  </r>
  <r>
    <x v="3"/>
    <x v="0"/>
    <x v="0"/>
    <n v="1807.55"/>
    <n v="112.65"/>
    <n v="1694.9"/>
  </r>
  <r>
    <x v="3"/>
    <x v="1"/>
    <x v="5"/>
    <n v="33.86"/>
    <n v="18.86"/>
    <n v="15"/>
  </r>
  <r>
    <x v="3"/>
    <x v="3"/>
    <x v="0"/>
    <n v="2158.58"/>
    <n v="122.58"/>
    <n v="2036"/>
  </r>
  <r>
    <x v="4"/>
    <x v="1"/>
    <x v="3"/>
    <n v="135.37"/>
    <n v="126.82"/>
    <n v="8.5500000000000007"/>
  </r>
  <r>
    <x v="4"/>
    <x v="1"/>
    <x v="4"/>
    <n v="2"/>
    <n v="1"/>
    <n v="1"/>
  </r>
  <r>
    <x v="5"/>
    <x v="1"/>
    <x v="4"/>
    <n v="3"/>
    <n v="2"/>
    <n v="1"/>
  </r>
  <r>
    <x v="5"/>
    <x v="3"/>
    <x v="6"/>
    <n v="611"/>
    <n v="33"/>
    <n v="578"/>
  </r>
  <r>
    <x v="6"/>
    <x v="0"/>
    <x v="2"/>
    <n v="459.93"/>
    <n v="17"/>
    <n v="442.93"/>
  </r>
  <r>
    <x v="6"/>
    <x v="3"/>
    <x v="7"/>
    <m/>
    <m/>
    <n v="31"/>
  </r>
  <r>
    <x v="7"/>
    <x v="2"/>
    <x v="8"/>
    <n v="10"/>
    <n v="9"/>
    <n v="1"/>
  </r>
  <r>
    <x v="7"/>
    <x v="2"/>
    <x v="6"/>
    <n v="41"/>
    <n v="35"/>
    <n v="6"/>
  </r>
  <r>
    <x v="7"/>
    <x v="0"/>
    <x v="6"/>
    <n v="236"/>
    <n v="11.25"/>
    <n v="224.75"/>
  </r>
  <r>
    <x v="7"/>
    <x v="3"/>
    <x v="9"/>
    <m/>
    <m/>
    <n v="5"/>
  </r>
  <r>
    <x v="8"/>
    <x v="2"/>
    <x v="6"/>
    <n v="42"/>
    <n v="37"/>
    <n v="5"/>
  </r>
  <r>
    <x v="8"/>
    <x v="1"/>
    <x v="10"/>
    <n v="100.35"/>
    <n v="72.849999999999994"/>
    <n v="27.5"/>
  </r>
  <r>
    <x v="8"/>
    <x v="3"/>
    <x v="9"/>
    <m/>
    <m/>
    <n v="5"/>
  </r>
  <r>
    <x v="9"/>
    <x v="2"/>
    <x v="11"/>
    <n v="4"/>
    <n v="3"/>
    <n v="1"/>
  </r>
  <r>
    <x v="9"/>
    <x v="1"/>
    <x v="3"/>
    <n v="140.28"/>
    <n v="124.76"/>
    <n v="15.52"/>
  </r>
  <r>
    <x v="9"/>
    <x v="1"/>
    <x v="10"/>
    <n v="94.669999999999987"/>
    <n v="54.669999999999995"/>
    <n v="40"/>
  </r>
  <r>
    <x v="10"/>
    <x v="2"/>
    <x v="7"/>
    <m/>
    <n v="1"/>
    <m/>
  </r>
  <r>
    <x v="10"/>
    <x v="2"/>
    <x v="8"/>
    <n v="9"/>
    <n v="8"/>
    <n v="1"/>
  </r>
  <r>
    <x v="10"/>
    <x v="2"/>
    <x v="6"/>
    <n v="39.57"/>
    <n v="34.57"/>
    <n v="5"/>
  </r>
  <r>
    <x v="11"/>
    <x v="1"/>
    <x v="12"/>
    <n v="447.61"/>
    <n v="203.35"/>
    <n v="244.26"/>
  </r>
  <r>
    <x v="11"/>
    <x v="3"/>
    <x v="6"/>
    <n v="604.77"/>
    <n v="32"/>
    <n v="572.77"/>
  </r>
  <r>
    <x v="0"/>
    <x v="2"/>
    <x v="11"/>
    <n v="5"/>
    <n v="4"/>
    <n v="1"/>
  </r>
  <r>
    <x v="0"/>
    <x v="2"/>
    <x v="6"/>
    <n v="51.56"/>
    <n v="45.56"/>
    <n v="6"/>
  </r>
  <r>
    <x v="1"/>
    <x v="1"/>
    <x v="13"/>
    <n v="45.99"/>
    <n v="22.990000000000002"/>
    <n v="23"/>
  </r>
  <r>
    <x v="1"/>
    <x v="3"/>
    <x v="7"/>
    <n v="33"/>
    <m/>
    <n v="33"/>
  </r>
  <r>
    <x v="2"/>
    <x v="1"/>
    <x v="10"/>
    <n v="70.714285714285694"/>
    <n v="53.714285714285701"/>
    <n v="17"/>
  </r>
  <r>
    <x v="2"/>
    <x v="3"/>
    <x v="7"/>
    <n v="35"/>
    <n v="0"/>
    <n v="35"/>
  </r>
  <r>
    <x v="2"/>
    <x v="3"/>
    <x v="0"/>
    <n v="2250.7857142857101"/>
    <n v="112.88571428571429"/>
    <n v="2137.9"/>
  </r>
  <r>
    <x v="3"/>
    <x v="2"/>
    <x v="2"/>
    <n v="30.79"/>
    <n v="26"/>
    <n v="4.79"/>
  </r>
  <r>
    <x v="3"/>
    <x v="3"/>
    <x v="2"/>
    <n v="636"/>
    <n v="29"/>
    <n v="607"/>
  </r>
  <r>
    <x v="4"/>
    <x v="2"/>
    <x v="0"/>
    <n v="100.83"/>
    <n v="83.33"/>
    <n v="17.5"/>
  </r>
  <r>
    <x v="4"/>
    <x v="1"/>
    <x v="13"/>
    <n v="49.71"/>
    <n v="16.71"/>
    <n v="33"/>
  </r>
  <r>
    <x v="5"/>
    <x v="3"/>
    <x v="9"/>
    <m/>
    <m/>
    <n v="4"/>
  </r>
  <r>
    <x v="6"/>
    <x v="2"/>
    <x v="0"/>
    <n v="99.83"/>
    <n v="81.83"/>
    <n v="18"/>
  </r>
  <r>
    <x v="6"/>
    <x v="4"/>
    <x v="6"/>
    <n v="36"/>
    <n v="7"/>
    <n v="29"/>
  </r>
  <r>
    <x v="6"/>
    <x v="1"/>
    <x v="4"/>
    <n v="3"/>
    <n v="2"/>
    <n v="1"/>
  </r>
  <r>
    <x v="6"/>
    <x v="1"/>
    <x v="10"/>
    <n v="88.61"/>
    <n v="59.61"/>
    <n v="29"/>
  </r>
  <r>
    <x v="7"/>
    <x v="2"/>
    <x v="2"/>
    <n v="30"/>
    <n v="23"/>
    <n v="7"/>
  </r>
  <r>
    <x v="7"/>
    <x v="1"/>
    <x v="3"/>
    <n v="160.44999999999999"/>
    <n v="151.58999999999997"/>
    <n v="8.86"/>
  </r>
  <r>
    <x v="7"/>
    <x v="1"/>
    <x v="12"/>
    <n v="398.88"/>
    <n v="154.14000000000001"/>
    <n v="244.73999999999998"/>
  </r>
  <r>
    <x v="8"/>
    <x v="3"/>
    <x v="11"/>
    <n v="76"/>
    <n v="2"/>
    <n v="74"/>
  </r>
  <r>
    <x v="9"/>
    <x v="2"/>
    <x v="8"/>
    <n v="10"/>
    <n v="9"/>
    <n v="1"/>
  </r>
  <r>
    <x v="9"/>
    <x v="2"/>
    <x v="6"/>
    <n v="36.86"/>
    <n v="31.86"/>
    <n v="5"/>
  </r>
  <r>
    <x v="9"/>
    <x v="1"/>
    <x v="12"/>
    <n v="441.38"/>
    <n v="188.98"/>
    <n v="252.4"/>
  </r>
  <r>
    <x v="9"/>
    <x v="3"/>
    <x v="9"/>
    <m/>
    <m/>
    <n v="5"/>
  </r>
  <r>
    <x v="9"/>
    <x v="3"/>
    <x v="2"/>
    <n v="655"/>
    <n v="39"/>
    <n v="616"/>
  </r>
  <r>
    <x v="9"/>
    <x v="3"/>
    <x v="11"/>
    <n v="78"/>
    <n v="2"/>
    <n v="76"/>
  </r>
  <r>
    <x v="9"/>
    <x v="3"/>
    <x v="8"/>
    <n v="148"/>
    <n v="9"/>
    <n v="139"/>
  </r>
  <r>
    <x v="10"/>
    <x v="3"/>
    <x v="6"/>
    <n v="606.77"/>
    <n v="31"/>
    <n v="575.77"/>
  </r>
  <r>
    <x v="11"/>
    <x v="0"/>
    <x v="6"/>
    <n v="211.70000000000002"/>
    <n v="9.35"/>
    <n v="202.35000000000002"/>
  </r>
  <r>
    <x v="11"/>
    <x v="1"/>
    <x v="13"/>
    <n v="94.09"/>
    <n v="43.489999999999995"/>
    <n v="50.6"/>
  </r>
  <r>
    <x v="0"/>
    <x v="2"/>
    <x v="0"/>
    <n v="94.39"/>
    <n v="85.39"/>
    <n v="9"/>
  </r>
  <r>
    <x v="0"/>
    <x v="0"/>
    <x v="2"/>
    <n v="489.46"/>
    <n v="17.760000000000002"/>
    <n v="471.7"/>
  </r>
  <r>
    <x v="0"/>
    <x v="3"/>
    <x v="11"/>
    <n v="115"/>
    <n v="3"/>
    <n v="112"/>
  </r>
  <r>
    <x v="0"/>
    <x v="3"/>
    <x v="6"/>
    <n v="679"/>
    <n v="22"/>
    <n v="657"/>
  </r>
  <r>
    <x v="1"/>
    <x v="1"/>
    <x v="4"/>
    <n v="2"/>
    <n v="2"/>
    <n v="0"/>
  </r>
  <r>
    <x v="1"/>
    <x v="3"/>
    <x v="0"/>
    <n v="2285"/>
    <n v="109"/>
    <n v="2176"/>
  </r>
  <r>
    <x v="1"/>
    <x v="3"/>
    <x v="8"/>
    <n v="130"/>
    <n v="1"/>
    <n v="129"/>
  </r>
  <r>
    <x v="2"/>
    <x v="2"/>
    <x v="8"/>
    <n v="6.8333333333333339"/>
    <n v="6.8333333333333339"/>
    <m/>
  </r>
  <r>
    <x v="2"/>
    <x v="0"/>
    <x v="0"/>
    <n v="1792.8328571428574"/>
    <n v="116.4"/>
    <n v="1676.4328571428573"/>
  </r>
  <r>
    <x v="2"/>
    <x v="1"/>
    <x v="13"/>
    <n v="40"/>
    <n v="15"/>
    <n v="25"/>
  </r>
  <r>
    <x v="2"/>
    <x v="1"/>
    <x v="12"/>
    <n v="303.60857142857139"/>
    <n v="95.918571428571425"/>
    <n v="207.69"/>
  </r>
  <r>
    <x v="2"/>
    <x v="1"/>
    <x v="1"/>
    <n v="122.20028571428573"/>
    <n v="57.195428571428593"/>
    <n v="65.004857142857134"/>
  </r>
  <r>
    <x v="2"/>
    <x v="3"/>
    <x v="9"/>
    <n v="4"/>
    <n v="0"/>
    <n v="4"/>
  </r>
  <r>
    <x v="3"/>
    <x v="2"/>
    <x v="11"/>
    <n v="5"/>
    <n v="4"/>
    <n v="1"/>
  </r>
  <r>
    <x v="3"/>
    <x v="2"/>
    <x v="6"/>
    <n v="40.85"/>
    <n v="34.85"/>
    <n v="6"/>
  </r>
  <r>
    <x v="3"/>
    <x v="0"/>
    <x v="2"/>
    <n v="502.68"/>
    <n v="15.5"/>
    <n v="487.18"/>
  </r>
  <r>
    <x v="3"/>
    <x v="1"/>
    <x v="10"/>
    <n v="75.62"/>
    <n v="55"/>
    <n v="20.62"/>
  </r>
  <r>
    <x v="4"/>
    <x v="1"/>
    <x v="1"/>
    <n v="110.41"/>
    <n v="52.13"/>
    <n v="58.28"/>
  </r>
  <r>
    <x v="4"/>
    <x v="3"/>
    <x v="2"/>
    <n v="689"/>
    <n v="26"/>
    <n v="663"/>
  </r>
  <r>
    <x v="4"/>
    <x v="3"/>
    <x v="8"/>
    <n v="153"/>
    <n v="2"/>
    <n v="151"/>
  </r>
  <r>
    <x v="5"/>
    <x v="2"/>
    <x v="8"/>
    <n v="9"/>
    <n v="8"/>
    <n v="1"/>
  </r>
  <r>
    <x v="5"/>
    <x v="4"/>
    <x v="14"/>
    <n v="18"/>
    <n v="1"/>
    <n v="17"/>
  </r>
  <r>
    <x v="6"/>
    <x v="3"/>
    <x v="2"/>
    <n v="688"/>
    <n v="31"/>
    <n v="657"/>
  </r>
  <r>
    <x v="6"/>
    <x v="3"/>
    <x v="0"/>
    <n v="2067.9299999999998"/>
    <n v="152.93"/>
    <n v="1915"/>
  </r>
  <r>
    <x v="7"/>
    <x v="0"/>
    <x v="2"/>
    <n v="461.93"/>
    <n v="14"/>
    <n v="447.93"/>
  </r>
  <r>
    <x v="7"/>
    <x v="0"/>
    <x v="0"/>
    <n v="1784.5500000000002"/>
    <n v="143.4"/>
    <n v="1641.15"/>
  </r>
  <r>
    <x v="7"/>
    <x v="1"/>
    <x v="4"/>
    <n v="3"/>
    <n v="2"/>
    <n v="1"/>
  </r>
  <r>
    <x v="7"/>
    <x v="3"/>
    <x v="11"/>
    <n v="79"/>
    <n v="2"/>
    <n v="77"/>
  </r>
  <r>
    <x v="8"/>
    <x v="2"/>
    <x v="0"/>
    <n v="86.460000000000008"/>
    <n v="72.460000000000008"/>
    <n v="14"/>
  </r>
  <r>
    <x v="8"/>
    <x v="1"/>
    <x v="13"/>
    <n v="57"/>
    <n v="25"/>
    <n v="32"/>
  </r>
  <r>
    <x v="9"/>
    <x v="3"/>
    <x v="0"/>
    <n v="1969.43"/>
    <n v="143.93"/>
    <n v="1825.5"/>
  </r>
  <r>
    <x v="10"/>
    <x v="4"/>
    <x v="6"/>
    <n v="53"/>
    <n v="8"/>
    <n v="45"/>
  </r>
  <r>
    <x v="10"/>
    <x v="1"/>
    <x v="4"/>
    <n v="3"/>
    <n v="2"/>
    <n v="1"/>
  </r>
  <r>
    <x v="11"/>
    <x v="2"/>
    <x v="7"/>
    <m/>
    <n v="1"/>
    <m/>
  </r>
  <r>
    <x v="0"/>
    <x v="2"/>
    <x v="2"/>
    <n v="51.01"/>
    <n v="45.01"/>
    <n v="6"/>
  </r>
  <r>
    <x v="0"/>
    <x v="0"/>
    <x v="6"/>
    <n v="262.12"/>
    <n v="10"/>
    <n v="252.12000000000003"/>
  </r>
  <r>
    <x v="0"/>
    <x v="1"/>
    <x v="12"/>
    <n v="256.39999999999998"/>
    <n v="39.199999999999996"/>
    <n v="217.2"/>
  </r>
  <r>
    <x v="1"/>
    <x v="3"/>
    <x v="6"/>
    <n v="664"/>
    <n v="27"/>
    <n v="637"/>
  </r>
  <r>
    <x v="2"/>
    <x v="3"/>
    <x v="2"/>
    <n v="598.34523809523807"/>
    <n v="27"/>
    <n v="571.34523809523807"/>
  </r>
  <r>
    <x v="2"/>
    <x v="3"/>
    <x v="8"/>
    <n v="126"/>
    <n v="2"/>
    <n v="124"/>
  </r>
  <r>
    <x v="2"/>
    <x v="3"/>
    <x v="6"/>
    <n v="585.31904761904764"/>
    <n v="22"/>
    <n v="563.31904761904764"/>
  </r>
  <r>
    <x v="3"/>
    <x v="1"/>
    <x v="3"/>
    <n v="140.91"/>
    <n v="130.36000000000001"/>
    <n v="10.55"/>
  </r>
  <r>
    <x v="3"/>
    <x v="3"/>
    <x v="9"/>
    <m/>
    <m/>
    <n v="4"/>
  </r>
  <r>
    <x v="3"/>
    <x v="3"/>
    <x v="11"/>
    <n v="70"/>
    <n v="2"/>
    <n v="68"/>
  </r>
  <r>
    <x v="3"/>
    <x v="3"/>
    <x v="8"/>
    <n v="151"/>
    <n v="2"/>
    <n v="149"/>
  </r>
  <r>
    <x v="4"/>
    <x v="2"/>
    <x v="2"/>
    <n v="26.79"/>
    <n v="22.79"/>
    <n v="4"/>
  </r>
  <r>
    <x v="4"/>
    <x v="0"/>
    <x v="6"/>
    <n v="246.25"/>
    <n v="13.75"/>
    <n v="232.5"/>
  </r>
  <r>
    <x v="4"/>
    <x v="1"/>
    <x v="10"/>
    <n v="75.81"/>
    <n v="53.98"/>
    <n v="21.83"/>
  </r>
  <r>
    <x v="5"/>
    <x v="2"/>
    <x v="7"/>
    <m/>
    <n v="1"/>
    <m/>
  </r>
  <r>
    <x v="5"/>
    <x v="0"/>
    <x v="0"/>
    <n v="1863.8"/>
    <n v="148.4"/>
    <n v="1715.3999999999999"/>
  </r>
  <r>
    <x v="5"/>
    <x v="1"/>
    <x v="3"/>
    <n v="144.99"/>
    <n v="134.44"/>
    <n v="10.55"/>
  </r>
  <r>
    <x v="5"/>
    <x v="1"/>
    <x v="10"/>
    <n v="80.399999999999991"/>
    <n v="55.399999999999991"/>
    <n v="25"/>
  </r>
  <r>
    <x v="5"/>
    <x v="1"/>
    <x v="13"/>
    <n v="49"/>
    <n v="15"/>
    <n v="34"/>
  </r>
  <r>
    <x v="5"/>
    <x v="3"/>
    <x v="2"/>
    <n v="687"/>
    <n v="27"/>
    <n v="660"/>
  </r>
  <r>
    <x v="6"/>
    <x v="2"/>
    <x v="2"/>
    <n v="26"/>
    <n v="21"/>
    <n v="5"/>
  </r>
  <r>
    <x v="6"/>
    <x v="2"/>
    <x v="11"/>
    <n v="4"/>
    <n v="3"/>
    <n v="1"/>
  </r>
  <r>
    <x v="6"/>
    <x v="0"/>
    <x v="0"/>
    <n v="1855.3000000000002"/>
    <n v="153.15"/>
    <n v="1702.15"/>
  </r>
  <r>
    <x v="6"/>
    <x v="1"/>
    <x v="12"/>
    <n v="382.5"/>
    <n v="142.84"/>
    <n v="239.66"/>
  </r>
  <r>
    <x v="6"/>
    <x v="1"/>
    <x v="1"/>
    <n v="56.95"/>
    <n v="20.599999999999998"/>
    <n v="36.35"/>
  </r>
  <r>
    <x v="8"/>
    <x v="1"/>
    <x v="3"/>
    <n v="163.91"/>
    <n v="150.60999999999999"/>
    <n v="13.299999999999999"/>
  </r>
  <r>
    <x v="8"/>
    <x v="1"/>
    <x v="4"/>
    <n v="4"/>
    <n v="1"/>
    <n v="3"/>
  </r>
  <r>
    <x v="8"/>
    <x v="3"/>
    <x v="2"/>
    <n v="660"/>
    <n v="39"/>
    <n v="621"/>
  </r>
  <r>
    <x v="9"/>
    <x v="2"/>
    <x v="7"/>
    <m/>
    <n v="1"/>
    <m/>
  </r>
  <r>
    <x v="9"/>
    <x v="0"/>
    <x v="0"/>
    <n v="1648.1899999999998"/>
    <n v="127.25"/>
    <n v="1520.9399999999998"/>
  </r>
  <r>
    <x v="9"/>
    <x v="4"/>
    <x v="2"/>
    <m/>
    <m/>
    <n v="1"/>
  </r>
  <r>
    <x v="9"/>
    <x v="3"/>
    <x v="6"/>
    <n v="601"/>
    <n v="31"/>
    <n v="570"/>
  </r>
  <r>
    <x v="10"/>
    <x v="1"/>
    <x v="3"/>
    <n v="123.35999999999999"/>
    <n v="110.35999999999999"/>
    <n v="13"/>
  </r>
  <r>
    <x v="10"/>
    <x v="3"/>
    <x v="0"/>
    <n v="1909.31"/>
    <n v="137.32999999999998"/>
    <n v="1771.98"/>
  </r>
  <r>
    <x v="11"/>
    <x v="2"/>
    <x v="0"/>
    <n v="91.69"/>
    <n v="72.69"/>
    <n v="19"/>
  </r>
  <r>
    <x v="11"/>
    <x v="0"/>
    <x v="2"/>
    <n v="431.42000000000007"/>
    <n v="24.7"/>
    <n v="406.72000000000008"/>
  </r>
  <r>
    <x v="11"/>
    <x v="1"/>
    <x v="3"/>
    <n v="129.11999999999998"/>
    <n v="116.24999999999999"/>
    <n v="12.87"/>
  </r>
  <r>
    <x v="11"/>
    <x v="1"/>
    <x v="5"/>
    <n v="35"/>
    <n v="24"/>
    <n v="11"/>
  </r>
  <r>
    <x v="11"/>
    <x v="3"/>
    <x v="2"/>
    <n v="622"/>
    <n v="35"/>
    <n v="587"/>
  </r>
  <r>
    <x v="11"/>
    <x v="3"/>
    <x v="11"/>
    <n v="72"/>
    <n v="9"/>
    <n v="63"/>
  </r>
  <r>
    <x v="0"/>
    <x v="2"/>
    <x v="8"/>
    <n v="11"/>
    <n v="9"/>
    <n v="2"/>
  </r>
  <r>
    <x v="1"/>
    <x v="1"/>
    <x v="10"/>
    <n v="55.470000000000006"/>
    <n v="36.870000000000005"/>
    <n v="18.600000000000001"/>
  </r>
  <r>
    <x v="1"/>
    <x v="1"/>
    <x v="1"/>
    <n v="128.98000000000002"/>
    <n v="65.05000000000004"/>
    <n v="63.929999999999993"/>
  </r>
  <r>
    <x v="1"/>
    <x v="3"/>
    <x v="11"/>
    <n v="103"/>
    <n v="3"/>
    <n v="100"/>
  </r>
  <r>
    <x v="2"/>
    <x v="2"/>
    <x v="0"/>
    <n v="89.021904761904764"/>
    <n v="71.021904761904764"/>
    <n v="18"/>
  </r>
  <r>
    <x v="3"/>
    <x v="1"/>
    <x v="13"/>
    <n v="42"/>
    <n v="17"/>
    <n v="25"/>
  </r>
  <r>
    <x v="3"/>
    <x v="3"/>
    <x v="6"/>
    <n v="587"/>
    <n v="21"/>
    <n v="566"/>
  </r>
  <r>
    <x v="4"/>
    <x v="1"/>
    <x v="12"/>
    <n v="354.57"/>
    <n v="133.04"/>
    <n v="221.53"/>
  </r>
  <r>
    <x v="5"/>
    <x v="1"/>
    <x v="12"/>
    <n v="375.56000000000006"/>
    <n v="139.56"/>
    <n v="236.00000000000003"/>
  </r>
  <r>
    <x v="5"/>
    <x v="3"/>
    <x v="11"/>
    <n v="80"/>
    <n v="2"/>
    <n v="78"/>
  </r>
  <r>
    <x v="5"/>
    <x v="3"/>
    <x v="8"/>
    <n v="147"/>
    <n v="2"/>
    <n v="145"/>
  </r>
  <r>
    <x v="6"/>
    <x v="2"/>
    <x v="8"/>
    <n v="8"/>
    <n v="7"/>
    <n v="1"/>
  </r>
  <r>
    <x v="6"/>
    <x v="2"/>
    <x v="6"/>
    <n v="45"/>
    <n v="38"/>
    <n v="7"/>
  </r>
  <r>
    <x v="6"/>
    <x v="0"/>
    <x v="6"/>
    <n v="236.5"/>
    <n v="11.75"/>
    <n v="224.75"/>
  </r>
  <r>
    <x v="6"/>
    <x v="3"/>
    <x v="6"/>
    <n v="608"/>
    <n v="30"/>
    <n v="578"/>
  </r>
  <r>
    <x v="7"/>
    <x v="2"/>
    <x v="7"/>
    <m/>
    <n v="1"/>
    <m/>
  </r>
  <r>
    <x v="7"/>
    <x v="2"/>
    <x v="0"/>
    <n v="90.06"/>
    <n v="74.06"/>
    <n v="16"/>
  </r>
  <r>
    <x v="7"/>
    <x v="2"/>
    <x v="11"/>
    <n v="4"/>
    <n v="3"/>
    <n v="1"/>
  </r>
  <r>
    <x v="7"/>
    <x v="3"/>
    <x v="2"/>
    <n v="687"/>
    <n v="29"/>
    <n v="658"/>
  </r>
  <r>
    <x v="8"/>
    <x v="2"/>
    <x v="7"/>
    <m/>
    <n v="1"/>
    <m/>
  </r>
  <r>
    <x v="8"/>
    <x v="2"/>
    <x v="2"/>
    <n v="27"/>
    <n v="20"/>
    <n v="7"/>
  </r>
  <r>
    <x v="8"/>
    <x v="2"/>
    <x v="11"/>
    <n v="4"/>
    <n v="3"/>
    <n v="1"/>
  </r>
  <r>
    <x v="8"/>
    <x v="3"/>
    <x v="7"/>
    <n v="35"/>
    <n v="1"/>
    <n v="34"/>
  </r>
  <r>
    <x v="8"/>
    <x v="3"/>
    <x v="8"/>
    <n v="157"/>
    <n v="5"/>
    <n v="152"/>
  </r>
  <r>
    <x v="9"/>
    <x v="0"/>
    <x v="6"/>
    <n v="231.79999999999998"/>
    <n v="12.75"/>
    <n v="219.04999999999998"/>
  </r>
  <r>
    <x v="9"/>
    <x v="4"/>
    <x v="6"/>
    <n v="54"/>
    <n v="9"/>
    <n v="45"/>
  </r>
  <r>
    <x v="9"/>
    <x v="1"/>
    <x v="13"/>
    <n v="80.14"/>
    <n v="36.14"/>
    <n v="44"/>
  </r>
  <r>
    <x v="9"/>
    <x v="1"/>
    <x v="1"/>
    <n v="53.88"/>
    <n v="14.530000000000001"/>
    <n v="39.35"/>
  </r>
  <r>
    <x v="10"/>
    <x v="2"/>
    <x v="2"/>
    <n v="25.79"/>
    <n v="20.79"/>
    <n v="5"/>
  </r>
  <r>
    <x v="10"/>
    <x v="0"/>
    <x v="0"/>
    <n v="1615.3400000000001"/>
    <n v="128.5"/>
    <n v="1486.8400000000001"/>
  </r>
  <r>
    <x v="11"/>
    <x v="2"/>
    <x v="11"/>
    <m/>
    <n v="2"/>
    <m/>
  </r>
  <r>
    <x v="0"/>
    <x v="1"/>
    <x v="4"/>
    <m/>
    <m/>
    <m/>
  </r>
  <r>
    <x v="0"/>
    <x v="1"/>
    <x v="13"/>
    <n v="69.7"/>
    <n v="31.7"/>
    <n v="38"/>
  </r>
  <r>
    <x v="0"/>
    <x v="1"/>
    <x v="5"/>
    <n v="19.8"/>
    <n v="6.8"/>
    <n v="13"/>
  </r>
  <r>
    <x v="0"/>
    <x v="3"/>
    <x v="0"/>
    <n v="2373.7600000000002"/>
    <n v="106"/>
    <n v="2267.7600000000002"/>
  </r>
  <r>
    <x v="0"/>
    <x v="3"/>
    <x v="8"/>
    <n v="136"/>
    <n v="2"/>
    <n v="134"/>
  </r>
  <r>
    <x v="1"/>
    <x v="0"/>
    <x v="0"/>
    <n v="1906.75"/>
    <n v="128.25"/>
    <n v="1778.5"/>
  </r>
  <r>
    <x v="1"/>
    <x v="1"/>
    <x v="5"/>
    <n v="36.9"/>
    <n v="19.899999999999999"/>
    <n v="17"/>
  </r>
  <r>
    <x v="1"/>
    <x v="3"/>
    <x v="9"/>
    <n v="7"/>
    <m/>
    <n v="7"/>
  </r>
  <r>
    <x v="2"/>
    <x v="2"/>
    <x v="6"/>
    <n v="50.314285714285717"/>
    <n v="43.314285714285717"/>
    <n v="7"/>
  </r>
  <r>
    <x v="2"/>
    <x v="0"/>
    <x v="2"/>
    <n v="486.17999999999995"/>
    <n v="16.75"/>
    <n v="469.42999999999995"/>
  </r>
  <r>
    <x v="2"/>
    <x v="0"/>
    <x v="6"/>
    <n v="247.75"/>
    <n v="14"/>
    <n v="233.75"/>
  </r>
  <r>
    <x v="3"/>
    <x v="1"/>
    <x v="4"/>
    <n v="3"/>
    <n v="2"/>
    <n v="1"/>
  </r>
  <r>
    <x v="3"/>
    <x v="1"/>
    <x v="12"/>
    <n v="332.41"/>
    <n v="106.79"/>
    <n v="225.62"/>
  </r>
  <r>
    <x v="3"/>
    <x v="1"/>
    <x v="1"/>
    <n v="115.06"/>
    <n v="56.58"/>
    <n v="58.48"/>
  </r>
  <r>
    <x v="4"/>
    <x v="0"/>
    <x v="0"/>
    <n v="1821.55"/>
    <n v="121.65"/>
    <n v="1699.9"/>
  </r>
  <r>
    <x v="4"/>
    <x v="3"/>
    <x v="7"/>
    <n v="34"/>
    <m/>
    <n v="34"/>
  </r>
  <r>
    <x v="4"/>
    <x v="3"/>
    <x v="0"/>
    <n v="1988.43"/>
    <n v="113.43"/>
    <n v="1875"/>
  </r>
  <r>
    <x v="5"/>
    <x v="1"/>
    <x v="5"/>
    <n v="34"/>
    <n v="21"/>
    <n v="13"/>
  </r>
  <r>
    <x v="5"/>
    <x v="3"/>
    <x v="7"/>
    <m/>
    <m/>
    <n v="33"/>
  </r>
  <r>
    <x v="6"/>
    <x v="3"/>
    <x v="11"/>
    <n v="80"/>
    <n v="2"/>
    <n v="78"/>
  </r>
  <r>
    <x v="6"/>
    <x v="3"/>
    <x v="8"/>
    <n v="153"/>
    <n v="5"/>
    <n v="148"/>
  </r>
  <r>
    <x v="7"/>
    <x v="1"/>
    <x v="10"/>
    <n v="88.429999999999993"/>
    <n v="59.429999999999993"/>
    <n v="29"/>
  </r>
  <r>
    <x v="7"/>
    <x v="3"/>
    <x v="7"/>
    <m/>
    <m/>
    <n v="35"/>
  </r>
  <r>
    <x v="7"/>
    <x v="3"/>
    <x v="6"/>
    <n v="603"/>
    <n v="31"/>
    <n v="572"/>
  </r>
  <r>
    <x v="8"/>
    <x v="0"/>
    <x v="0"/>
    <n v="1678.3400000000001"/>
    <n v="135.9"/>
    <n v="1542.44"/>
  </r>
  <r>
    <x v="8"/>
    <x v="1"/>
    <x v="5"/>
    <n v="32"/>
    <n v="19"/>
    <n v="13"/>
  </r>
  <r>
    <x v="8"/>
    <x v="1"/>
    <x v="1"/>
    <n v="55.650000000000006"/>
    <n v="16.3"/>
    <n v="39.35"/>
  </r>
  <r>
    <x v="8"/>
    <x v="3"/>
    <x v="6"/>
    <n v="607"/>
    <n v="30"/>
    <n v="577"/>
  </r>
  <r>
    <x v="9"/>
    <x v="0"/>
    <x v="2"/>
    <n v="453.13"/>
    <n v="18"/>
    <n v="435.13"/>
  </r>
  <r>
    <x v="9"/>
    <x v="1"/>
    <x v="4"/>
    <n v="4"/>
    <n v="1"/>
    <n v="3"/>
  </r>
  <r>
    <x v="10"/>
    <x v="2"/>
    <x v="0"/>
    <n v="86.850000000000009"/>
    <n v="68.850000000000009"/>
    <n v="18"/>
  </r>
  <r>
    <x v="10"/>
    <x v="4"/>
    <x v="2"/>
    <m/>
    <m/>
    <n v="2"/>
  </r>
  <r>
    <x v="10"/>
    <x v="1"/>
    <x v="10"/>
    <n v="88.1"/>
    <n v="47.099999999999994"/>
    <n v="41"/>
  </r>
  <r>
    <x v="10"/>
    <x v="1"/>
    <x v="12"/>
    <n v="438.38"/>
    <n v="204.51"/>
    <n v="233.87"/>
  </r>
  <r>
    <x v="10"/>
    <x v="1"/>
    <x v="5"/>
    <n v="35"/>
    <n v="24"/>
    <n v="11"/>
  </r>
  <r>
    <x v="10"/>
    <x v="1"/>
    <x v="1"/>
    <n v="55.88"/>
    <n v="15.530000000000001"/>
    <n v="40.35"/>
  </r>
  <r>
    <x v="10"/>
    <x v="3"/>
    <x v="9"/>
    <m/>
    <m/>
    <n v="5"/>
  </r>
  <r>
    <x v="10"/>
    <x v="3"/>
    <x v="11"/>
    <n v="71"/>
    <n v="2"/>
    <n v="69"/>
  </r>
  <r>
    <x v="11"/>
    <x v="2"/>
    <x v="6"/>
    <n v="37"/>
    <n v="29"/>
    <n v="8"/>
  </r>
  <r>
    <x v="11"/>
    <x v="0"/>
    <x v="0"/>
    <n v="1650.8000000000009"/>
    <n v="141.16"/>
    <n v="1509.6400000000008"/>
  </r>
  <r>
    <x v="11"/>
    <x v="1"/>
    <x v="10"/>
    <n v="89.24"/>
    <n v="44.239999999999995"/>
    <n v="45"/>
  </r>
  <r>
    <x v="11"/>
    <x v="3"/>
    <x v="7"/>
    <m/>
    <m/>
    <n v="30"/>
  </r>
  <r>
    <x v="11"/>
    <x v="3"/>
    <x v="9"/>
    <m/>
    <m/>
    <n v="5"/>
  </r>
  <r>
    <x v="0"/>
    <x v="1"/>
    <x v="3"/>
    <n v="223.6"/>
    <n v="197.5"/>
    <n v="26.1"/>
  </r>
  <r>
    <x v="0"/>
    <x v="1"/>
    <x v="10"/>
    <n v="42.3"/>
    <n v="25.7"/>
    <n v="16.600000000000001"/>
  </r>
  <r>
    <x v="0"/>
    <x v="3"/>
    <x v="7"/>
    <n v="28"/>
    <m/>
    <n v="28"/>
  </r>
  <r>
    <x v="1"/>
    <x v="2"/>
    <x v="11"/>
    <n v="5"/>
    <n v="4"/>
    <n v="1"/>
  </r>
  <r>
    <x v="1"/>
    <x v="2"/>
    <x v="8"/>
    <n v="12.85"/>
    <n v="10.85"/>
    <n v="2"/>
  </r>
  <r>
    <x v="1"/>
    <x v="2"/>
    <x v="6"/>
    <n v="49.46"/>
    <n v="43.46"/>
    <n v="6"/>
  </r>
  <r>
    <x v="1"/>
    <x v="0"/>
    <x v="6"/>
    <n v="263.75"/>
    <n v="12"/>
    <n v="251.75"/>
  </r>
  <r>
    <x v="2"/>
    <x v="1"/>
    <x v="3"/>
    <n v="145.72971428571435"/>
    <n v="128.96057142857148"/>
    <n v="16.769142857142857"/>
  </r>
  <r>
    <x v="2"/>
    <x v="3"/>
    <x v="11"/>
    <n v="90"/>
    <n v="3"/>
    <n v="87"/>
  </r>
  <r>
    <x v="4"/>
    <x v="1"/>
    <x v="5"/>
    <n v="30.86"/>
    <n v="18.36"/>
    <n v="12.5"/>
  </r>
  <r>
    <x v="5"/>
    <x v="2"/>
    <x v="0"/>
    <n v="119.33000000000001"/>
    <n v="98.330000000000013"/>
    <n v="21"/>
  </r>
  <r>
    <x v="5"/>
    <x v="2"/>
    <x v="11"/>
    <n v="4"/>
    <n v="3"/>
    <n v="1"/>
  </r>
  <r>
    <x v="5"/>
    <x v="1"/>
    <x v="1"/>
    <n v="58.61"/>
    <n v="21.26"/>
    <n v="37.35"/>
  </r>
  <r>
    <x v="6"/>
    <x v="2"/>
    <x v="7"/>
    <m/>
    <n v="1"/>
    <m/>
  </r>
  <r>
    <x v="7"/>
    <x v="1"/>
    <x v="13"/>
    <n v="49.8"/>
    <n v="16.8"/>
    <n v="33"/>
  </r>
  <r>
    <x v="7"/>
    <x v="1"/>
    <x v="1"/>
    <n v="55.730000000000004"/>
    <n v="18.38"/>
    <n v="37.35"/>
  </r>
  <r>
    <x v="7"/>
    <x v="3"/>
    <x v="0"/>
    <n v="2017.43"/>
    <n v="148.43"/>
    <n v="1869"/>
  </r>
  <r>
    <x v="8"/>
    <x v="2"/>
    <x v="8"/>
    <n v="10"/>
    <n v="9"/>
    <n v="1"/>
  </r>
  <r>
    <x v="8"/>
    <x v="4"/>
    <x v="6"/>
    <n v="53"/>
    <n v="10"/>
    <n v="43"/>
  </r>
  <r>
    <x v="8"/>
    <x v="1"/>
    <x v="12"/>
    <n v="449.55000000000007"/>
    <n v="168.88000000000002"/>
    <n v="280.67"/>
  </r>
  <r>
    <x v="8"/>
    <x v="3"/>
    <x v="0"/>
    <n v="1988.43"/>
    <n v="146.93"/>
    <n v="1841.5"/>
  </r>
  <r>
    <x v="9"/>
    <x v="2"/>
    <x v="2"/>
    <n v="28.29"/>
    <n v="24.29"/>
    <n v="4"/>
  </r>
  <r>
    <x v="9"/>
    <x v="2"/>
    <x v="0"/>
    <n v="87.91"/>
    <n v="70.91"/>
    <n v="17"/>
  </r>
  <r>
    <x v="9"/>
    <x v="1"/>
    <x v="5"/>
    <n v="36"/>
    <n v="24"/>
    <n v="12"/>
  </r>
  <r>
    <x v="10"/>
    <x v="1"/>
    <x v="13"/>
    <n v="85.68"/>
    <n v="40.08"/>
    <n v="45.6"/>
  </r>
  <r>
    <x v="10"/>
    <x v="3"/>
    <x v="7"/>
    <n v="31"/>
    <n v="1"/>
    <n v="30"/>
  </r>
  <r>
    <x v="10"/>
    <x v="3"/>
    <x v="2"/>
    <n v="640"/>
    <n v="39"/>
    <n v="601"/>
  </r>
  <r>
    <x v="10"/>
    <x v="3"/>
    <x v="8"/>
    <n v="156"/>
    <n v="9"/>
    <n v="147"/>
  </r>
  <r>
    <x v="11"/>
    <x v="2"/>
    <x v="2"/>
    <n v="28"/>
    <n v="24"/>
    <n v="4"/>
  </r>
  <r>
    <x v="11"/>
    <x v="2"/>
    <x v="8"/>
    <n v="8"/>
    <n v="7"/>
    <n v="1"/>
  </r>
  <r>
    <x v="11"/>
    <x v="1"/>
    <x v="4"/>
    <n v="4"/>
    <n v="3"/>
    <n v="1"/>
  </r>
  <r>
    <x v="0"/>
    <x v="3"/>
    <x v="9"/>
    <n v="9"/>
    <m/>
    <n v="9"/>
  </r>
  <r>
    <x v="0"/>
    <x v="3"/>
    <x v="2"/>
    <n v="660"/>
    <n v="26"/>
    <n v="634"/>
  </r>
  <r>
    <x v="1"/>
    <x v="2"/>
    <x v="2"/>
    <n v="50.79"/>
    <n v="42.79"/>
    <n v="8"/>
  </r>
  <r>
    <x v="1"/>
    <x v="1"/>
    <x v="12"/>
    <n v="325.23"/>
    <n v="94.63"/>
    <n v="230.60000000000002"/>
  </r>
  <r>
    <x v="2"/>
    <x v="2"/>
    <x v="2"/>
    <n v="43"/>
    <n v="38"/>
    <n v="5"/>
  </r>
  <r>
    <x v="2"/>
    <x v="2"/>
    <x v="11"/>
    <n v="6"/>
    <n v="4"/>
    <n v="2"/>
  </r>
  <r>
    <x v="3"/>
    <x v="2"/>
    <x v="8"/>
    <n v="8"/>
    <n v="7"/>
    <n v="1"/>
  </r>
  <r>
    <x v="3"/>
    <x v="0"/>
    <x v="6"/>
    <n v="247.25"/>
    <n v="15.75"/>
    <n v="231.5"/>
  </r>
  <r>
    <x v="3"/>
    <x v="3"/>
    <x v="7"/>
    <m/>
    <m/>
    <n v="34"/>
  </r>
  <r>
    <x v="4"/>
    <x v="2"/>
    <x v="11"/>
    <n v="5"/>
    <n v="4"/>
    <n v="1"/>
  </r>
  <r>
    <x v="4"/>
    <x v="2"/>
    <x v="8"/>
    <n v="8"/>
    <n v="7"/>
    <n v="1"/>
  </r>
  <r>
    <x v="4"/>
    <x v="2"/>
    <x v="6"/>
    <n v="43"/>
    <n v="36"/>
    <n v="7"/>
  </r>
  <r>
    <x v="4"/>
    <x v="0"/>
    <x v="2"/>
    <n v="477.18"/>
    <n v="18.25"/>
    <n v="458.93"/>
  </r>
  <r>
    <x v="4"/>
    <x v="3"/>
    <x v="9"/>
    <n v="4"/>
    <m/>
    <n v="4"/>
  </r>
  <r>
    <x v="4"/>
    <x v="3"/>
    <x v="11"/>
    <n v="74"/>
    <n v="2"/>
    <n v="72"/>
  </r>
  <r>
    <x v="4"/>
    <x v="3"/>
    <x v="6"/>
    <n v="602"/>
    <n v="31"/>
    <n v="571"/>
  </r>
  <r>
    <x v="5"/>
    <x v="2"/>
    <x v="2"/>
    <n v="27"/>
    <n v="21"/>
    <n v="6"/>
  </r>
  <r>
    <x v="5"/>
    <x v="2"/>
    <x v="6"/>
    <n v="42"/>
    <n v="36"/>
    <n v="6"/>
  </r>
  <r>
    <x v="5"/>
    <x v="0"/>
    <x v="2"/>
    <n v="478.93"/>
    <n v="19"/>
    <n v="459.93"/>
  </r>
  <r>
    <x v="5"/>
    <x v="0"/>
    <x v="6"/>
    <n v="241.25"/>
    <n v="12.5"/>
    <n v="228.75"/>
  </r>
  <r>
    <x v="5"/>
    <x v="3"/>
    <x v="0"/>
    <n v="2073.9299999999998"/>
    <n v="130.93"/>
    <n v="1943"/>
  </r>
  <r>
    <x v="6"/>
    <x v="1"/>
    <x v="3"/>
    <n v="154.34"/>
    <n v="144.79"/>
    <n v="9.5500000000000007"/>
  </r>
  <r>
    <x v="6"/>
    <x v="1"/>
    <x v="13"/>
    <n v="47"/>
    <n v="14"/>
    <n v="33"/>
  </r>
  <r>
    <x v="6"/>
    <x v="1"/>
    <x v="5"/>
    <n v="32"/>
    <n v="20"/>
    <n v="12"/>
  </r>
  <r>
    <x v="6"/>
    <x v="3"/>
    <x v="9"/>
    <m/>
    <m/>
    <n v="6"/>
  </r>
  <r>
    <x v="7"/>
    <x v="4"/>
    <x v="6"/>
    <n v="54"/>
    <n v="11"/>
    <n v="43"/>
  </r>
  <r>
    <x v="7"/>
    <x v="1"/>
    <x v="5"/>
    <n v="30"/>
    <n v="19"/>
    <n v="11"/>
  </r>
  <r>
    <x v="7"/>
    <x v="3"/>
    <x v="8"/>
    <n v="152"/>
    <n v="7"/>
    <n v="145"/>
  </r>
  <r>
    <x v="8"/>
    <x v="0"/>
    <x v="2"/>
    <n v="461.28999999999996"/>
    <n v="14.5"/>
    <n v="446.78999999999996"/>
  </r>
  <r>
    <x v="8"/>
    <x v="0"/>
    <x v="6"/>
    <n v="235.85"/>
    <n v="12.25"/>
    <n v="223.6"/>
  </r>
  <r>
    <x v="9"/>
    <x v="3"/>
    <x v="7"/>
    <n v="31"/>
    <n v="1"/>
    <n v="30"/>
  </r>
  <r>
    <x v="10"/>
    <x v="2"/>
    <x v="11"/>
    <m/>
    <n v="4"/>
    <m/>
  </r>
  <r>
    <x v="10"/>
    <x v="0"/>
    <x v="2"/>
    <n v="452.13"/>
    <n v="23.25"/>
    <n v="428.88"/>
  </r>
  <r>
    <x v="10"/>
    <x v="0"/>
    <x v="6"/>
    <n v="222.29999999999998"/>
    <n v="9.75"/>
    <n v="212.54999999999998"/>
  </r>
  <r>
    <x v="11"/>
    <x v="4"/>
    <x v="2"/>
    <m/>
    <m/>
    <n v="4"/>
  </r>
  <r>
    <x v="11"/>
    <x v="4"/>
    <x v="6"/>
    <n v="53"/>
    <n v="7"/>
    <n v="46"/>
  </r>
  <r>
    <x v="11"/>
    <x v="1"/>
    <x v="1"/>
    <n v="54.53"/>
    <n v="15.82"/>
    <n v="38.71"/>
  </r>
  <r>
    <x v="11"/>
    <x v="3"/>
    <x v="0"/>
    <n v="1933.31"/>
    <n v="138.32999999999998"/>
    <n v="1794.98"/>
  </r>
  <r>
    <x v="11"/>
    <x v="3"/>
    <x v="8"/>
    <n v="160"/>
    <n v="5"/>
    <n v="155"/>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3.2383018810173998"/>
    <n v="2.4963871217651699"/>
    <n v="1.7888109120957101"/>
    <n v="2.17919399729813"/>
    <n v="2.1170750711117798"/>
    <n v="3.6214893874166001"/>
    <n v="2.53191808848096"/>
  </r>
  <r>
    <x v="1"/>
    <n v="3.1868346484751102"/>
    <n v="2.3587378131879699"/>
    <n v="1.6718611261747101"/>
    <n v="1.78860036633983"/>
    <n v="1.9208273399"/>
    <n v="3.5313264951207199"/>
    <n v="2.3452202857356599"/>
  </r>
  <r>
    <x v="2"/>
    <n v="3.1836633765377398"/>
    <n v="2.4072968224256099"/>
    <n v="1.7431198195046"/>
    <n v="1.77315129774044"/>
    <n v="2.02073514685482"/>
    <n v="4.0293256937670296"/>
    <n v="2.5074446305602098"/>
  </r>
  <r>
    <x v="3"/>
    <n v="2.6751335129753002"/>
    <n v="2.23490559668745"/>
    <n v="1.7018839798088801"/>
    <n v="1.3071088286823001"/>
    <n v="1.9537466004626001"/>
    <n v="4.1736147049239998"/>
    <n v="2.3903269376653702"/>
  </r>
  <r>
    <x v="4"/>
    <n v="2.7273436226099399"/>
    <n v="2.2093953467700702"/>
    <n v="1.6209257770713299"/>
    <n v="1.39846824355774"/>
    <n v="1.92917123571634"/>
    <n v="3.99921035100841"/>
    <n v="2.35853856363368"/>
  </r>
  <r>
    <x v="5"/>
    <n v="2.6244121620157301"/>
    <n v="2.2083850613962599"/>
    <n v="1.6496084534584401"/>
    <n v="1.4152106479203099"/>
    <n v="1.87941605212535"/>
    <n v="3.77556001518685"/>
    <n v="2.2909655946010599"/>
  </r>
  <r>
    <x v="6"/>
    <n v="2.5909500763667817"/>
    <n v="2.1887441563666123"/>
    <n v="1.6055974529491785"/>
    <n v="1.3978495723593021"/>
    <n v="1.8302517057382788"/>
    <n v="3.7077274669399558"/>
    <n v="2.2522651144912418"/>
  </r>
  <r>
    <x v="7"/>
    <n v="0.48141437268295645"/>
    <n v="0.45840896568505429"/>
    <n v="0.36746497554977431"/>
    <n v="0.31022444614256844"/>
    <n v="0.42915501219418262"/>
    <n v="1.1999685342583262"/>
    <n v="0.59687156970362243"/>
  </r>
  <r>
    <x v="8"/>
    <n v="0.86048614726918959"/>
    <n v="0.79249568838598416"/>
    <n v="0.67354317907895844"/>
    <n v="0.59173152968067744"/>
    <n v="0.8446089414273964"/>
    <n v="2.8791941466373943"/>
    <n v="1.291227942115732"/>
  </r>
  <r>
    <x v="9"/>
    <n v="0.90041771552281002"/>
    <n v="0.87858775361404406"/>
    <n v="0.69036073660901975"/>
    <n v="0.60844889165992899"/>
    <n v="0.82430671531328326"/>
    <n v="2.2670147585664622"/>
    <n v="1.1427945765433676"/>
  </r>
  <r>
    <x v="10"/>
    <n v="0.97465098597473188"/>
    <n v="0.92497068133922355"/>
    <n v="0.67739227145847869"/>
    <n v="0.64712737542319532"/>
    <n v="0.84588756469098614"/>
    <n v="1.989648939475245"/>
    <n v="1.1063368608950657"/>
  </r>
  <r>
    <x v="11"/>
    <n v="0.80937625640130129"/>
    <n v="0.76244580654806393"/>
    <n v="0.56198960453678881"/>
    <n v="0.56558402402791552"/>
    <n v="0.75715843914365921"/>
    <n v="1.7881486709986367"/>
    <n v="0.9744001153797617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18"/>
    <n v="21"/>
    <n v="38"/>
    <n v="77"/>
  </r>
  <r>
    <x v="0"/>
    <x v="1"/>
    <n v="11"/>
    <n v="12"/>
    <n v="30"/>
    <n v="53"/>
  </r>
  <r>
    <x v="0"/>
    <x v="2"/>
    <n v="11"/>
    <n v="15"/>
    <n v="46"/>
    <n v="72"/>
  </r>
  <r>
    <x v="0"/>
    <x v="3"/>
    <n v="10"/>
    <n v="9"/>
    <n v="34"/>
    <n v="53"/>
  </r>
  <r>
    <x v="0"/>
    <x v="4"/>
    <n v="19"/>
    <n v="25"/>
    <n v="19"/>
    <n v="63"/>
  </r>
  <r>
    <x v="0"/>
    <x v="5"/>
    <n v="14"/>
    <n v="34"/>
    <n v="18"/>
    <n v="66"/>
  </r>
  <r>
    <x v="0"/>
    <x v="6"/>
    <n v="22"/>
    <n v="32"/>
    <n v="16"/>
    <n v="70"/>
  </r>
  <r>
    <x v="0"/>
    <x v="7"/>
    <n v="25"/>
    <n v="13"/>
    <n v="13"/>
    <n v="51"/>
  </r>
  <r>
    <x v="0"/>
    <x v="8"/>
    <n v="18"/>
    <n v="12"/>
    <n v="21"/>
    <n v="51"/>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5909"/>
    <n v="6233"/>
    <n v="5321"/>
    <n v="4898"/>
    <n v="4568"/>
    <n v="26929"/>
  </r>
  <r>
    <x v="1"/>
    <n v="5967"/>
    <n v="6495"/>
    <n v="5828"/>
    <n v="5326"/>
    <n v="4664"/>
    <n v="28280"/>
  </r>
  <r>
    <x v="2"/>
    <n v="5798"/>
    <n v="6550"/>
    <n v="5947"/>
    <n v="5619"/>
    <n v="5063"/>
    <n v="28977"/>
  </r>
  <r>
    <x v="3"/>
    <n v="5574"/>
    <n v="6271"/>
    <n v="5690"/>
    <n v="5360"/>
    <n v="4821"/>
    <n v="27716"/>
  </r>
  <r>
    <x v="4"/>
    <n v="5160"/>
    <n v="5587"/>
    <n v="5019"/>
    <n v="4481"/>
    <n v="4189"/>
    <n v="24436"/>
  </r>
  <r>
    <x v="5"/>
    <n v="4664"/>
    <n v="5068"/>
    <n v="4517"/>
    <n v="4206"/>
    <n v="3805"/>
    <n v="22260"/>
  </r>
  <r>
    <x v="6"/>
    <n v="1688"/>
    <n v="1696"/>
    <n v="1487"/>
    <n v="1482"/>
    <n v="1317"/>
    <n v="7670"/>
  </r>
  <r>
    <x v="7"/>
    <m/>
    <m/>
    <m/>
    <m/>
    <m/>
    <m/>
  </r>
  <r>
    <x v="8"/>
    <m/>
    <m/>
    <m/>
    <m/>
    <m/>
    <m/>
  </r>
  <r>
    <x v="9"/>
    <n v="1322"/>
    <n v="1479"/>
    <n v="1164"/>
    <n v="1004"/>
    <n v="944"/>
    <n v="5913"/>
  </r>
  <r>
    <x v="10"/>
    <n v="941"/>
    <n v="1019"/>
    <n v="849"/>
    <n v="728"/>
    <n v="653"/>
    <n v="4190"/>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m/>
    <m/>
    <m/>
    <m/>
    <m/>
  </r>
  <r>
    <x v="1"/>
    <n v="0.2"/>
    <n v="0.3"/>
    <n v="0.2"/>
    <n v="0.2"/>
    <n v="0.2"/>
    <n v="0.2"/>
  </r>
  <r>
    <x v="2"/>
    <n v="0.2"/>
    <n v="0.2"/>
    <n v="0.2"/>
    <n v="0.1"/>
    <n v="0.1"/>
    <n v="0.2"/>
  </r>
  <r>
    <x v="3"/>
    <n v="1"/>
    <n v="1.2"/>
    <n v="1.1000000000000001"/>
    <n v="1.1000000000000001"/>
    <n v="1"/>
    <n v="1.1000000000000001"/>
  </r>
  <r>
    <x v="4"/>
    <n v="0.9"/>
    <n v="1"/>
    <n v="0.9"/>
    <n v="0.8"/>
    <n v="0.8"/>
    <n v="0.9"/>
  </r>
  <r>
    <x v="5"/>
    <n v="1.1000000000000001"/>
    <n v="1.3"/>
    <n v="1.2"/>
    <n v="1.2"/>
    <n v="1.1000000000000001"/>
    <n v="1.2"/>
  </r>
  <r>
    <x v="6"/>
    <n v="1"/>
    <n v="1.1000000000000001"/>
    <n v="1"/>
    <n v="0.9"/>
    <n v="0.9"/>
    <n v="1"/>
  </r>
  <r>
    <x v="7"/>
    <n v="0.3"/>
    <n v="0.3"/>
    <n v="0.3"/>
    <n v="0.3"/>
    <n v="0.3"/>
    <n v="0.3"/>
  </r>
  <r>
    <x v="8"/>
    <n v="1.1000000000000001"/>
    <n v="1.2"/>
    <n v="1.1000000000000001"/>
    <n v="1"/>
    <n v="1"/>
    <n v="1.1000000000000001"/>
  </r>
  <r>
    <x v="9"/>
    <n v="1.1000000000000001"/>
    <n v="1.3"/>
    <n v="1.2"/>
    <n v="1.1000000000000001"/>
    <n v="1"/>
    <n v="1.2"/>
  </r>
  <r>
    <x v="10"/>
    <m/>
    <m/>
    <m/>
    <m/>
    <m/>
    <m/>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s v="NULL"/>
    <s v="NULL"/>
    <s v="NULL"/>
    <s v="NULL"/>
    <s v="NULL"/>
  </r>
  <r>
    <x v="1"/>
    <x v="1"/>
    <n v="5311"/>
    <n v="2914"/>
    <n v="54.9"/>
    <n v="0.55000000000000004"/>
    <n v="525964"/>
  </r>
  <r>
    <x v="1"/>
    <x v="2"/>
    <n v="7232"/>
    <n v="4166"/>
    <n v="57.6"/>
    <n v="0.83"/>
    <n v="504692"/>
  </r>
  <r>
    <x v="1"/>
    <x v="3"/>
    <n v="7001"/>
    <n v="3879"/>
    <n v="55.4"/>
    <n v="0.79"/>
    <n v="488191"/>
  </r>
  <r>
    <x v="1"/>
    <x v="4"/>
    <n v="7027"/>
    <n v="3984"/>
    <n v="56.7"/>
    <n v="0.85"/>
    <n v="467642"/>
  </r>
  <r>
    <x v="1"/>
    <x v="5"/>
    <n v="6863"/>
    <n v="3917"/>
    <n v="57.1"/>
    <n v="0.87"/>
    <n v="449892"/>
  </r>
  <r>
    <x v="2"/>
    <x v="1"/>
    <n v="5852"/>
    <n v="3156"/>
    <n v="53.9"/>
    <n v="0.6"/>
    <n v="528323"/>
  </r>
  <r>
    <x v="2"/>
    <x v="2"/>
    <n v="8111"/>
    <n v="4507"/>
    <n v="55.6"/>
    <n v="0.89"/>
    <n v="506910"/>
  </r>
  <r>
    <x v="2"/>
    <x v="3"/>
    <n v="7986"/>
    <n v="4448"/>
    <n v="55.7"/>
    <n v="0.91"/>
    <n v="490270"/>
  </r>
  <r>
    <x v="2"/>
    <x v="4"/>
    <n v="8176"/>
    <n v="4368"/>
    <n v="53.4"/>
    <n v="0.92"/>
    <n v="472964"/>
  </r>
  <r>
    <x v="2"/>
    <x v="5"/>
    <n v="7333"/>
    <n v="4100"/>
    <n v="55.9"/>
    <n v="0.9"/>
    <n v="453045"/>
  </r>
  <r>
    <x v="3"/>
    <x v="1"/>
    <n v="5988"/>
    <n v="3276"/>
    <n v="54.7"/>
    <n v="0.62"/>
    <n v="530637"/>
  </r>
  <r>
    <x v="3"/>
    <x v="2"/>
    <n v="8378"/>
    <n v="4745"/>
    <n v="56.6"/>
    <n v="0.93"/>
    <n v="509500"/>
  </r>
  <r>
    <x v="3"/>
    <x v="3"/>
    <n v="8563"/>
    <n v="4675"/>
    <n v="54.6"/>
    <n v="0.95"/>
    <n v="494416"/>
  </r>
  <r>
    <x v="3"/>
    <x v="4"/>
    <n v="8892"/>
    <n v="4750"/>
    <n v="53.4"/>
    <n v="0.99"/>
    <n v="479897"/>
  </r>
  <r>
    <x v="3"/>
    <x v="5"/>
    <n v="7902"/>
    <n v="4428"/>
    <n v="56"/>
    <n v="0.97"/>
    <n v="455604"/>
  </r>
  <r>
    <x v="4"/>
    <x v="1"/>
    <n v="6009"/>
    <n v="3169"/>
    <n v="52.7"/>
    <n v="0.6"/>
    <n v="532256"/>
  </r>
  <r>
    <x v="4"/>
    <x v="2"/>
    <n v="8141"/>
    <n v="4633"/>
    <n v="56.9"/>
    <n v="0.9"/>
    <n v="512529"/>
  </r>
  <r>
    <x v="4"/>
    <x v="3"/>
    <n v="8217"/>
    <n v="4491"/>
    <n v="54.7"/>
    <n v="0.9"/>
    <n v="498164"/>
  </r>
  <r>
    <x v="4"/>
    <x v="4"/>
    <n v="8475"/>
    <n v="4510"/>
    <n v="53.2"/>
    <n v="0.93"/>
    <n v="487395"/>
  </r>
  <r>
    <x v="4"/>
    <x v="5"/>
    <n v="7496"/>
    <n v="4264"/>
    <n v="56.9"/>
    <n v="0.93"/>
    <n v="459499"/>
  </r>
  <r>
    <x v="5"/>
    <x v="1"/>
    <n v="5680"/>
    <n v="2967"/>
    <n v="52.2"/>
    <n v="0.56000000000000005"/>
    <n v="534275"/>
  </r>
  <r>
    <x v="5"/>
    <x v="2"/>
    <n v="7500"/>
    <n v="4073"/>
    <n v="54.3"/>
    <n v="0.79"/>
    <n v="514316"/>
  </r>
  <r>
    <x v="5"/>
    <x v="3"/>
    <n v="7662"/>
    <n v="3983"/>
    <n v="52"/>
    <n v="0.8"/>
    <n v="500858"/>
  </r>
  <r>
    <x v="5"/>
    <x v="4"/>
    <n v="7415"/>
    <n v="3799"/>
    <n v="51.2"/>
    <n v="0.77"/>
    <n v="493970"/>
  </r>
  <r>
    <x v="5"/>
    <x v="5"/>
    <n v="7074"/>
    <n v="3690"/>
    <n v="52.2"/>
    <n v="0.8"/>
    <n v="463248"/>
  </r>
  <r>
    <x v="6"/>
    <x v="1"/>
    <n v="5596"/>
    <n v="2750"/>
    <n v="49.1"/>
    <n v="0.51"/>
    <n v="536037"/>
  </r>
  <r>
    <x v="6"/>
    <x v="2"/>
    <n v="7144"/>
    <n v="3747"/>
    <n v="52.4"/>
    <n v="0.72"/>
    <n v="518089"/>
  </r>
  <r>
    <x v="6"/>
    <x v="3"/>
    <n v="7292"/>
    <n v="3557"/>
    <n v="48.8"/>
    <n v="0.7"/>
    <n v="505001"/>
  </r>
  <r>
    <x v="6"/>
    <x v="4"/>
    <n v="7621"/>
    <n v="3533"/>
    <n v="46.4"/>
    <n v="0.7"/>
    <n v="501595"/>
  </r>
  <r>
    <x v="6"/>
    <x v="5"/>
    <n v="6942"/>
    <n v="3404"/>
    <n v="49"/>
    <n v="0.73"/>
    <n v="467052"/>
  </r>
  <r>
    <x v="7"/>
    <x v="1"/>
    <n v="1867"/>
    <n v="1040"/>
    <n v="55.7"/>
    <n v="0.19"/>
    <n v="536888"/>
  </r>
  <r>
    <x v="7"/>
    <x v="2"/>
    <n v="2345"/>
    <n v="1302"/>
    <n v="55.5"/>
    <n v="0.25"/>
    <n v="518933"/>
  </r>
  <r>
    <x v="7"/>
    <x v="3"/>
    <n v="2231"/>
    <n v="1194"/>
    <n v="53.5"/>
    <n v="0.24"/>
    <n v="507851"/>
  </r>
  <r>
    <x v="7"/>
    <x v="4"/>
    <n v="2290"/>
    <n v="1261"/>
    <n v="55.1"/>
    <n v="0.25"/>
    <n v="506063"/>
  </r>
  <r>
    <x v="7"/>
    <x v="5"/>
    <n v="2073"/>
    <n v="1177"/>
    <n v="56.8"/>
    <n v="0.25"/>
    <n v="469008"/>
  </r>
  <r>
    <x v="8"/>
    <x v="1"/>
    <s v="NULL"/>
    <s v="NULL"/>
    <s v="NULL"/>
    <s v="NULL"/>
    <s v="NULL"/>
  </r>
  <r>
    <x v="8"/>
    <x v="2"/>
    <s v="NULL"/>
    <s v="NULL"/>
    <s v="NULL"/>
    <s v="NULL"/>
    <s v="NULL"/>
  </r>
  <r>
    <x v="8"/>
    <x v="3"/>
    <s v="NULL"/>
    <s v="NULL"/>
    <s v="NULL"/>
    <s v="NULL"/>
    <s v="NULL"/>
  </r>
  <r>
    <x v="8"/>
    <x v="4"/>
    <s v="NULL"/>
    <s v="NULL"/>
    <s v="NULL"/>
    <s v="NULL"/>
    <s v="NULL"/>
  </r>
  <r>
    <x v="8"/>
    <x v="5"/>
    <s v="NULL"/>
    <s v="NULL"/>
    <s v="NULL"/>
    <s v="NULL"/>
    <s v="NULL"/>
  </r>
  <r>
    <x v="9"/>
    <x v="1"/>
    <s v="NULL"/>
    <s v="NULL"/>
    <s v="NULL"/>
    <s v="NULL"/>
    <s v="NULL"/>
  </r>
  <r>
    <x v="9"/>
    <x v="2"/>
    <s v="NULL"/>
    <s v="NULL"/>
    <s v="NULL"/>
    <s v="NULL"/>
    <s v="NULL"/>
  </r>
  <r>
    <x v="9"/>
    <x v="3"/>
    <s v="NULL"/>
    <s v="NULL"/>
    <s v="NULL"/>
    <s v="NULL"/>
    <s v="NULL"/>
  </r>
  <r>
    <x v="9"/>
    <x v="4"/>
    <s v="NULL"/>
    <s v="NULL"/>
    <s v="NULL"/>
    <s v="NULL"/>
    <s v="NULL"/>
  </r>
  <r>
    <x v="9"/>
    <x v="5"/>
    <s v="NULL"/>
    <s v="NULL"/>
    <s v="NULL"/>
    <s v="NULL"/>
    <s v="NULL"/>
  </r>
  <r>
    <x v="10"/>
    <x v="1"/>
    <n v="2789"/>
    <n v="989"/>
    <n v="35.5"/>
    <n v="0.18"/>
    <n v="544255"/>
  </r>
  <r>
    <x v="10"/>
    <x v="2"/>
    <n v="3964"/>
    <n v="1247"/>
    <n v="31.5"/>
    <n v="0.24"/>
    <n v="527943"/>
  </r>
  <r>
    <x v="10"/>
    <x v="3"/>
    <n v="3702"/>
    <n v="994"/>
    <n v="26.9"/>
    <n v="0.19"/>
    <n v="522313"/>
  </r>
  <r>
    <x v="10"/>
    <x v="4"/>
    <n v="3734"/>
    <n v="870"/>
    <n v="23.3"/>
    <n v="0.16"/>
    <n v="530772"/>
  </r>
  <r>
    <x v="10"/>
    <x v="5"/>
    <n v="3529"/>
    <n v="845"/>
    <n v="23.9"/>
    <n v="0.18"/>
    <n v="479297"/>
  </r>
  <r>
    <x v="11"/>
    <x v="1"/>
    <n v="2538"/>
    <n v="959"/>
    <n v="37.799999999999997"/>
    <n v="0.18"/>
    <n v="547426"/>
  </r>
  <r>
    <x v="11"/>
    <x v="2"/>
    <n v="3487"/>
    <n v="1110"/>
    <n v="31.8"/>
    <n v="0.21"/>
    <n v="531566"/>
  </r>
  <r>
    <x v="11"/>
    <x v="3"/>
    <n v="3154"/>
    <n v="958"/>
    <n v="30.4"/>
    <n v="0.18"/>
    <n v="525921"/>
  </r>
  <r>
    <x v="11"/>
    <x v="4"/>
    <n v="3262"/>
    <n v="813"/>
    <n v="24.9"/>
    <n v="0.15"/>
    <n v="537349"/>
  </r>
  <r>
    <x v="11"/>
    <x v="5"/>
    <n v="3111"/>
    <n v="757"/>
    <n v="24.3"/>
    <n v="0.16"/>
    <n v="481484"/>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m/>
    <m/>
    <m/>
    <m/>
    <m/>
    <m/>
    <m/>
  </r>
  <r>
    <x v="1"/>
    <n v="22762"/>
    <n v="26321"/>
    <n v="5118"/>
    <n v="2282"/>
    <n v="5463"/>
    <n v="3523"/>
    <n v="65469"/>
  </r>
  <r>
    <x v="2"/>
    <n v="23988"/>
    <n v="29952"/>
    <n v="5426"/>
    <n v="2459"/>
    <n v="5688"/>
    <n v="3974"/>
    <n v="71487"/>
  </r>
  <r>
    <x v="3"/>
    <n v="22352"/>
    <n v="29301"/>
    <n v="5373"/>
    <n v="2998"/>
    <n v="6082"/>
    <n v="4536"/>
    <n v="70642"/>
  </r>
  <r>
    <x v="4"/>
    <n v="23373"/>
    <n v="27629"/>
    <n v="5099"/>
    <n v="3085"/>
    <n v="5820"/>
    <n v="4717"/>
    <n v="69723"/>
  </r>
  <r>
    <x v="5"/>
    <n v="25573"/>
    <n v="26939"/>
    <n v="4968"/>
    <n v="2680"/>
    <n v="5279"/>
    <n v="3648"/>
    <n v="69087"/>
  </r>
  <r>
    <x v="6"/>
    <n v="25002"/>
    <n v="26636"/>
    <n v="5203"/>
    <n v="2570"/>
    <n v="5887"/>
    <n v="3738"/>
    <n v="69036"/>
  </r>
  <r>
    <x v="7"/>
    <n v="6604"/>
    <n v="8556"/>
    <n v="1582"/>
    <n v="722"/>
    <n v="1541"/>
    <n v="957"/>
    <n v="19962"/>
  </r>
  <r>
    <x v="8"/>
    <n v="14448"/>
    <n v="18291"/>
    <n v="3519"/>
    <n v="1732"/>
    <n v="3613"/>
    <n v="2460"/>
    <n v="44063"/>
  </r>
  <r>
    <x v="9"/>
    <n v="13204"/>
    <n v="15629"/>
    <n v="2964"/>
    <n v="1543"/>
    <n v="2985"/>
    <n v="2124"/>
    <n v="38449"/>
  </r>
  <r>
    <x v="10"/>
    <n v="12646"/>
    <n v="14166"/>
    <n v="2677"/>
    <n v="1461"/>
    <n v="2602"/>
    <n v="1900"/>
    <n v="35452"/>
  </r>
  <r>
    <x v="11"/>
    <n v="12803"/>
    <n v="12528"/>
    <n v="2299"/>
    <n v="1207"/>
    <n v="2229"/>
    <n v="1655"/>
    <n v="32721"/>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m/>
    <m/>
    <m/>
    <m/>
    <m/>
    <m/>
    <m/>
  </r>
  <r>
    <x v="1"/>
    <n v="1.4"/>
    <n v="1.7"/>
    <n v="1.4"/>
    <n v="1.7"/>
    <n v="1.1000000000000001"/>
    <n v="1.4"/>
    <n v="1.5"/>
  </r>
  <r>
    <x v="2"/>
    <n v="2.6"/>
    <n v="3.1"/>
    <n v="2.5"/>
    <n v="3.4"/>
    <n v="2.2000000000000002"/>
    <n v="3.2"/>
    <n v="2.8"/>
  </r>
  <r>
    <x v="3"/>
    <n v="2.8"/>
    <n v="3"/>
    <n v="2.5"/>
    <n v="2.8"/>
    <n v="2.2000000000000002"/>
    <n v="2.5"/>
    <n v="2.7"/>
  </r>
  <r>
    <x v="4"/>
    <n v="2.6"/>
    <n v="3"/>
    <n v="2.5"/>
    <n v="2.5"/>
    <n v="2.2000000000000002"/>
    <n v="2.4"/>
    <n v="2.7"/>
  </r>
  <r>
    <x v="5"/>
    <n v="2.5"/>
    <n v="3.3"/>
    <n v="2.6"/>
    <n v="3.3"/>
    <n v="2.4"/>
    <n v="3.1"/>
    <n v="2.9"/>
  </r>
  <r>
    <x v="6"/>
    <n v="2.8"/>
    <n v="3"/>
    <n v="2.4"/>
    <n v="2.9"/>
    <n v="2"/>
    <n v="2.5"/>
    <n v="2.8"/>
  </r>
  <r>
    <x v="7"/>
    <n v="0.7"/>
    <n v="0.9"/>
    <n v="0.8"/>
    <n v="0.8"/>
    <n v="0.6"/>
    <n v="0.6"/>
    <n v="0.8"/>
  </r>
  <r>
    <x v="8"/>
    <n v="1.4"/>
    <n v="1.5"/>
    <n v="1.2"/>
    <n v="1.6"/>
    <n v="0.9"/>
    <n v="1.2"/>
    <n v="1.4"/>
  </r>
  <r>
    <x v="9"/>
    <n v="1.4"/>
    <n v="1.4"/>
    <n v="1.1000000000000001"/>
    <n v="1.3"/>
    <n v="0.8"/>
    <n v="1.1000000000000001"/>
    <n v="1.2"/>
  </r>
  <r>
    <x v="10"/>
    <n v="2.7"/>
    <n v="3.4"/>
    <n v="2.7"/>
    <n v="2.7"/>
    <n v="2.2999999999999998"/>
    <n v="2.7"/>
    <n v="2.9"/>
  </r>
  <r>
    <x v="11"/>
    <n v="1.6"/>
    <n v="2"/>
    <n v="1.7"/>
    <n v="1.9"/>
    <n v="1.3"/>
    <n v="1.6"/>
    <n v="1.7"/>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
  <r>
    <x v="0"/>
    <x v="0"/>
    <n v="90.6"/>
    <n v="0.4"/>
    <n v="9"/>
  </r>
  <r>
    <x v="0"/>
    <x v="1"/>
    <n v="83.7"/>
    <n v="0.2"/>
    <n v="16.100000000000001"/>
  </r>
  <r>
    <x v="0"/>
    <x v="2"/>
    <n v="80.7"/>
    <n v="1.1000000000000001"/>
    <n v="18.2"/>
  </r>
  <r>
    <x v="0"/>
    <x v="3"/>
    <n v="82.1"/>
    <n v="0.6"/>
    <n v="17.3"/>
  </r>
  <r>
    <x v="0"/>
    <x v="4"/>
    <n v="82.9"/>
    <n v="0.6"/>
    <n v="16.5"/>
  </r>
  <r>
    <x v="0"/>
    <x v="5"/>
    <n v="67.5"/>
    <n v="0.2"/>
    <n v="32.299999999999997"/>
  </r>
  <r>
    <x v="0"/>
    <x v="6"/>
    <n v="82.5"/>
    <n v="0.8"/>
    <n v="16.7"/>
  </r>
  <r>
    <x v="1"/>
    <x v="0"/>
    <n v="84.6"/>
    <n v="0.4"/>
    <n v="15"/>
  </r>
  <r>
    <x v="1"/>
    <x v="1"/>
    <n v="81.8"/>
    <n v="0.2"/>
    <n v="18"/>
  </r>
  <r>
    <x v="1"/>
    <x v="2"/>
    <n v="65.5"/>
    <n v="1"/>
    <n v="33.5"/>
  </r>
  <r>
    <x v="1"/>
    <x v="3"/>
    <n v="74.400000000000006"/>
    <n v="0.6"/>
    <n v="25"/>
  </r>
  <r>
    <x v="1"/>
    <x v="4"/>
    <n v="75"/>
    <n v="0.6"/>
    <n v="24.4"/>
  </r>
  <r>
    <x v="1"/>
    <x v="5"/>
    <n v="62.7"/>
    <n v="0.2"/>
    <n v="37"/>
  </r>
  <r>
    <x v="1"/>
    <x v="6"/>
    <n v="72.2"/>
    <n v="0.8"/>
    <n v="27.1"/>
  </r>
  <r>
    <x v="2"/>
    <x v="0"/>
    <n v="89.7"/>
    <n v="0.4"/>
    <n v="9.8000000000000007"/>
  </r>
  <r>
    <x v="2"/>
    <x v="1"/>
    <n v="80.900000000000006"/>
    <n v="0.2"/>
    <n v="18.899999999999999"/>
  </r>
  <r>
    <x v="2"/>
    <x v="2"/>
    <n v="78.400000000000006"/>
    <n v="1"/>
    <n v="20.6"/>
  </r>
  <r>
    <x v="2"/>
    <x v="3"/>
    <n v="80.099999999999994"/>
    <n v="0.6"/>
    <n v="19.3"/>
  </r>
  <r>
    <x v="2"/>
    <x v="4"/>
    <n v="81"/>
    <n v="0.6"/>
    <n v="18.399999999999999"/>
  </r>
  <r>
    <x v="2"/>
    <x v="5"/>
    <n v="61.4"/>
    <n v="0.5"/>
    <n v="38.1"/>
  </r>
  <r>
    <x v="2"/>
    <x v="6"/>
    <n v="81.2"/>
    <n v="0.7"/>
    <n v="18"/>
  </r>
  <r>
    <x v="3"/>
    <x v="0"/>
    <n v="49.3"/>
    <m/>
    <n v="50.7"/>
  </r>
  <r>
    <x v="3"/>
    <x v="1"/>
    <n v="69.599999999999994"/>
    <n v="1.1000000000000001"/>
    <n v="29.3"/>
  </r>
  <r>
    <x v="3"/>
    <x v="2"/>
    <n v="55.2"/>
    <n v="1"/>
    <n v="43.8"/>
  </r>
  <r>
    <x v="3"/>
    <x v="3"/>
    <n v="61.1"/>
    <n v="0.8"/>
    <n v="38.1"/>
  </r>
  <r>
    <x v="3"/>
    <x v="4"/>
    <n v="62.5"/>
    <n v="0.8"/>
    <n v="36.700000000000003"/>
  </r>
  <r>
    <x v="3"/>
    <x v="5"/>
    <n v="30.1"/>
    <n v="0.6"/>
    <n v="69.400000000000006"/>
  </r>
  <r>
    <x v="3"/>
    <x v="6"/>
    <n v="59.8"/>
    <n v="0.6"/>
    <n v="39.6"/>
  </r>
  <r>
    <x v="4"/>
    <x v="0"/>
    <n v="63"/>
    <n v="0.4"/>
    <n v="36.5"/>
  </r>
  <r>
    <x v="4"/>
    <x v="1"/>
    <n v="67"/>
    <n v="0.1"/>
    <n v="32.799999999999997"/>
  </r>
  <r>
    <x v="4"/>
    <x v="2"/>
    <n v="53.7"/>
    <n v="1.2"/>
    <n v="45.1"/>
  </r>
  <r>
    <x v="4"/>
    <x v="3"/>
    <n v="60.2"/>
    <n v="0.5"/>
    <n v="39.299999999999997"/>
  </r>
  <r>
    <x v="4"/>
    <x v="4"/>
    <n v="61.8"/>
    <n v="0.5"/>
    <n v="37.700000000000003"/>
  </r>
  <r>
    <x v="4"/>
    <x v="5"/>
    <n v="26.7"/>
    <n v="0.5"/>
    <n v="72.8"/>
  </r>
  <r>
    <x v="4"/>
    <x v="6"/>
    <n v="59.5"/>
    <n v="0.6"/>
    <n v="39.9"/>
  </r>
  <r>
    <x v="5"/>
    <x v="0"/>
    <n v="64"/>
    <n v="0.5"/>
    <n v="35.5"/>
  </r>
  <r>
    <x v="5"/>
    <x v="1"/>
    <n v="60"/>
    <n v="0.6"/>
    <n v="39.4"/>
  </r>
  <r>
    <x v="5"/>
    <x v="2"/>
    <n v="53.4"/>
    <n v="0.8"/>
    <n v="45.8"/>
  </r>
  <r>
    <x v="5"/>
    <x v="3"/>
    <n v="55.3"/>
    <n v="0.6"/>
    <n v="44.1"/>
  </r>
  <r>
    <x v="5"/>
    <x v="4"/>
    <n v="56.3"/>
    <n v="0.6"/>
    <n v="43.1"/>
  </r>
  <r>
    <x v="5"/>
    <x v="5"/>
    <n v="32.5"/>
    <n v="0.9"/>
    <n v="66.7"/>
  </r>
  <r>
    <x v="5"/>
    <x v="6"/>
    <n v="53.7"/>
    <n v="0.5"/>
    <n v="45.7"/>
  </r>
  <r>
    <x v="6"/>
    <x v="0"/>
    <n v="55.8"/>
    <n v="0.6"/>
    <n v="43.6"/>
  </r>
  <r>
    <x v="6"/>
    <x v="1"/>
    <n v="58"/>
    <n v="0.6"/>
    <n v="41.4"/>
  </r>
  <r>
    <x v="6"/>
    <x v="2"/>
    <n v="53.9"/>
    <n v="0.6"/>
    <n v="45.5"/>
  </r>
  <r>
    <x v="6"/>
    <x v="3"/>
    <n v="53.7"/>
    <n v="0.6"/>
    <n v="45.7"/>
  </r>
  <r>
    <x v="6"/>
    <x v="4"/>
    <n v="54.2"/>
    <n v="0.6"/>
    <n v="45.2"/>
  </r>
  <r>
    <x v="6"/>
    <x v="5"/>
    <n v="42.7"/>
    <n v="0.3"/>
    <n v="57"/>
  </r>
  <r>
    <x v="6"/>
    <x v="6"/>
    <n v="51.2"/>
    <n v="0.5"/>
    <n v="48.3"/>
  </r>
  <r>
    <x v="7"/>
    <x v="0"/>
    <n v="52.9"/>
    <n v="0.5"/>
    <n v="46.6"/>
  </r>
  <r>
    <x v="7"/>
    <x v="1"/>
    <n v="65.900000000000006"/>
    <n v="1.2"/>
    <n v="32.9"/>
  </r>
  <r>
    <x v="7"/>
    <x v="2"/>
    <n v="61.2"/>
    <n v="1.4"/>
    <n v="37.4"/>
  </r>
  <r>
    <x v="7"/>
    <x v="3"/>
    <n v="59.2"/>
    <n v="1.2"/>
    <n v="39.6"/>
  </r>
  <r>
    <x v="7"/>
    <x v="4"/>
    <n v="60.2"/>
    <n v="1.2"/>
    <n v="38.6"/>
  </r>
  <r>
    <x v="7"/>
    <x v="5"/>
    <n v="37.299999999999997"/>
    <n v="0.6"/>
    <n v="62"/>
  </r>
  <r>
    <x v="7"/>
    <x v="6"/>
    <n v="55.7"/>
    <n v="1.2"/>
    <n v="43.1"/>
  </r>
  <r>
    <x v="8"/>
    <x v="0"/>
    <n v="53.623188405797109"/>
    <n v="0.96618357487922701"/>
    <n v="45.410628019323674"/>
  </r>
  <r>
    <x v="8"/>
    <x v="1"/>
    <n v="67.558415171012527"/>
    <n v="1.1175076193701321"/>
    <n v="31.324077209617339"/>
  </r>
  <r>
    <x v="8"/>
    <x v="2"/>
    <n v="68.055555555555557"/>
    <n v="1.7676767676767675"/>
    <n v="30.176767676767675"/>
  </r>
  <r>
    <x v="8"/>
    <x v="3"/>
    <n v="62.699215785479382"/>
    <n v="1.2142676448267138"/>
    <n v="36.086516569693906"/>
  </r>
  <r>
    <x v="8"/>
    <x v="4"/>
    <n v="63.802872578732369"/>
    <n v="1.2386348662537885"/>
    <n v="34.958492555013834"/>
  </r>
  <r>
    <x v="8"/>
    <x v="5"/>
    <n v="36.277602523659311"/>
    <n v="0.63091482649842268"/>
    <n v="63.09148264984227"/>
  </r>
  <r>
    <x v="8"/>
    <x v="6"/>
    <n v="60.406928787462199"/>
    <n v="1.2372834753918065"/>
    <n v="38.355787737146002"/>
  </r>
  <r>
    <x v="9"/>
    <x v="0"/>
    <n v="53.191489361702125"/>
    <n v="1.0638297872340425"/>
    <n v="45.744680851063826"/>
  </r>
  <r>
    <x v="9"/>
    <x v="1"/>
    <n v="63.534218590398361"/>
    <n v="1.0554988083077972"/>
    <n v="35.410282601293837"/>
  </r>
  <r>
    <x v="9"/>
    <x v="7"/>
    <n v="86.111111111111114"/>
    <m/>
    <n v="13.888888888888889"/>
  </r>
  <r>
    <x v="9"/>
    <x v="2"/>
    <n v="66.992665036674808"/>
    <n v="1.5892420537897312"/>
    <n v="31.418092909535449"/>
  </r>
  <r>
    <x v="9"/>
    <x v="3"/>
    <n v="61.197982345523329"/>
    <n v="1.1727616645649432"/>
    <n v="37.629255989911726"/>
  </r>
  <r>
    <x v="9"/>
    <x v="4"/>
    <n v="62.298095863427449"/>
    <n v="1.1950098489822718"/>
    <n v="36.506894287590278"/>
  </r>
  <r>
    <x v="9"/>
    <x v="5"/>
    <n v="34.603174603174601"/>
    <n v="0.63492063492063489"/>
    <n v="64.761904761904759"/>
  </r>
  <r>
    <x v="9"/>
    <x v="6"/>
    <n v="60.478547854785482"/>
    <n v="1.2376237623762376"/>
    <n v="38.283828382838287"/>
  </r>
  <r>
    <x v="10"/>
    <x v="0"/>
    <n v="56.593406593406591"/>
    <n v="1.098901098901099"/>
    <n v="42.307692307692307"/>
  </r>
  <r>
    <x v="10"/>
    <x v="1"/>
    <n v="61.142061281337043"/>
    <n v="0.94011142061281339"/>
    <n v="37.917827298050142"/>
  </r>
  <r>
    <x v="10"/>
    <x v="7"/>
    <n v="87.037037037037038"/>
    <n v="1.8518518518518516"/>
    <n v="11.111111111111111"/>
  </r>
  <r>
    <x v="10"/>
    <x v="2"/>
    <n v="66.746411483253581"/>
    <n v="1.7942583732057416"/>
    <n v="31.459330143540669"/>
  </r>
  <r>
    <x v="10"/>
    <x v="3"/>
    <n v="60.094496232920449"/>
    <n v="1.2131273145192185"/>
    <n v="38.692376452560339"/>
  </r>
  <r>
    <x v="10"/>
    <x v="4"/>
    <n v="61.091923485653567"/>
    <n v="1.2353878852284803"/>
    <n v="37.672688629117964"/>
  </r>
  <r>
    <x v="10"/>
    <x v="5"/>
    <n v="35.313531353135311"/>
    <n v="0.66006600660066006"/>
    <n v="64.026402640264024"/>
  </r>
  <r>
    <x v="10"/>
    <x v="6"/>
    <n v="59.5703125"/>
    <n v="1.3392857142857142"/>
    <n v="39.090401785714285"/>
  </r>
  <r>
    <x v="11"/>
    <x v="8"/>
    <m/>
    <m/>
    <m/>
  </r>
  <r>
    <x v="11"/>
    <x v="0"/>
    <n v="55.932203389830505"/>
    <n v="2.2598870056497176"/>
    <n v="41.807909604519772"/>
  </r>
  <r>
    <x v="11"/>
    <x v="1"/>
    <n v="58.819268381021374"/>
    <n v="0.94168779427743576"/>
    <n v="40.239043824701191"/>
  </r>
  <r>
    <x v="11"/>
    <x v="7"/>
    <n v="88.679245283018872"/>
    <n v="1.8867924528301887"/>
    <n v="9.433962264150944"/>
  </r>
  <r>
    <x v="11"/>
    <x v="2"/>
    <n v="63.163481953290869"/>
    <n v="2.335456475583864"/>
    <n v="34.501061571125263"/>
  </r>
  <r>
    <x v="11"/>
    <x v="3"/>
    <n v="58.402449917060096"/>
    <n v="1.327038407553911"/>
    <n v="40.27051167538599"/>
  </r>
  <r>
    <x v="11"/>
    <x v="4"/>
    <n v="59.304812834224599"/>
    <n v="1.3636363636363635"/>
    <n v="39.331550802139034"/>
  </r>
  <r>
    <x v="11"/>
    <x v="5"/>
    <n v="36.823104693140799"/>
    <n v="0.72202166064981954"/>
    <n v="62.454873646209386"/>
  </r>
  <r>
    <x v="11"/>
    <x v="6"/>
    <n v="58.387369608119535"/>
    <n v="1.381449111925571"/>
    <n v="40.231181279954889"/>
  </r>
  <r>
    <x v="12"/>
    <x v="8"/>
    <m/>
    <m/>
    <m/>
  </r>
  <r>
    <x v="12"/>
    <x v="0"/>
    <n v="52.298850574712638"/>
    <n v="2.2988505747126435"/>
    <n v="45.402298850574709"/>
  </r>
  <r>
    <x v="12"/>
    <x v="1"/>
    <n v="55.190058479532169"/>
    <n v="1.0599415204678362"/>
    <n v="43.75"/>
  </r>
  <r>
    <x v="12"/>
    <x v="7"/>
    <n v="88.888888888888886"/>
    <n v="1.8518518518518516"/>
    <n v="9.2592592592592595"/>
  </r>
  <r>
    <x v="12"/>
    <x v="2"/>
    <n v="60.799136069114468"/>
    <n v="2.2678185745140391"/>
    <n v="36.933045356371494"/>
  </r>
  <r>
    <x v="12"/>
    <x v="3"/>
    <n v="55.432969852469526"/>
    <n v="1.308531109685696"/>
    <n v="43.258499037844771"/>
  </r>
  <r>
    <x v="12"/>
    <x v="4"/>
    <n v="56.313301823092509"/>
    <n v="1.3639432815665091"/>
    <n v="42.322754895340985"/>
  </r>
  <r>
    <x v="12"/>
    <x v="5"/>
    <n v="36.84210526315789"/>
    <n v="0.37593984962406013"/>
    <n v="62.781954887218049"/>
  </r>
  <r>
    <x v="12"/>
    <x v="6"/>
    <n v="55.704125177809395"/>
    <n v="1.3086770981507825"/>
    <n v="42.987197724039831"/>
  </r>
  <r>
    <x v="13"/>
    <x v="8"/>
    <m/>
    <m/>
    <m/>
  </r>
  <r>
    <x v="13"/>
    <x v="0"/>
    <n v="51.445086705202314"/>
    <n v="2.3121387283236992"/>
    <n v="46.24277456647399"/>
  </r>
  <r>
    <x v="13"/>
    <x v="1"/>
    <n v="50.994108983799705"/>
    <n v="0.81001472754050086"/>
    <n v="48.195876288659797"/>
  </r>
  <r>
    <x v="13"/>
    <x v="7"/>
    <n v="88.888888888888886"/>
    <n v="1.8518518518518516"/>
    <n v="9.2592592592592595"/>
  </r>
  <r>
    <x v="13"/>
    <x v="2"/>
    <n v="58.681318681318686"/>
    <n v="2.197802197802198"/>
    <n v="39.120879120879124"/>
  </r>
  <r>
    <x v="13"/>
    <x v="3"/>
    <n v="52.832879553999746"/>
    <n v="1.1798262673408531"/>
    <n v="45.987294178659404"/>
  </r>
  <r>
    <x v="13"/>
    <x v="4"/>
    <n v="53.749143248800543"/>
    <n v="1.233721727210418"/>
    <n v="45.017135023989034"/>
  </r>
  <r>
    <x v="13"/>
    <x v="5"/>
    <n v="35.555555555555557"/>
    <n v="0.37037037037037041"/>
    <n v="64.074074074074076"/>
  </r>
  <r>
    <x v="13"/>
    <x v="6"/>
    <n v="54.183614177803605"/>
    <n v="1.2492736780941311"/>
    <n v="44.567112144102268"/>
  </r>
  <r>
    <x v="14"/>
    <x v="8"/>
    <m/>
    <m/>
    <m/>
  </r>
  <r>
    <x v="14"/>
    <x v="0"/>
    <n v="47.97687861271676"/>
    <n v="2.3121387283236992"/>
    <n v="49.710982658959537"/>
  </r>
  <r>
    <x v="14"/>
    <x v="1"/>
    <n v="47.877445551864156"/>
    <n v="0.73827980804724991"/>
    <n v="51.384274640088591"/>
  </r>
  <r>
    <x v="14"/>
    <x v="7"/>
    <n v="85.245901639344254"/>
    <n v="1.639344262295082"/>
    <n v="13.114754098360656"/>
  </r>
  <r>
    <x v="14"/>
    <x v="2"/>
    <n v="56.342494714587744"/>
    <n v="2.2198731501057085"/>
    <n v="41.437632135306551"/>
  </r>
  <r>
    <x v="14"/>
    <x v="3"/>
    <n v="50.148253190666495"/>
    <n v="1.1731339435348718"/>
    <n v="48.678612865798634"/>
  </r>
  <r>
    <x v="14"/>
    <x v="4"/>
    <n v="51.036269430051817"/>
    <n v="1.2135260430869921"/>
    <n v="47.750204526861197"/>
  </r>
  <r>
    <x v="14"/>
    <x v="5"/>
    <n v="34.065934065934066"/>
    <n v="0.36630036630036628"/>
    <n v="65.567765567765562"/>
  </r>
  <r>
    <x v="14"/>
    <x v="6"/>
    <n v="51.611030478955009"/>
    <n v="1.2481857764876634"/>
    <n v="47.140783744557332"/>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s v="Scotland"/>
    <s v="S92000003"/>
    <n v="212.96"/>
    <n v="0"/>
    <n v="5"/>
    <n v="11"/>
    <n v="51.56"/>
    <n v="51.01"/>
    <n v="94.39"/>
  </r>
  <r>
    <x v="1"/>
    <x v="0"/>
    <s v="Scotland"/>
    <s v="S92000003"/>
    <n v="220.79"/>
    <n v="0"/>
    <n v="5"/>
    <n v="12.85"/>
    <n v="49.46"/>
    <n v="50.79"/>
    <n v="102.69"/>
  </r>
  <r>
    <x v="2"/>
    <x v="0"/>
    <s v="Scotland"/>
    <s v="S92000003"/>
    <n v="195.16952380952381"/>
    <n v="0"/>
    <n v="6"/>
    <n v="6.8333333333333339"/>
    <n v="50.314285714285717"/>
    <n v="43"/>
    <n v="89.021904761904764"/>
  </r>
  <r>
    <x v="3"/>
    <x v="0"/>
    <s v="Scotland"/>
    <s v="S92000003"/>
    <n v="160"/>
    <n v="0"/>
    <n v="5"/>
    <n v="8"/>
    <n v="40"/>
    <n v="30"/>
    <n v="76"/>
  </r>
  <r>
    <x v="4"/>
    <x v="0"/>
    <s v="Scotland"/>
    <s v="S92000003"/>
    <n v="184"/>
    <n v="0"/>
    <n v="5"/>
    <n v="8"/>
    <n v="43"/>
    <n v="27"/>
    <n v="101"/>
  </r>
  <r>
    <x v="5"/>
    <x v="0"/>
    <s v="Scotland"/>
    <s v="S92000003"/>
    <n v="202.32999999999998"/>
    <n v="1"/>
    <n v="4"/>
    <n v="9"/>
    <n v="42"/>
    <n v="27"/>
    <n v="119.33"/>
  </r>
  <r>
    <x v="6"/>
    <x v="0"/>
    <s v="Scotland"/>
    <s v="S92000003"/>
    <n v="183.82999999999998"/>
    <n v="1"/>
    <n v="4"/>
    <n v="8"/>
    <n v="45"/>
    <n v="26"/>
    <n v="99.83"/>
  </r>
  <r>
    <x v="7"/>
    <x v="0"/>
    <s v="Scotland"/>
    <s v="S92000003"/>
    <n v="176.06"/>
    <n v="1"/>
    <n v="4"/>
    <n v="10"/>
    <n v="41"/>
    <n v="30"/>
    <n v="90.06"/>
  </r>
  <r>
    <x v="8"/>
    <x v="0"/>
    <s v="Scotland"/>
    <s v="S92000003"/>
    <n v="170.46"/>
    <n v="1"/>
    <n v="4"/>
    <n v="10"/>
    <n v="42"/>
    <n v="27"/>
    <n v="86.460000000000008"/>
  </r>
  <r>
    <x v="9"/>
    <x v="0"/>
    <s v="Scotland"/>
    <s v="S92000003"/>
    <n v="168.06"/>
    <n v="1"/>
    <n v="4"/>
    <n v="10"/>
    <n v="36.86"/>
    <n v="28.29"/>
    <n v="87.91"/>
  </r>
  <r>
    <x v="10"/>
    <x v="0"/>
    <s v="Scotland"/>
    <s v="S92000003"/>
    <n v="166.20999999999998"/>
    <n v="1"/>
    <n v="4"/>
    <n v="9"/>
    <n v="39.57"/>
    <n v="25.79"/>
    <n v="86.85"/>
  </r>
  <r>
    <x v="11"/>
    <x v="0"/>
    <s v="Scotland"/>
    <s v="S92000003"/>
    <n v="167.69"/>
    <n v="1"/>
    <n v="2"/>
    <n v="8"/>
    <n v="37"/>
    <n v="28"/>
    <n v="91.69"/>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x v="0"/>
    <x v="0"/>
    <n v="66828"/>
    <m/>
    <m/>
    <m/>
    <n v="2400342"/>
    <n v="2387809"/>
    <n v="2376011"/>
    <n v="2.7800000000000002"/>
    <m/>
    <m/>
  </r>
  <r>
    <x v="0"/>
    <x v="1"/>
    <n v="29094"/>
    <m/>
    <m/>
    <m/>
    <n v="2400342"/>
    <n v="2387809"/>
    <n v="2376011"/>
    <n v="1.21"/>
    <m/>
    <m/>
  </r>
  <r>
    <x v="1"/>
    <x v="0"/>
    <n v="63640"/>
    <m/>
    <m/>
    <m/>
    <n v="2416014"/>
    <n v="2401005"/>
    <n v="2388858"/>
    <n v="2.63"/>
    <m/>
    <m/>
  </r>
  <r>
    <x v="1"/>
    <x v="1"/>
    <n v="26541"/>
    <m/>
    <m/>
    <m/>
    <n v="2416014"/>
    <n v="2401005"/>
    <n v="2388858"/>
    <n v="1.1000000000000001"/>
    <m/>
    <m/>
  </r>
  <r>
    <x v="2"/>
    <x v="0"/>
    <n v="69038"/>
    <n v="176331"/>
    <m/>
    <m/>
    <n v="2429943"/>
    <n v="2415433"/>
    <n v="2401877"/>
    <n v="2.84"/>
    <n v="7.3"/>
    <m/>
  </r>
  <r>
    <x v="2"/>
    <x v="1"/>
    <n v="27846"/>
    <n v="79298"/>
    <m/>
    <m/>
    <n v="2429943"/>
    <n v="2415433"/>
    <n v="2401877"/>
    <n v="1.1499999999999999"/>
    <n v="3.2800000000000002"/>
    <m/>
  </r>
  <r>
    <x v="3"/>
    <x v="0"/>
    <n v="68202"/>
    <n v="177208"/>
    <m/>
    <n v="45412"/>
    <n v="2446171"/>
    <n v="2430709"/>
    <n v="2415826"/>
    <n v="2.79"/>
    <n v="7.29"/>
    <m/>
  </r>
  <r>
    <x v="3"/>
    <x v="1"/>
    <n v="28400"/>
    <n v="78665"/>
    <m/>
    <m/>
    <n v="2446171"/>
    <n v="2430709"/>
    <n v="2415826"/>
    <n v="1.1599999999999999"/>
    <n v="3.24"/>
    <m/>
  </r>
  <r>
    <x v="4"/>
    <x v="0"/>
    <n v="67131"/>
    <n v="180398"/>
    <n v="264044"/>
    <n v="45808"/>
    <n v="2462736"/>
    <n v="2446283"/>
    <n v="2431041"/>
    <n v="2.73"/>
    <n v="7.37"/>
    <n v="10.79"/>
  </r>
  <r>
    <x v="4"/>
    <x v="1"/>
    <n v="27184"/>
    <n v="79049"/>
    <n v="121558"/>
    <m/>
    <n v="2462736"/>
    <n v="2446283"/>
    <n v="2431041"/>
    <n v="1.1000000000000001"/>
    <n v="3.23"/>
    <n v="4.97"/>
  </r>
  <r>
    <x v="5"/>
    <x v="0"/>
    <n v="66180"/>
    <n v="176578"/>
    <n v="267536"/>
    <n v="47304"/>
    <n v="2477275"/>
    <n v="2462061"/>
    <n v="2446428"/>
    <n v="2.67"/>
    <n v="7.17"/>
    <n v="10.87"/>
  </r>
  <r>
    <x v="5"/>
    <x v="1"/>
    <n v="23995"/>
    <n v="75250"/>
    <n v="119658"/>
    <m/>
    <n v="2477275"/>
    <n v="2462061"/>
    <n v="2446428"/>
    <n v="0.97"/>
    <n v="3.06"/>
    <n v="4.8600000000000003"/>
  </r>
  <r>
    <x v="6"/>
    <x v="0"/>
    <n v="66056"/>
    <n v="174615"/>
    <n v="272384"/>
    <n v="47485"/>
    <n v="2495623"/>
    <n v="2478545"/>
    <n v="2462350"/>
    <n v="2.65"/>
    <n v="7.05"/>
    <n v="10.99"/>
  </r>
  <r>
    <x v="6"/>
    <x v="1"/>
    <n v="21868"/>
    <n v="69792"/>
    <n v="117387"/>
    <m/>
    <n v="2495623"/>
    <n v="2478545"/>
    <n v="2462350"/>
    <n v="0.88"/>
    <n v="2.82"/>
    <n v="4.74"/>
  </r>
  <r>
    <x v="7"/>
    <x v="0"/>
    <n v="19380"/>
    <n v="135928"/>
    <n v="235923"/>
    <n v="12799"/>
    <n v="2507625"/>
    <n v="2493508"/>
    <n v="2477886"/>
    <n v="0.77"/>
    <n v="5.45"/>
    <n v="9.4600000000000009"/>
  </r>
  <r>
    <x v="7"/>
    <x v="1"/>
    <n v="7589"/>
    <n v="51886"/>
    <n v="100274"/>
    <m/>
    <n v="2507625"/>
    <n v="2493508"/>
    <n v="2477886"/>
    <n v="0.3"/>
    <n v="2.08"/>
    <n v="4.0199999999999996"/>
  </r>
  <r>
    <x v="8"/>
    <x v="0"/>
    <n v="42606"/>
    <n v="116376"/>
    <n v="217787"/>
    <n v="32582"/>
    <n v="2528823"/>
    <n v="2510690"/>
    <n v="2494416"/>
    <n v="1.6800000000000002"/>
    <n v="4.6399999999999997"/>
    <n v="8.67"/>
  </r>
  <r>
    <x v="8"/>
    <x v="1"/>
    <n v="5932"/>
    <n v="34580"/>
    <n v="81267"/>
    <m/>
    <n v="2528823"/>
    <n v="2510690"/>
    <n v="2494416"/>
    <n v="0.23"/>
    <n v="1.38"/>
    <n v="3.24"/>
  </r>
  <r>
    <x v="9"/>
    <x v="0"/>
    <n v="36957"/>
    <n v="87999"/>
    <n v="193539"/>
    <n v="26709"/>
    <n v="2549797"/>
    <n v="2528748"/>
    <n v="2511829"/>
    <n v="1.45"/>
    <n v="3.48"/>
    <n v="7.65"/>
  </r>
  <r>
    <x v="10"/>
    <x v="0"/>
    <n v="35004"/>
    <n v="100837"/>
    <n v="168448"/>
    <n v="27140"/>
    <n v="2535310"/>
    <n v="2537977"/>
    <n v="2523436"/>
    <n v="1.38"/>
    <n v="3.9699999999999998"/>
    <n v="6.64"/>
  </r>
  <r>
    <x v="10"/>
    <x v="1"/>
    <n v="5807"/>
    <n v="10280"/>
    <n v="38667"/>
    <m/>
    <n v="2535310"/>
    <n v="2537977"/>
    <n v="2523436"/>
    <n v="0.23"/>
    <n v="0.41"/>
    <n v="1.52"/>
  </r>
  <r>
    <x v="11"/>
    <x v="0"/>
    <n v="32550"/>
    <n v="93120"/>
    <n v="139479"/>
    <n v="25171"/>
    <n v="2552388.2351710973"/>
    <n v="2545832"/>
    <n v="2534789"/>
    <n v="1.28"/>
    <n v="3.66"/>
    <n v="5.48"/>
  </r>
  <r>
    <x v="11"/>
    <x v="1"/>
    <n v="4253"/>
    <n v="16609"/>
    <n v="32110"/>
    <m/>
    <n v="2552388.2351710973"/>
    <n v="2545832"/>
    <n v="2534789"/>
    <n v="0.17"/>
    <n v="0.65"/>
    <n v="1.26"/>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
  <r>
    <x v="0"/>
    <x v="0"/>
    <n v="2940"/>
    <m/>
    <m/>
    <m/>
    <m/>
    <n v="278"/>
    <n v="535"/>
    <n v="2127"/>
  </r>
  <r>
    <x v="1"/>
    <x v="1"/>
    <n v="230"/>
    <m/>
    <m/>
    <n v="5"/>
    <n v="13"/>
    <n v="50"/>
    <n v="52"/>
    <n v="110"/>
  </r>
  <r>
    <x v="2"/>
    <x v="0"/>
    <n v="2863"/>
    <m/>
    <m/>
    <m/>
    <m/>
    <n v="261"/>
    <n v="525"/>
    <n v="2077"/>
  </r>
  <r>
    <x v="3"/>
    <x v="2"/>
    <n v="0"/>
    <m/>
    <m/>
    <m/>
    <m/>
    <m/>
    <m/>
    <m/>
  </r>
  <r>
    <x v="4"/>
    <x v="3"/>
    <n v="303"/>
    <m/>
    <m/>
    <m/>
    <m/>
    <n v="37"/>
    <n v="43"/>
    <n v="223"/>
  </r>
  <r>
    <x v="5"/>
    <x v="1"/>
    <n v="174"/>
    <m/>
    <n v="1"/>
    <n v="4"/>
    <n v="10"/>
    <n v="42"/>
    <n v="27"/>
    <n v="90"/>
  </r>
  <r>
    <x v="6"/>
    <x v="1"/>
    <n v="171"/>
    <m/>
    <n v="1"/>
    <n v="4"/>
    <n v="9"/>
    <n v="40"/>
    <n v="26"/>
    <n v="91"/>
  </r>
  <r>
    <x v="6"/>
    <x v="3"/>
    <n v="269"/>
    <m/>
    <m/>
    <m/>
    <m/>
    <n v="35"/>
    <n v="41"/>
    <n v="193"/>
  </r>
  <r>
    <x v="0"/>
    <x v="1"/>
    <n v="223"/>
    <m/>
    <m/>
    <n v="5"/>
    <n v="11"/>
    <n v="52"/>
    <n v="52"/>
    <n v="103"/>
  </r>
  <r>
    <x v="0"/>
    <x v="3"/>
    <n v="359"/>
    <m/>
    <m/>
    <m/>
    <m/>
    <n v="9"/>
    <n v="73"/>
    <n v="277"/>
  </r>
  <r>
    <x v="0"/>
    <x v="4"/>
    <n v="4001"/>
    <n v="9"/>
    <n v="28"/>
    <n v="115"/>
    <n v="136"/>
    <n v="679"/>
    <n v="660"/>
    <n v="2374"/>
  </r>
  <r>
    <x v="2"/>
    <x v="3"/>
    <n v="332"/>
    <m/>
    <m/>
    <m/>
    <m/>
    <n v="37"/>
    <n v="39"/>
    <n v="256"/>
  </r>
  <r>
    <x v="7"/>
    <x v="1"/>
    <n v="207"/>
    <m/>
    <n v="1"/>
    <n v="4"/>
    <n v="9"/>
    <n v="42"/>
    <n v="27"/>
    <n v="124"/>
  </r>
  <r>
    <x v="7"/>
    <x v="0"/>
    <n v="2935"/>
    <m/>
    <m/>
    <m/>
    <m/>
    <n v="261"/>
    <n v="533"/>
    <n v="2141"/>
  </r>
  <r>
    <x v="7"/>
    <x v="2"/>
    <n v="0"/>
    <m/>
    <m/>
    <m/>
    <m/>
    <m/>
    <m/>
    <m/>
  </r>
  <r>
    <x v="3"/>
    <x v="1"/>
    <n v="188"/>
    <m/>
    <n v="1"/>
    <n v="4"/>
    <n v="8"/>
    <n v="45"/>
    <n v="26"/>
    <n v="104"/>
  </r>
  <r>
    <x v="3"/>
    <x v="3"/>
    <n v="315"/>
    <m/>
    <m/>
    <m/>
    <m/>
    <n v="37"/>
    <n v="41"/>
    <n v="237"/>
  </r>
  <r>
    <x v="3"/>
    <x v="4"/>
    <n v="3636"/>
    <n v="6"/>
    <n v="31"/>
    <n v="80"/>
    <n v="153"/>
    <n v="608"/>
    <n v="688"/>
    <n v="2070"/>
  </r>
  <r>
    <x v="4"/>
    <x v="1"/>
    <n v="182"/>
    <m/>
    <n v="1"/>
    <n v="4"/>
    <n v="10"/>
    <n v="41"/>
    <n v="31"/>
    <n v="95"/>
  </r>
  <r>
    <x v="5"/>
    <x v="2"/>
    <n v="0"/>
    <m/>
    <m/>
    <m/>
    <m/>
    <m/>
    <m/>
    <m/>
  </r>
  <r>
    <x v="5"/>
    <x v="3"/>
    <n v="277"/>
    <m/>
    <m/>
    <m/>
    <m/>
    <n v="36"/>
    <n v="40"/>
    <n v="201"/>
  </r>
  <r>
    <x v="8"/>
    <x v="3"/>
    <n v="342"/>
    <m/>
    <m/>
    <m/>
    <m/>
    <n v="36"/>
    <n v="46"/>
    <n v="260"/>
  </r>
  <r>
    <x v="8"/>
    <x v="4"/>
    <n v="3690"/>
    <n v="4"/>
    <n v="35"/>
    <n v="90"/>
    <n v="126"/>
    <n v="577"/>
    <n v="600"/>
    <n v="2258"/>
  </r>
  <r>
    <x v="4"/>
    <x v="0"/>
    <n v="2872"/>
    <m/>
    <m/>
    <m/>
    <m/>
    <n v="267"/>
    <n v="522"/>
    <n v="2083"/>
  </r>
  <r>
    <x v="9"/>
    <x v="1"/>
    <n v="171"/>
    <m/>
    <n v="1"/>
    <n v="2"/>
    <n v="8"/>
    <n v="37"/>
    <n v="28"/>
    <n v="95"/>
  </r>
  <r>
    <x v="9"/>
    <x v="3"/>
    <n v="273"/>
    <m/>
    <m/>
    <m/>
    <m/>
    <n v="36"/>
    <n v="41"/>
    <n v="196"/>
  </r>
  <r>
    <x v="1"/>
    <x v="0"/>
    <n v="2950"/>
    <m/>
    <m/>
    <m/>
    <m/>
    <n v="280"/>
    <n v="546"/>
    <n v="2124"/>
  </r>
  <r>
    <x v="10"/>
    <x v="4"/>
    <n v="3645"/>
    <n v="4"/>
    <n v="34"/>
    <n v="70"/>
    <n v="151"/>
    <n v="590"/>
    <n v="635"/>
    <n v="2161"/>
  </r>
  <r>
    <x v="2"/>
    <x v="1"/>
    <n v="189"/>
    <m/>
    <m/>
    <n v="5"/>
    <n v="8"/>
    <n v="43"/>
    <n v="27"/>
    <n v="106"/>
  </r>
  <r>
    <x v="2"/>
    <x v="4"/>
    <n v="3546"/>
    <n v="4"/>
    <n v="34"/>
    <n v="74"/>
    <n v="153"/>
    <n v="603"/>
    <n v="689"/>
    <n v="1989"/>
  </r>
  <r>
    <x v="7"/>
    <x v="3"/>
    <n v="321"/>
    <m/>
    <m/>
    <m/>
    <m/>
    <n v="38"/>
    <n v="42"/>
    <n v="241"/>
  </r>
  <r>
    <x v="3"/>
    <x v="0"/>
    <n v="2937"/>
    <m/>
    <m/>
    <m/>
    <m/>
    <n v="262"/>
    <n v="520"/>
    <n v="2155"/>
  </r>
  <r>
    <x v="11"/>
    <x v="1"/>
    <n v="172"/>
    <m/>
    <n v="1"/>
    <n v="4"/>
    <n v="10"/>
    <n v="37"/>
    <n v="29"/>
    <n v="91"/>
  </r>
  <r>
    <x v="11"/>
    <x v="0"/>
    <n v="2735"/>
    <m/>
    <m/>
    <m/>
    <m/>
    <n v="262"/>
    <n v="521"/>
    <n v="1952"/>
  </r>
  <r>
    <x v="11"/>
    <x v="2"/>
    <n v="0"/>
    <m/>
    <m/>
    <m/>
    <m/>
    <m/>
    <m/>
    <m/>
  </r>
  <r>
    <x v="11"/>
    <x v="4"/>
    <n v="3490"/>
    <n v="5"/>
    <n v="31"/>
    <n v="78"/>
    <n v="148"/>
    <n v="601"/>
    <n v="655"/>
    <n v="1972"/>
  </r>
  <r>
    <x v="8"/>
    <x v="1"/>
    <n v="203"/>
    <m/>
    <m/>
    <n v="6"/>
    <n v="7"/>
    <n v="51"/>
    <n v="44"/>
    <n v="95"/>
  </r>
  <r>
    <x v="10"/>
    <x v="1"/>
    <n v="165"/>
    <m/>
    <m/>
    <n v="5"/>
    <n v="8"/>
    <n v="41"/>
    <n v="31"/>
    <n v="80"/>
  </r>
  <r>
    <x v="10"/>
    <x v="3"/>
    <n v="320"/>
    <m/>
    <m/>
    <m/>
    <m/>
    <n v="36"/>
    <n v="43"/>
    <n v="241"/>
  </r>
  <r>
    <x v="4"/>
    <x v="5"/>
    <n v="54"/>
    <m/>
    <m/>
    <m/>
    <m/>
    <n v="54"/>
    <m/>
    <m/>
  </r>
  <r>
    <x v="6"/>
    <x v="0"/>
    <n v="2708"/>
    <m/>
    <m/>
    <m/>
    <m/>
    <n v="251"/>
    <n v="525"/>
    <n v="1932"/>
  </r>
  <r>
    <x v="6"/>
    <x v="2"/>
    <n v="0"/>
    <m/>
    <m/>
    <m/>
    <m/>
    <m/>
    <m/>
    <m/>
  </r>
  <r>
    <x v="9"/>
    <x v="2"/>
    <n v="0"/>
    <m/>
    <m/>
    <m/>
    <m/>
    <m/>
    <m/>
    <m/>
  </r>
  <r>
    <x v="1"/>
    <x v="3"/>
    <n v="378"/>
    <m/>
    <m/>
    <m/>
    <m/>
    <n v="38"/>
    <n v="44"/>
    <n v="296"/>
  </r>
  <r>
    <x v="1"/>
    <x v="4"/>
    <n v="3856"/>
    <n v="7"/>
    <n v="33"/>
    <n v="103"/>
    <n v="130"/>
    <n v="664"/>
    <n v="634"/>
    <n v="2285"/>
  </r>
  <r>
    <x v="10"/>
    <x v="0"/>
    <n v="2870"/>
    <m/>
    <m/>
    <m/>
    <m/>
    <n v="260"/>
    <n v="549"/>
    <n v="2061"/>
  </r>
  <r>
    <x v="4"/>
    <x v="4"/>
    <n v="3581"/>
    <n v="5"/>
    <n v="35"/>
    <n v="79"/>
    <n v="152"/>
    <n v="603"/>
    <n v="687"/>
    <n v="2020"/>
  </r>
  <r>
    <x v="5"/>
    <x v="5"/>
    <n v="53"/>
    <m/>
    <m/>
    <m/>
    <m/>
    <n v="53"/>
    <m/>
    <m/>
  </r>
  <r>
    <x v="5"/>
    <x v="4"/>
    <n v="3530"/>
    <n v="5"/>
    <n v="35"/>
    <n v="76"/>
    <n v="157"/>
    <n v="607"/>
    <n v="660"/>
    <n v="1990"/>
  </r>
  <r>
    <x v="6"/>
    <x v="5"/>
    <n v="55"/>
    <m/>
    <m/>
    <m/>
    <m/>
    <n v="53"/>
    <n v="2"/>
    <m/>
  </r>
  <r>
    <x v="6"/>
    <x v="4"/>
    <n v="3422"/>
    <n v="5"/>
    <n v="31"/>
    <n v="71"/>
    <n v="156"/>
    <n v="607"/>
    <n v="640"/>
    <n v="1912"/>
  </r>
  <r>
    <x v="9"/>
    <x v="4"/>
    <n v="3430"/>
    <n v="5"/>
    <n v="30"/>
    <n v="72"/>
    <n v="160"/>
    <n v="605"/>
    <n v="622"/>
    <n v="1936"/>
  </r>
  <r>
    <x v="7"/>
    <x v="5"/>
    <n v="18"/>
    <m/>
    <m/>
    <m/>
    <m/>
    <m/>
    <m/>
    <m/>
  </r>
  <r>
    <x v="7"/>
    <x v="4"/>
    <n v="3637"/>
    <n v="4"/>
    <n v="33"/>
    <n v="80"/>
    <n v="147"/>
    <n v="611"/>
    <n v="687"/>
    <n v="2075"/>
  </r>
  <r>
    <x v="4"/>
    <x v="2"/>
    <n v="0"/>
    <m/>
    <m/>
    <m/>
    <m/>
    <m/>
    <m/>
    <m/>
  </r>
  <r>
    <x v="5"/>
    <x v="0"/>
    <n v="2758"/>
    <m/>
    <m/>
    <m/>
    <m/>
    <n v="265"/>
    <n v="526"/>
    <n v="1967"/>
  </r>
  <r>
    <x v="11"/>
    <x v="3"/>
    <n v="266"/>
    <m/>
    <m/>
    <m/>
    <m/>
    <n v="37"/>
    <n v="40"/>
    <n v="189"/>
  </r>
  <r>
    <x v="9"/>
    <x v="5"/>
    <n v="60"/>
    <m/>
    <m/>
    <m/>
    <m/>
    <n v="56"/>
    <n v="4"/>
    <m/>
  </r>
  <r>
    <x v="8"/>
    <x v="0"/>
    <n v="2870"/>
    <m/>
    <m/>
    <m/>
    <m/>
    <n v="262"/>
    <n v="543"/>
    <n v="2065"/>
  </r>
  <r>
    <x v="3"/>
    <x v="5"/>
    <n v="36"/>
    <m/>
    <m/>
    <m/>
    <m/>
    <n v="36"/>
    <m/>
    <m/>
  </r>
  <r>
    <x v="11"/>
    <x v="5"/>
    <n v="55"/>
    <m/>
    <m/>
    <m/>
    <m/>
    <n v="54"/>
    <n v="1"/>
    <m/>
  </r>
  <r>
    <x v="9"/>
    <x v="0"/>
    <n v="2705"/>
    <m/>
    <m/>
    <m/>
    <m/>
    <n v="248"/>
    <n v="514"/>
    <n v="1943"/>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0.4"/>
    <n v="0.3"/>
    <m/>
    <n v="2.1"/>
    <n v="1.4"/>
    <n v="0.4"/>
    <n v="0.6"/>
    <n v="0.6"/>
  </r>
  <r>
    <x v="1"/>
    <n v="0.5"/>
    <n v="0.3"/>
    <m/>
    <n v="2.1"/>
    <n v="1.5"/>
    <n v="0.5"/>
    <n v="0.6"/>
    <n v="0.6"/>
  </r>
  <r>
    <x v="2"/>
    <n v="0.2"/>
    <n v="0.2"/>
    <m/>
    <n v="1.8"/>
    <n v="0.7"/>
    <m/>
    <n v="0.3"/>
    <n v="0.3"/>
  </r>
  <r>
    <x v="3"/>
    <n v="0.2"/>
    <n v="0.2"/>
    <m/>
    <n v="2.2000000000000002"/>
    <n v="0.8"/>
    <m/>
    <n v="0.3"/>
    <n v="0.3"/>
  </r>
  <r>
    <x v="4"/>
    <n v="0"/>
    <n v="0.1"/>
    <m/>
    <n v="0"/>
    <n v="0.5"/>
    <n v="0.3"/>
    <n v="0.1"/>
    <n v="0.1"/>
  </r>
  <r>
    <x v="5"/>
    <n v="0"/>
    <n v="0.1"/>
    <m/>
    <n v="0"/>
    <n v="0.4"/>
    <n v="0.3"/>
    <n v="0.1"/>
    <n v="0.1"/>
  </r>
  <r>
    <x v="6"/>
    <n v="0.3"/>
    <n v="0.3"/>
    <m/>
    <n v="0"/>
    <n v="1.2"/>
    <n v="0.3"/>
    <n v="0.4"/>
    <n v="0.4"/>
  </r>
  <r>
    <x v="7"/>
    <n v="0.68737970855100361"/>
    <n v="0.44023027429732475"/>
    <n v="0"/>
    <n v="0.48309178743961351"/>
    <n v="2.1464646464646462"/>
    <n v="0.31545741324921134"/>
    <n v="0.7209714141158613"/>
    <n v="0.73791013308736331"/>
  </r>
  <r>
    <x v="8"/>
    <n v="0.74257425742574257"/>
    <n v="0.40858018386108275"/>
    <n v="0"/>
    <n v="0.53191489361702127"/>
    <n v="2.3227383863080684"/>
    <n v="0.31746031746031744"/>
    <n v="0.75662042875157631"/>
    <n v="0.77478660538411037"/>
  </r>
  <r>
    <x v="9"/>
    <n v="0.78125"/>
    <n v="0.45264623955431754"/>
    <n v="0"/>
    <n v="1.098901098901099"/>
    <n v="3.1100478468899522"/>
    <n v="0.33003300330033003"/>
    <n v="0.89388328438258202"/>
    <n v="0.91657810839532416"/>
  </r>
  <r>
    <x v="10"/>
    <n v="0.76120665351000849"/>
    <n v="0.43462513582035489"/>
    <n v="0"/>
    <n v="0.56497175141242939"/>
    <n v="2.7600849256900215"/>
    <n v="0.36101083032490977"/>
    <n v="0.85491897409723094"/>
    <n v="0.88235294117647056"/>
  </r>
  <r>
    <x v="11"/>
    <n v="0.96728307254623047"/>
    <n v="0.40204678362573099"/>
    <n v="0"/>
    <n v="1.1494252873563218"/>
    <n v="2.5917926565874732"/>
    <n v="0.37593984962406013"/>
    <n v="0.92366901860166761"/>
    <n v="0.95881161377447677"/>
  </r>
  <r>
    <x v="12"/>
    <n v="0.92969203951191159"/>
    <n v="0.33136966126656847"/>
    <n v="0"/>
    <n v="1.1560693641618496"/>
    <n v="2.7472527472527473"/>
    <n v="0.37037037037037041"/>
    <n v="0.89459354336833918"/>
    <n v="0.93214530500342707"/>
  </r>
  <r>
    <x v="13"/>
    <n v="0.98693759071117571"/>
    <n v="0.33222591362126247"/>
    <n v="0"/>
    <n v="1.1560693641618496"/>
    <n v="2.7484143763213531"/>
    <n v="0.36630036630036628"/>
    <n v="0.92819388939022818"/>
    <n v="0.9680938096536677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2"/>
    <n v="3"/>
    <n v="0"/>
    <n v="5"/>
  </r>
  <r>
    <x v="0"/>
    <x v="1"/>
    <n v="2"/>
    <n v="3"/>
    <n v="3"/>
    <n v="8"/>
  </r>
  <r>
    <x v="0"/>
    <x v="2"/>
    <n v="1"/>
    <n v="6"/>
    <n v="4"/>
    <n v="11"/>
  </r>
  <r>
    <x v="0"/>
    <x v="3"/>
    <n v="1"/>
    <n v="1"/>
    <n v="1"/>
    <n v="3"/>
  </r>
  <r>
    <x v="0"/>
    <x v="4"/>
    <n v="0"/>
    <n v="5"/>
    <n v="1"/>
    <n v="6"/>
  </r>
  <r>
    <x v="0"/>
    <x v="5"/>
    <n v="6"/>
    <n v="3"/>
    <n v="0"/>
    <n v="9"/>
  </r>
  <r>
    <x v="0"/>
    <x v="6"/>
    <n v="2"/>
    <n v="9"/>
    <n v="1"/>
    <n v="12"/>
  </r>
  <r>
    <x v="0"/>
    <x v="7"/>
    <n v="4"/>
    <n v="3"/>
    <n v="2"/>
    <n v="9"/>
  </r>
  <r>
    <x v="0"/>
    <x v="8"/>
    <n v="1"/>
    <n v="7"/>
    <n v="0"/>
    <n v="8"/>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80.8"/>
    <n v="96.9"/>
    <m/>
    <n v="60.4"/>
    <n v="77.900000000000006"/>
    <n v="47.4"/>
    <n v="84.1"/>
    <n v="85.9"/>
  </r>
  <r>
    <x v="1"/>
    <n v="100"/>
    <n v="98"/>
    <m/>
    <n v="100"/>
    <n v="95"/>
    <n v="94"/>
    <n v="99"/>
    <n v="99"/>
  </r>
  <r>
    <x v="2"/>
    <n v="99.5"/>
    <n v="95.2"/>
    <m/>
    <n v="99.4"/>
    <n v="90.9"/>
    <n v="96.2"/>
    <n v="96.8"/>
    <n v="96.9"/>
  </r>
  <r>
    <x v="3"/>
    <n v="91.4"/>
    <n v="80.599999999999994"/>
    <m/>
    <n v="87.3"/>
    <n v="75.099999999999994"/>
    <n v="96.4"/>
    <n v="85.8"/>
    <n v="85.3"/>
  </r>
  <r>
    <x v="4"/>
    <n v="78.828704976629098"/>
    <n v="73.789366745682358"/>
    <m/>
    <n v="78.260869565217391"/>
    <n v="60.101010101010097"/>
    <n v="95.899053627760253"/>
    <n v="75.739944346066281"/>
    <n v="74.89787850836737"/>
  </r>
  <r>
    <x v="5"/>
    <n v="75.880088008800882"/>
    <n v="74.08920667347634"/>
    <n v="55.555555555555557"/>
    <n v="78.723404255319153"/>
    <n v="59.29095354523227"/>
    <n v="94.92063492063491"/>
    <n v="74.237074401008826"/>
    <n v="73.381483913328964"/>
  </r>
  <r>
    <x v="6"/>
    <n v="74.469866071428569"/>
    <n v="73.850974930362113"/>
    <n v="59.259259259259252"/>
    <n v="71.428571428571431"/>
    <n v="57.41626794258373"/>
    <n v="94.38943894389439"/>
    <n v="73.017494572851476"/>
    <n v="72.157279489904354"/>
  </r>
  <r>
    <x v="7"/>
    <n v="72.963067380885263"/>
    <n v="74.139804418688882"/>
    <n v="60.377358490566039"/>
    <n v="67.2316384180791"/>
    <n v="59.023354564755834"/>
    <n v="93.501805054151617"/>
    <n v="71.468674237590918"/>
    <n v="71.417112299465231"/>
  </r>
  <r>
    <x v="8"/>
    <n v="70.981507823613086"/>
    <n v="74.232456140350877"/>
    <n v="62.962962962962962"/>
    <n v="68.965517241379317"/>
    <n v="60.151187904967607"/>
    <n v="93.609022556390968"/>
    <n v="70.378447722899296"/>
    <n v="70.722484807562452"/>
  </r>
  <r>
    <x v="9"/>
    <n v="70.976176641487513"/>
    <n v="75.662739322533128"/>
    <n v="64.81481481481481"/>
    <n v="70.520231213872833"/>
    <n v="61.208791208791212"/>
    <n v="93.333333333333329"/>
    <n v="70.841436535718913"/>
    <n v="71.446196024674435"/>
  </r>
  <r>
    <x v="10"/>
    <n v="71.756168359941938"/>
    <n v="76.559616094499816"/>
    <n v="67.213114754098356"/>
    <n v="70.520231213872833"/>
    <n v="61.627906976744185"/>
    <n v="93.040293040293037"/>
    <n v="71.496712646641754"/>
    <n v="72.157076629397338"/>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
  <r>
    <x v="0"/>
    <m/>
    <x v="0"/>
    <n v="4"/>
  </r>
  <r>
    <x v="0"/>
    <s v="NationalFireResilience"/>
    <x v="1"/>
    <n v="8"/>
  </r>
  <r>
    <x v="0"/>
    <s v="NationalFireResilience"/>
    <x v="2"/>
    <n v="4"/>
  </r>
  <r>
    <x v="0"/>
    <s v="NationalFireResilience"/>
    <x v="3"/>
    <n v="78"/>
  </r>
  <r>
    <x v="0"/>
    <s v="NationalFireResilience"/>
    <x v="4"/>
    <n v="1"/>
  </r>
  <r>
    <x v="0"/>
    <s v="NationalFireResilience"/>
    <x v="5"/>
    <n v="4"/>
  </r>
  <r>
    <x v="0"/>
    <s v="NationalFireResilience"/>
    <x v="6"/>
    <n v="5"/>
  </r>
  <r>
    <x v="0"/>
    <s v="NationalFireResilience"/>
    <x v="7"/>
    <n v="3"/>
  </r>
  <r>
    <x v="0"/>
    <s v="NationalFireResilience"/>
    <x v="8"/>
    <n v="20"/>
  </r>
  <r>
    <x v="0"/>
    <s v="NationalFireResilience"/>
    <x v="9"/>
    <n v="10"/>
  </r>
  <r>
    <x v="0"/>
    <s v="Specialist"/>
    <x v="10"/>
    <n v="5"/>
  </r>
  <r>
    <x v="0"/>
    <s v="Specialist"/>
    <x v="11"/>
    <n v="25"/>
  </r>
  <r>
    <x v="0"/>
    <s v="Specialist"/>
    <x v="12"/>
    <n v="8"/>
  </r>
  <r>
    <x v="0"/>
    <s v="Specialist"/>
    <x v="13"/>
    <n v="17"/>
  </r>
  <r>
    <x v="0"/>
    <s v="Specialist"/>
    <x v="14"/>
    <n v="3"/>
  </r>
  <r>
    <x v="0"/>
    <s v="Specialist"/>
    <x v="15"/>
    <n v="7"/>
  </r>
  <r>
    <x v="0"/>
    <s v="Tactical"/>
    <x v="16"/>
    <n v="6"/>
  </r>
  <r>
    <x v="0"/>
    <s v="Tactical"/>
    <x v="17"/>
    <n v="21"/>
  </r>
  <r>
    <x v="0"/>
    <s v="Tactical"/>
    <x v="18"/>
    <n v="35"/>
  </r>
  <r>
    <x v="0"/>
    <s v="Tactical"/>
    <x v="19"/>
    <n v="5"/>
  </r>
  <r>
    <x v="0"/>
    <s v="Tactical"/>
    <x v="20"/>
    <n v="19"/>
  </r>
  <r>
    <x v="0"/>
    <s v="WaterPumping"/>
    <x v="21"/>
    <n v="244"/>
  </r>
  <r>
    <x v="0"/>
    <s v="WaterPumping"/>
    <x v="22"/>
    <n v="6"/>
  </r>
  <r>
    <x v="0"/>
    <s v="WaterPumping"/>
    <x v="23"/>
    <n v="101"/>
  </r>
  <r>
    <x v="1"/>
    <m/>
    <x v="0"/>
    <n v="4"/>
  </r>
  <r>
    <x v="1"/>
    <s v="NationalFireResilience"/>
    <x v="1"/>
    <n v="8"/>
  </r>
  <r>
    <x v="1"/>
    <s v="NationalFireResilience"/>
    <x v="2"/>
    <n v="4"/>
  </r>
  <r>
    <x v="1"/>
    <s v="NationalFireResilience"/>
    <x v="3"/>
    <n v="78"/>
  </r>
  <r>
    <x v="1"/>
    <s v="NationalFireResilience"/>
    <x v="4"/>
    <n v="1"/>
  </r>
  <r>
    <x v="1"/>
    <s v="NationalFireResilience"/>
    <x v="5"/>
    <n v="4"/>
  </r>
  <r>
    <x v="1"/>
    <s v="NationalFireResilience"/>
    <x v="6"/>
    <n v="5"/>
  </r>
  <r>
    <x v="1"/>
    <s v="NationalFireResilience"/>
    <x v="7"/>
    <n v="3"/>
  </r>
  <r>
    <x v="1"/>
    <s v="NationalFireResilience"/>
    <x v="8"/>
    <n v="20"/>
  </r>
  <r>
    <x v="1"/>
    <s v="NationalFireResilience"/>
    <x v="9"/>
    <n v="10"/>
  </r>
  <r>
    <x v="1"/>
    <s v="Specialist"/>
    <x v="10"/>
    <n v="5"/>
  </r>
  <r>
    <x v="1"/>
    <s v="Specialist"/>
    <x v="11"/>
    <n v="25"/>
  </r>
  <r>
    <x v="1"/>
    <s v="Specialist"/>
    <x v="12"/>
    <n v="8"/>
  </r>
  <r>
    <x v="1"/>
    <s v="Specialist"/>
    <x v="13"/>
    <n v="17"/>
  </r>
  <r>
    <x v="1"/>
    <s v="Specialist"/>
    <x v="14"/>
    <n v="3"/>
  </r>
  <r>
    <x v="1"/>
    <s v="Specialist"/>
    <x v="15"/>
    <n v="7"/>
  </r>
  <r>
    <x v="1"/>
    <s v="Tactical"/>
    <x v="16"/>
    <n v="6"/>
  </r>
  <r>
    <x v="1"/>
    <s v="Tactical"/>
    <x v="17"/>
    <n v="21"/>
  </r>
  <r>
    <x v="1"/>
    <s v="Tactical"/>
    <x v="18"/>
    <n v="35"/>
  </r>
  <r>
    <x v="1"/>
    <s v="Tactical"/>
    <x v="19"/>
    <n v="5"/>
  </r>
  <r>
    <x v="1"/>
    <s v="Tactical"/>
    <x v="20"/>
    <n v="19"/>
  </r>
  <r>
    <x v="1"/>
    <s v="WaterPumping"/>
    <x v="21"/>
    <n v="244"/>
  </r>
  <r>
    <x v="1"/>
    <s v="WaterPumping"/>
    <x v="22"/>
    <n v="6"/>
  </r>
  <r>
    <x v="1"/>
    <s v="WaterPumping"/>
    <x v="23"/>
    <n v="101"/>
  </r>
  <r>
    <x v="2"/>
    <s v="NationalFireResilience"/>
    <x v="1"/>
    <n v="8"/>
  </r>
  <r>
    <x v="2"/>
    <s v="NationalFireResilience"/>
    <x v="2"/>
    <n v="4"/>
  </r>
  <r>
    <x v="2"/>
    <s v="NationalFireResilience"/>
    <x v="3"/>
    <n v="83"/>
  </r>
  <r>
    <x v="2"/>
    <s v="NationalFireResilience"/>
    <x v="4"/>
    <n v="1"/>
  </r>
  <r>
    <x v="2"/>
    <s v="NationalFireResilience"/>
    <x v="5"/>
    <n v="4"/>
  </r>
  <r>
    <x v="2"/>
    <s v="NationalFireResilience"/>
    <x v="6"/>
    <n v="8"/>
  </r>
  <r>
    <x v="2"/>
    <s v="NationalFireResilience"/>
    <x v="7"/>
    <n v="4"/>
  </r>
  <r>
    <x v="2"/>
    <s v="NationalFireResilience"/>
    <x v="8"/>
    <n v="20"/>
  </r>
  <r>
    <x v="2"/>
    <s v="NationalFireResilience"/>
    <x v="9"/>
    <n v="7"/>
  </r>
  <r>
    <x v="2"/>
    <s v="Specialist"/>
    <x v="10"/>
    <n v="5"/>
  </r>
  <r>
    <x v="2"/>
    <s v="Specialist"/>
    <x v="11"/>
    <n v="25"/>
  </r>
  <r>
    <x v="2"/>
    <s v="Specialist"/>
    <x v="12"/>
    <n v="7"/>
  </r>
  <r>
    <x v="2"/>
    <s v="Specialist"/>
    <x v="14"/>
    <n v="4"/>
  </r>
  <r>
    <x v="2"/>
    <s v="Specialist"/>
    <x v="15"/>
    <n v="7"/>
  </r>
  <r>
    <x v="2"/>
    <s v="Tactical"/>
    <x v="18"/>
    <n v="34"/>
  </r>
  <r>
    <x v="2"/>
    <s v="Tactical"/>
    <x v="19"/>
    <n v="5"/>
  </r>
  <r>
    <x v="2"/>
    <s v="Tactical"/>
    <x v="20"/>
    <n v="15"/>
  </r>
  <r>
    <x v="2"/>
    <s v="WaterPumping"/>
    <x v="21"/>
    <n v="243"/>
  </r>
  <r>
    <x v="2"/>
    <s v="WaterPumping"/>
    <x v="24"/>
    <n v="1"/>
  </r>
  <r>
    <x v="2"/>
    <s v="WaterPumping"/>
    <x v="22"/>
    <n v="6"/>
  </r>
  <r>
    <x v="2"/>
    <s v="WaterPumping"/>
    <x v="23"/>
    <n v="102"/>
  </r>
  <r>
    <x v="3"/>
    <s v="NationalFireResilience"/>
    <x v="1"/>
    <n v="8"/>
  </r>
  <r>
    <x v="3"/>
    <s v="NationalFireResilience"/>
    <x v="2"/>
    <n v="4"/>
  </r>
  <r>
    <x v="3"/>
    <s v="NationalFireResilience"/>
    <x v="3"/>
    <n v="91"/>
  </r>
  <r>
    <x v="3"/>
    <s v="NationalFireResilience"/>
    <x v="4"/>
    <n v="1"/>
  </r>
  <r>
    <x v="3"/>
    <s v="NationalFireResilience"/>
    <x v="5"/>
    <n v="4"/>
  </r>
  <r>
    <x v="3"/>
    <s v="NationalFireResilience"/>
    <x v="6"/>
    <n v="7"/>
  </r>
  <r>
    <x v="3"/>
    <s v="NationalFireResilience"/>
    <x v="7"/>
    <n v="3"/>
  </r>
  <r>
    <x v="3"/>
    <s v="NationalFireResilience"/>
    <x v="8"/>
    <n v="20"/>
  </r>
  <r>
    <x v="3"/>
    <s v="NationalFireResilience"/>
    <x v="9"/>
    <n v="6"/>
  </r>
  <r>
    <x v="3"/>
    <s v="Specialist"/>
    <x v="10"/>
    <n v="5"/>
  </r>
  <r>
    <x v="3"/>
    <s v="Specialist"/>
    <x v="11"/>
    <n v="25"/>
  </r>
  <r>
    <x v="3"/>
    <s v="Specialist"/>
    <x v="12"/>
    <n v="7"/>
  </r>
  <r>
    <x v="3"/>
    <s v="Specialist"/>
    <x v="14"/>
    <n v="4"/>
  </r>
  <r>
    <x v="3"/>
    <s v="Specialist"/>
    <x v="15"/>
    <n v="8"/>
  </r>
  <r>
    <x v="3"/>
    <s v="Tactical"/>
    <x v="18"/>
    <n v="33"/>
  </r>
  <r>
    <x v="3"/>
    <s v="Tactical"/>
    <x v="19"/>
    <n v="5"/>
  </r>
  <r>
    <x v="3"/>
    <s v="Tactical"/>
    <x v="20"/>
    <n v="15"/>
  </r>
  <r>
    <x v="3"/>
    <s v="WaterPumping"/>
    <x v="21"/>
    <n v="244"/>
  </r>
  <r>
    <x v="3"/>
    <s v="WaterPumping"/>
    <x v="22"/>
    <n v="6"/>
  </r>
  <r>
    <x v="3"/>
    <s v="WaterPumping"/>
    <x v="23"/>
    <n v="101"/>
  </r>
  <r>
    <x v="4"/>
    <s v="NationalFireResilience"/>
    <x v="1"/>
    <n v="8"/>
  </r>
  <r>
    <x v="4"/>
    <s v="NationalFireResilience"/>
    <x v="2"/>
    <n v="4"/>
  </r>
  <r>
    <x v="4"/>
    <s v="NationalFireResilience"/>
    <x v="3"/>
    <n v="91"/>
  </r>
  <r>
    <x v="4"/>
    <s v="NationalFireResilience"/>
    <x v="4"/>
    <n v="1"/>
  </r>
  <r>
    <x v="4"/>
    <s v="NationalFireResilience"/>
    <x v="5"/>
    <n v="4"/>
  </r>
  <r>
    <x v="4"/>
    <s v="NationalFireResilience"/>
    <x v="6"/>
    <n v="7"/>
  </r>
  <r>
    <x v="4"/>
    <s v="NationalFireResilience"/>
    <x v="7"/>
    <n v="4"/>
  </r>
  <r>
    <x v="4"/>
    <s v="NationalFireResilience"/>
    <x v="8"/>
    <n v="20"/>
  </r>
  <r>
    <x v="4"/>
    <s v="NationalFireResilience"/>
    <x v="9"/>
    <n v="7"/>
  </r>
  <r>
    <x v="4"/>
    <s v="Specialist"/>
    <x v="10"/>
    <n v="5"/>
  </r>
  <r>
    <x v="4"/>
    <s v="Specialist"/>
    <x v="11"/>
    <n v="16"/>
  </r>
  <r>
    <x v="4"/>
    <s v="Specialist"/>
    <x v="12"/>
    <n v="5"/>
  </r>
  <r>
    <x v="4"/>
    <s v="Specialist"/>
    <x v="14"/>
    <n v="4"/>
  </r>
  <r>
    <x v="4"/>
    <s v="Specialist"/>
    <x v="15"/>
    <n v="7"/>
  </r>
  <r>
    <x v="4"/>
    <s v="Tactical"/>
    <x v="18"/>
    <n v="34"/>
  </r>
  <r>
    <x v="4"/>
    <s v="Tactical"/>
    <x v="19"/>
    <n v="5"/>
  </r>
  <r>
    <x v="4"/>
    <s v="Tactical"/>
    <x v="20"/>
    <n v="15"/>
  </r>
  <r>
    <x v="4"/>
    <s v="WaterPumping"/>
    <x v="21"/>
    <n v="251"/>
  </r>
  <r>
    <x v="4"/>
    <s v="WaterPumping"/>
    <x v="22"/>
    <n v="5"/>
  </r>
  <r>
    <x v="4"/>
    <s v="WaterPumping"/>
    <x v="23"/>
    <n v="95"/>
  </r>
  <r>
    <x v="5"/>
    <m/>
    <x v="25"/>
    <n v="1"/>
  </r>
  <r>
    <x v="5"/>
    <s v="NationalFireResilience"/>
    <x v="1"/>
    <n v="8"/>
  </r>
  <r>
    <x v="5"/>
    <s v="NationalFireResilience"/>
    <x v="2"/>
    <n v="4"/>
  </r>
  <r>
    <x v="5"/>
    <s v="NationalFireResilience"/>
    <x v="3"/>
    <n v="81"/>
  </r>
  <r>
    <x v="5"/>
    <s v="NationalFireResilience"/>
    <x v="4"/>
    <n v="1"/>
  </r>
  <r>
    <x v="5"/>
    <s v="NationalFireResilience"/>
    <x v="5"/>
    <n v="4"/>
  </r>
  <r>
    <x v="5"/>
    <s v="NationalFireResilience"/>
    <x v="6"/>
    <n v="8"/>
  </r>
  <r>
    <x v="5"/>
    <s v="NationalFireResilience"/>
    <x v="7"/>
    <n v="4"/>
  </r>
  <r>
    <x v="5"/>
    <s v="NationalFireResilience"/>
    <x v="8"/>
    <n v="20"/>
  </r>
  <r>
    <x v="5"/>
    <s v="NationalFireResilience"/>
    <x v="9"/>
    <n v="6"/>
  </r>
  <r>
    <x v="5"/>
    <s v="Specialist"/>
    <x v="10"/>
    <n v="4"/>
  </r>
  <r>
    <x v="5"/>
    <s v="Specialist"/>
    <x v="11"/>
    <n v="16"/>
  </r>
  <r>
    <x v="5"/>
    <s v="Specialist"/>
    <x v="12"/>
    <n v="1"/>
  </r>
  <r>
    <x v="5"/>
    <s v="Specialist"/>
    <x v="12"/>
    <n v="5"/>
  </r>
  <r>
    <x v="5"/>
    <s v="Specialist"/>
    <x v="14"/>
    <n v="4"/>
  </r>
  <r>
    <x v="5"/>
    <s v="Specialist"/>
    <x v="15"/>
    <n v="7"/>
  </r>
  <r>
    <x v="5"/>
    <s v="Tactical"/>
    <x v="18"/>
    <n v="33"/>
  </r>
  <r>
    <x v="5"/>
    <s v="Tactical"/>
    <x v="19"/>
    <n v="5"/>
  </r>
  <r>
    <x v="5"/>
    <s v="Tactical"/>
    <x v="20"/>
    <n v="31"/>
  </r>
  <r>
    <x v="5"/>
    <s v="WaterPumping"/>
    <x v="21"/>
    <n v="251"/>
  </r>
  <r>
    <x v="5"/>
    <s v="WaterPumping"/>
    <x v="22"/>
    <n v="6"/>
  </r>
  <r>
    <x v="5"/>
    <s v="WaterPumping"/>
    <x v="23"/>
    <n v="94"/>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3">
  <r>
    <x v="0"/>
    <x v="0"/>
    <s v="S12000045"/>
    <n v="5"/>
    <n v="18"/>
    <n v="1"/>
    <m/>
    <n v="5"/>
    <n v="1"/>
    <m/>
    <n v="1"/>
    <n v="2"/>
    <n v="2"/>
    <n v="6"/>
    <n v="2"/>
    <n v="4"/>
    <n v="4"/>
    <n v="3"/>
  </r>
  <r>
    <x v="0"/>
    <x v="1"/>
    <s v="S12000019"/>
    <n v="3"/>
    <n v="18"/>
    <n v="35"/>
    <n v="5"/>
    <n v="2"/>
    <n v="2"/>
    <n v="1"/>
    <m/>
    <n v="4"/>
    <n v="14"/>
    <n v="38"/>
    <m/>
    <n v="1"/>
    <n v="1"/>
    <n v="2"/>
  </r>
  <r>
    <x v="0"/>
    <x v="2"/>
    <s v="S12000021"/>
    <n v="7"/>
    <n v="58"/>
    <n v="2"/>
    <n v="1"/>
    <n v="6"/>
    <n v="1"/>
    <m/>
    <n v="1"/>
    <n v="1"/>
    <n v="2"/>
    <n v="11"/>
    <n v="9"/>
    <n v="1"/>
    <n v="6"/>
    <n v="3"/>
  </r>
  <r>
    <x v="0"/>
    <x v="3"/>
    <s v="S12000038"/>
    <n v="1"/>
    <n v="51"/>
    <n v="16"/>
    <m/>
    <n v="21"/>
    <m/>
    <m/>
    <m/>
    <n v="31"/>
    <n v="12"/>
    <n v="37"/>
    <n v="10"/>
    <n v="10"/>
    <n v="17"/>
    <n v="9"/>
  </r>
  <r>
    <x v="0"/>
    <x v="4"/>
    <s v="S12000026"/>
    <n v="17"/>
    <n v="34"/>
    <n v="22"/>
    <n v="2"/>
    <n v="85"/>
    <n v="41"/>
    <m/>
    <n v="2"/>
    <n v="21"/>
    <n v="8"/>
    <n v="117"/>
    <n v="11"/>
    <n v="7"/>
    <n v="7"/>
    <n v="7"/>
  </r>
  <r>
    <x v="1"/>
    <x v="5"/>
    <s v="S12000033"/>
    <n v="23"/>
    <n v="41"/>
    <n v="192"/>
    <n v="2"/>
    <n v="25"/>
    <n v="2"/>
    <n v="5"/>
    <m/>
    <n v="10"/>
    <n v="1"/>
    <n v="1"/>
    <n v="7"/>
    <m/>
    <n v="1"/>
    <n v="5"/>
  </r>
  <r>
    <x v="1"/>
    <x v="6"/>
    <s v="S12000034"/>
    <n v="13"/>
    <n v="109"/>
    <n v="44"/>
    <n v="2"/>
    <n v="106"/>
    <n v="38"/>
    <m/>
    <m/>
    <n v="24"/>
    <n v="3"/>
    <m/>
    <n v="8"/>
    <n v="15"/>
    <n v="5"/>
    <n v="6"/>
  </r>
  <r>
    <x v="1"/>
    <x v="7"/>
    <s v="S12000010"/>
    <n v="8"/>
    <n v="27"/>
    <n v="13"/>
    <n v="9"/>
    <n v="32"/>
    <n v="22"/>
    <n v="1"/>
    <n v="5"/>
    <n v="8"/>
    <n v="3"/>
    <n v="9"/>
    <n v="7"/>
    <n v="3"/>
    <n v="4"/>
    <n v="5"/>
  </r>
  <r>
    <x v="1"/>
    <x v="8"/>
    <s v="S12000011"/>
    <n v="1"/>
    <n v="10"/>
    <m/>
    <m/>
    <n v="5"/>
    <n v="1"/>
    <n v="1"/>
    <m/>
    <n v="4"/>
    <n v="4"/>
    <n v="18"/>
    <n v="1"/>
    <m/>
    <n v="9"/>
    <n v="3"/>
  </r>
  <r>
    <x v="1"/>
    <x v="9"/>
    <s v="S12000017"/>
    <n v="17"/>
    <n v="91"/>
    <n v="76"/>
    <n v="6"/>
    <n v="115"/>
    <n v="7"/>
    <n v="2"/>
    <n v="1"/>
    <n v="8"/>
    <m/>
    <n v="5"/>
    <n v="2"/>
    <n v="2"/>
    <n v="1"/>
    <n v="3"/>
  </r>
  <r>
    <x v="1"/>
    <x v="10"/>
    <s v="S12000018"/>
    <n v="6"/>
    <n v="21"/>
    <n v="6"/>
    <m/>
    <m/>
    <n v="2"/>
    <n v="1"/>
    <m/>
    <n v="1"/>
    <n v="3"/>
    <n v="8"/>
    <n v="5"/>
    <n v="2"/>
    <n v="4"/>
    <n v="4"/>
  </r>
  <r>
    <x v="1"/>
    <x v="11"/>
    <s v="S12000044"/>
    <n v="12"/>
    <n v="87"/>
    <n v="30"/>
    <m/>
    <n v="38"/>
    <n v="5"/>
    <n v="2"/>
    <n v="6"/>
    <n v="23"/>
    <n v="15"/>
    <n v="118"/>
    <n v="18"/>
    <n v="36"/>
    <n v="113"/>
    <n v="51"/>
  </r>
  <r>
    <x v="1"/>
    <x v="12"/>
    <s v="S12000027"/>
    <m/>
    <n v="10"/>
    <n v="6"/>
    <n v="1"/>
    <n v="4"/>
    <n v="1"/>
    <m/>
    <m/>
    <n v="1"/>
    <m/>
    <m/>
    <n v="1"/>
    <m/>
    <m/>
    <m/>
  </r>
  <r>
    <x v="1"/>
    <x v="13"/>
    <s v="S12000040"/>
    <n v="7"/>
    <n v="47"/>
    <n v="4"/>
    <n v="1"/>
    <n v="33"/>
    <n v="13"/>
    <m/>
    <n v="2"/>
    <n v="8"/>
    <n v="6"/>
    <n v="6"/>
    <n v="7"/>
    <n v="25"/>
    <n v="15"/>
    <n v="2"/>
  </r>
  <r>
    <x v="2"/>
    <x v="14"/>
    <s v="S12000035"/>
    <n v="6"/>
    <n v="29"/>
    <n v="32"/>
    <n v="15"/>
    <n v="146"/>
    <n v="41"/>
    <m/>
    <n v="4"/>
    <n v="11"/>
    <n v="6"/>
    <n v="15"/>
    <n v="6"/>
    <n v="8"/>
    <n v="9"/>
    <n v="3"/>
  </r>
  <r>
    <x v="2"/>
    <x v="15"/>
    <s v="S12000042"/>
    <n v="3"/>
    <n v="37"/>
    <n v="570"/>
    <n v="1"/>
    <n v="28"/>
    <m/>
    <n v="1"/>
    <m/>
    <n v="5"/>
    <n v="2"/>
    <n v="2"/>
    <n v="4"/>
    <n v="3"/>
    <m/>
    <m/>
  </r>
  <r>
    <x v="2"/>
    <x v="0"/>
    <s v="S12000045"/>
    <n v="11"/>
    <n v="28"/>
    <n v="19"/>
    <m/>
    <n v="6"/>
    <n v="2"/>
    <m/>
    <m/>
    <n v="1"/>
    <n v="4"/>
    <n v="1"/>
    <n v="2"/>
    <n v="1"/>
    <n v="1"/>
    <n v="5"/>
  </r>
  <r>
    <x v="2"/>
    <x v="16"/>
    <s v="S12000020"/>
    <n v="8"/>
    <n v="31"/>
    <n v="4"/>
    <n v="1"/>
    <n v="28"/>
    <n v="15"/>
    <m/>
    <n v="1"/>
    <n v="7"/>
    <n v="20"/>
    <n v="3"/>
    <n v="3"/>
    <n v="19"/>
    <n v="2"/>
    <m/>
  </r>
  <r>
    <x v="2"/>
    <x v="12"/>
    <s v="S12000027"/>
    <n v="1"/>
    <n v="11"/>
    <m/>
    <n v="1"/>
    <n v="3"/>
    <m/>
    <m/>
    <m/>
    <m/>
    <m/>
    <m/>
    <m/>
    <m/>
    <m/>
    <m/>
  </r>
  <r>
    <x v="3"/>
    <x v="16"/>
    <s v="S12000020"/>
    <n v="10"/>
    <n v="42"/>
    <n v="15"/>
    <n v="2"/>
    <n v="45"/>
    <n v="44"/>
    <n v="2"/>
    <m/>
    <n v="3"/>
    <n v="21"/>
    <n v="5"/>
    <n v="3"/>
    <n v="14"/>
    <n v="9"/>
    <n v="1"/>
  </r>
  <r>
    <x v="3"/>
    <x v="17"/>
    <s v="S12000023"/>
    <m/>
    <n v="9"/>
    <m/>
    <m/>
    <n v="3"/>
    <m/>
    <m/>
    <m/>
    <m/>
    <m/>
    <m/>
    <m/>
    <n v="1"/>
    <m/>
    <m/>
  </r>
  <r>
    <x v="3"/>
    <x v="18"/>
    <s v="S12000039"/>
    <n v="4"/>
    <n v="18"/>
    <n v="21"/>
    <m/>
    <n v="16"/>
    <n v="2"/>
    <m/>
    <n v="1"/>
    <n v="6"/>
    <n v="7"/>
    <n v="10"/>
    <n v="2"/>
    <n v="10"/>
    <n v="11"/>
    <n v="1"/>
  </r>
  <r>
    <x v="3"/>
    <x v="13"/>
    <s v="S12000040"/>
    <n v="5"/>
    <n v="56"/>
    <n v="3"/>
    <n v="1"/>
    <n v="8"/>
    <m/>
    <m/>
    <n v="3"/>
    <n v="14"/>
    <n v="16"/>
    <n v="21"/>
    <n v="15"/>
    <n v="14"/>
    <n v="5"/>
    <n v="3"/>
  </r>
  <r>
    <x v="4"/>
    <x v="19"/>
    <s v="S12000041"/>
    <n v="6"/>
    <n v="39"/>
    <n v="6"/>
    <m/>
    <n v="14"/>
    <n v="6"/>
    <n v="1"/>
    <n v="5"/>
    <n v="17"/>
    <n v="4"/>
    <n v="3"/>
    <n v="13"/>
    <n v="2"/>
    <n v="3"/>
    <n v="7"/>
  </r>
  <r>
    <x v="4"/>
    <x v="8"/>
    <s v="S12000011"/>
    <n v="1"/>
    <n v="15"/>
    <m/>
    <m/>
    <n v="6"/>
    <n v="1"/>
    <n v="1"/>
    <n v="1"/>
    <n v="2"/>
    <n v="2"/>
    <n v="1"/>
    <n v="3"/>
    <n v="2"/>
    <m/>
    <n v="1"/>
  </r>
  <r>
    <x v="4"/>
    <x v="1"/>
    <s v="S12000019"/>
    <n v="3"/>
    <n v="19"/>
    <n v="17"/>
    <n v="2"/>
    <n v="13"/>
    <n v="2"/>
    <n v="2"/>
    <n v="2"/>
    <n v="20"/>
    <n v="12"/>
    <n v="22"/>
    <n v="3"/>
    <n v="6"/>
    <n v="4"/>
    <n v="11"/>
  </r>
  <r>
    <x v="4"/>
    <x v="11"/>
    <s v="S12000044"/>
    <n v="9"/>
    <n v="58"/>
    <n v="24"/>
    <m/>
    <n v="29"/>
    <n v="3"/>
    <m/>
    <n v="1"/>
    <n v="24"/>
    <n v="17"/>
    <n v="41"/>
    <n v="28"/>
    <n v="17"/>
    <n v="35"/>
    <n v="21"/>
  </r>
  <r>
    <x v="0"/>
    <x v="20"/>
    <s v="S12000006"/>
    <n v="7"/>
    <n v="38"/>
    <n v="29"/>
    <n v="3"/>
    <n v="58"/>
    <n v="1"/>
    <n v="1"/>
    <n v="2"/>
    <n v="12"/>
    <n v="1"/>
    <n v="21"/>
    <n v="17"/>
    <n v="12"/>
    <n v="9"/>
    <n v="2"/>
  </r>
  <r>
    <x v="0"/>
    <x v="9"/>
    <s v="S12000017"/>
    <n v="12"/>
    <n v="83"/>
    <n v="59"/>
    <n v="10"/>
    <n v="92"/>
    <n v="5"/>
    <m/>
    <m/>
    <n v="5"/>
    <m/>
    <n v="3"/>
    <m/>
    <n v="5"/>
    <m/>
    <n v="2"/>
  </r>
  <r>
    <x v="0"/>
    <x v="16"/>
    <s v="S12000020"/>
    <m/>
    <n v="15"/>
    <n v="14"/>
    <m/>
    <n v="46"/>
    <n v="8"/>
    <m/>
    <n v="1"/>
    <n v="4"/>
    <m/>
    <n v="1"/>
    <n v="6"/>
    <n v="16"/>
    <n v="3"/>
    <m/>
  </r>
  <r>
    <x v="0"/>
    <x v="21"/>
    <s v="S12000029"/>
    <n v="10"/>
    <n v="110"/>
    <n v="69"/>
    <m/>
    <n v="36"/>
    <n v="3"/>
    <m/>
    <n v="1"/>
    <n v="12"/>
    <n v="7"/>
    <n v="15"/>
    <n v="9"/>
    <n v="5"/>
    <n v="7"/>
    <n v="2"/>
  </r>
  <r>
    <x v="1"/>
    <x v="22"/>
    <s v="S12000036"/>
    <n v="35"/>
    <n v="123"/>
    <n v="178"/>
    <n v="33"/>
    <n v="141"/>
    <n v="29"/>
    <n v="4"/>
    <n v="5"/>
    <n v="80"/>
    <n v="20"/>
    <n v="74"/>
    <n v="65"/>
    <n v="7"/>
    <n v="52"/>
    <n v="11"/>
  </r>
  <r>
    <x v="1"/>
    <x v="23"/>
    <s v="S12000008"/>
    <n v="8"/>
    <n v="57"/>
    <n v="3"/>
    <m/>
    <n v="28"/>
    <n v="2"/>
    <m/>
    <n v="1"/>
    <n v="6"/>
    <n v="3"/>
    <n v="16"/>
    <n v="3"/>
    <n v="3"/>
    <n v="12"/>
    <n v="1"/>
  </r>
  <r>
    <x v="1"/>
    <x v="24"/>
    <s v="S12000013"/>
    <n v="1"/>
    <n v="4"/>
    <m/>
    <n v="2"/>
    <n v="1"/>
    <m/>
    <m/>
    <m/>
    <m/>
    <m/>
    <n v="1"/>
    <m/>
    <m/>
    <m/>
    <m/>
  </r>
  <r>
    <x v="1"/>
    <x v="3"/>
    <s v="S12000038"/>
    <n v="1"/>
    <n v="45"/>
    <n v="70"/>
    <m/>
    <n v="27"/>
    <m/>
    <n v="1"/>
    <m/>
    <n v="10"/>
    <n v="4"/>
    <n v="32"/>
    <n v="7"/>
    <n v="23"/>
    <n v="7"/>
    <n v="11"/>
  </r>
  <r>
    <x v="2"/>
    <x v="7"/>
    <s v="S12000010"/>
    <n v="8"/>
    <n v="27"/>
    <n v="12"/>
    <n v="9"/>
    <n v="13"/>
    <n v="5"/>
    <m/>
    <n v="1"/>
    <n v="9"/>
    <n v="20"/>
    <n v="8"/>
    <n v="11"/>
    <n v="3"/>
    <n v="8"/>
    <n v="5"/>
  </r>
  <r>
    <x v="2"/>
    <x v="25"/>
    <s v="S12000046"/>
    <n v="47"/>
    <n v="148"/>
    <n v="958"/>
    <n v="19"/>
    <n v="99"/>
    <n v="6"/>
    <n v="3"/>
    <n v="7"/>
    <n v="84"/>
    <n v="45"/>
    <n v="52"/>
    <n v="24"/>
    <n v="18"/>
    <n v="27"/>
    <n v="25"/>
  </r>
  <r>
    <x v="2"/>
    <x v="24"/>
    <s v="S12000013"/>
    <n v="2"/>
    <n v="7"/>
    <n v="2"/>
    <n v="1"/>
    <n v="8"/>
    <n v="1"/>
    <m/>
    <m/>
    <m/>
    <m/>
    <m/>
    <m/>
    <m/>
    <m/>
    <m/>
  </r>
  <r>
    <x v="3"/>
    <x v="22"/>
    <s v="S12000036"/>
    <n v="45"/>
    <n v="134"/>
    <n v="183"/>
    <n v="17"/>
    <n v="115"/>
    <n v="58"/>
    <n v="6"/>
    <n v="3"/>
    <n v="55"/>
    <n v="18"/>
    <n v="27"/>
    <n v="47"/>
    <n v="4"/>
    <n v="22"/>
    <n v="10"/>
  </r>
  <r>
    <x v="3"/>
    <x v="26"/>
    <s v="S12000015"/>
    <n v="13"/>
    <n v="138"/>
    <n v="175"/>
    <n v="2"/>
    <n v="69"/>
    <n v="7"/>
    <m/>
    <n v="2"/>
    <n v="8"/>
    <n v="5"/>
    <n v="11"/>
    <n v="9"/>
    <n v="10"/>
    <n v="10"/>
    <n v="5"/>
  </r>
  <r>
    <x v="3"/>
    <x v="4"/>
    <s v="S12000026"/>
    <n v="17"/>
    <n v="36"/>
    <n v="17"/>
    <m/>
    <n v="60"/>
    <n v="13"/>
    <n v="3"/>
    <n v="2"/>
    <n v="20"/>
    <n v="15"/>
    <n v="21"/>
    <n v="5"/>
    <n v="9"/>
    <n v="9"/>
    <n v="4"/>
  </r>
  <r>
    <x v="3"/>
    <x v="27"/>
    <s v="S12000030"/>
    <n v="2"/>
    <n v="45"/>
    <n v="56"/>
    <n v="5"/>
    <n v="41"/>
    <n v="31"/>
    <n v="2"/>
    <n v="2"/>
    <n v="11"/>
    <n v="15"/>
    <n v="2"/>
    <n v="7"/>
    <n v="2"/>
    <n v="2"/>
    <n v="1"/>
  </r>
  <r>
    <x v="4"/>
    <x v="5"/>
    <s v="S12000033"/>
    <n v="22"/>
    <n v="113"/>
    <n v="136"/>
    <n v="2"/>
    <n v="32"/>
    <n v="1"/>
    <n v="5"/>
    <n v="2"/>
    <n v="5"/>
    <n v="9"/>
    <n v="10"/>
    <n v="6"/>
    <n v="7"/>
    <n v="6"/>
    <n v="8"/>
  </r>
  <r>
    <x v="4"/>
    <x v="28"/>
    <s v="S12000024"/>
    <n v="69"/>
    <n v="86"/>
    <n v="18"/>
    <n v="7"/>
    <n v="48"/>
    <n v="30"/>
    <m/>
    <n v="1"/>
    <n v="5"/>
    <n v="2"/>
    <n v="8"/>
    <n v="5"/>
    <n v="7"/>
    <n v="3"/>
    <n v="4"/>
  </r>
  <r>
    <x v="5"/>
    <x v="16"/>
    <s v="S12000020"/>
    <n v="4"/>
    <n v="21"/>
    <n v="6"/>
    <n v="1"/>
    <n v="20"/>
    <n v="23"/>
    <n v="1"/>
    <n v="1"/>
    <m/>
    <n v="7"/>
    <n v="7"/>
    <n v="4"/>
    <n v="4"/>
    <n v="1"/>
    <m/>
  </r>
  <r>
    <x v="5"/>
    <x v="2"/>
    <s v="S12000021"/>
    <n v="3"/>
    <n v="62"/>
    <n v="8"/>
    <n v="7"/>
    <n v="8"/>
    <n v="11"/>
    <n v="5"/>
    <n v="1"/>
    <n v="8"/>
    <n v="2"/>
    <n v="14"/>
    <n v="7"/>
    <n v="4"/>
    <n v="3"/>
    <n v="5"/>
  </r>
  <r>
    <x v="5"/>
    <x v="13"/>
    <s v="S12000040"/>
    <n v="5"/>
    <n v="45"/>
    <n v="26"/>
    <m/>
    <n v="10"/>
    <n v="2"/>
    <n v="1"/>
    <n v="1"/>
    <n v="9"/>
    <n v="11"/>
    <n v="17"/>
    <n v="22"/>
    <n v="17"/>
    <n v="5"/>
    <n v="3"/>
  </r>
  <r>
    <x v="6"/>
    <x v="5"/>
    <s v="S12000033"/>
    <n v="17"/>
    <n v="72"/>
    <n v="71"/>
    <m/>
    <n v="2"/>
    <n v="5"/>
    <n v="1"/>
    <m/>
    <n v="1"/>
    <n v="1"/>
    <n v="3"/>
    <m/>
    <n v="2"/>
    <n v="3"/>
    <n v="3"/>
  </r>
  <r>
    <x v="6"/>
    <x v="19"/>
    <s v="S12000041"/>
    <n v="7"/>
    <n v="42"/>
    <n v="3"/>
    <m/>
    <m/>
    <n v="3"/>
    <m/>
    <m/>
    <m/>
    <m/>
    <n v="3"/>
    <n v="1"/>
    <m/>
    <m/>
    <m/>
  </r>
  <r>
    <x v="6"/>
    <x v="20"/>
    <s v="S12000006"/>
    <n v="8"/>
    <n v="69"/>
    <n v="34"/>
    <m/>
    <n v="5"/>
    <n v="2"/>
    <m/>
    <m/>
    <n v="1"/>
    <n v="1"/>
    <n v="4"/>
    <n v="2"/>
    <m/>
    <n v="1"/>
    <m/>
  </r>
  <r>
    <x v="6"/>
    <x v="23"/>
    <s v="S12000008"/>
    <n v="8"/>
    <n v="50"/>
    <n v="2"/>
    <m/>
    <n v="1"/>
    <n v="3"/>
    <m/>
    <m/>
    <n v="3"/>
    <m/>
    <n v="2"/>
    <m/>
    <m/>
    <m/>
    <m/>
  </r>
  <r>
    <x v="6"/>
    <x v="3"/>
    <s v="S12000038"/>
    <n v="2"/>
    <n v="39"/>
    <n v="9"/>
    <m/>
    <n v="9"/>
    <n v="3"/>
    <n v="1"/>
    <m/>
    <n v="3"/>
    <n v="6"/>
    <n v="2"/>
    <n v="2"/>
    <n v="2"/>
    <m/>
    <n v="2"/>
  </r>
  <r>
    <x v="6"/>
    <x v="29"/>
    <s v="S12000028"/>
    <n v="6"/>
    <n v="46"/>
    <n v="17"/>
    <n v="2"/>
    <n v="15"/>
    <n v="10"/>
    <m/>
    <m/>
    <n v="3"/>
    <n v="7"/>
    <n v="10"/>
    <m/>
    <n v="1"/>
    <m/>
    <n v="5"/>
  </r>
  <r>
    <x v="7"/>
    <x v="25"/>
    <s v="S12000046"/>
    <n v="8"/>
    <n v="90"/>
    <n v="757"/>
    <n v="3"/>
    <n v="65"/>
    <n v="8"/>
    <n v="2"/>
    <n v="2"/>
    <n v="10"/>
    <n v="15"/>
    <n v="27"/>
    <n v="29"/>
    <n v="2"/>
    <n v="7"/>
    <n v="20"/>
  </r>
  <r>
    <x v="0"/>
    <x v="7"/>
    <s v="S12000010"/>
    <n v="8"/>
    <n v="22"/>
    <n v="24"/>
    <n v="7"/>
    <n v="6"/>
    <n v="2"/>
    <n v="1"/>
    <n v="1"/>
    <n v="4"/>
    <n v="5"/>
    <n v="6"/>
    <n v="12"/>
    <n v="3"/>
    <n v="1"/>
    <m/>
  </r>
  <r>
    <x v="0"/>
    <x v="10"/>
    <s v="S12000018"/>
    <n v="2"/>
    <n v="40"/>
    <n v="9"/>
    <m/>
    <n v="4"/>
    <m/>
    <n v="1"/>
    <n v="3"/>
    <n v="7"/>
    <n v="13"/>
    <n v="21"/>
    <n v="9"/>
    <n v="7"/>
    <n v="24"/>
    <n v="7"/>
  </r>
  <r>
    <x v="1"/>
    <x v="30"/>
    <s v="S12000005"/>
    <n v="12"/>
    <n v="22"/>
    <n v="3"/>
    <m/>
    <n v="2"/>
    <n v="2"/>
    <m/>
    <n v="1"/>
    <m/>
    <m/>
    <m/>
    <n v="2"/>
    <n v="2"/>
    <n v="5"/>
    <m/>
  </r>
  <r>
    <x v="1"/>
    <x v="15"/>
    <s v="S12000042"/>
    <n v="19"/>
    <n v="38"/>
    <n v="489"/>
    <m/>
    <n v="3"/>
    <m/>
    <m/>
    <n v="1"/>
    <n v="21"/>
    <n v="2"/>
    <n v="7"/>
    <n v="13"/>
    <n v="1"/>
    <n v="1"/>
    <n v="3"/>
  </r>
  <r>
    <x v="1"/>
    <x v="0"/>
    <s v="S12000045"/>
    <n v="7"/>
    <n v="29"/>
    <n v="24"/>
    <m/>
    <n v="5"/>
    <n v="1"/>
    <m/>
    <m/>
    <n v="2"/>
    <n v="5"/>
    <n v="2"/>
    <n v="3"/>
    <n v="7"/>
    <n v="5"/>
    <n v="5"/>
  </r>
  <r>
    <x v="2"/>
    <x v="8"/>
    <s v="S12000011"/>
    <n v="1"/>
    <n v="20"/>
    <n v="9"/>
    <m/>
    <n v="8"/>
    <n v="4"/>
    <m/>
    <n v="2"/>
    <n v="4"/>
    <n v="2"/>
    <n v="10"/>
    <n v="2"/>
    <m/>
    <n v="14"/>
    <n v="4"/>
  </r>
  <r>
    <x v="2"/>
    <x v="10"/>
    <s v="S12000018"/>
    <n v="1"/>
    <n v="37"/>
    <n v="7"/>
    <m/>
    <n v="3"/>
    <n v="2"/>
    <m/>
    <n v="3"/>
    <n v="11"/>
    <n v="3"/>
    <n v="27"/>
    <n v="4"/>
    <n v="9"/>
    <n v="4"/>
    <n v="4"/>
  </r>
  <r>
    <x v="2"/>
    <x v="11"/>
    <s v="S12000044"/>
    <n v="6"/>
    <n v="55"/>
    <n v="22"/>
    <m/>
    <n v="29"/>
    <n v="2"/>
    <n v="2"/>
    <m/>
    <n v="48"/>
    <n v="16"/>
    <n v="86"/>
    <n v="22"/>
    <n v="58"/>
    <n v="61"/>
    <n v="89"/>
  </r>
  <r>
    <x v="2"/>
    <x v="28"/>
    <s v="S12000024"/>
    <n v="57"/>
    <n v="81"/>
    <n v="30"/>
    <n v="4"/>
    <n v="34"/>
    <n v="39"/>
    <m/>
    <n v="2"/>
    <n v="15"/>
    <n v="4"/>
    <n v="3"/>
    <n v="8"/>
    <n v="2"/>
    <n v="5"/>
    <n v="3"/>
  </r>
  <r>
    <x v="2"/>
    <x v="21"/>
    <s v="S12000029"/>
    <n v="12"/>
    <n v="102"/>
    <n v="36"/>
    <n v="1"/>
    <n v="26"/>
    <n v="2"/>
    <n v="1"/>
    <n v="5"/>
    <n v="4"/>
    <n v="4"/>
    <n v="22"/>
    <n v="9"/>
    <n v="12"/>
    <n v="6"/>
    <n v="9"/>
  </r>
  <r>
    <x v="3"/>
    <x v="19"/>
    <s v="S12000041"/>
    <n v="15"/>
    <n v="35"/>
    <n v="4"/>
    <n v="1"/>
    <n v="19"/>
    <n v="16"/>
    <m/>
    <n v="2"/>
    <n v="12"/>
    <m/>
    <n v="3"/>
    <n v="7"/>
    <n v="3"/>
    <m/>
    <n v="2"/>
  </r>
  <r>
    <x v="3"/>
    <x v="30"/>
    <s v="S12000005"/>
    <n v="1"/>
    <n v="19"/>
    <n v="5"/>
    <m/>
    <n v="6"/>
    <n v="1"/>
    <n v="1"/>
    <m/>
    <n v="1"/>
    <n v="23"/>
    <n v="1"/>
    <n v="1"/>
    <n v="3"/>
    <n v="2"/>
    <m/>
  </r>
  <r>
    <x v="3"/>
    <x v="15"/>
    <s v="S12000042"/>
    <n v="9"/>
    <n v="36"/>
    <n v="195"/>
    <n v="1"/>
    <n v="41"/>
    <n v="4"/>
    <n v="2"/>
    <n v="1"/>
    <n v="5"/>
    <n v="1"/>
    <n v="5"/>
    <n v="2"/>
    <n v="2"/>
    <n v="2"/>
    <m/>
  </r>
  <r>
    <x v="3"/>
    <x v="7"/>
    <s v="S12000010"/>
    <n v="5"/>
    <n v="28"/>
    <n v="12"/>
    <n v="2"/>
    <n v="11"/>
    <n v="21"/>
    <m/>
    <n v="1"/>
    <n v="11"/>
    <n v="13"/>
    <n v="2"/>
    <n v="16"/>
    <n v="10"/>
    <n v="8"/>
    <n v="4"/>
  </r>
  <r>
    <x v="4"/>
    <x v="30"/>
    <s v="S12000005"/>
    <n v="5"/>
    <n v="22"/>
    <n v="8"/>
    <n v="2"/>
    <n v="3"/>
    <n v="2"/>
    <m/>
    <m/>
    <n v="1"/>
    <n v="17"/>
    <m/>
    <n v="1"/>
    <n v="7"/>
    <n v="2"/>
    <m/>
  </r>
  <r>
    <x v="4"/>
    <x v="26"/>
    <s v="S12000015"/>
    <n v="29"/>
    <n v="135"/>
    <n v="214"/>
    <m/>
    <n v="85"/>
    <n v="10"/>
    <m/>
    <n v="4"/>
    <n v="12"/>
    <n v="122"/>
    <n v="9"/>
    <n v="12"/>
    <n v="10"/>
    <n v="5"/>
    <n v="10"/>
  </r>
  <r>
    <x v="4"/>
    <x v="9"/>
    <s v="S12000017"/>
    <n v="15"/>
    <n v="81"/>
    <n v="45"/>
    <n v="2"/>
    <n v="25"/>
    <n v="3"/>
    <m/>
    <n v="1"/>
    <n v="5"/>
    <n v="4"/>
    <n v="4"/>
    <n v="3"/>
    <n v="4"/>
    <n v="3"/>
    <n v="1"/>
  </r>
  <r>
    <x v="4"/>
    <x v="2"/>
    <s v="S12000021"/>
    <n v="2"/>
    <n v="100"/>
    <n v="9"/>
    <n v="2"/>
    <n v="31"/>
    <n v="19"/>
    <n v="1"/>
    <m/>
    <n v="3"/>
    <n v="4"/>
    <n v="23"/>
    <n v="3"/>
    <n v="27"/>
    <n v="7"/>
    <n v="13"/>
  </r>
  <r>
    <x v="4"/>
    <x v="17"/>
    <s v="S12000023"/>
    <m/>
    <n v="3"/>
    <m/>
    <m/>
    <n v="5"/>
    <m/>
    <m/>
    <m/>
    <m/>
    <m/>
    <m/>
    <m/>
    <m/>
    <m/>
    <n v="1"/>
  </r>
  <r>
    <x v="5"/>
    <x v="20"/>
    <s v="S12000006"/>
    <n v="7"/>
    <n v="61"/>
    <n v="21"/>
    <n v="6"/>
    <n v="90"/>
    <n v="67"/>
    <m/>
    <n v="4"/>
    <n v="12"/>
    <n v="23"/>
    <n v="20"/>
    <n v="44"/>
    <n v="43"/>
    <n v="30"/>
    <n v="7"/>
  </r>
  <r>
    <x v="5"/>
    <x v="9"/>
    <s v="S12000017"/>
    <n v="20"/>
    <n v="95"/>
    <n v="65"/>
    <n v="15"/>
    <n v="236"/>
    <n v="33"/>
    <n v="1"/>
    <m/>
    <n v="11"/>
    <n v="1"/>
    <n v="8"/>
    <n v="3"/>
    <n v="1"/>
    <n v="3"/>
    <n v="1"/>
  </r>
  <r>
    <x v="5"/>
    <x v="17"/>
    <s v="S12000023"/>
    <n v="1"/>
    <n v="12"/>
    <m/>
    <m/>
    <n v="9"/>
    <n v="1"/>
    <m/>
    <m/>
    <m/>
    <m/>
    <m/>
    <m/>
    <m/>
    <m/>
    <m/>
  </r>
  <r>
    <x v="6"/>
    <x v="0"/>
    <s v="S12000045"/>
    <n v="2"/>
    <n v="22"/>
    <n v="13"/>
    <m/>
    <n v="3"/>
    <n v="1"/>
    <m/>
    <m/>
    <n v="1"/>
    <m/>
    <n v="3"/>
    <m/>
    <m/>
    <m/>
    <m/>
  </r>
  <r>
    <x v="6"/>
    <x v="7"/>
    <s v="S12000010"/>
    <n v="3"/>
    <n v="23"/>
    <n v="5"/>
    <m/>
    <n v="1"/>
    <m/>
    <m/>
    <m/>
    <n v="3"/>
    <n v="2"/>
    <n v="1"/>
    <n v="3"/>
    <n v="2"/>
    <m/>
    <n v="1"/>
  </r>
  <r>
    <x v="6"/>
    <x v="17"/>
    <s v="S12000023"/>
    <n v="1"/>
    <n v="5"/>
    <m/>
    <n v="1"/>
    <n v="2"/>
    <m/>
    <m/>
    <m/>
    <m/>
    <m/>
    <m/>
    <m/>
    <m/>
    <m/>
    <m/>
  </r>
  <r>
    <x v="7"/>
    <x v="14"/>
    <s v="S12000035"/>
    <n v="3"/>
    <n v="12"/>
    <n v="10"/>
    <m/>
    <n v="106"/>
    <n v="42"/>
    <m/>
    <m/>
    <n v="1"/>
    <n v="5"/>
    <n v="2"/>
    <n v="3"/>
    <n v="1"/>
    <n v="3"/>
    <n v="1"/>
  </r>
  <r>
    <x v="7"/>
    <x v="1"/>
    <s v="S12000019"/>
    <n v="2"/>
    <n v="15"/>
    <n v="31"/>
    <m/>
    <n v="2"/>
    <n v="2"/>
    <m/>
    <m/>
    <n v="7"/>
    <n v="12"/>
    <n v="2"/>
    <n v="3"/>
    <n v="5"/>
    <m/>
    <n v="7"/>
  </r>
  <r>
    <x v="7"/>
    <x v="12"/>
    <s v="S12000027"/>
    <n v="1"/>
    <n v="7"/>
    <n v="3"/>
    <n v="2"/>
    <n v="11"/>
    <n v="13"/>
    <m/>
    <m/>
    <m/>
    <m/>
    <m/>
    <m/>
    <m/>
    <m/>
    <m/>
  </r>
  <r>
    <x v="0"/>
    <x v="31"/>
    <s v="S12000014"/>
    <n v="12"/>
    <n v="52"/>
    <n v="15"/>
    <n v="1"/>
    <n v="20"/>
    <n v="2"/>
    <m/>
    <n v="7"/>
    <n v="27"/>
    <n v="23"/>
    <n v="17"/>
    <n v="17"/>
    <n v="30"/>
    <n v="10"/>
    <n v="10"/>
  </r>
  <r>
    <x v="0"/>
    <x v="24"/>
    <s v="S12000013"/>
    <n v="2"/>
    <n v="6"/>
    <n v="7"/>
    <m/>
    <n v="2"/>
    <m/>
    <m/>
    <m/>
    <m/>
    <n v="1"/>
    <m/>
    <m/>
    <m/>
    <n v="1"/>
    <m/>
  </r>
  <r>
    <x v="0"/>
    <x v="17"/>
    <s v="S12000023"/>
    <n v="1"/>
    <n v="10"/>
    <n v="1"/>
    <m/>
    <n v="4"/>
    <m/>
    <m/>
    <m/>
    <m/>
    <m/>
    <m/>
    <m/>
    <m/>
    <m/>
    <m/>
  </r>
  <r>
    <x v="0"/>
    <x v="27"/>
    <s v="S12000030"/>
    <n v="1"/>
    <n v="39"/>
    <n v="105"/>
    <n v="3"/>
    <n v="43"/>
    <n v="19"/>
    <m/>
    <n v="1"/>
    <n v="2"/>
    <n v="1"/>
    <m/>
    <m/>
    <n v="1"/>
    <n v="2"/>
    <m/>
  </r>
  <r>
    <x v="0"/>
    <x v="18"/>
    <s v="S12000039"/>
    <n v="2"/>
    <n v="15"/>
    <n v="9"/>
    <m/>
    <n v="17"/>
    <n v="1"/>
    <m/>
    <n v="1"/>
    <n v="2"/>
    <n v="3"/>
    <n v="6"/>
    <n v="5"/>
    <n v="104"/>
    <n v="7"/>
    <n v="4"/>
  </r>
  <r>
    <x v="1"/>
    <x v="25"/>
    <s v="S12000046"/>
    <n v="69"/>
    <n v="165"/>
    <n v="1115"/>
    <n v="27"/>
    <n v="88"/>
    <n v="6"/>
    <n v="12"/>
    <n v="5"/>
    <n v="139"/>
    <n v="61"/>
    <n v="147"/>
    <n v="33"/>
    <n v="24"/>
    <n v="41"/>
    <n v="24"/>
  </r>
  <r>
    <x v="1"/>
    <x v="27"/>
    <s v="S12000030"/>
    <n v="13"/>
    <n v="40"/>
    <n v="249"/>
    <n v="3"/>
    <n v="16"/>
    <n v="3"/>
    <m/>
    <m/>
    <n v="3"/>
    <n v="3"/>
    <n v="1"/>
    <n v="4"/>
    <n v="1"/>
    <n v="1"/>
    <n v="3"/>
  </r>
  <r>
    <x v="2"/>
    <x v="31"/>
    <s v="S12000014"/>
    <n v="8"/>
    <n v="47"/>
    <n v="9"/>
    <n v="1"/>
    <n v="13"/>
    <n v="2"/>
    <n v="1"/>
    <n v="5"/>
    <n v="9"/>
    <n v="22"/>
    <n v="13"/>
    <n v="2"/>
    <n v="16"/>
    <n v="12"/>
    <m/>
  </r>
  <r>
    <x v="2"/>
    <x v="1"/>
    <s v="S12000019"/>
    <n v="3"/>
    <n v="19"/>
    <n v="21"/>
    <n v="3"/>
    <n v="10"/>
    <m/>
    <m/>
    <m/>
    <n v="3"/>
    <n v="31"/>
    <n v="3"/>
    <m/>
    <n v="3"/>
    <m/>
    <n v="1"/>
  </r>
  <r>
    <x v="3"/>
    <x v="14"/>
    <s v="S12000035"/>
    <n v="5"/>
    <n v="22"/>
    <n v="25"/>
    <n v="4"/>
    <n v="62"/>
    <n v="38"/>
    <m/>
    <m/>
    <n v="4"/>
    <n v="4"/>
    <n v="5"/>
    <n v="5"/>
    <n v="3"/>
    <n v="3"/>
    <n v="5"/>
  </r>
  <r>
    <x v="3"/>
    <x v="23"/>
    <s v="S12000008"/>
    <n v="5"/>
    <n v="59"/>
    <n v="8"/>
    <m/>
    <n v="25"/>
    <n v="7"/>
    <n v="2"/>
    <m/>
    <n v="4"/>
    <n v="15"/>
    <n v="9"/>
    <n v="7"/>
    <n v="10"/>
    <n v="12"/>
    <n v="2"/>
  </r>
  <r>
    <x v="3"/>
    <x v="31"/>
    <s v="S12000014"/>
    <n v="14"/>
    <n v="41"/>
    <n v="5"/>
    <n v="1"/>
    <n v="13"/>
    <m/>
    <m/>
    <n v="4"/>
    <n v="11"/>
    <n v="25"/>
    <n v="11"/>
    <n v="7"/>
    <n v="18"/>
    <n v="6"/>
    <n v="3"/>
  </r>
  <r>
    <x v="3"/>
    <x v="1"/>
    <s v="S12000019"/>
    <n v="3"/>
    <n v="16"/>
    <n v="32"/>
    <n v="3"/>
    <n v="5"/>
    <n v="1"/>
    <n v="2"/>
    <n v="3"/>
    <n v="11"/>
    <n v="2"/>
    <n v="4"/>
    <n v="3"/>
    <n v="4"/>
    <n v="2"/>
    <n v="4"/>
  </r>
  <r>
    <x v="3"/>
    <x v="29"/>
    <s v="S12000028"/>
    <n v="11"/>
    <n v="45"/>
    <n v="32"/>
    <n v="2"/>
    <n v="67"/>
    <n v="38"/>
    <n v="1"/>
    <m/>
    <n v="30"/>
    <n v="28"/>
    <n v="20"/>
    <n v="14"/>
    <n v="3"/>
    <n v="19"/>
    <n v="9"/>
  </r>
  <r>
    <x v="4"/>
    <x v="14"/>
    <s v="S12000035"/>
    <n v="3"/>
    <n v="35"/>
    <n v="34"/>
    <n v="4"/>
    <n v="60"/>
    <n v="40"/>
    <n v="1"/>
    <m/>
    <n v="5"/>
    <n v="2"/>
    <n v="12"/>
    <n v="5"/>
    <n v="8"/>
    <n v="5"/>
    <n v="6"/>
  </r>
  <r>
    <x v="4"/>
    <x v="20"/>
    <s v="S12000006"/>
    <n v="12"/>
    <n v="77"/>
    <n v="32"/>
    <n v="7"/>
    <n v="86"/>
    <n v="16"/>
    <n v="5"/>
    <n v="10"/>
    <n v="17"/>
    <n v="55"/>
    <n v="30"/>
    <n v="29"/>
    <n v="17"/>
    <n v="34"/>
    <n v="13"/>
  </r>
  <r>
    <x v="4"/>
    <x v="0"/>
    <s v="S12000045"/>
    <n v="2"/>
    <n v="26"/>
    <n v="19"/>
    <m/>
    <n v="5"/>
    <n v="1"/>
    <n v="2"/>
    <m/>
    <n v="7"/>
    <n v="4"/>
    <n v="12"/>
    <n v="4"/>
    <m/>
    <n v="2"/>
    <m/>
  </r>
  <r>
    <x v="4"/>
    <x v="7"/>
    <s v="S12000010"/>
    <n v="7"/>
    <n v="29"/>
    <n v="6"/>
    <n v="9"/>
    <n v="30"/>
    <n v="11"/>
    <m/>
    <n v="1"/>
    <n v="7"/>
    <n v="16"/>
    <n v="4"/>
    <n v="13"/>
    <n v="5"/>
    <n v="9"/>
    <n v="2"/>
  </r>
  <r>
    <x v="4"/>
    <x v="31"/>
    <s v="S12000014"/>
    <n v="24"/>
    <n v="46"/>
    <n v="5"/>
    <n v="1"/>
    <n v="11"/>
    <n v="18"/>
    <m/>
    <n v="6"/>
    <n v="19"/>
    <n v="26"/>
    <n v="8"/>
    <n v="9"/>
    <n v="13"/>
    <n v="10"/>
    <n v="5"/>
  </r>
  <r>
    <x v="4"/>
    <x v="10"/>
    <s v="S12000018"/>
    <n v="2"/>
    <n v="35"/>
    <n v="7"/>
    <m/>
    <n v="6"/>
    <m/>
    <n v="1"/>
    <m/>
    <n v="3"/>
    <n v="10"/>
    <n v="3"/>
    <n v="3"/>
    <n v="2"/>
    <n v="2"/>
    <n v="4"/>
  </r>
  <r>
    <x v="4"/>
    <x v="16"/>
    <s v="S12000020"/>
    <n v="8"/>
    <n v="31"/>
    <n v="9"/>
    <n v="1"/>
    <n v="11"/>
    <n v="28"/>
    <m/>
    <n v="1"/>
    <n v="4"/>
    <n v="3"/>
    <n v="14"/>
    <n v="2"/>
    <n v="7"/>
    <n v="8"/>
    <n v="3"/>
  </r>
  <r>
    <x v="4"/>
    <x v="3"/>
    <s v="S12000038"/>
    <n v="1"/>
    <n v="58"/>
    <n v="17"/>
    <m/>
    <n v="20"/>
    <n v="14"/>
    <m/>
    <n v="3"/>
    <n v="10"/>
    <n v="4"/>
    <n v="5"/>
    <n v="5"/>
    <n v="16"/>
    <n v="6"/>
    <n v="10"/>
  </r>
  <r>
    <x v="4"/>
    <x v="12"/>
    <s v="S12000027"/>
    <m/>
    <n v="8"/>
    <n v="3"/>
    <m/>
    <n v="2"/>
    <m/>
    <m/>
    <n v="1"/>
    <n v="1"/>
    <m/>
    <m/>
    <m/>
    <m/>
    <m/>
    <n v="1"/>
  </r>
  <r>
    <x v="4"/>
    <x v="18"/>
    <s v="S12000039"/>
    <n v="5"/>
    <n v="16"/>
    <n v="17"/>
    <m/>
    <n v="13"/>
    <n v="1"/>
    <m/>
    <m/>
    <n v="2"/>
    <n v="1"/>
    <n v="6"/>
    <n v="3"/>
    <n v="6"/>
    <n v="4"/>
    <n v="5"/>
  </r>
  <r>
    <x v="5"/>
    <x v="0"/>
    <s v="S12000045"/>
    <n v="4"/>
    <n v="32"/>
    <n v="29"/>
    <m/>
    <n v="6"/>
    <n v="1"/>
    <m/>
    <n v="1"/>
    <n v="8"/>
    <n v="8"/>
    <n v="6"/>
    <n v="1"/>
    <m/>
    <n v="4"/>
    <n v="1"/>
  </r>
  <r>
    <x v="5"/>
    <x v="10"/>
    <s v="S12000018"/>
    <n v="2"/>
    <n v="34"/>
    <n v="8"/>
    <m/>
    <n v="3"/>
    <n v="1"/>
    <m/>
    <m/>
    <m/>
    <n v="1"/>
    <n v="1"/>
    <n v="3"/>
    <m/>
    <n v="1"/>
    <m/>
  </r>
  <r>
    <x v="5"/>
    <x v="24"/>
    <s v="S12000013"/>
    <m/>
    <m/>
    <m/>
    <m/>
    <m/>
    <m/>
    <m/>
    <m/>
    <m/>
    <m/>
    <m/>
    <m/>
    <m/>
    <m/>
    <m/>
  </r>
  <r>
    <x v="5"/>
    <x v="11"/>
    <s v="S12000044"/>
    <n v="12"/>
    <n v="50"/>
    <n v="11"/>
    <n v="2"/>
    <n v="26"/>
    <n v="3"/>
    <m/>
    <n v="1"/>
    <n v="11"/>
    <n v="13"/>
    <n v="25"/>
    <n v="11"/>
    <n v="29"/>
    <n v="92"/>
    <n v="20"/>
  </r>
  <r>
    <x v="0"/>
    <x v="23"/>
    <s v="S12000008"/>
    <n v="10"/>
    <n v="30"/>
    <n v="19"/>
    <m/>
    <n v="22"/>
    <m/>
    <m/>
    <m/>
    <n v="11"/>
    <n v="5"/>
    <n v="21"/>
    <n v="11"/>
    <n v="13"/>
    <n v="7"/>
    <n v="4"/>
  </r>
  <r>
    <x v="0"/>
    <x v="11"/>
    <s v="S12000044"/>
    <n v="7"/>
    <n v="39"/>
    <n v="55"/>
    <m/>
    <n v="20"/>
    <n v="2"/>
    <m/>
    <n v="5"/>
    <n v="35"/>
    <n v="3"/>
    <n v="42"/>
    <n v="9"/>
    <n v="26"/>
    <n v="42"/>
    <n v="16"/>
  </r>
  <r>
    <x v="1"/>
    <x v="14"/>
    <s v="S12000035"/>
    <n v="11"/>
    <n v="32"/>
    <n v="19"/>
    <n v="12"/>
    <n v="176"/>
    <n v="30"/>
    <n v="1"/>
    <n v="2"/>
    <n v="3"/>
    <n v="10"/>
    <n v="18"/>
    <n v="6"/>
    <n v="11"/>
    <n v="6"/>
    <n v="4"/>
  </r>
  <r>
    <x v="1"/>
    <x v="1"/>
    <s v="S12000019"/>
    <n v="3"/>
    <n v="16"/>
    <n v="23"/>
    <n v="3"/>
    <n v="6"/>
    <n v="1"/>
    <m/>
    <n v="1"/>
    <n v="6"/>
    <n v="12"/>
    <n v="16"/>
    <n v="4"/>
    <n v="4"/>
    <n v="1"/>
    <n v="2"/>
  </r>
  <r>
    <x v="1"/>
    <x v="29"/>
    <s v="S12000028"/>
    <n v="19"/>
    <n v="58"/>
    <n v="29"/>
    <n v="3"/>
    <n v="48"/>
    <n v="15"/>
    <m/>
    <m/>
    <n v="15"/>
    <n v="4"/>
    <n v="26"/>
    <n v="9"/>
    <n v="45"/>
    <n v="9"/>
    <n v="8"/>
  </r>
  <r>
    <x v="2"/>
    <x v="5"/>
    <s v="S12000033"/>
    <n v="21"/>
    <n v="103"/>
    <n v="219"/>
    <n v="2"/>
    <n v="50"/>
    <n v="4"/>
    <m/>
    <n v="1"/>
    <n v="10"/>
    <n v="4"/>
    <n v="6"/>
    <n v="6"/>
    <n v="2"/>
    <n v="5"/>
    <n v="2"/>
  </r>
  <r>
    <x v="2"/>
    <x v="9"/>
    <s v="S12000017"/>
    <n v="18"/>
    <n v="93"/>
    <n v="47"/>
    <n v="10"/>
    <n v="67"/>
    <n v="9"/>
    <m/>
    <m/>
    <n v="8"/>
    <n v="1"/>
    <n v="8"/>
    <n v="1"/>
    <n v="4"/>
    <n v="1"/>
    <n v="1"/>
  </r>
  <r>
    <x v="2"/>
    <x v="13"/>
    <s v="S12000040"/>
    <n v="10"/>
    <n v="47"/>
    <n v="2"/>
    <n v="1"/>
    <n v="16"/>
    <n v="1"/>
    <n v="2"/>
    <n v="4"/>
    <n v="22"/>
    <n v="15"/>
    <n v="12"/>
    <n v="11"/>
    <n v="18"/>
    <n v="11"/>
    <n v="5"/>
  </r>
  <r>
    <x v="3"/>
    <x v="20"/>
    <s v="S12000006"/>
    <n v="18"/>
    <n v="88"/>
    <n v="39"/>
    <n v="8"/>
    <n v="86"/>
    <n v="7"/>
    <m/>
    <n v="12"/>
    <n v="15"/>
    <n v="10"/>
    <n v="35"/>
    <n v="15"/>
    <n v="30"/>
    <n v="9"/>
    <n v="7"/>
  </r>
  <r>
    <x v="3"/>
    <x v="10"/>
    <s v="S12000018"/>
    <m/>
    <n v="35"/>
    <n v="10"/>
    <m/>
    <n v="6"/>
    <n v="1"/>
    <n v="1"/>
    <n v="1"/>
    <n v="3"/>
    <n v="1"/>
    <n v="1"/>
    <n v="1"/>
    <n v="3"/>
    <n v="1"/>
    <n v="1"/>
  </r>
  <r>
    <x v="3"/>
    <x v="24"/>
    <s v="S12000013"/>
    <n v="4"/>
    <n v="11"/>
    <m/>
    <m/>
    <n v="5"/>
    <n v="2"/>
    <m/>
    <m/>
    <m/>
    <m/>
    <n v="1"/>
    <m/>
    <m/>
    <m/>
    <m/>
  </r>
  <r>
    <x v="3"/>
    <x v="2"/>
    <s v="S12000021"/>
    <n v="2"/>
    <n v="40"/>
    <n v="3"/>
    <m/>
    <n v="29"/>
    <n v="4"/>
    <n v="1"/>
    <m/>
    <n v="7"/>
    <n v="1"/>
    <n v="8"/>
    <n v="2"/>
    <n v="1"/>
    <n v="3"/>
    <n v="1"/>
  </r>
  <r>
    <x v="3"/>
    <x v="11"/>
    <s v="S12000044"/>
    <n v="10"/>
    <n v="59"/>
    <n v="24"/>
    <m/>
    <n v="27"/>
    <n v="5"/>
    <m/>
    <n v="4"/>
    <n v="26"/>
    <n v="6"/>
    <n v="81"/>
    <n v="18"/>
    <n v="24"/>
    <n v="40"/>
    <n v="27"/>
  </r>
  <r>
    <x v="3"/>
    <x v="28"/>
    <s v="S12000024"/>
    <n v="58"/>
    <n v="80"/>
    <n v="6"/>
    <n v="9"/>
    <n v="70"/>
    <n v="36"/>
    <m/>
    <n v="1"/>
    <n v="4"/>
    <n v="2"/>
    <n v="5"/>
    <n v="14"/>
    <n v="3"/>
    <n v="4"/>
    <n v="1"/>
  </r>
  <r>
    <x v="4"/>
    <x v="6"/>
    <s v="S12000034"/>
    <n v="26"/>
    <n v="88"/>
    <n v="48"/>
    <n v="7"/>
    <n v="73"/>
    <n v="48"/>
    <n v="3"/>
    <n v="3"/>
    <n v="13"/>
    <n v="8"/>
    <n v="13"/>
    <n v="4"/>
    <n v="21"/>
    <n v="13"/>
    <n v="5"/>
  </r>
  <r>
    <x v="5"/>
    <x v="30"/>
    <s v="S12000005"/>
    <n v="4"/>
    <n v="22"/>
    <n v="3"/>
    <m/>
    <m/>
    <m/>
    <m/>
    <m/>
    <m/>
    <n v="8"/>
    <n v="1"/>
    <n v="4"/>
    <n v="3"/>
    <n v="4"/>
    <m/>
  </r>
  <r>
    <x v="5"/>
    <x v="15"/>
    <s v="S12000042"/>
    <n v="3"/>
    <n v="35"/>
    <n v="336"/>
    <n v="1"/>
    <n v="17"/>
    <n v="1"/>
    <m/>
    <n v="2"/>
    <n v="12"/>
    <n v="1"/>
    <n v="4"/>
    <n v="7"/>
    <n v="4"/>
    <m/>
    <n v="1"/>
  </r>
  <r>
    <x v="5"/>
    <x v="4"/>
    <s v="S12000026"/>
    <n v="18"/>
    <n v="32"/>
    <n v="16"/>
    <m/>
    <n v="8"/>
    <n v="2"/>
    <m/>
    <m/>
    <n v="4"/>
    <n v="11"/>
    <n v="1"/>
    <n v="6"/>
    <n v="5"/>
    <m/>
    <n v="1"/>
  </r>
  <r>
    <x v="6"/>
    <x v="14"/>
    <s v="S12000035"/>
    <m/>
    <n v="7"/>
    <n v="15"/>
    <n v="6"/>
    <n v="69"/>
    <n v="9"/>
    <n v="2"/>
    <m/>
    <m/>
    <n v="2"/>
    <n v="1"/>
    <n v="4"/>
    <n v="2"/>
    <n v="1"/>
    <n v="2"/>
  </r>
  <r>
    <x v="6"/>
    <x v="10"/>
    <s v="S12000018"/>
    <m/>
    <n v="21"/>
    <n v="4"/>
    <m/>
    <n v="1"/>
    <m/>
    <m/>
    <m/>
    <n v="1"/>
    <m/>
    <n v="1"/>
    <n v="1"/>
    <m/>
    <m/>
    <m/>
  </r>
  <r>
    <x v="6"/>
    <x v="2"/>
    <s v="S12000021"/>
    <m/>
    <n v="66"/>
    <m/>
    <m/>
    <n v="10"/>
    <n v="2"/>
    <m/>
    <m/>
    <n v="2"/>
    <m/>
    <n v="6"/>
    <n v="1"/>
    <n v="1"/>
    <m/>
    <n v="1"/>
  </r>
  <r>
    <x v="6"/>
    <x v="4"/>
    <s v="S12000026"/>
    <n v="16"/>
    <n v="34"/>
    <n v="5"/>
    <m/>
    <n v="3"/>
    <m/>
    <m/>
    <m/>
    <n v="1"/>
    <n v="2"/>
    <n v="2"/>
    <m/>
    <n v="1"/>
    <m/>
    <n v="2"/>
  </r>
  <r>
    <x v="6"/>
    <x v="21"/>
    <s v="S12000029"/>
    <n v="9"/>
    <n v="83"/>
    <n v="23"/>
    <m/>
    <n v="6"/>
    <m/>
    <m/>
    <m/>
    <n v="1"/>
    <n v="1"/>
    <n v="5"/>
    <n v="1"/>
    <n v="6"/>
    <n v="5"/>
    <n v="5"/>
  </r>
  <r>
    <x v="7"/>
    <x v="0"/>
    <s v="S12000045"/>
    <n v="2"/>
    <n v="28"/>
    <n v="25"/>
    <m/>
    <n v="5"/>
    <n v="1"/>
    <m/>
    <m/>
    <n v="3"/>
    <n v="5"/>
    <n v="2"/>
    <m/>
    <m/>
    <n v="1"/>
    <m/>
  </r>
  <r>
    <x v="7"/>
    <x v="4"/>
    <s v="S12000026"/>
    <n v="17"/>
    <n v="29"/>
    <n v="13"/>
    <m/>
    <n v="8"/>
    <n v="9"/>
    <m/>
    <m/>
    <n v="4"/>
    <n v="5"/>
    <n v="5"/>
    <n v="4"/>
    <n v="3"/>
    <n v="1"/>
    <n v="3"/>
  </r>
  <r>
    <x v="7"/>
    <x v="13"/>
    <s v="S12000040"/>
    <n v="7"/>
    <n v="42"/>
    <n v="19"/>
    <n v="1"/>
    <n v="15"/>
    <m/>
    <n v="1"/>
    <n v="1"/>
    <n v="15"/>
    <n v="22"/>
    <n v="18"/>
    <n v="12"/>
    <n v="16"/>
    <n v="5"/>
    <n v="3"/>
  </r>
  <r>
    <x v="8"/>
    <x v="2"/>
    <s v="S12000021"/>
    <n v="5"/>
    <n v="87"/>
    <n v="10"/>
    <n v="3"/>
    <n v="38"/>
    <n v="16"/>
    <n v="7"/>
    <m/>
    <n v="22"/>
    <n v="1"/>
    <n v="60"/>
    <n v="10"/>
    <n v="4"/>
    <n v="3"/>
    <n v="5"/>
  </r>
  <r>
    <x v="0"/>
    <x v="30"/>
    <s v="S12000005"/>
    <m/>
    <n v="22"/>
    <n v="2"/>
    <m/>
    <n v="5"/>
    <n v="4"/>
    <m/>
    <m/>
    <n v="1"/>
    <n v="3"/>
    <n v="2"/>
    <n v="1"/>
    <n v="1"/>
    <n v="3"/>
    <m/>
  </r>
  <r>
    <x v="0"/>
    <x v="25"/>
    <s v="S12000046"/>
    <n v="41"/>
    <n v="102"/>
    <n v="475"/>
    <n v="15"/>
    <n v="83"/>
    <n v="1"/>
    <n v="11"/>
    <n v="6"/>
    <n v="98"/>
    <n v="27"/>
    <n v="93"/>
    <n v="31"/>
    <n v="54"/>
    <n v="63"/>
    <n v="22"/>
  </r>
  <r>
    <x v="1"/>
    <x v="4"/>
    <s v="S12000026"/>
    <n v="16"/>
    <n v="39"/>
    <n v="37"/>
    <n v="1"/>
    <n v="55"/>
    <n v="35"/>
    <m/>
    <n v="6"/>
    <n v="20"/>
    <n v="16"/>
    <n v="20"/>
    <n v="12"/>
    <n v="10"/>
    <n v="13"/>
    <n v="10"/>
  </r>
  <r>
    <x v="2"/>
    <x v="19"/>
    <s v="S12000041"/>
    <n v="1"/>
    <n v="35"/>
    <n v="9"/>
    <m/>
    <n v="12"/>
    <n v="11"/>
    <m/>
    <m/>
    <n v="8"/>
    <n v="1"/>
    <n v="6"/>
    <n v="7"/>
    <n v="2"/>
    <n v="2"/>
    <n v="5"/>
  </r>
  <r>
    <x v="2"/>
    <x v="2"/>
    <s v="S12000021"/>
    <n v="5"/>
    <n v="72"/>
    <n v="6"/>
    <n v="3"/>
    <n v="20"/>
    <n v="47"/>
    <m/>
    <n v="1"/>
    <n v="9"/>
    <n v="9"/>
    <n v="11"/>
    <n v="16"/>
    <n v="22"/>
    <n v="5"/>
    <n v="4"/>
  </r>
  <r>
    <x v="2"/>
    <x v="4"/>
    <s v="S12000026"/>
    <n v="18"/>
    <n v="32"/>
    <n v="39"/>
    <m/>
    <n v="53"/>
    <n v="26"/>
    <n v="1"/>
    <n v="6"/>
    <n v="29"/>
    <n v="19"/>
    <n v="31"/>
    <n v="8"/>
    <n v="9"/>
    <n v="11"/>
    <n v="3"/>
  </r>
  <r>
    <x v="3"/>
    <x v="0"/>
    <s v="S12000045"/>
    <n v="1"/>
    <n v="32"/>
    <n v="22"/>
    <m/>
    <n v="7"/>
    <n v="1"/>
    <m/>
    <n v="3"/>
    <n v="4"/>
    <n v="4"/>
    <n v="6"/>
    <n v="5"/>
    <n v="1"/>
    <n v="3"/>
    <n v="3"/>
  </r>
  <r>
    <x v="3"/>
    <x v="8"/>
    <s v="S12000011"/>
    <n v="1"/>
    <n v="16"/>
    <n v="2"/>
    <m/>
    <n v="8"/>
    <m/>
    <m/>
    <m/>
    <m/>
    <n v="1"/>
    <n v="1"/>
    <m/>
    <n v="1"/>
    <m/>
    <m/>
  </r>
  <r>
    <x v="3"/>
    <x v="9"/>
    <s v="S12000017"/>
    <n v="12"/>
    <n v="79"/>
    <n v="60"/>
    <n v="27"/>
    <n v="82"/>
    <n v="10"/>
    <m/>
    <n v="1"/>
    <n v="4"/>
    <n v="2"/>
    <n v="1"/>
    <n v="4"/>
    <n v="2"/>
    <m/>
    <n v="2"/>
  </r>
  <r>
    <x v="3"/>
    <x v="3"/>
    <s v="S12000038"/>
    <n v="3"/>
    <n v="56"/>
    <n v="6"/>
    <m/>
    <n v="16"/>
    <m/>
    <n v="2"/>
    <m/>
    <n v="4"/>
    <n v="1"/>
    <n v="1"/>
    <m/>
    <n v="1"/>
    <n v="1"/>
    <m/>
  </r>
  <r>
    <x v="4"/>
    <x v="22"/>
    <s v="S12000036"/>
    <n v="66"/>
    <n v="120"/>
    <n v="142"/>
    <n v="21"/>
    <n v="112"/>
    <n v="23"/>
    <n v="2"/>
    <n v="5"/>
    <n v="85"/>
    <n v="16"/>
    <n v="26"/>
    <n v="40"/>
    <n v="7"/>
    <n v="41"/>
    <n v="8"/>
  </r>
  <r>
    <x v="4"/>
    <x v="23"/>
    <s v="S12000008"/>
    <n v="3"/>
    <n v="57"/>
    <n v="7"/>
    <m/>
    <n v="24"/>
    <n v="8"/>
    <m/>
    <m/>
    <n v="9"/>
    <n v="8"/>
    <n v="11"/>
    <n v="6"/>
    <n v="7"/>
    <n v="3"/>
    <n v="2"/>
  </r>
  <r>
    <x v="4"/>
    <x v="21"/>
    <s v="S12000029"/>
    <n v="26"/>
    <n v="98"/>
    <n v="52"/>
    <m/>
    <n v="31"/>
    <n v="2"/>
    <m/>
    <m/>
    <n v="5"/>
    <n v="1"/>
    <n v="8"/>
    <n v="10"/>
    <n v="6"/>
    <n v="9"/>
    <n v="4"/>
  </r>
  <r>
    <x v="5"/>
    <x v="5"/>
    <s v="S12000033"/>
    <n v="15"/>
    <n v="70"/>
    <n v="231"/>
    <m/>
    <n v="44"/>
    <n v="17"/>
    <n v="2"/>
    <n v="1"/>
    <n v="7"/>
    <n v="6"/>
    <n v="13"/>
    <n v="9"/>
    <n v="8"/>
    <n v="6"/>
    <n v="4"/>
  </r>
  <r>
    <x v="5"/>
    <x v="19"/>
    <s v="S12000041"/>
    <n v="7"/>
    <n v="38"/>
    <n v="7"/>
    <m/>
    <n v="2"/>
    <n v="6"/>
    <m/>
    <n v="7"/>
    <n v="10"/>
    <n v="8"/>
    <n v="10"/>
    <n v="9"/>
    <n v="8"/>
    <n v="2"/>
    <n v="9"/>
  </r>
  <r>
    <x v="5"/>
    <x v="18"/>
    <s v="S12000039"/>
    <n v="6"/>
    <n v="19"/>
    <n v="21"/>
    <m/>
    <n v="20"/>
    <n v="3"/>
    <m/>
    <n v="2"/>
    <n v="12"/>
    <n v="1"/>
    <n v="13"/>
    <n v="7"/>
    <n v="15"/>
    <n v="5"/>
    <n v="4"/>
  </r>
  <r>
    <x v="6"/>
    <x v="26"/>
    <s v="S12000047"/>
    <n v="2"/>
    <n v="120"/>
    <n v="79"/>
    <n v="2"/>
    <n v="2"/>
    <n v="10"/>
    <m/>
    <n v="1"/>
    <n v="2"/>
    <n v="3"/>
    <n v="7"/>
    <n v="6"/>
    <n v="13"/>
    <n v="3"/>
    <m/>
  </r>
  <r>
    <x v="7"/>
    <x v="20"/>
    <s v="S12000006"/>
    <n v="7"/>
    <n v="35"/>
    <n v="33"/>
    <m/>
    <n v="17"/>
    <n v="20"/>
    <n v="2"/>
    <m/>
    <n v="6"/>
    <m/>
    <n v="3"/>
    <n v="2"/>
    <n v="6"/>
    <n v="7"/>
    <n v="3"/>
  </r>
  <r>
    <x v="7"/>
    <x v="26"/>
    <s v="S12000015"/>
    <n v="1"/>
    <n v="121"/>
    <n v="156"/>
    <m/>
    <n v="11"/>
    <n v="14"/>
    <m/>
    <n v="3"/>
    <n v="3"/>
    <n v="13"/>
    <n v="13"/>
    <n v="5"/>
    <n v="20"/>
    <n v="1"/>
    <n v="9"/>
  </r>
  <r>
    <x v="8"/>
    <x v="30"/>
    <s v="S12000005"/>
    <n v="1"/>
    <n v="15"/>
    <n v="2"/>
    <m/>
    <m/>
    <m/>
    <m/>
    <m/>
    <m/>
    <n v="6"/>
    <n v="1"/>
    <m/>
    <n v="2"/>
    <m/>
    <m/>
  </r>
  <r>
    <x v="8"/>
    <x v="28"/>
    <s v="S12000024"/>
    <n v="24"/>
    <n v="46"/>
    <n v="10"/>
    <n v="1"/>
    <n v="15"/>
    <n v="10"/>
    <m/>
    <n v="1"/>
    <n v="12"/>
    <n v="7"/>
    <n v="3"/>
    <n v="4"/>
    <n v="3"/>
    <n v="1"/>
    <n v="1"/>
  </r>
  <r>
    <x v="8"/>
    <x v="18"/>
    <s v="S12000039"/>
    <m/>
    <n v="14"/>
    <n v="11"/>
    <m/>
    <n v="3"/>
    <m/>
    <m/>
    <n v="1"/>
    <n v="1"/>
    <n v="3"/>
    <n v="3"/>
    <n v="3"/>
    <n v="2"/>
    <n v="1"/>
    <n v="1"/>
  </r>
  <r>
    <x v="9"/>
    <x v="6"/>
    <s v="S12000034"/>
    <n v="8"/>
    <n v="67"/>
    <n v="16"/>
    <n v="2"/>
    <n v="28"/>
    <n v="147"/>
    <m/>
    <n v="5"/>
    <n v="3"/>
    <n v="7"/>
    <n v="11"/>
    <n v="6"/>
    <n v="19"/>
    <n v="4"/>
    <n v="10"/>
  </r>
  <r>
    <x v="9"/>
    <x v="14"/>
    <s v="S12000035"/>
    <n v="6"/>
    <n v="29"/>
    <n v="18"/>
    <n v="2"/>
    <n v="78"/>
    <n v="301"/>
    <m/>
    <n v="2"/>
    <n v="2"/>
    <n v="1"/>
    <n v="3"/>
    <n v="9"/>
    <n v="5"/>
    <n v="2"/>
    <n v="1"/>
  </r>
  <r>
    <x v="9"/>
    <x v="22"/>
    <s v="S12000036"/>
    <n v="35"/>
    <n v="110"/>
    <n v="202"/>
    <n v="12"/>
    <n v="82"/>
    <n v="32"/>
    <n v="1"/>
    <n v="1"/>
    <n v="32"/>
    <n v="5"/>
    <n v="22"/>
    <n v="8"/>
    <n v="5"/>
    <n v="11"/>
    <n v="6"/>
  </r>
  <r>
    <x v="9"/>
    <x v="0"/>
    <s v="S12000045"/>
    <n v="4"/>
    <n v="25"/>
    <n v="23"/>
    <m/>
    <n v="2"/>
    <n v="1"/>
    <m/>
    <m/>
    <n v="2"/>
    <n v="3"/>
    <m/>
    <n v="1"/>
    <m/>
    <n v="1"/>
    <n v="1"/>
  </r>
  <r>
    <x v="9"/>
    <x v="10"/>
    <s v="S12000018"/>
    <n v="9"/>
    <n v="29"/>
    <n v="6"/>
    <m/>
    <n v="6"/>
    <n v="12"/>
    <m/>
    <n v="2"/>
    <n v="2"/>
    <n v="1"/>
    <n v="5"/>
    <n v="6"/>
    <n v="5"/>
    <n v="3"/>
    <n v="5"/>
  </r>
  <r>
    <x v="0"/>
    <x v="5"/>
    <s v="S12000033"/>
    <n v="4"/>
    <n v="71"/>
    <n v="164"/>
    <n v="2"/>
    <n v="72"/>
    <n v="3"/>
    <n v="4"/>
    <m/>
    <n v="27"/>
    <n v="1"/>
    <n v="6"/>
    <n v="6"/>
    <n v="1"/>
    <n v="2"/>
    <n v="6"/>
  </r>
  <r>
    <x v="0"/>
    <x v="22"/>
    <s v="S12000036"/>
    <n v="40"/>
    <n v="127"/>
    <n v="134"/>
    <n v="69"/>
    <n v="105"/>
    <n v="42"/>
    <n v="3"/>
    <n v="7"/>
    <n v="127"/>
    <n v="28"/>
    <n v="89"/>
    <n v="108"/>
    <n v="15"/>
    <n v="43"/>
    <n v="19"/>
  </r>
  <r>
    <x v="0"/>
    <x v="15"/>
    <s v="S12000042"/>
    <n v="37"/>
    <n v="40"/>
    <n v="315"/>
    <n v="1"/>
    <n v="34"/>
    <n v="2"/>
    <m/>
    <m/>
    <n v="23"/>
    <n v="1"/>
    <n v="3"/>
    <n v="3"/>
    <m/>
    <n v="1"/>
    <m/>
  </r>
  <r>
    <x v="0"/>
    <x v="8"/>
    <s v="S12000011"/>
    <n v="1"/>
    <n v="14"/>
    <n v="14"/>
    <m/>
    <n v="7"/>
    <n v="2"/>
    <n v="1"/>
    <n v="3"/>
    <n v="18"/>
    <n v="7"/>
    <n v="25"/>
    <n v="8"/>
    <m/>
    <n v="11"/>
    <n v="8"/>
  </r>
  <r>
    <x v="0"/>
    <x v="26"/>
    <s v="S12000015"/>
    <n v="13"/>
    <n v="118"/>
    <n v="222"/>
    <n v="1"/>
    <n v="57"/>
    <n v="3"/>
    <n v="2"/>
    <n v="4"/>
    <n v="11"/>
    <n v="3"/>
    <n v="13"/>
    <n v="22"/>
    <n v="14"/>
    <n v="10"/>
    <n v="5"/>
  </r>
  <r>
    <x v="1"/>
    <x v="26"/>
    <s v="S12000015"/>
    <n v="18"/>
    <n v="137"/>
    <n v="272"/>
    <n v="1"/>
    <n v="61"/>
    <n v="6"/>
    <n v="2"/>
    <n v="4"/>
    <n v="9"/>
    <n v="12"/>
    <n v="31"/>
    <n v="18"/>
    <n v="23"/>
    <n v="12"/>
    <n v="12"/>
  </r>
  <r>
    <x v="1"/>
    <x v="16"/>
    <s v="S12000020"/>
    <n v="11"/>
    <n v="38"/>
    <n v="13"/>
    <n v="4"/>
    <n v="38"/>
    <n v="28"/>
    <m/>
    <n v="2"/>
    <n v="2"/>
    <n v="2"/>
    <n v="2"/>
    <n v="3"/>
    <n v="43"/>
    <n v="7"/>
    <m/>
  </r>
  <r>
    <x v="1"/>
    <x v="2"/>
    <s v="S12000021"/>
    <n v="5"/>
    <n v="72"/>
    <n v="6"/>
    <n v="4"/>
    <n v="36"/>
    <n v="30"/>
    <m/>
    <n v="1"/>
    <n v="4"/>
    <n v="5"/>
    <n v="39"/>
    <n v="13"/>
    <n v="34"/>
    <n v="4"/>
    <n v="10"/>
  </r>
  <r>
    <x v="1"/>
    <x v="17"/>
    <s v="S12000023"/>
    <n v="1"/>
    <n v="14"/>
    <n v="6"/>
    <n v="1"/>
    <n v="9"/>
    <n v="1"/>
    <m/>
    <m/>
    <m/>
    <m/>
    <m/>
    <m/>
    <m/>
    <m/>
    <m/>
  </r>
  <r>
    <x v="1"/>
    <x v="18"/>
    <s v="S12000039"/>
    <n v="7"/>
    <n v="26"/>
    <n v="19"/>
    <m/>
    <n v="17"/>
    <n v="2"/>
    <n v="1"/>
    <m/>
    <n v="3"/>
    <n v="5"/>
    <n v="7"/>
    <n v="7"/>
    <n v="117"/>
    <n v="9"/>
    <m/>
  </r>
  <r>
    <x v="2"/>
    <x v="6"/>
    <s v="S12000034"/>
    <n v="25"/>
    <n v="89"/>
    <n v="41"/>
    <n v="2"/>
    <n v="59"/>
    <n v="54"/>
    <m/>
    <m/>
    <n v="12"/>
    <n v="62"/>
    <n v="2"/>
    <n v="3"/>
    <n v="8"/>
    <n v="2"/>
    <n v="3"/>
  </r>
  <r>
    <x v="2"/>
    <x v="30"/>
    <s v="S12000005"/>
    <n v="15"/>
    <n v="19"/>
    <n v="2"/>
    <n v="2"/>
    <n v="2"/>
    <n v="1"/>
    <m/>
    <m/>
    <n v="2"/>
    <n v="10"/>
    <n v="6"/>
    <n v="3"/>
    <m/>
    <n v="6"/>
    <m/>
  </r>
  <r>
    <x v="2"/>
    <x v="20"/>
    <s v="S12000006"/>
    <n v="11"/>
    <n v="76"/>
    <n v="44"/>
    <n v="6"/>
    <n v="110"/>
    <n v="10"/>
    <n v="2"/>
    <n v="7"/>
    <n v="5"/>
    <n v="18"/>
    <n v="18"/>
    <n v="8"/>
    <n v="22"/>
    <n v="19"/>
    <n v="7"/>
  </r>
  <r>
    <x v="2"/>
    <x v="23"/>
    <s v="S12000008"/>
    <n v="6"/>
    <n v="46"/>
    <n v="9"/>
    <m/>
    <n v="24"/>
    <n v="9"/>
    <m/>
    <n v="2"/>
    <n v="4"/>
    <n v="2"/>
    <n v="23"/>
    <n v="7"/>
    <n v="22"/>
    <n v="6"/>
    <n v="4"/>
  </r>
  <r>
    <x v="2"/>
    <x v="29"/>
    <s v="S12000028"/>
    <n v="19"/>
    <n v="51"/>
    <n v="32"/>
    <n v="6"/>
    <n v="59"/>
    <n v="34"/>
    <m/>
    <n v="4"/>
    <n v="15"/>
    <n v="4"/>
    <n v="22"/>
    <n v="12"/>
    <n v="9"/>
    <n v="9"/>
    <n v="34"/>
  </r>
  <r>
    <x v="3"/>
    <x v="5"/>
    <s v="S12000033"/>
    <n v="13"/>
    <n v="46"/>
    <n v="170"/>
    <n v="1"/>
    <n v="35"/>
    <n v="1"/>
    <n v="3"/>
    <n v="1"/>
    <n v="9"/>
    <n v="3"/>
    <n v="12"/>
    <n v="6"/>
    <n v="6"/>
    <n v="5"/>
    <n v="4"/>
  </r>
  <r>
    <x v="3"/>
    <x v="6"/>
    <s v="S12000034"/>
    <n v="15"/>
    <n v="92"/>
    <n v="39"/>
    <m/>
    <n v="72"/>
    <n v="52"/>
    <n v="1"/>
    <n v="6"/>
    <n v="10"/>
    <n v="8"/>
    <n v="10"/>
    <n v="8"/>
    <n v="15"/>
    <n v="11"/>
    <n v="5"/>
  </r>
  <r>
    <x v="3"/>
    <x v="12"/>
    <s v="S12000027"/>
    <n v="1"/>
    <n v="16"/>
    <n v="3"/>
    <m/>
    <m/>
    <m/>
    <m/>
    <m/>
    <n v="1"/>
    <n v="1"/>
    <n v="1"/>
    <m/>
    <m/>
    <m/>
    <m/>
  </r>
  <r>
    <x v="4"/>
    <x v="15"/>
    <s v="S12000042"/>
    <n v="14"/>
    <n v="39"/>
    <n v="280"/>
    <n v="2"/>
    <n v="15"/>
    <m/>
    <m/>
    <m/>
    <n v="10"/>
    <n v="6"/>
    <n v="5"/>
    <n v="4"/>
    <n v="1"/>
    <n v="1"/>
    <n v="4"/>
  </r>
  <r>
    <x v="5"/>
    <x v="6"/>
    <s v="S12000034"/>
    <n v="15"/>
    <n v="81"/>
    <n v="20"/>
    <n v="5"/>
    <n v="44"/>
    <n v="47"/>
    <m/>
    <n v="3"/>
    <n v="8"/>
    <n v="30"/>
    <n v="34"/>
    <n v="9"/>
    <n v="19"/>
    <n v="17"/>
    <n v="19"/>
  </r>
  <r>
    <x v="5"/>
    <x v="8"/>
    <s v="S12000011"/>
    <m/>
    <n v="7"/>
    <n v="2"/>
    <m/>
    <n v="6"/>
    <n v="2"/>
    <m/>
    <m/>
    <m/>
    <n v="5"/>
    <m/>
    <n v="3"/>
    <n v="1"/>
    <n v="2"/>
    <m/>
  </r>
  <r>
    <x v="5"/>
    <x v="28"/>
    <s v="S12000024"/>
    <n v="36"/>
    <n v="71"/>
    <n v="10"/>
    <n v="2"/>
    <n v="67"/>
    <n v="33"/>
    <m/>
    <m/>
    <n v="6"/>
    <n v="6"/>
    <n v="6"/>
    <n v="6"/>
    <n v="2"/>
    <n v="1"/>
    <n v="2"/>
  </r>
  <r>
    <x v="5"/>
    <x v="3"/>
    <s v="S12000038"/>
    <n v="1"/>
    <n v="48"/>
    <n v="5"/>
    <m/>
    <n v="24"/>
    <n v="20"/>
    <n v="1"/>
    <m/>
    <n v="9"/>
    <n v="7"/>
    <n v="11"/>
    <n v="10"/>
    <n v="5"/>
    <n v="3"/>
    <n v="5"/>
  </r>
  <r>
    <x v="5"/>
    <x v="12"/>
    <s v="S12000027"/>
    <m/>
    <n v="11"/>
    <m/>
    <m/>
    <m/>
    <m/>
    <m/>
    <m/>
    <m/>
    <m/>
    <m/>
    <m/>
    <m/>
    <m/>
    <m/>
  </r>
  <r>
    <x v="5"/>
    <x v="21"/>
    <s v="S12000029"/>
    <n v="15"/>
    <n v="61"/>
    <n v="45"/>
    <m/>
    <n v="3"/>
    <n v="2"/>
    <m/>
    <n v="1"/>
    <n v="5"/>
    <n v="1"/>
    <n v="13"/>
    <n v="1"/>
    <n v="5"/>
    <n v="3"/>
    <n v="4"/>
  </r>
  <r>
    <x v="6"/>
    <x v="30"/>
    <s v="S12000005"/>
    <n v="2"/>
    <n v="19"/>
    <m/>
    <n v="4"/>
    <m/>
    <m/>
    <m/>
    <m/>
    <n v="1"/>
    <n v="2"/>
    <n v="1"/>
    <n v="3"/>
    <n v="2"/>
    <n v="1"/>
    <m/>
  </r>
  <r>
    <x v="6"/>
    <x v="31"/>
    <s v="S12000014"/>
    <n v="7"/>
    <n v="39"/>
    <m/>
    <m/>
    <m/>
    <m/>
    <n v="1"/>
    <m/>
    <n v="1"/>
    <n v="3"/>
    <n v="2"/>
    <n v="3"/>
    <n v="4"/>
    <n v="1"/>
    <n v="1"/>
  </r>
  <r>
    <x v="6"/>
    <x v="9"/>
    <s v="S12000017"/>
    <n v="18"/>
    <n v="56"/>
    <n v="16"/>
    <m/>
    <n v="17"/>
    <n v="2"/>
    <m/>
    <n v="1"/>
    <n v="1"/>
    <n v="1"/>
    <n v="2"/>
    <n v="2"/>
    <n v="4"/>
    <n v="2"/>
    <n v="2"/>
  </r>
  <r>
    <x v="9"/>
    <x v="21"/>
    <s v="S12000029"/>
    <n v="23"/>
    <n v="143"/>
    <n v="59"/>
    <m/>
    <n v="59"/>
    <n v="21"/>
    <m/>
    <m/>
    <n v="4"/>
    <n v="7"/>
    <n v="13"/>
    <n v="18"/>
    <n v="6"/>
    <n v="13"/>
    <n v="12"/>
  </r>
  <r>
    <x v="10"/>
    <x v="30"/>
    <s v="S12000005"/>
    <n v="2"/>
    <n v="18"/>
    <n v="4"/>
    <n v="1"/>
    <n v="2"/>
    <n v="3"/>
    <m/>
    <m/>
    <n v="3"/>
    <n v="3"/>
    <n v="2"/>
    <n v="3"/>
    <n v="6"/>
    <n v="5"/>
    <n v="1"/>
  </r>
  <r>
    <x v="10"/>
    <x v="29"/>
    <s v="S12000028"/>
    <n v="10"/>
    <n v="59"/>
    <n v="36"/>
    <n v="2"/>
    <n v="56"/>
    <n v="53"/>
    <m/>
    <n v="2"/>
    <n v="4"/>
    <n v="5"/>
    <n v="18"/>
    <n v="6"/>
    <n v="9"/>
    <n v="11"/>
    <n v="9"/>
  </r>
  <r>
    <x v="10"/>
    <x v="0"/>
    <s v="S12000045"/>
    <m/>
    <n v="33"/>
    <n v="21"/>
    <m/>
    <n v="5"/>
    <n v="1"/>
    <m/>
    <m/>
    <n v="3"/>
    <m/>
    <n v="7"/>
    <n v="3"/>
    <n v="1"/>
    <m/>
    <n v="1"/>
  </r>
  <r>
    <x v="10"/>
    <x v="8"/>
    <s v="S12000011"/>
    <n v="1"/>
    <n v="13"/>
    <n v="10"/>
    <m/>
    <n v="9"/>
    <n v="5"/>
    <m/>
    <m/>
    <m/>
    <n v="3"/>
    <n v="3"/>
    <n v="1"/>
    <n v="1"/>
    <m/>
    <m/>
  </r>
  <r>
    <x v="10"/>
    <x v="1"/>
    <s v="S12000019"/>
    <n v="2"/>
    <n v="14"/>
    <n v="21"/>
    <m/>
    <n v="7"/>
    <n v="36"/>
    <m/>
    <m/>
    <n v="53"/>
    <n v="11"/>
    <n v="1"/>
    <n v="6"/>
    <m/>
    <m/>
    <n v="2"/>
  </r>
  <r>
    <x v="10"/>
    <x v="13"/>
    <s v="S12000040"/>
    <n v="8"/>
    <n v="50"/>
    <n v="14"/>
    <m/>
    <n v="11"/>
    <n v="20"/>
    <m/>
    <m/>
    <n v="8"/>
    <n v="64"/>
    <n v="15"/>
    <n v="22"/>
    <n v="19"/>
    <n v="3"/>
    <n v="6"/>
  </r>
  <r>
    <x v="8"/>
    <x v="11"/>
    <s v="S12000044"/>
    <n v="10"/>
    <n v="48"/>
    <n v="22"/>
    <n v="1"/>
    <n v="31"/>
    <n v="4"/>
    <m/>
    <m/>
    <n v="7"/>
    <n v="9"/>
    <n v="37"/>
    <n v="6"/>
    <n v="11"/>
    <n v="10"/>
    <n v="1"/>
  </r>
  <r>
    <x v="8"/>
    <x v="29"/>
    <s v="S12000028"/>
    <n v="6"/>
    <n v="46"/>
    <n v="27"/>
    <n v="2"/>
    <n v="45"/>
    <n v="17"/>
    <m/>
    <m/>
    <n v="13"/>
    <n v="5"/>
    <n v="43"/>
    <n v="3"/>
    <n v="17"/>
    <n v="12"/>
    <n v="4"/>
  </r>
  <r>
    <x v="8"/>
    <x v="21"/>
    <s v="S12000029"/>
    <n v="12"/>
    <n v="113"/>
    <n v="26"/>
    <m/>
    <n v="36"/>
    <n v="1"/>
    <n v="1"/>
    <n v="1"/>
    <n v="7"/>
    <n v="3"/>
    <n v="9"/>
    <n v="8"/>
    <n v="5"/>
    <n v="9"/>
    <n v="7"/>
  </r>
  <r>
    <x v="8"/>
    <x v="27"/>
    <s v="S12000030"/>
    <n v="2"/>
    <n v="37"/>
    <n v="48"/>
    <n v="2"/>
    <n v="8"/>
    <n v="1"/>
    <m/>
    <n v="1"/>
    <n v="4"/>
    <n v="1"/>
    <n v="2"/>
    <n v="1"/>
    <n v="2"/>
    <m/>
    <n v="1"/>
  </r>
  <r>
    <x v="9"/>
    <x v="19"/>
    <s v="S12000041"/>
    <n v="7"/>
    <n v="38"/>
    <n v="6"/>
    <m/>
    <n v="9"/>
    <n v="15"/>
    <m/>
    <n v="2"/>
    <n v="4"/>
    <n v="7"/>
    <n v="3"/>
    <n v="2"/>
    <n v="7"/>
    <m/>
    <n v="3"/>
  </r>
  <r>
    <x v="9"/>
    <x v="20"/>
    <s v="S12000006"/>
    <n v="13"/>
    <n v="52"/>
    <n v="25"/>
    <m/>
    <n v="33"/>
    <n v="204"/>
    <m/>
    <n v="2"/>
    <n v="3"/>
    <n v="3"/>
    <n v="6"/>
    <n v="4"/>
    <n v="5"/>
    <n v="5"/>
    <n v="3"/>
  </r>
  <r>
    <x v="9"/>
    <x v="24"/>
    <s v="S12000013"/>
    <n v="3"/>
    <n v="11"/>
    <n v="1"/>
    <n v="3"/>
    <n v="14"/>
    <n v="1"/>
    <m/>
    <m/>
    <m/>
    <m/>
    <m/>
    <m/>
    <n v="1"/>
    <m/>
    <m/>
  </r>
  <r>
    <x v="9"/>
    <x v="4"/>
    <s v="S12000026"/>
    <n v="16"/>
    <n v="36"/>
    <n v="3"/>
    <m/>
    <n v="34"/>
    <n v="52"/>
    <m/>
    <m/>
    <n v="4"/>
    <n v="3"/>
    <n v="5"/>
    <n v="3"/>
    <n v="2"/>
    <m/>
    <n v="2"/>
  </r>
  <r>
    <x v="9"/>
    <x v="12"/>
    <s v="S12000027"/>
    <n v="1"/>
    <n v="16"/>
    <n v="4"/>
    <n v="6"/>
    <n v="15"/>
    <n v="17"/>
    <m/>
    <m/>
    <m/>
    <n v="8"/>
    <m/>
    <n v="2"/>
    <m/>
    <n v="1"/>
    <n v="1"/>
  </r>
  <r>
    <x v="10"/>
    <x v="12"/>
    <s v="S12000027"/>
    <n v="1"/>
    <n v="13"/>
    <n v="4"/>
    <n v="5"/>
    <n v="10"/>
    <n v="27"/>
    <m/>
    <m/>
    <m/>
    <n v="2"/>
    <m/>
    <n v="1"/>
    <m/>
    <m/>
    <m/>
  </r>
  <r>
    <x v="10"/>
    <x v="23"/>
    <s v="S12000008"/>
    <n v="9"/>
    <n v="59"/>
    <n v="14"/>
    <m/>
    <n v="11"/>
    <n v="35"/>
    <m/>
    <n v="1"/>
    <n v="4"/>
    <n v="4"/>
    <n v="8"/>
    <n v="3"/>
    <n v="17"/>
    <n v="5"/>
    <n v="8"/>
  </r>
  <r>
    <x v="10"/>
    <x v="15"/>
    <s v="S12000042"/>
    <n v="15"/>
    <n v="36"/>
    <n v="219"/>
    <m/>
    <n v="4"/>
    <n v="16"/>
    <n v="2"/>
    <n v="3"/>
    <n v="11"/>
    <n v="4"/>
    <n v="3"/>
    <n v="6"/>
    <n v="1"/>
    <m/>
    <n v="3"/>
  </r>
  <r>
    <x v="10"/>
    <x v="18"/>
    <s v="S12000039"/>
    <n v="3"/>
    <n v="20"/>
    <n v="15"/>
    <m/>
    <n v="13"/>
    <n v="25"/>
    <m/>
    <m/>
    <n v="2"/>
    <m/>
    <n v="2"/>
    <n v="2"/>
    <n v="10"/>
    <n v="6"/>
    <m/>
  </r>
  <r>
    <x v="10"/>
    <x v="31"/>
    <s v="S12000014"/>
    <n v="11"/>
    <n v="38"/>
    <n v="17"/>
    <m/>
    <n v="21"/>
    <n v="1"/>
    <m/>
    <n v="3"/>
    <n v="6"/>
    <n v="33"/>
    <n v="6"/>
    <n v="13"/>
    <n v="11"/>
    <n v="5"/>
    <n v="2"/>
  </r>
  <r>
    <x v="10"/>
    <x v="21"/>
    <s v="S12000029"/>
    <n v="36"/>
    <n v="123"/>
    <n v="48"/>
    <m/>
    <n v="35"/>
    <n v="28"/>
    <m/>
    <m/>
    <n v="8"/>
    <n v="10"/>
    <n v="29"/>
    <n v="15"/>
    <n v="15"/>
    <n v="15"/>
    <n v="8"/>
  </r>
  <r>
    <x v="7"/>
    <x v="29"/>
    <s v="S12000028"/>
    <n v="5"/>
    <n v="53"/>
    <n v="4"/>
    <n v="1"/>
    <n v="25"/>
    <n v="8"/>
    <n v="1"/>
    <n v="2"/>
    <n v="3"/>
    <n v="17"/>
    <n v="11"/>
    <n v="6"/>
    <n v="6"/>
    <n v="9"/>
    <n v="3"/>
  </r>
  <r>
    <x v="7"/>
    <x v="21"/>
    <s v="S12000029"/>
    <n v="11"/>
    <n v="78"/>
    <n v="10"/>
    <n v="2"/>
    <n v="13"/>
    <n v="1"/>
    <m/>
    <m/>
    <n v="4"/>
    <n v="4"/>
    <n v="15"/>
    <n v="8"/>
    <n v="13"/>
    <n v="5"/>
    <n v="1"/>
  </r>
  <r>
    <x v="8"/>
    <x v="22"/>
    <s v="S12000036"/>
    <n v="24"/>
    <n v="92"/>
    <n v="303"/>
    <n v="10"/>
    <n v="33"/>
    <n v="22"/>
    <n v="1"/>
    <n v="1"/>
    <n v="23"/>
    <n v="15"/>
    <n v="13"/>
    <n v="11"/>
    <n v="9"/>
    <n v="4"/>
    <n v="3"/>
  </r>
  <r>
    <x v="8"/>
    <x v="15"/>
    <s v="S12000042"/>
    <n v="17"/>
    <n v="36"/>
    <n v="150"/>
    <n v="1"/>
    <n v="18"/>
    <n v="1"/>
    <m/>
    <m/>
    <n v="5"/>
    <n v="11"/>
    <n v="7"/>
    <m/>
    <n v="2"/>
    <n v="2"/>
    <n v="1"/>
  </r>
  <r>
    <x v="8"/>
    <x v="25"/>
    <s v="S12000046"/>
    <n v="33"/>
    <n v="127"/>
    <n v="704"/>
    <n v="8"/>
    <n v="75"/>
    <n v="9"/>
    <n v="11"/>
    <n v="1"/>
    <n v="25"/>
    <n v="20"/>
    <n v="38"/>
    <n v="27"/>
    <n v="12"/>
    <n v="8"/>
    <n v="13"/>
  </r>
  <r>
    <x v="8"/>
    <x v="24"/>
    <s v="S12000013"/>
    <n v="2"/>
    <n v="15"/>
    <n v="13"/>
    <m/>
    <n v="4"/>
    <m/>
    <m/>
    <m/>
    <m/>
    <m/>
    <m/>
    <m/>
    <m/>
    <m/>
    <m/>
  </r>
  <r>
    <x v="8"/>
    <x v="13"/>
    <s v="S12000040"/>
    <n v="8"/>
    <n v="41"/>
    <n v="21"/>
    <m/>
    <n v="10"/>
    <n v="2"/>
    <m/>
    <m/>
    <n v="6"/>
    <n v="10"/>
    <n v="3"/>
    <m/>
    <n v="4"/>
    <n v="2"/>
    <n v="4"/>
  </r>
  <r>
    <x v="9"/>
    <x v="5"/>
    <s v="S12000033"/>
    <n v="14"/>
    <n v="73"/>
    <n v="132"/>
    <n v="1"/>
    <n v="68"/>
    <n v="22"/>
    <n v="1"/>
    <m/>
    <n v="5"/>
    <n v="3"/>
    <n v="2"/>
    <n v="6"/>
    <n v="1"/>
    <n v="10"/>
    <n v="10"/>
  </r>
  <r>
    <x v="9"/>
    <x v="31"/>
    <s v="S12000014"/>
    <n v="11"/>
    <n v="37"/>
    <n v="20"/>
    <n v="1"/>
    <n v="19"/>
    <m/>
    <n v="1"/>
    <n v="1"/>
    <n v="2"/>
    <n v="8"/>
    <n v="5"/>
    <n v="6"/>
    <n v="8"/>
    <m/>
    <n v="3"/>
  </r>
  <r>
    <x v="9"/>
    <x v="1"/>
    <s v="S12000019"/>
    <n v="2"/>
    <n v="12"/>
    <n v="18"/>
    <m/>
    <n v="8"/>
    <n v="60"/>
    <m/>
    <m/>
    <n v="5"/>
    <n v="7"/>
    <n v="4"/>
    <n v="4"/>
    <n v="5"/>
    <n v="1"/>
    <n v="6"/>
  </r>
  <r>
    <x v="9"/>
    <x v="2"/>
    <s v="S12000021"/>
    <n v="3"/>
    <n v="79"/>
    <n v="11"/>
    <m/>
    <n v="30"/>
    <n v="25"/>
    <n v="1"/>
    <n v="1"/>
    <n v="10"/>
    <n v="4"/>
    <n v="16"/>
    <n v="11"/>
    <n v="37"/>
    <n v="10"/>
    <n v="21"/>
  </r>
  <r>
    <x v="9"/>
    <x v="11"/>
    <s v="S12000044"/>
    <n v="12"/>
    <n v="58"/>
    <n v="16"/>
    <m/>
    <n v="48"/>
    <n v="5"/>
    <n v="3"/>
    <n v="1"/>
    <n v="21"/>
    <n v="2"/>
    <n v="49"/>
    <n v="11"/>
    <n v="26"/>
    <n v="141"/>
    <n v="38"/>
  </r>
  <r>
    <x v="9"/>
    <x v="17"/>
    <s v="S12000023"/>
    <n v="1"/>
    <n v="8"/>
    <n v="1"/>
    <n v="1"/>
    <n v="8"/>
    <n v="4"/>
    <m/>
    <m/>
    <m/>
    <m/>
    <n v="1"/>
    <m/>
    <m/>
    <m/>
    <m/>
  </r>
  <r>
    <x v="9"/>
    <x v="13"/>
    <s v="S12000040"/>
    <n v="7"/>
    <n v="49"/>
    <n v="38"/>
    <m/>
    <n v="14"/>
    <n v="10"/>
    <n v="1"/>
    <n v="1"/>
    <n v="9"/>
    <n v="10"/>
    <n v="18"/>
    <n v="15"/>
    <n v="16"/>
    <n v="3"/>
    <n v="4"/>
  </r>
  <r>
    <x v="10"/>
    <x v="5"/>
    <s v="S12000033"/>
    <n v="10"/>
    <n v="76"/>
    <n v="230"/>
    <m/>
    <n v="37"/>
    <n v="28"/>
    <m/>
    <m/>
    <n v="3"/>
    <n v="2"/>
    <n v="7"/>
    <n v="5"/>
    <n v="3"/>
    <n v="3"/>
    <n v="3"/>
  </r>
  <r>
    <x v="10"/>
    <x v="2"/>
    <s v="S12000021"/>
    <n v="4"/>
    <n v="76"/>
    <m/>
    <n v="2"/>
    <n v="23"/>
    <n v="18"/>
    <n v="8"/>
    <m/>
    <n v="11"/>
    <n v="2"/>
    <n v="15"/>
    <n v="5"/>
    <n v="4"/>
    <m/>
    <n v="1"/>
  </r>
  <r>
    <x v="10"/>
    <x v="17"/>
    <s v="S12000023"/>
    <n v="1"/>
    <n v="8"/>
    <m/>
    <n v="1"/>
    <n v="16"/>
    <n v="13"/>
    <m/>
    <m/>
    <m/>
    <n v="2"/>
    <m/>
    <n v="2"/>
    <m/>
    <m/>
    <m/>
  </r>
  <r>
    <x v="6"/>
    <x v="16"/>
    <s v="S12000020"/>
    <n v="3"/>
    <n v="6"/>
    <n v="2"/>
    <m/>
    <n v="5"/>
    <n v="12"/>
    <m/>
    <m/>
    <m/>
    <n v="4"/>
    <n v="3"/>
    <m/>
    <n v="6"/>
    <m/>
    <n v="1"/>
  </r>
  <r>
    <x v="6"/>
    <x v="13"/>
    <s v="S12000040"/>
    <n v="9"/>
    <n v="46"/>
    <n v="5"/>
    <m/>
    <n v="1"/>
    <m/>
    <m/>
    <m/>
    <n v="1"/>
    <n v="2"/>
    <n v="5"/>
    <n v="2"/>
    <n v="12"/>
    <n v="2"/>
    <n v="1"/>
  </r>
  <r>
    <x v="7"/>
    <x v="5"/>
    <s v="S12000033"/>
    <n v="14"/>
    <n v="61"/>
    <n v="180"/>
    <m/>
    <n v="39"/>
    <n v="1"/>
    <m/>
    <m/>
    <n v="3"/>
    <n v="4"/>
    <n v="1"/>
    <n v="2"/>
    <n v="7"/>
    <n v="1"/>
    <n v="2"/>
  </r>
  <r>
    <x v="7"/>
    <x v="6"/>
    <s v="S12000034"/>
    <n v="10"/>
    <n v="106"/>
    <n v="20"/>
    <n v="1"/>
    <n v="9"/>
    <n v="12"/>
    <n v="1"/>
    <n v="1"/>
    <n v="1"/>
    <n v="2"/>
    <n v="3"/>
    <n v="6"/>
    <n v="7"/>
    <n v="4"/>
    <n v="3"/>
  </r>
  <r>
    <x v="7"/>
    <x v="19"/>
    <s v="S12000041"/>
    <n v="6"/>
    <n v="42"/>
    <n v="5"/>
    <m/>
    <n v="16"/>
    <n v="4"/>
    <n v="1"/>
    <n v="1"/>
    <n v="2"/>
    <n v="19"/>
    <n v="5"/>
    <n v="7"/>
    <n v="9"/>
    <n v="4"/>
    <n v="3"/>
  </r>
  <r>
    <x v="7"/>
    <x v="16"/>
    <s v="S12000020"/>
    <n v="4"/>
    <n v="15"/>
    <n v="4"/>
    <m/>
    <n v="6"/>
    <n v="15"/>
    <n v="1"/>
    <n v="1"/>
    <n v="1"/>
    <n v="2"/>
    <n v="2"/>
    <n v="3"/>
    <n v="4"/>
    <n v="1"/>
    <m/>
  </r>
  <r>
    <x v="7"/>
    <x v="24"/>
    <s v="S12000013"/>
    <m/>
    <m/>
    <m/>
    <m/>
    <n v="4"/>
    <m/>
    <m/>
    <m/>
    <m/>
    <m/>
    <m/>
    <m/>
    <m/>
    <m/>
    <m/>
  </r>
  <r>
    <x v="8"/>
    <x v="19"/>
    <s v="S12000041"/>
    <n v="6"/>
    <n v="40"/>
    <n v="7"/>
    <m/>
    <n v="5"/>
    <n v="14"/>
    <m/>
    <n v="1"/>
    <n v="1"/>
    <n v="17"/>
    <n v="8"/>
    <n v="2"/>
    <n v="3"/>
    <n v="1"/>
    <m/>
  </r>
  <r>
    <x v="8"/>
    <x v="26"/>
    <s v="S12000015"/>
    <n v="2"/>
    <n v="77"/>
    <n v="199"/>
    <n v="1"/>
    <n v="10"/>
    <n v="9"/>
    <n v="1"/>
    <m/>
    <n v="2"/>
    <n v="2"/>
    <m/>
    <n v="6"/>
    <n v="4"/>
    <m/>
    <m/>
  </r>
  <r>
    <x v="9"/>
    <x v="15"/>
    <s v="S12000042"/>
    <n v="16"/>
    <n v="37"/>
    <n v="197"/>
    <n v="1"/>
    <n v="18"/>
    <n v="16"/>
    <n v="1"/>
    <m/>
    <n v="8"/>
    <n v="19"/>
    <n v="4"/>
    <n v="4"/>
    <n v="3"/>
    <m/>
    <n v="4"/>
  </r>
  <r>
    <x v="10"/>
    <x v="20"/>
    <s v="S12000006"/>
    <n v="12"/>
    <n v="91"/>
    <n v="33"/>
    <n v="2"/>
    <n v="95"/>
    <n v="320"/>
    <m/>
    <n v="4"/>
    <n v="4"/>
    <m/>
    <n v="6"/>
    <n v="5"/>
    <n v="5"/>
    <n v="4"/>
    <n v="1"/>
  </r>
  <r>
    <x v="10"/>
    <x v="6"/>
    <s v="S12000034"/>
    <n v="21"/>
    <n v="81"/>
    <n v="28"/>
    <n v="2"/>
    <n v="54"/>
    <n v="114"/>
    <n v="1"/>
    <n v="5"/>
    <n v="6"/>
    <n v="5"/>
    <n v="5"/>
    <n v="11"/>
    <n v="10"/>
    <n v="4"/>
    <n v="8"/>
  </r>
  <r>
    <x v="10"/>
    <x v="25"/>
    <s v="S12000046"/>
    <n v="42"/>
    <n v="133"/>
    <n v="835"/>
    <n v="8"/>
    <n v="96"/>
    <n v="46"/>
    <n v="1"/>
    <n v="2"/>
    <n v="18"/>
    <n v="38"/>
    <n v="97"/>
    <n v="20"/>
    <n v="29"/>
    <n v="13"/>
    <n v="23"/>
  </r>
  <r>
    <x v="10"/>
    <x v="11"/>
    <s v="S12000044"/>
    <n v="9"/>
    <n v="48"/>
    <n v="10"/>
    <n v="1"/>
    <n v="27"/>
    <n v="3"/>
    <m/>
    <m/>
    <n v="17"/>
    <n v="15"/>
    <n v="52"/>
    <n v="14"/>
    <n v="21"/>
    <n v="103"/>
    <n v="24"/>
  </r>
  <r>
    <x v="10"/>
    <x v="26"/>
    <s v="S12000015"/>
    <n v="13"/>
    <n v="113"/>
    <n v="230"/>
    <m/>
    <n v="31"/>
    <n v="45"/>
    <n v="1"/>
    <n v="2"/>
    <n v="6"/>
    <n v="47"/>
    <n v="14"/>
    <n v="7"/>
    <n v="25"/>
    <n v="2"/>
    <n v="3"/>
  </r>
  <r>
    <x v="7"/>
    <x v="9"/>
    <s v="S12000017"/>
    <n v="19"/>
    <n v="83"/>
    <n v="27"/>
    <n v="4"/>
    <n v="55"/>
    <n v="5"/>
    <m/>
    <n v="1"/>
    <n v="3"/>
    <n v="3"/>
    <n v="2"/>
    <n v="3"/>
    <n v="2"/>
    <m/>
    <m/>
  </r>
  <r>
    <x v="7"/>
    <x v="2"/>
    <s v="S12000021"/>
    <n v="3"/>
    <n v="64"/>
    <n v="6"/>
    <m/>
    <n v="19"/>
    <n v="14"/>
    <n v="1"/>
    <m/>
    <n v="1"/>
    <n v="2"/>
    <n v="14"/>
    <n v="7"/>
    <n v="10"/>
    <n v="7"/>
    <n v="5"/>
  </r>
  <r>
    <x v="7"/>
    <x v="11"/>
    <s v="S12000044"/>
    <n v="5"/>
    <n v="57"/>
    <n v="18"/>
    <n v="1"/>
    <n v="27"/>
    <m/>
    <m/>
    <n v="1"/>
    <n v="4"/>
    <n v="4"/>
    <n v="16"/>
    <n v="22"/>
    <n v="12"/>
    <n v="9"/>
    <n v="9"/>
  </r>
  <r>
    <x v="7"/>
    <x v="28"/>
    <s v="S12000024"/>
    <n v="32"/>
    <n v="60"/>
    <n v="8"/>
    <n v="2"/>
    <n v="16"/>
    <n v="8"/>
    <m/>
    <m/>
    <n v="1"/>
    <n v="3"/>
    <n v="5"/>
    <n v="4"/>
    <n v="1"/>
    <n v="4"/>
    <n v="2"/>
  </r>
  <r>
    <x v="8"/>
    <x v="5"/>
    <s v="S12000033"/>
    <n v="22"/>
    <n v="102"/>
    <n v="142"/>
    <n v="1"/>
    <n v="48"/>
    <n v="12"/>
    <m/>
    <n v="1"/>
    <n v="4"/>
    <n v="3"/>
    <n v="7"/>
    <n v="5"/>
    <n v="5"/>
    <n v="3"/>
    <n v="2"/>
  </r>
  <r>
    <x v="8"/>
    <x v="20"/>
    <s v="S12000006"/>
    <n v="16"/>
    <n v="72"/>
    <n v="40"/>
    <n v="8"/>
    <n v="99"/>
    <n v="92"/>
    <m/>
    <n v="1"/>
    <n v="2"/>
    <n v="2"/>
    <n v="2"/>
    <n v="12"/>
    <n v="11"/>
    <n v="7"/>
    <n v="1"/>
  </r>
  <r>
    <x v="8"/>
    <x v="7"/>
    <s v="S12000010"/>
    <n v="1"/>
    <n v="27"/>
    <n v="19"/>
    <m/>
    <n v="9"/>
    <n v="9"/>
    <m/>
    <n v="1"/>
    <n v="11"/>
    <n v="18"/>
    <n v="4"/>
    <n v="12"/>
    <n v="4"/>
    <n v="4"/>
    <m/>
  </r>
  <r>
    <x v="8"/>
    <x v="8"/>
    <s v="S12000011"/>
    <m/>
    <n v="13"/>
    <n v="11"/>
    <m/>
    <n v="10"/>
    <n v="2"/>
    <m/>
    <n v="1"/>
    <n v="1"/>
    <n v="5"/>
    <n v="4"/>
    <n v="1"/>
    <n v="1"/>
    <m/>
    <m/>
  </r>
  <r>
    <x v="8"/>
    <x v="9"/>
    <s v="S12000017"/>
    <n v="18"/>
    <n v="90"/>
    <n v="21"/>
    <n v="3"/>
    <n v="87"/>
    <n v="1"/>
    <n v="1"/>
    <m/>
    <n v="5"/>
    <m/>
    <n v="3"/>
    <n v="3"/>
    <n v="7"/>
    <n v="2"/>
    <n v="1"/>
  </r>
  <r>
    <x v="8"/>
    <x v="1"/>
    <s v="S12000019"/>
    <n v="2"/>
    <n v="20"/>
    <n v="8"/>
    <m/>
    <n v="6"/>
    <n v="1"/>
    <m/>
    <m/>
    <n v="9"/>
    <n v="14"/>
    <n v="4"/>
    <n v="1"/>
    <n v="3"/>
    <m/>
    <n v="19"/>
  </r>
  <r>
    <x v="8"/>
    <x v="12"/>
    <s v="S12000027"/>
    <m/>
    <n v="15"/>
    <n v="8"/>
    <n v="7"/>
    <n v="22"/>
    <n v="12"/>
    <m/>
    <m/>
    <m/>
    <m/>
    <m/>
    <n v="1"/>
    <n v="1"/>
    <m/>
    <m/>
  </r>
  <r>
    <x v="9"/>
    <x v="8"/>
    <s v="S12000011"/>
    <m/>
    <n v="11"/>
    <n v="13"/>
    <m/>
    <n v="8"/>
    <n v="5"/>
    <m/>
    <m/>
    <m/>
    <n v="9"/>
    <n v="4"/>
    <n v="4"/>
    <m/>
    <m/>
    <m/>
  </r>
  <r>
    <x v="9"/>
    <x v="28"/>
    <s v="S12000024"/>
    <n v="25"/>
    <n v="62"/>
    <n v="15"/>
    <m/>
    <n v="63"/>
    <n v="31"/>
    <m/>
    <n v="1"/>
    <n v="5"/>
    <n v="3"/>
    <n v="3"/>
    <n v="3"/>
    <m/>
    <n v="4"/>
    <n v="5"/>
  </r>
  <r>
    <x v="9"/>
    <x v="29"/>
    <s v="S12000028"/>
    <n v="9"/>
    <n v="52"/>
    <n v="31"/>
    <n v="2"/>
    <n v="49"/>
    <n v="20"/>
    <m/>
    <n v="1"/>
    <n v="8"/>
    <n v="8"/>
    <n v="41"/>
    <n v="6"/>
    <n v="13"/>
    <n v="12"/>
    <n v="5"/>
  </r>
  <r>
    <x v="10"/>
    <x v="7"/>
    <s v="S12000010"/>
    <n v="1"/>
    <n v="23"/>
    <n v="11"/>
    <m/>
    <n v="4"/>
    <n v="1"/>
    <m/>
    <m/>
    <n v="68"/>
    <n v="2"/>
    <n v="2"/>
    <n v="7"/>
    <n v="3"/>
    <m/>
    <n v="1"/>
  </r>
  <r>
    <x v="10"/>
    <x v="4"/>
    <s v="S12000026"/>
    <n v="18"/>
    <n v="32"/>
    <n v="18"/>
    <m/>
    <n v="26"/>
    <n v="85"/>
    <m/>
    <m/>
    <n v="4"/>
    <n v="3"/>
    <n v="6"/>
    <n v="8"/>
    <n v="5"/>
    <m/>
    <m/>
  </r>
  <r>
    <x v="10"/>
    <x v="3"/>
    <s v="S12000038"/>
    <n v="4"/>
    <n v="64"/>
    <n v="86"/>
    <m/>
    <n v="24"/>
    <n v="43"/>
    <n v="3"/>
    <n v="6"/>
    <n v="2"/>
    <n v="6"/>
    <n v="17"/>
    <n v="8"/>
    <n v="7"/>
    <n v="8"/>
    <n v="2"/>
  </r>
  <r>
    <x v="5"/>
    <x v="29"/>
    <s v="S12000028"/>
    <n v="7"/>
    <n v="44"/>
    <n v="31"/>
    <n v="2"/>
    <n v="40"/>
    <n v="20"/>
    <n v="2"/>
    <m/>
    <n v="7"/>
    <n v="7"/>
    <n v="10"/>
    <n v="10"/>
    <n v="25"/>
    <n v="13"/>
    <n v="7"/>
  </r>
  <r>
    <x v="6"/>
    <x v="22"/>
    <s v="S12000036"/>
    <n v="22"/>
    <n v="90"/>
    <n v="175"/>
    <n v="4"/>
    <n v="10"/>
    <n v="11"/>
    <m/>
    <n v="2"/>
    <n v="20"/>
    <n v="5"/>
    <n v="8"/>
    <n v="9"/>
    <n v="2"/>
    <n v="6"/>
    <m/>
  </r>
  <r>
    <x v="6"/>
    <x v="8"/>
    <s v="S12000011"/>
    <m/>
    <n v="14"/>
    <n v="1"/>
    <m/>
    <n v="1"/>
    <m/>
    <m/>
    <m/>
    <m/>
    <n v="2"/>
    <n v="2"/>
    <m/>
    <m/>
    <m/>
    <n v="1"/>
  </r>
  <r>
    <x v="6"/>
    <x v="1"/>
    <s v="S12000019"/>
    <n v="3"/>
    <n v="20"/>
    <n v="4"/>
    <m/>
    <m/>
    <m/>
    <m/>
    <m/>
    <n v="4"/>
    <m/>
    <n v="1"/>
    <n v="2"/>
    <n v="1"/>
    <m/>
    <n v="2"/>
  </r>
  <r>
    <x v="6"/>
    <x v="11"/>
    <s v="S12000050"/>
    <n v="3"/>
    <n v="41"/>
    <n v="3"/>
    <n v="1"/>
    <n v="14"/>
    <n v="1"/>
    <m/>
    <m/>
    <n v="1"/>
    <n v="2"/>
    <n v="8"/>
    <n v="4"/>
    <n v="10"/>
    <n v="26"/>
    <n v="3"/>
  </r>
  <r>
    <x v="6"/>
    <x v="28"/>
    <s v="S12000048"/>
    <n v="36"/>
    <n v="68"/>
    <n v="7"/>
    <n v="9"/>
    <n v="2"/>
    <n v="15"/>
    <m/>
    <m/>
    <n v="2"/>
    <n v="2"/>
    <n v="7"/>
    <n v="1"/>
    <m/>
    <n v="3"/>
    <m/>
  </r>
  <r>
    <x v="6"/>
    <x v="27"/>
    <s v="S12000030"/>
    <n v="1"/>
    <n v="49"/>
    <n v="13"/>
    <n v="2"/>
    <n v="2"/>
    <n v="2"/>
    <m/>
    <m/>
    <n v="2"/>
    <n v="2"/>
    <n v="4"/>
    <n v="1"/>
    <n v="1"/>
    <m/>
    <n v="1"/>
  </r>
  <r>
    <x v="6"/>
    <x v="18"/>
    <s v="S12000039"/>
    <n v="1"/>
    <n v="8"/>
    <n v="5"/>
    <m/>
    <n v="2"/>
    <m/>
    <m/>
    <n v="1"/>
    <n v="1"/>
    <n v="7"/>
    <m/>
    <n v="1"/>
    <m/>
    <n v="1"/>
    <n v="1"/>
  </r>
  <r>
    <x v="7"/>
    <x v="15"/>
    <s v="S12000042"/>
    <n v="11"/>
    <n v="37"/>
    <n v="189"/>
    <n v="1"/>
    <n v="8"/>
    <m/>
    <m/>
    <m/>
    <n v="6"/>
    <n v="3"/>
    <n v="4"/>
    <n v="3"/>
    <n v="3"/>
    <n v="3"/>
    <n v="3"/>
  </r>
  <r>
    <x v="7"/>
    <x v="8"/>
    <s v="S12000011"/>
    <m/>
    <n v="10"/>
    <n v="4"/>
    <m/>
    <n v="8"/>
    <m/>
    <m/>
    <m/>
    <m/>
    <n v="1"/>
    <m/>
    <m/>
    <m/>
    <m/>
    <m/>
  </r>
  <r>
    <x v="7"/>
    <x v="10"/>
    <s v="S12000018"/>
    <n v="2"/>
    <n v="28"/>
    <n v="2"/>
    <m/>
    <n v="3"/>
    <m/>
    <m/>
    <m/>
    <m/>
    <m/>
    <n v="2"/>
    <n v="2"/>
    <n v="1"/>
    <m/>
    <n v="3"/>
  </r>
  <r>
    <x v="7"/>
    <x v="17"/>
    <s v="S12000023"/>
    <m/>
    <n v="8"/>
    <m/>
    <n v="2"/>
    <n v="5"/>
    <m/>
    <m/>
    <m/>
    <m/>
    <m/>
    <m/>
    <m/>
    <m/>
    <m/>
    <m/>
  </r>
  <r>
    <x v="7"/>
    <x v="27"/>
    <s v="S12000030"/>
    <n v="1"/>
    <n v="40"/>
    <n v="86"/>
    <n v="1"/>
    <n v="10"/>
    <n v="15"/>
    <m/>
    <n v="1"/>
    <n v="4"/>
    <n v="1"/>
    <n v="5"/>
    <n v="2"/>
    <n v="3"/>
    <n v="3"/>
    <n v="3"/>
  </r>
  <r>
    <x v="8"/>
    <x v="23"/>
    <s v="S12000008"/>
    <n v="7"/>
    <n v="51"/>
    <n v="14"/>
    <m/>
    <n v="10"/>
    <n v="24"/>
    <m/>
    <m/>
    <n v="4"/>
    <n v="3"/>
    <n v="18"/>
    <n v="4"/>
    <n v="13"/>
    <m/>
    <n v="2"/>
  </r>
  <r>
    <x v="8"/>
    <x v="0"/>
    <s v="S12000045"/>
    <n v="5"/>
    <n v="23"/>
    <n v="12"/>
    <m/>
    <n v="4"/>
    <m/>
    <m/>
    <m/>
    <n v="1"/>
    <n v="2"/>
    <n v="4"/>
    <n v="1"/>
    <n v="1"/>
    <m/>
    <m/>
  </r>
  <r>
    <x v="8"/>
    <x v="17"/>
    <s v="S12000023"/>
    <n v="1"/>
    <n v="5"/>
    <n v="2"/>
    <m/>
    <n v="1"/>
    <m/>
    <m/>
    <m/>
    <m/>
    <m/>
    <m/>
    <m/>
    <m/>
    <m/>
    <m/>
  </r>
  <r>
    <x v="8"/>
    <x v="3"/>
    <s v="S12000038"/>
    <n v="4"/>
    <n v="65"/>
    <n v="19"/>
    <m/>
    <n v="28"/>
    <n v="21"/>
    <m/>
    <m/>
    <n v="4"/>
    <n v="13"/>
    <n v="13"/>
    <n v="3"/>
    <n v="8"/>
    <n v="12"/>
    <m/>
  </r>
  <r>
    <x v="9"/>
    <x v="7"/>
    <s v="S12000010"/>
    <n v="1"/>
    <n v="25"/>
    <n v="9"/>
    <m/>
    <n v="20"/>
    <n v="10"/>
    <m/>
    <m/>
    <n v="31"/>
    <n v="8"/>
    <n v="3"/>
    <n v="1"/>
    <n v="6"/>
    <n v="1"/>
    <n v="2"/>
  </r>
  <r>
    <x v="9"/>
    <x v="26"/>
    <s v="S12000015"/>
    <n v="7"/>
    <n v="113"/>
    <n v="220"/>
    <m/>
    <n v="17"/>
    <n v="12"/>
    <m/>
    <m/>
    <n v="1"/>
    <m/>
    <n v="2"/>
    <n v="2"/>
    <n v="2"/>
    <m/>
    <m/>
  </r>
  <r>
    <x v="9"/>
    <x v="25"/>
    <s v="S12000046"/>
    <n v="13"/>
    <n v="135"/>
    <n v="528"/>
    <n v="9"/>
    <n v="104"/>
    <n v="17"/>
    <n v="2"/>
    <n v="3"/>
    <n v="24"/>
    <n v="20"/>
    <n v="27"/>
    <n v="11"/>
    <n v="3"/>
    <n v="8"/>
    <n v="10"/>
  </r>
  <r>
    <x v="9"/>
    <x v="9"/>
    <s v="S12000017"/>
    <n v="19"/>
    <n v="88"/>
    <n v="37"/>
    <n v="11"/>
    <n v="167"/>
    <n v="14"/>
    <m/>
    <m/>
    <n v="3"/>
    <n v="2"/>
    <n v="5"/>
    <n v="7"/>
    <n v="4"/>
    <n v="2"/>
    <n v="3"/>
  </r>
  <r>
    <x v="10"/>
    <x v="9"/>
    <s v="S12000017"/>
    <n v="22"/>
    <n v="78"/>
    <n v="88"/>
    <n v="18"/>
    <n v="137"/>
    <n v="38"/>
    <m/>
    <m/>
    <n v="4"/>
    <n v="2"/>
    <n v="5"/>
    <n v="4"/>
    <n v="4"/>
    <m/>
    <n v="2"/>
  </r>
  <r>
    <x v="10"/>
    <x v="24"/>
    <s v="S12000013"/>
    <n v="2"/>
    <n v="10"/>
    <n v="4"/>
    <n v="1"/>
    <n v="9"/>
    <n v="5"/>
    <m/>
    <n v="1"/>
    <m/>
    <m/>
    <m/>
    <n v="2"/>
    <m/>
    <n v="1"/>
    <n v="1"/>
  </r>
  <r>
    <x v="4"/>
    <x v="27"/>
    <s v="S12000030"/>
    <n v="7"/>
    <n v="56"/>
    <n v="37"/>
    <n v="2"/>
    <n v="33"/>
    <n v="4"/>
    <m/>
    <n v="1"/>
    <n v="1"/>
    <n v="36"/>
    <n v="4"/>
    <n v="4"/>
    <n v="3"/>
    <n v="2"/>
    <n v="3"/>
  </r>
  <r>
    <x v="5"/>
    <x v="22"/>
    <s v="S12000036"/>
    <n v="44"/>
    <n v="107"/>
    <n v="91"/>
    <n v="11"/>
    <n v="97"/>
    <n v="84"/>
    <n v="4"/>
    <n v="2"/>
    <n v="52"/>
    <n v="28"/>
    <n v="42"/>
    <n v="31"/>
    <n v="7"/>
    <n v="45"/>
    <n v="3"/>
  </r>
  <r>
    <x v="5"/>
    <x v="23"/>
    <s v="S12000008"/>
    <n v="2"/>
    <n v="54"/>
    <n v="8"/>
    <m/>
    <n v="13"/>
    <n v="11"/>
    <m/>
    <m/>
    <n v="3"/>
    <n v="10"/>
    <n v="6"/>
    <n v="3"/>
    <m/>
    <m/>
    <m/>
  </r>
  <r>
    <x v="5"/>
    <x v="7"/>
    <s v="S12000010"/>
    <n v="5"/>
    <n v="23"/>
    <n v="12"/>
    <m/>
    <n v="4"/>
    <n v="2"/>
    <m/>
    <n v="1"/>
    <n v="10"/>
    <n v="8"/>
    <n v="2"/>
    <n v="7"/>
    <n v="1"/>
    <n v="1"/>
    <n v="2"/>
  </r>
  <r>
    <x v="5"/>
    <x v="31"/>
    <s v="S12000014"/>
    <n v="9"/>
    <n v="41"/>
    <n v="4"/>
    <n v="1"/>
    <n v="19"/>
    <m/>
    <n v="1"/>
    <n v="5"/>
    <n v="22"/>
    <n v="12"/>
    <n v="13"/>
    <n v="14"/>
    <n v="8"/>
    <n v="1"/>
    <m/>
  </r>
  <r>
    <x v="5"/>
    <x v="26"/>
    <s v="S12000015"/>
    <n v="13"/>
    <n v="132"/>
    <n v="156"/>
    <n v="1"/>
    <n v="54"/>
    <n v="17"/>
    <n v="1"/>
    <m/>
    <n v="7"/>
    <n v="10"/>
    <n v="4"/>
    <n v="9"/>
    <n v="7"/>
    <n v="2"/>
    <n v="4"/>
  </r>
  <r>
    <x v="6"/>
    <x v="6"/>
    <s v="S12000034"/>
    <n v="8"/>
    <n v="27"/>
    <n v="6"/>
    <m/>
    <n v="7"/>
    <n v="19"/>
    <m/>
    <m/>
    <n v="4"/>
    <n v="1"/>
    <n v="1"/>
    <n v="3"/>
    <n v="4"/>
    <m/>
    <n v="1"/>
  </r>
  <r>
    <x v="6"/>
    <x v="24"/>
    <s v="S12000013"/>
    <n v="2"/>
    <n v="9"/>
    <m/>
    <m/>
    <m/>
    <m/>
    <m/>
    <m/>
    <m/>
    <m/>
    <m/>
    <m/>
    <m/>
    <m/>
    <m/>
  </r>
  <r>
    <x v="6"/>
    <x v="12"/>
    <s v="S12000027"/>
    <m/>
    <n v="8"/>
    <n v="1"/>
    <m/>
    <n v="1"/>
    <m/>
    <m/>
    <m/>
    <m/>
    <m/>
    <m/>
    <m/>
    <m/>
    <m/>
    <m/>
  </r>
  <r>
    <x v="7"/>
    <x v="22"/>
    <s v="S12000036"/>
    <n v="46"/>
    <n v="107"/>
    <n v="331"/>
    <n v="2"/>
    <n v="73"/>
    <n v="67"/>
    <m/>
    <n v="4"/>
    <n v="26"/>
    <n v="8"/>
    <n v="14"/>
    <n v="11"/>
    <n v="2"/>
    <n v="16"/>
    <n v="3"/>
  </r>
  <r>
    <x v="7"/>
    <x v="18"/>
    <s v="S12000039"/>
    <n v="6"/>
    <n v="16"/>
    <n v="17"/>
    <m/>
    <n v="14"/>
    <n v="3"/>
    <m/>
    <m/>
    <n v="2"/>
    <n v="3"/>
    <n v="1"/>
    <n v="2"/>
    <n v="3"/>
    <n v="2"/>
    <m/>
  </r>
  <r>
    <x v="8"/>
    <x v="14"/>
    <s v="S12000035"/>
    <n v="7"/>
    <n v="41"/>
    <n v="29"/>
    <n v="8"/>
    <n v="125"/>
    <n v="102"/>
    <n v="1"/>
    <n v="1"/>
    <n v="8"/>
    <n v="10"/>
    <n v="3"/>
    <n v="13"/>
    <n v="3"/>
    <n v="9"/>
    <n v="19"/>
  </r>
  <r>
    <x v="8"/>
    <x v="31"/>
    <s v="S12000014"/>
    <n v="6"/>
    <n v="35"/>
    <n v="3"/>
    <n v="1"/>
    <n v="17"/>
    <m/>
    <n v="1"/>
    <n v="1"/>
    <n v="2"/>
    <n v="4"/>
    <n v="6"/>
    <n v="3"/>
    <n v="7"/>
    <n v="4"/>
    <n v="1"/>
  </r>
  <r>
    <x v="9"/>
    <x v="32"/>
    <m/>
    <m/>
    <n v="5"/>
    <n v="77"/>
    <m/>
    <n v="3"/>
    <n v="49"/>
    <m/>
    <m/>
    <n v="3"/>
    <m/>
    <n v="3"/>
    <n v="1"/>
    <n v="1"/>
    <m/>
    <n v="4"/>
  </r>
  <r>
    <x v="9"/>
    <x v="16"/>
    <s v="S12000020"/>
    <n v="3"/>
    <n v="19"/>
    <n v="9"/>
    <m/>
    <n v="28"/>
    <n v="51"/>
    <m/>
    <m/>
    <n v="3"/>
    <n v="2"/>
    <n v="4"/>
    <n v="3"/>
    <n v="1"/>
    <n v="2"/>
    <m/>
  </r>
  <r>
    <x v="9"/>
    <x v="27"/>
    <s v="S12000030"/>
    <n v="1"/>
    <n v="34"/>
    <n v="31"/>
    <m/>
    <n v="19"/>
    <n v="5"/>
    <m/>
    <m/>
    <n v="1"/>
    <m/>
    <n v="1"/>
    <n v="1"/>
    <n v="1"/>
    <m/>
    <n v="1"/>
  </r>
  <r>
    <x v="10"/>
    <x v="16"/>
    <s v="S12000020"/>
    <n v="2"/>
    <n v="21"/>
    <n v="5"/>
    <m/>
    <n v="18"/>
    <n v="51"/>
    <m/>
    <m/>
    <n v="1"/>
    <n v="2"/>
    <n v="6"/>
    <m/>
    <n v="2"/>
    <n v="1"/>
    <n v="1"/>
  </r>
  <r>
    <x v="10"/>
    <x v="22"/>
    <s v="S12000036"/>
    <n v="40"/>
    <n v="111"/>
    <n v="294"/>
    <n v="11"/>
    <n v="99"/>
    <n v="35"/>
    <n v="4"/>
    <n v="1"/>
    <n v="57"/>
    <n v="12"/>
    <n v="11"/>
    <n v="12"/>
    <n v="1"/>
    <n v="10"/>
    <n v="8"/>
  </r>
  <r>
    <x v="10"/>
    <x v="14"/>
    <s v="S12000035"/>
    <n v="3"/>
    <n v="23"/>
    <n v="15"/>
    <n v="2"/>
    <n v="54"/>
    <n v="381"/>
    <m/>
    <n v="3"/>
    <m/>
    <n v="1"/>
    <n v="4"/>
    <n v="9"/>
    <n v="4"/>
    <n v="4"/>
    <n v="5"/>
  </r>
  <r>
    <x v="10"/>
    <x v="28"/>
    <s v="S12000024"/>
    <n v="4"/>
    <n v="61"/>
    <n v="17"/>
    <m/>
    <n v="32"/>
    <n v="60"/>
    <n v="1"/>
    <n v="1"/>
    <n v="5"/>
    <n v="4"/>
    <n v="4"/>
    <n v="1"/>
    <n v="1"/>
    <n v="1"/>
    <n v="1"/>
  </r>
  <r>
    <x v="10"/>
    <x v="10"/>
    <s v="S12000018"/>
    <n v="9"/>
    <n v="34"/>
    <n v="14"/>
    <m/>
    <n v="6"/>
    <n v="8"/>
    <m/>
    <n v="1"/>
    <n v="2"/>
    <m/>
    <n v="1"/>
    <n v="4"/>
    <n v="3"/>
    <n v="4"/>
    <n v="5"/>
  </r>
  <r>
    <x v="0"/>
    <x v="6"/>
    <s v="S12000034"/>
    <n v="11"/>
    <n v="79"/>
    <n v="48"/>
    <m/>
    <n v="59"/>
    <n v="28"/>
    <m/>
    <m/>
    <n v="14"/>
    <n v="16"/>
    <n v="1"/>
    <n v="1"/>
    <n v="2"/>
    <n v="6"/>
    <n v="2"/>
  </r>
  <r>
    <x v="0"/>
    <x v="19"/>
    <s v="S12000041"/>
    <n v="13"/>
    <n v="38"/>
    <n v="6"/>
    <n v="1"/>
    <n v="27"/>
    <n v="9"/>
    <m/>
    <n v="2"/>
    <n v="34"/>
    <n v="4"/>
    <n v="5"/>
    <n v="20"/>
    <n v="25"/>
    <n v="13"/>
    <n v="9"/>
  </r>
  <r>
    <x v="0"/>
    <x v="14"/>
    <s v="S12000035"/>
    <n v="5"/>
    <n v="27"/>
    <n v="2"/>
    <n v="5"/>
    <n v="101"/>
    <n v="24"/>
    <n v="2"/>
    <n v="2"/>
    <n v="9"/>
    <n v="36"/>
    <n v="13"/>
    <n v="2"/>
    <n v="3"/>
    <n v="4"/>
    <n v="18"/>
  </r>
  <r>
    <x v="0"/>
    <x v="28"/>
    <s v="S12000024"/>
    <n v="49"/>
    <n v="85"/>
    <n v="32"/>
    <n v="1"/>
    <n v="18"/>
    <n v="30"/>
    <m/>
    <n v="1"/>
    <n v="4"/>
    <n v="3"/>
    <n v="5"/>
    <n v="4"/>
    <n v="3"/>
    <n v="11"/>
    <n v="1"/>
  </r>
  <r>
    <x v="0"/>
    <x v="12"/>
    <s v="S12000027"/>
    <n v="1"/>
    <n v="14"/>
    <n v="6"/>
    <n v="2"/>
    <n v="8"/>
    <m/>
    <m/>
    <m/>
    <m/>
    <m/>
    <m/>
    <m/>
    <m/>
    <n v="1"/>
    <m/>
  </r>
  <r>
    <x v="0"/>
    <x v="29"/>
    <s v="S12000028"/>
    <n v="3"/>
    <n v="46"/>
    <n v="23"/>
    <n v="5"/>
    <n v="39"/>
    <n v="14"/>
    <n v="1"/>
    <n v="1"/>
    <n v="16"/>
    <n v="10"/>
    <n v="36"/>
    <n v="8"/>
    <n v="20"/>
    <n v="15"/>
    <n v="10"/>
  </r>
  <r>
    <x v="0"/>
    <x v="13"/>
    <s v="S12000040"/>
    <n v="9"/>
    <n v="45"/>
    <n v="13"/>
    <n v="4"/>
    <n v="5"/>
    <n v="1"/>
    <m/>
    <n v="16"/>
    <n v="34"/>
    <n v="21"/>
    <n v="30"/>
    <n v="15"/>
    <n v="29"/>
    <n v="13"/>
    <n v="3"/>
  </r>
  <r>
    <x v="1"/>
    <x v="19"/>
    <s v="S12000041"/>
    <n v="8"/>
    <n v="36"/>
    <n v="4"/>
    <m/>
    <n v="12"/>
    <n v="27"/>
    <m/>
    <m/>
    <n v="39"/>
    <n v="7"/>
    <n v="3"/>
    <n v="19"/>
    <n v="8"/>
    <n v="8"/>
    <n v="3"/>
  </r>
  <r>
    <x v="1"/>
    <x v="20"/>
    <s v="S12000006"/>
    <n v="10"/>
    <n v="91"/>
    <n v="27"/>
    <n v="3"/>
    <n v="82"/>
    <n v="7"/>
    <n v="1"/>
    <n v="1"/>
    <n v="9"/>
    <n v="11"/>
    <n v="10"/>
    <n v="15"/>
    <n v="19"/>
    <n v="7"/>
    <n v="3"/>
  </r>
  <r>
    <x v="1"/>
    <x v="31"/>
    <s v="S12000014"/>
    <n v="10"/>
    <n v="45"/>
    <n v="8"/>
    <n v="1"/>
    <n v="18"/>
    <n v="5"/>
    <n v="2"/>
    <n v="4"/>
    <n v="17"/>
    <n v="6"/>
    <n v="16"/>
    <n v="7"/>
    <n v="10"/>
    <n v="8"/>
    <n v="3"/>
  </r>
  <r>
    <x v="1"/>
    <x v="28"/>
    <s v="S12000024"/>
    <n v="65"/>
    <n v="88"/>
    <n v="38"/>
    <m/>
    <n v="11"/>
    <n v="27"/>
    <m/>
    <m/>
    <n v="13"/>
    <n v="2"/>
    <n v="1"/>
    <n v="13"/>
    <n v="6"/>
    <n v="3"/>
    <n v="3"/>
  </r>
  <r>
    <x v="1"/>
    <x v="21"/>
    <s v="S12000029"/>
    <n v="15"/>
    <n v="102"/>
    <n v="59"/>
    <m/>
    <n v="25"/>
    <n v="3"/>
    <m/>
    <n v="1"/>
    <n v="6"/>
    <n v="3"/>
    <n v="5"/>
    <n v="8"/>
    <n v="4"/>
    <n v="16"/>
    <n v="3"/>
  </r>
  <r>
    <x v="2"/>
    <x v="22"/>
    <s v="S12000036"/>
    <n v="27"/>
    <n v="110"/>
    <n v="211"/>
    <n v="30"/>
    <n v="110"/>
    <n v="22"/>
    <n v="2"/>
    <n v="5"/>
    <n v="109"/>
    <n v="24"/>
    <n v="79"/>
    <n v="27"/>
    <n v="1"/>
    <n v="22"/>
    <n v="4"/>
  </r>
  <r>
    <x v="2"/>
    <x v="26"/>
    <s v="S12000015"/>
    <n v="24"/>
    <n v="132"/>
    <n v="202"/>
    <m/>
    <n v="31"/>
    <n v="5"/>
    <n v="6"/>
    <n v="2"/>
    <n v="14"/>
    <n v="7"/>
    <n v="15"/>
    <n v="17"/>
    <n v="11"/>
    <n v="9"/>
    <n v="7"/>
  </r>
  <r>
    <x v="2"/>
    <x v="17"/>
    <s v="S12000023"/>
    <n v="1"/>
    <n v="9"/>
    <n v="2"/>
    <n v="6"/>
    <n v="10"/>
    <n v="1"/>
    <m/>
    <m/>
    <m/>
    <m/>
    <m/>
    <m/>
    <m/>
    <m/>
    <m/>
  </r>
  <r>
    <x v="2"/>
    <x v="3"/>
    <s v="S12000038"/>
    <n v="1"/>
    <n v="56"/>
    <n v="8"/>
    <m/>
    <n v="22"/>
    <m/>
    <m/>
    <n v="2"/>
    <n v="16"/>
    <n v="2"/>
    <n v="25"/>
    <n v="6"/>
    <n v="13"/>
    <n v="9"/>
    <n v="9"/>
  </r>
  <r>
    <x v="2"/>
    <x v="27"/>
    <s v="S12000030"/>
    <n v="16"/>
    <n v="46"/>
    <n v="33"/>
    <n v="4"/>
    <n v="22"/>
    <n v="10"/>
    <m/>
    <m/>
    <n v="5"/>
    <n v="3"/>
    <n v="6"/>
    <n v="3"/>
    <n v="3"/>
    <n v="4"/>
    <n v="5"/>
  </r>
  <r>
    <x v="2"/>
    <x v="18"/>
    <s v="S12000039"/>
    <n v="4"/>
    <n v="24"/>
    <n v="13"/>
    <m/>
    <n v="17"/>
    <n v="6"/>
    <m/>
    <n v="2"/>
    <n v="3"/>
    <n v="3"/>
    <n v="8"/>
    <n v="3"/>
    <n v="31"/>
    <n v="5"/>
    <n v="2"/>
  </r>
  <r>
    <x v="3"/>
    <x v="25"/>
    <s v="S12000046"/>
    <n v="41"/>
    <n v="109"/>
    <n v="831"/>
    <n v="15"/>
    <n v="81"/>
    <n v="4"/>
    <n v="6"/>
    <n v="5"/>
    <n v="25"/>
    <n v="11"/>
    <n v="28"/>
    <n v="9"/>
    <n v="5"/>
    <n v="14"/>
    <n v="3"/>
  </r>
  <r>
    <x v="3"/>
    <x v="21"/>
    <s v="S12000029"/>
    <n v="24"/>
    <n v="115"/>
    <n v="74"/>
    <n v="3"/>
    <n v="37"/>
    <n v="4"/>
    <n v="2"/>
    <n v="1"/>
    <n v="14"/>
    <n v="9"/>
    <n v="14"/>
    <n v="8"/>
    <n v="16"/>
    <n v="7"/>
    <n v="5"/>
  </r>
  <r>
    <x v="4"/>
    <x v="25"/>
    <s v="S12000046"/>
    <n v="68"/>
    <n v="127"/>
    <n v="602"/>
    <n v="13"/>
    <n v="102"/>
    <n v="1"/>
    <n v="7"/>
    <n v="2"/>
    <n v="51"/>
    <n v="18"/>
    <n v="57"/>
    <n v="26"/>
    <n v="10"/>
    <n v="24"/>
    <n v="18"/>
  </r>
  <r>
    <x v="4"/>
    <x v="24"/>
    <s v="S12000013"/>
    <n v="2"/>
    <n v="6"/>
    <m/>
    <m/>
    <n v="8"/>
    <m/>
    <m/>
    <m/>
    <n v="1"/>
    <n v="1"/>
    <m/>
    <m/>
    <n v="2"/>
    <n v="1"/>
    <m/>
  </r>
  <r>
    <x v="4"/>
    <x v="4"/>
    <s v="S12000026"/>
    <n v="15"/>
    <n v="36"/>
    <n v="31"/>
    <n v="1"/>
    <n v="44"/>
    <n v="23"/>
    <m/>
    <m/>
    <n v="11"/>
    <n v="15"/>
    <n v="11"/>
    <n v="16"/>
    <n v="9"/>
    <n v="3"/>
    <n v="4"/>
  </r>
  <r>
    <x v="4"/>
    <x v="29"/>
    <s v="S12000028"/>
    <n v="8"/>
    <n v="56"/>
    <n v="28"/>
    <n v="3"/>
    <n v="38"/>
    <n v="7"/>
    <m/>
    <n v="2"/>
    <n v="11"/>
    <n v="19"/>
    <n v="13"/>
    <n v="6"/>
    <n v="17"/>
    <n v="11"/>
    <n v="10"/>
  </r>
  <r>
    <x v="4"/>
    <x v="13"/>
    <s v="S12000040"/>
    <n v="11"/>
    <n v="60"/>
    <n v="9"/>
    <m/>
    <n v="15"/>
    <n v="1"/>
    <m/>
    <n v="8"/>
    <n v="8"/>
    <n v="28"/>
    <n v="19"/>
    <n v="17"/>
    <n v="21"/>
    <n v="11"/>
    <n v="5"/>
  </r>
  <r>
    <x v="5"/>
    <x v="14"/>
    <s v="S12000035"/>
    <n v="7"/>
    <n v="28"/>
    <n v="38"/>
    <n v="8"/>
    <n v="107"/>
    <n v="49"/>
    <n v="2"/>
    <n v="3"/>
    <n v="5"/>
    <n v="7"/>
    <n v="8"/>
    <n v="5"/>
    <n v="7"/>
    <n v="6"/>
    <n v="2"/>
  </r>
  <r>
    <x v="5"/>
    <x v="25"/>
    <s v="S12000046"/>
    <n v="25"/>
    <n v="86"/>
    <n v="646"/>
    <n v="6"/>
    <n v="74"/>
    <n v="5"/>
    <n v="4"/>
    <n v="3"/>
    <n v="42"/>
    <n v="17"/>
    <n v="58"/>
    <n v="23"/>
    <n v="10"/>
    <n v="27"/>
    <n v="13"/>
  </r>
  <r>
    <x v="5"/>
    <x v="1"/>
    <s v="S12000019"/>
    <n v="3"/>
    <n v="18"/>
    <n v="8"/>
    <m/>
    <n v="5"/>
    <n v="1"/>
    <m/>
    <m/>
    <n v="6"/>
    <n v="12"/>
    <n v="5"/>
    <n v="8"/>
    <m/>
    <n v="4"/>
    <m/>
  </r>
  <r>
    <x v="5"/>
    <x v="27"/>
    <s v="S12000030"/>
    <n v="5"/>
    <n v="46"/>
    <n v="87"/>
    <n v="3"/>
    <n v="25"/>
    <n v="6"/>
    <m/>
    <m/>
    <n v="3"/>
    <n v="10"/>
    <n v="6"/>
    <n v="3"/>
    <n v="3"/>
    <n v="4"/>
    <m/>
  </r>
  <r>
    <x v="6"/>
    <x v="15"/>
    <s v="S12000042"/>
    <n v="14"/>
    <n v="34"/>
    <n v="70"/>
    <n v="1"/>
    <n v="16"/>
    <n v="5"/>
    <m/>
    <m/>
    <n v="3"/>
    <n v="4"/>
    <n v="2"/>
    <n v="1"/>
    <n v="2"/>
    <n v="2"/>
    <n v="1"/>
  </r>
  <r>
    <x v="6"/>
    <x v="25"/>
    <s v="S12000049"/>
    <n v="8"/>
    <n v="108"/>
    <n v="227"/>
    <n v="7"/>
    <n v="31"/>
    <n v="4"/>
    <n v="5"/>
    <n v="1"/>
    <n v="10"/>
    <n v="7"/>
    <n v="30"/>
    <n v="13"/>
    <n v="8"/>
    <n v="6"/>
    <n v="14"/>
  </r>
  <r>
    <x v="7"/>
    <x v="30"/>
    <s v="S12000005"/>
    <n v="1"/>
    <n v="19"/>
    <n v="5"/>
    <m/>
    <m/>
    <n v="4"/>
    <m/>
    <m/>
    <n v="2"/>
    <n v="1"/>
    <n v="5"/>
    <n v="1"/>
    <n v="1"/>
    <m/>
    <n v="2"/>
  </r>
  <r>
    <x v="7"/>
    <x v="23"/>
    <s v="S12000008"/>
    <n v="2"/>
    <n v="53"/>
    <n v="4"/>
    <m/>
    <n v="10"/>
    <n v="8"/>
    <m/>
    <n v="1"/>
    <n v="3"/>
    <n v="1"/>
    <n v="5"/>
    <n v="3"/>
    <n v="8"/>
    <n v="7"/>
    <n v="5"/>
  </r>
  <r>
    <x v="7"/>
    <x v="7"/>
    <s v="S12000010"/>
    <n v="2"/>
    <n v="18"/>
    <n v="8"/>
    <m/>
    <n v="14"/>
    <n v="10"/>
    <m/>
    <n v="1"/>
    <n v="11"/>
    <n v="10"/>
    <n v="1"/>
    <n v="13"/>
    <n v="5"/>
    <n v="9"/>
    <n v="4"/>
  </r>
  <r>
    <x v="7"/>
    <x v="31"/>
    <s v="S12000014"/>
    <n v="8"/>
    <n v="38"/>
    <n v="4"/>
    <n v="1"/>
    <n v="17"/>
    <m/>
    <m/>
    <n v="1"/>
    <n v="4"/>
    <n v="8"/>
    <n v="7"/>
    <n v="11"/>
    <n v="9"/>
    <n v="1"/>
    <n v="3"/>
  </r>
  <r>
    <x v="7"/>
    <x v="3"/>
    <s v="S12000038"/>
    <n v="2"/>
    <n v="37"/>
    <n v="5"/>
    <m/>
    <n v="25"/>
    <n v="6"/>
    <m/>
    <m/>
    <n v="2"/>
    <n v="6"/>
    <n v="3"/>
    <n v="2"/>
    <n v="7"/>
    <m/>
    <m/>
  </r>
  <r>
    <x v="8"/>
    <x v="6"/>
    <s v="S12000034"/>
    <n v="20"/>
    <n v="101"/>
    <n v="28"/>
    <n v="1"/>
    <n v="61"/>
    <n v="101"/>
    <n v="1"/>
    <n v="7"/>
    <n v="10"/>
    <n v="21"/>
    <n v="21"/>
    <n v="15"/>
    <n v="15"/>
    <n v="11"/>
    <n v="16"/>
  </r>
  <r>
    <x v="8"/>
    <x v="10"/>
    <s v="S12000018"/>
    <n v="4"/>
    <n v="36"/>
    <n v="9"/>
    <m/>
    <n v="3"/>
    <n v="5"/>
    <m/>
    <m/>
    <n v="1"/>
    <n v="2"/>
    <n v="7"/>
    <n v="5"/>
    <m/>
    <m/>
    <n v="1"/>
  </r>
  <r>
    <x v="8"/>
    <x v="16"/>
    <s v="S12000020"/>
    <n v="6"/>
    <n v="36"/>
    <n v="10"/>
    <n v="2"/>
    <n v="25"/>
    <n v="41"/>
    <m/>
    <m/>
    <n v="2"/>
    <n v="8"/>
    <n v="10"/>
    <n v="1"/>
    <n v="8"/>
    <n v="2"/>
    <m/>
  </r>
  <r>
    <x v="8"/>
    <x v="4"/>
    <s v="S12000026"/>
    <n v="17"/>
    <n v="40"/>
    <n v="30"/>
    <m/>
    <n v="12"/>
    <n v="18"/>
    <m/>
    <m/>
    <n v="3"/>
    <n v="4"/>
    <n v="9"/>
    <n v="7"/>
    <n v="5"/>
    <n v="3"/>
    <n v="1"/>
  </r>
  <r>
    <x v="9"/>
    <x v="30"/>
    <s v="S12000005"/>
    <m/>
    <n v="22"/>
    <m/>
    <m/>
    <n v="1"/>
    <m/>
    <m/>
    <m/>
    <m/>
    <m/>
    <n v="1"/>
    <n v="1"/>
    <m/>
    <m/>
    <m/>
  </r>
  <r>
    <x v="9"/>
    <x v="23"/>
    <s v="S12000008"/>
    <n v="8"/>
    <n v="54"/>
    <n v="21"/>
    <m/>
    <n v="14"/>
    <n v="31"/>
    <m/>
    <m/>
    <n v="3"/>
    <n v="2"/>
    <n v="22"/>
    <n v="1"/>
    <n v="20"/>
    <n v="4"/>
    <n v="3"/>
  </r>
  <r>
    <x v="9"/>
    <x v="3"/>
    <s v="S12000038"/>
    <n v="2"/>
    <n v="64"/>
    <n v="22"/>
    <m/>
    <n v="25"/>
    <n v="26"/>
    <m/>
    <n v="1"/>
    <n v="6"/>
    <n v="6"/>
    <n v="15"/>
    <n v="13"/>
    <n v="6"/>
    <n v="8"/>
    <n v="4"/>
  </r>
  <r>
    <x v="9"/>
    <x v="18"/>
    <s v="S12000039"/>
    <n v="8"/>
    <n v="17"/>
    <n v="18"/>
    <m/>
    <n v="19"/>
    <n v="40"/>
    <m/>
    <n v="1"/>
    <n v="1"/>
    <n v="1"/>
    <n v="3"/>
    <n v="2"/>
    <n v="14"/>
    <n v="3"/>
    <n v="2"/>
  </r>
  <r>
    <x v="10"/>
    <x v="27"/>
    <s v="S12000030"/>
    <m/>
    <n v="34"/>
    <n v="53"/>
    <n v="3"/>
    <n v="21"/>
    <n v="23"/>
    <m/>
    <n v="1"/>
    <n v="2"/>
    <n v="8"/>
    <n v="2"/>
    <n v="3"/>
    <n v="4"/>
    <n v="4"/>
    <m/>
  </r>
  <r>
    <x v="10"/>
    <x v="19"/>
    <s v="S12000041"/>
    <n v="5"/>
    <n v="36"/>
    <n v="6"/>
    <m/>
    <n v="7"/>
    <n v="5"/>
    <m/>
    <n v="1"/>
    <n v="1"/>
    <n v="4"/>
    <n v="1"/>
    <n v="1"/>
    <n v="3"/>
    <m/>
    <m/>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
  <r>
    <x v="0"/>
    <x v="0"/>
    <s v="S12000011"/>
    <n v="111"/>
    <n v="761.5"/>
    <n v="8"/>
    <n v="133"/>
    <m/>
    <m/>
    <m/>
    <m/>
  </r>
  <r>
    <x v="0"/>
    <x v="1"/>
    <s v="S12000017"/>
    <n v="259"/>
    <n v="1846.75"/>
    <n v="17"/>
    <n v="253.25"/>
    <n v="5"/>
    <n v="112.5"/>
    <m/>
    <m/>
  </r>
  <r>
    <x v="0"/>
    <x v="2"/>
    <s v="S12000018"/>
    <n v="142"/>
    <n v="600.5"/>
    <n v="5"/>
    <n v="37.75"/>
    <m/>
    <m/>
    <m/>
    <m/>
  </r>
  <r>
    <x v="0"/>
    <x v="3"/>
    <s v="S12000021"/>
    <n v="105"/>
    <n v="505.5"/>
    <n v="4"/>
    <n v="31"/>
    <m/>
    <m/>
    <m/>
    <m/>
  </r>
  <r>
    <x v="0"/>
    <x v="4"/>
    <s v="S12000029"/>
    <n v="278"/>
    <n v="2462.25"/>
    <n v="8"/>
    <n v="133.5"/>
    <m/>
    <m/>
    <m/>
    <m/>
  </r>
  <r>
    <x v="1"/>
    <x v="5"/>
    <s v="S12000045"/>
    <n v="93"/>
    <n v="607.5"/>
    <n v="2"/>
    <n v="26.25"/>
    <m/>
    <m/>
    <m/>
    <m/>
  </r>
  <r>
    <x v="1"/>
    <x v="6"/>
    <s v="S12000020"/>
    <n v="175"/>
    <n v="986.75"/>
    <n v="18"/>
    <n v="256.25"/>
    <n v="2"/>
    <n v="23"/>
    <m/>
    <m/>
  </r>
  <r>
    <x v="1"/>
    <x v="3"/>
    <s v="S12000021"/>
    <n v="226"/>
    <n v="1330.25"/>
    <n v="37"/>
    <n v="348.75"/>
    <m/>
    <m/>
    <m/>
    <m/>
  </r>
  <r>
    <x v="1"/>
    <x v="7"/>
    <s v="S12000038"/>
    <n v="238"/>
    <n v="1268.75"/>
    <m/>
    <m/>
    <m/>
    <m/>
    <m/>
    <m/>
  </r>
  <r>
    <x v="1"/>
    <x v="8"/>
    <s v="S12000028"/>
    <n v="274"/>
    <n v="1590.25"/>
    <n v="14"/>
    <n v="122.25"/>
    <n v="1"/>
    <n v="18.25"/>
    <m/>
    <m/>
  </r>
  <r>
    <x v="2"/>
    <x v="9"/>
    <s v="S12000005"/>
    <n v="65"/>
    <n v="226.75"/>
    <n v="3"/>
    <n v="16"/>
    <m/>
    <m/>
    <m/>
    <m/>
  </r>
  <r>
    <x v="2"/>
    <x v="10"/>
    <s v="S12000027"/>
    <n v="14"/>
    <n v="67"/>
    <n v="2"/>
    <n v="22"/>
    <m/>
    <m/>
    <n v="3"/>
    <n v="24"/>
  </r>
  <r>
    <x v="3"/>
    <x v="11"/>
    <s v="S12000041"/>
    <n v="99"/>
    <n v="422.25"/>
    <n v="20"/>
    <n v="92.5"/>
    <n v="2"/>
    <n v="11"/>
    <n v="1"/>
    <n v="7.5"/>
  </r>
  <r>
    <x v="3"/>
    <x v="12"/>
    <s v="S12000035"/>
    <n v="171"/>
    <n v="1143.75"/>
    <n v="14"/>
    <n v="157.75"/>
    <n v="1"/>
    <n v="14.5"/>
    <m/>
    <m/>
  </r>
  <r>
    <x v="3"/>
    <x v="13"/>
    <s v="S12000008"/>
    <n v="155"/>
    <n v="975"/>
    <n v="10"/>
    <n v="143"/>
    <n v="1"/>
    <n v="51.75"/>
    <m/>
    <m/>
  </r>
  <r>
    <x v="3"/>
    <x v="0"/>
    <s v="S12000011"/>
    <n v="27"/>
    <n v="236.5"/>
    <n v="3"/>
    <n v="49.75"/>
    <m/>
    <m/>
    <m/>
    <m/>
  </r>
  <r>
    <x v="3"/>
    <x v="14"/>
    <s v="S12000046"/>
    <n v="1125"/>
    <n v="4472.75"/>
    <n v="62"/>
    <n v="403"/>
    <m/>
    <m/>
    <m/>
    <m/>
  </r>
  <r>
    <x v="3"/>
    <x v="3"/>
    <s v="S12000021"/>
    <n v="94"/>
    <n v="542.75"/>
    <n v="8"/>
    <n v="85.75"/>
    <m/>
    <m/>
    <m/>
    <m/>
  </r>
  <r>
    <x v="3"/>
    <x v="15"/>
    <s v="S12000026"/>
    <n v="218"/>
    <n v="1084.25"/>
    <n v="13"/>
    <n v="97.75"/>
    <m/>
    <m/>
    <m/>
    <m/>
  </r>
  <r>
    <x v="3"/>
    <x v="16"/>
    <s v="S12000030"/>
    <n v="203"/>
    <n v="910.5"/>
    <n v="21"/>
    <n v="135.5"/>
    <m/>
    <m/>
    <n v="1"/>
    <n v="5.5"/>
  </r>
  <r>
    <x v="4"/>
    <x v="17"/>
    <s v="S12000033"/>
    <n v="349"/>
    <n v="2090"/>
    <n v="15"/>
    <n v="161"/>
    <m/>
    <m/>
    <n v="2"/>
    <n v="4.5"/>
  </r>
  <r>
    <x v="4"/>
    <x v="14"/>
    <s v="S12000046"/>
    <n v="1067"/>
    <n v="4671"/>
    <n v="59"/>
    <n v="525.75"/>
    <n v="3"/>
    <n v="49.25"/>
    <m/>
    <m/>
  </r>
  <r>
    <x v="4"/>
    <x v="6"/>
    <s v="S12000020"/>
    <n v="124"/>
    <n v="579.75"/>
    <n v="6"/>
    <n v="75.25"/>
    <m/>
    <m/>
    <n v="1"/>
    <m/>
  </r>
  <r>
    <x v="4"/>
    <x v="18"/>
    <s v="S12000013"/>
    <n v="21"/>
    <n v="73.5"/>
    <m/>
    <m/>
    <m/>
    <m/>
    <m/>
    <m/>
  </r>
  <r>
    <x v="4"/>
    <x v="3"/>
    <s v="S12000021"/>
    <n v="239"/>
    <n v="1222.25"/>
    <n v="5"/>
    <n v="47"/>
    <m/>
    <m/>
    <m/>
    <m/>
  </r>
  <r>
    <x v="4"/>
    <x v="7"/>
    <s v="S12000038"/>
    <n v="163"/>
    <n v="836"/>
    <n v="6"/>
    <n v="94"/>
    <m/>
    <m/>
    <m/>
    <m/>
  </r>
  <r>
    <x v="5"/>
    <x v="19"/>
    <s v="S12000010"/>
    <n v="76"/>
    <m/>
    <n v="2"/>
    <m/>
    <m/>
    <m/>
    <m/>
    <m/>
  </r>
  <r>
    <x v="5"/>
    <x v="20"/>
    <s v="S12000014"/>
    <n v="143"/>
    <m/>
    <n v="7"/>
    <m/>
    <m/>
    <m/>
    <m/>
    <m/>
  </r>
  <r>
    <x v="5"/>
    <x v="15"/>
    <s v="S12000026"/>
    <n v="99"/>
    <m/>
    <n v="5"/>
    <m/>
    <m/>
    <m/>
    <m/>
    <m/>
  </r>
  <r>
    <x v="5"/>
    <x v="4"/>
    <s v="S12000029"/>
    <n v="154"/>
    <m/>
    <n v="5"/>
    <m/>
    <m/>
    <m/>
    <m/>
    <m/>
  </r>
  <r>
    <x v="6"/>
    <x v="12"/>
    <s v="S12000035"/>
    <n v="106"/>
    <n v="628"/>
    <n v="14"/>
    <n v="237"/>
    <m/>
    <m/>
    <m/>
    <m/>
  </r>
  <r>
    <x v="6"/>
    <x v="21"/>
    <s v="S12000042"/>
    <n v="149"/>
    <n v="745.25"/>
    <n v="6"/>
    <n v="76.75"/>
    <n v="1"/>
    <n v="27.5"/>
    <m/>
    <m/>
  </r>
  <r>
    <x v="6"/>
    <x v="6"/>
    <s v="S12000020"/>
    <n v="41"/>
    <n v="252.75"/>
    <n v="1"/>
    <n v="5.5"/>
    <m/>
    <m/>
    <n v="1"/>
    <m/>
  </r>
  <r>
    <x v="6"/>
    <x v="7"/>
    <s v="S12000038"/>
    <n v="73"/>
    <n v="355.75"/>
    <n v="7"/>
    <n v="62.75"/>
    <m/>
    <m/>
    <m/>
    <m/>
  </r>
  <r>
    <x v="7"/>
    <x v="21"/>
    <s v="S12000042"/>
    <n v="267"/>
    <n v="1285.25"/>
    <n v="4"/>
    <n v="39.25"/>
    <m/>
    <m/>
    <n v="1"/>
    <n v="7.5"/>
  </r>
  <r>
    <x v="7"/>
    <x v="14"/>
    <s v="S12000046"/>
    <n v="1003"/>
    <n v="4540"/>
    <n v="42"/>
    <n v="236"/>
    <n v="1"/>
    <n v="22.75"/>
    <n v="1"/>
    <n v="8"/>
  </r>
  <r>
    <x v="7"/>
    <x v="15"/>
    <s v="S12000026"/>
    <n v="97"/>
    <n v="537.5"/>
    <n v="4"/>
    <n v="43.5"/>
    <m/>
    <m/>
    <m/>
    <m/>
  </r>
  <r>
    <x v="8"/>
    <x v="11"/>
    <s v="S12000041"/>
    <n v="104"/>
    <n v="594"/>
    <n v="1"/>
    <n v="3.25"/>
    <m/>
    <m/>
    <m/>
    <m/>
  </r>
  <r>
    <x v="8"/>
    <x v="9"/>
    <s v="S12000005"/>
    <n v="26"/>
    <n v="147.75"/>
    <n v="1"/>
    <n v="8.25"/>
    <m/>
    <m/>
    <m/>
    <m/>
  </r>
  <r>
    <x v="8"/>
    <x v="22"/>
    <s v="S12000006"/>
    <n v="361"/>
    <n v="2301"/>
    <n v="4"/>
    <n v="41.75"/>
    <m/>
    <m/>
    <m/>
    <m/>
  </r>
  <r>
    <x v="8"/>
    <x v="20"/>
    <s v="S12000014"/>
    <n v="88"/>
    <n v="450"/>
    <n v="3"/>
    <n v="17"/>
    <m/>
    <m/>
    <m/>
    <m/>
  </r>
  <r>
    <x v="8"/>
    <x v="23"/>
    <s v="S12000023"/>
    <n v="8"/>
    <n v="46.5"/>
    <n v="1"/>
    <n v="12.75"/>
    <m/>
    <m/>
    <m/>
    <m/>
  </r>
  <r>
    <x v="8"/>
    <x v="10"/>
    <s v="S12000027"/>
    <n v="64"/>
    <n v="447.25"/>
    <n v="2"/>
    <n v="2.25"/>
    <m/>
    <m/>
    <m/>
    <m/>
  </r>
  <r>
    <x v="8"/>
    <x v="4"/>
    <s v="S12000029"/>
    <n v="223"/>
    <n v="1791.75"/>
    <n v="15"/>
    <n v="195.5"/>
    <m/>
    <m/>
    <m/>
    <m/>
  </r>
  <r>
    <x v="9"/>
    <x v="23"/>
    <s v="S12000023"/>
    <n v="23"/>
    <n v="129.75"/>
    <n v="1"/>
    <n v="11.75"/>
    <m/>
    <m/>
    <m/>
    <m/>
  </r>
  <r>
    <x v="0"/>
    <x v="24"/>
    <s v="S12000034"/>
    <n v="252"/>
    <n v="1725.5"/>
    <n v="15"/>
    <n v="162"/>
    <n v="1"/>
    <n v="38"/>
    <n v="1"/>
    <n v="7.5"/>
  </r>
  <r>
    <x v="1"/>
    <x v="12"/>
    <s v="S12000035"/>
    <n v="328"/>
    <n v="2625.5"/>
    <n v="13"/>
    <n v="134"/>
    <n v="3"/>
    <n v="51.25"/>
    <m/>
    <m/>
  </r>
  <r>
    <x v="1"/>
    <x v="25"/>
    <s v="S12000036"/>
    <n v="790"/>
    <n v="2779.75"/>
    <n v="67"/>
    <n v="415"/>
    <n v="1"/>
    <n v="32"/>
    <m/>
    <m/>
  </r>
  <r>
    <x v="1"/>
    <x v="26"/>
    <s v="S12000015"/>
    <n v="600"/>
    <n v="2456.75"/>
    <n v="18"/>
    <n v="153.75"/>
    <n v="1"/>
    <n v="24.75"/>
    <m/>
    <m/>
  </r>
  <r>
    <x v="1"/>
    <x v="27"/>
    <s v="S12000044"/>
    <n v="539"/>
    <n v="3321.5"/>
    <n v="15"/>
    <n v="152.25"/>
    <m/>
    <m/>
    <m/>
    <m/>
  </r>
  <r>
    <x v="1"/>
    <x v="28"/>
    <s v="S12000024"/>
    <n v="269"/>
    <n v="1484.5"/>
    <n v="1"/>
    <n v="12"/>
    <m/>
    <m/>
    <m/>
    <m/>
  </r>
  <r>
    <x v="1"/>
    <x v="29"/>
    <s v="S12000040"/>
    <n v="161"/>
    <n v="715.25"/>
    <n v="15"/>
    <n v="129.25"/>
    <m/>
    <m/>
    <m/>
    <m/>
  </r>
  <r>
    <x v="2"/>
    <x v="22"/>
    <s v="S12000006"/>
    <n v="307"/>
    <n v="1238"/>
    <n v="56"/>
    <n v="490.5"/>
    <m/>
    <m/>
    <n v="1"/>
    <n v="10.5"/>
  </r>
  <r>
    <x v="2"/>
    <x v="20"/>
    <s v="S12000014"/>
    <n v="152"/>
    <n v="799.75"/>
    <n v="8"/>
    <n v="89.25"/>
    <m/>
    <m/>
    <m/>
    <m/>
  </r>
  <r>
    <x v="2"/>
    <x v="1"/>
    <s v="S12000017"/>
    <n v="241"/>
    <n v="1483.75"/>
    <n v="27"/>
    <n v="284.75"/>
    <n v="1"/>
    <n v="9.5"/>
    <n v="1"/>
    <n v="6.5"/>
  </r>
  <r>
    <x v="2"/>
    <x v="27"/>
    <s v="S12000044"/>
    <n v="485"/>
    <n v="2741.25"/>
    <n v="11"/>
    <n v="112"/>
    <m/>
    <m/>
    <m/>
    <m/>
  </r>
  <r>
    <x v="3"/>
    <x v="25"/>
    <s v="S12000036"/>
    <n v="707"/>
    <n v="2618.75"/>
    <n v="37"/>
    <n v="234.5"/>
    <m/>
    <m/>
    <n v="4"/>
    <n v="10"/>
  </r>
  <r>
    <x v="3"/>
    <x v="9"/>
    <s v="S12000005"/>
    <n v="56"/>
    <n v="253.5"/>
    <n v="8"/>
    <n v="36.75"/>
    <m/>
    <m/>
    <n v="1"/>
    <n v="10.25"/>
  </r>
  <r>
    <x v="3"/>
    <x v="8"/>
    <s v="S12000028"/>
    <n v="310"/>
    <n v="1986.75"/>
    <n v="9"/>
    <n v="68.75"/>
    <m/>
    <m/>
    <m/>
    <m/>
  </r>
  <r>
    <x v="3"/>
    <x v="29"/>
    <s v="S12000040"/>
    <n v="157"/>
    <n v="667.75"/>
    <n v="7"/>
    <n v="40.5"/>
    <m/>
    <m/>
    <m/>
    <m/>
  </r>
  <r>
    <x v="4"/>
    <x v="11"/>
    <s v="S12000041"/>
    <n v="115"/>
    <n v="476.75"/>
    <n v="11"/>
    <n v="49.5"/>
    <n v="1"/>
    <n v="6"/>
    <m/>
    <m/>
  </r>
  <r>
    <x v="4"/>
    <x v="5"/>
    <s v="S12000045"/>
    <n v="82"/>
    <n v="447.75"/>
    <n v="2"/>
    <n v="30"/>
    <m/>
    <m/>
    <m/>
    <m/>
  </r>
  <r>
    <x v="4"/>
    <x v="26"/>
    <s v="S12000015"/>
    <n v="644"/>
    <n v="2085.75"/>
    <n v="13"/>
    <n v="127"/>
    <n v="2"/>
    <n v="52"/>
    <m/>
    <m/>
  </r>
  <r>
    <x v="4"/>
    <x v="4"/>
    <s v="S12000029"/>
    <n v="242"/>
    <n v="1512.25"/>
    <n v="10"/>
    <n v="273"/>
    <n v="1"/>
    <n v="102.75"/>
    <m/>
    <m/>
  </r>
  <r>
    <x v="5"/>
    <x v="11"/>
    <s v="S12000041"/>
    <n v="123"/>
    <m/>
    <m/>
    <m/>
    <m/>
    <m/>
    <m/>
    <m/>
  </r>
  <r>
    <x v="5"/>
    <x v="9"/>
    <s v="S12000005"/>
    <n v="49"/>
    <m/>
    <m/>
    <m/>
    <m/>
    <m/>
    <m/>
    <m/>
  </r>
  <r>
    <x v="5"/>
    <x v="27"/>
    <s v="S12000044"/>
    <n v="299"/>
    <m/>
    <n v="7"/>
    <m/>
    <m/>
    <m/>
    <m/>
    <m/>
  </r>
  <r>
    <x v="5"/>
    <x v="28"/>
    <s v="S12000024"/>
    <n v="247"/>
    <m/>
    <n v="1"/>
    <m/>
    <m/>
    <m/>
    <m/>
    <m/>
  </r>
  <r>
    <x v="6"/>
    <x v="25"/>
    <s v="S12000036"/>
    <n v="354"/>
    <n v="1313.75"/>
    <n v="10"/>
    <n v="192.75"/>
    <m/>
    <m/>
    <m/>
    <m/>
  </r>
  <r>
    <x v="6"/>
    <x v="0"/>
    <s v="S12000011"/>
    <n v="20"/>
    <n v="121.5"/>
    <n v="1"/>
    <n v="11"/>
    <m/>
    <m/>
    <m/>
    <m/>
  </r>
  <r>
    <x v="6"/>
    <x v="14"/>
    <s v="S12000049"/>
    <n v="456"/>
    <n v="1818"/>
    <n v="23"/>
    <n v="113.75"/>
    <m/>
    <m/>
    <m/>
    <m/>
  </r>
  <r>
    <x v="7"/>
    <x v="1"/>
    <s v="S12000017"/>
    <n v="182"/>
    <n v="1196.25"/>
    <n v="25"/>
    <n v="340.25"/>
    <m/>
    <m/>
    <n v="1"/>
    <n v="3"/>
  </r>
  <r>
    <x v="8"/>
    <x v="24"/>
    <s v="S12000034"/>
    <n v="421"/>
    <n v="3511"/>
    <n v="8"/>
    <n v="130.75"/>
    <m/>
    <m/>
    <m/>
    <m/>
  </r>
  <r>
    <x v="8"/>
    <x v="26"/>
    <s v="S12000015"/>
    <n v="311"/>
    <n v="1554.25"/>
    <n v="2"/>
    <n v="22"/>
    <m/>
    <m/>
    <m/>
    <m/>
  </r>
  <r>
    <x v="8"/>
    <x v="15"/>
    <s v="S12000026"/>
    <n v="146"/>
    <n v="914"/>
    <n v="3"/>
    <n v="35"/>
    <m/>
    <m/>
    <m/>
    <m/>
  </r>
  <r>
    <x v="9"/>
    <x v="24"/>
    <s v="S12000034"/>
    <n v="323"/>
    <n v="2267"/>
    <n v="10"/>
    <n v="183"/>
    <m/>
    <m/>
    <m/>
    <m/>
  </r>
  <r>
    <x v="9"/>
    <x v="11"/>
    <s v="S12000041"/>
    <n v="101"/>
    <n v="520.5"/>
    <n v="2"/>
    <n v="23.75"/>
    <m/>
    <m/>
    <m/>
    <m/>
  </r>
  <r>
    <x v="9"/>
    <x v="5"/>
    <s v="S12000045"/>
    <n v="56"/>
    <n v="313.75"/>
    <n v="7"/>
    <n v="49.5"/>
    <m/>
    <m/>
    <m/>
    <m/>
  </r>
  <r>
    <x v="9"/>
    <x v="14"/>
    <s v="S12000046"/>
    <n v="879"/>
    <n v="4383.5"/>
    <n v="35"/>
    <n v="318.5"/>
    <n v="1"/>
    <n v="25"/>
    <n v="1"/>
    <m/>
  </r>
  <r>
    <x v="9"/>
    <x v="28"/>
    <s v="S12000024"/>
    <n v="217"/>
    <n v="1122"/>
    <n v="3"/>
    <n v="20.5"/>
    <m/>
    <m/>
    <m/>
    <m/>
  </r>
  <r>
    <x v="9"/>
    <x v="10"/>
    <s v="S12000027"/>
    <n v="64"/>
    <n v="426.25"/>
    <n v="7"/>
    <n v="73.5"/>
    <m/>
    <m/>
    <m/>
    <m/>
  </r>
  <r>
    <x v="10"/>
    <x v="22"/>
    <s v="S12000006"/>
    <n v="572"/>
    <n v="3808.25"/>
    <n v="10"/>
    <n v="84"/>
    <m/>
    <m/>
    <m/>
    <m/>
  </r>
  <r>
    <x v="10"/>
    <x v="30"/>
    <s v="S12000019"/>
    <n v="147"/>
    <n v="852.25"/>
    <n v="6"/>
    <n v="36"/>
    <m/>
    <m/>
    <m/>
    <m/>
  </r>
  <r>
    <x v="10"/>
    <x v="3"/>
    <s v="S12000021"/>
    <n v="159"/>
    <n v="988.75"/>
    <n v="10"/>
    <n v="237.5"/>
    <m/>
    <m/>
    <m/>
    <m/>
  </r>
  <r>
    <x v="10"/>
    <x v="28"/>
    <s v="S12000024"/>
    <n v="187"/>
    <n v="1193.5"/>
    <n v="6"/>
    <n v="70"/>
    <m/>
    <m/>
    <m/>
    <m/>
  </r>
  <r>
    <x v="0"/>
    <x v="13"/>
    <s v="S12000008"/>
    <n v="142"/>
    <n v="914.75"/>
    <n v="11"/>
    <n v="90.75"/>
    <m/>
    <m/>
    <m/>
    <m/>
  </r>
  <r>
    <x v="0"/>
    <x v="5"/>
    <s v="S12000045"/>
    <n v="53"/>
    <n v="362.75"/>
    <n v="1"/>
    <n v="7.5"/>
    <m/>
    <m/>
    <m/>
    <m/>
  </r>
  <r>
    <x v="0"/>
    <x v="28"/>
    <s v="S12000024"/>
    <n v="246"/>
    <n v="1269.25"/>
    <n v="1"/>
    <n v="10.25"/>
    <m/>
    <m/>
    <m/>
    <m/>
  </r>
  <r>
    <x v="0"/>
    <x v="10"/>
    <s v="S12000027"/>
    <n v="32"/>
    <n v="199.75"/>
    <m/>
    <m/>
    <m/>
    <m/>
    <m/>
    <m/>
  </r>
  <r>
    <x v="1"/>
    <x v="17"/>
    <s v="S12000033"/>
    <n v="282"/>
    <n v="1395"/>
    <n v="33"/>
    <n v="340.75"/>
    <m/>
    <m/>
    <n v="1"/>
    <n v="3.75"/>
  </r>
  <r>
    <x v="2"/>
    <x v="21"/>
    <s v="S12000042"/>
    <n v="653"/>
    <n v="2216"/>
    <n v="3"/>
    <n v="17.25"/>
    <m/>
    <m/>
    <n v="2"/>
    <n v="16.5"/>
  </r>
  <r>
    <x v="2"/>
    <x v="0"/>
    <s v="S12000011"/>
    <n v="76"/>
    <n v="571.5"/>
    <n v="4"/>
    <n v="107.75"/>
    <m/>
    <m/>
    <m/>
    <m/>
  </r>
  <r>
    <x v="2"/>
    <x v="30"/>
    <s v="S12000019"/>
    <n v="93"/>
    <n v="285.75"/>
    <n v="4"/>
    <n v="21"/>
    <m/>
    <m/>
    <m/>
    <m/>
  </r>
  <r>
    <x v="2"/>
    <x v="3"/>
    <s v="S12000021"/>
    <n v="212"/>
    <n v="982.75"/>
    <n v="18"/>
    <n v="181.75"/>
    <m/>
    <m/>
    <m/>
    <m/>
  </r>
  <r>
    <x v="2"/>
    <x v="28"/>
    <s v="S12000024"/>
    <n v="279"/>
    <n v="1366.25"/>
    <n v="8"/>
    <n v="59.5"/>
    <m/>
    <m/>
    <m/>
    <m/>
  </r>
  <r>
    <x v="3"/>
    <x v="30"/>
    <s v="S12000019"/>
    <n v="94"/>
    <n v="477.5"/>
    <n v="1"/>
    <n v="4.25"/>
    <m/>
    <m/>
    <m/>
    <m/>
  </r>
  <r>
    <x v="3"/>
    <x v="18"/>
    <s v="S12000013"/>
    <n v="19"/>
    <n v="163.25"/>
    <n v="4"/>
    <n v="93.25"/>
    <n v="1"/>
    <n v="60"/>
    <m/>
    <m/>
  </r>
  <r>
    <x v="3"/>
    <x v="7"/>
    <s v="S12000038"/>
    <n v="82"/>
    <n v="508.5"/>
    <n v="9"/>
    <n v="126"/>
    <m/>
    <m/>
    <m/>
    <m/>
  </r>
  <r>
    <x v="3"/>
    <x v="4"/>
    <s v="S12000029"/>
    <n v="321"/>
    <n v="1386.5"/>
    <n v="12"/>
    <n v="171.5"/>
    <m/>
    <m/>
    <m/>
    <m/>
  </r>
  <r>
    <x v="4"/>
    <x v="9"/>
    <s v="S12000005"/>
    <n v="69"/>
    <n v="332.5"/>
    <n v="1"/>
    <n v="8.5"/>
    <m/>
    <m/>
    <m/>
    <m/>
  </r>
  <r>
    <x v="4"/>
    <x v="23"/>
    <s v="S12000023"/>
    <n v="9"/>
    <n v="42.5"/>
    <m/>
    <m/>
    <m/>
    <m/>
    <m/>
    <m/>
  </r>
  <r>
    <x v="4"/>
    <x v="31"/>
    <s v="S12000039"/>
    <n v="74"/>
    <n v="427"/>
    <n v="5"/>
    <n v="44.75"/>
    <m/>
    <m/>
    <m/>
    <m/>
  </r>
  <r>
    <x v="4"/>
    <x v="29"/>
    <s v="S12000040"/>
    <n v="208"/>
    <n v="775.5"/>
    <n v="5"/>
    <n v="33.5"/>
    <m/>
    <m/>
    <m/>
    <m/>
  </r>
  <r>
    <x v="5"/>
    <x v="17"/>
    <s v="S12000033"/>
    <n v="422"/>
    <m/>
    <n v="11"/>
    <m/>
    <m/>
    <m/>
    <n v="2"/>
    <m/>
  </r>
  <r>
    <x v="5"/>
    <x v="5"/>
    <s v="S12000045"/>
    <n v="97"/>
    <m/>
    <n v="4"/>
    <m/>
    <m/>
    <m/>
    <m/>
    <m/>
  </r>
  <r>
    <x v="5"/>
    <x v="8"/>
    <s v="S12000028"/>
    <n v="220"/>
    <m/>
    <n v="5"/>
    <m/>
    <m/>
    <m/>
    <m/>
    <m/>
  </r>
  <r>
    <x v="5"/>
    <x v="16"/>
    <s v="S12000030"/>
    <n v="195"/>
    <m/>
    <n v="6"/>
    <m/>
    <m/>
    <m/>
    <m/>
    <m/>
  </r>
  <r>
    <x v="6"/>
    <x v="24"/>
    <s v="S12000034"/>
    <n v="77"/>
    <n v="586.25"/>
    <n v="4"/>
    <n v="57.25"/>
    <m/>
    <m/>
    <n v="1"/>
    <n v="4"/>
  </r>
  <r>
    <x v="6"/>
    <x v="11"/>
    <s v="S12000041"/>
    <n v="56"/>
    <n v="230.5"/>
    <n v="3"/>
    <n v="12.75"/>
    <m/>
    <m/>
    <m/>
    <m/>
  </r>
  <r>
    <x v="6"/>
    <x v="19"/>
    <s v="S12000010"/>
    <n v="43"/>
    <n v="252.75"/>
    <n v="1"/>
    <n v="11.5"/>
    <m/>
    <m/>
    <m/>
    <m/>
  </r>
  <r>
    <x v="6"/>
    <x v="26"/>
    <s v="S12000047"/>
    <n v="247"/>
    <n v="1035.25"/>
    <n v="3"/>
    <n v="52.75"/>
    <n v="1"/>
    <n v="41.25"/>
    <m/>
    <m/>
  </r>
  <r>
    <x v="6"/>
    <x v="1"/>
    <s v="S12000017"/>
    <n v="110"/>
    <n v="659"/>
    <n v="14"/>
    <n v="155.25"/>
    <m/>
    <m/>
    <m/>
    <m/>
  </r>
  <r>
    <x v="7"/>
    <x v="17"/>
    <s v="S12000033"/>
    <n v="308"/>
    <n v="1977.5"/>
    <n v="7"/>
    <n v="69"/>
    <n v="1"/>
    <n v="11.5"/>
    <n v="1"/>
    <n v="1.25"/>
  </r>
  <r>
    <x v="7"/>
    <x v="24"/>
    <s v="S12000034"/>
    <n v="183"/>
    <n v="1899.75"/>
    <n v="3"/>
    <n v="48.5"/>
    <m/>
    <m/>
    <m/>
    <m/>
  </r>
  <r>
    <x v="7"/>
    <x v="9"/>
    <s v="S12000005"/>
    <n v="39"/>
    <n v="237.25"/>
    <n v="2"/>
    <n v="16.25"/>
    <m/>
    <m/>
    <m/>
    <m/>
  </r>
  <r>
    <x v="7"/>
    <x v="10"/>
    <s v="S12000027"/>
    <n v="36"/>
    <n v="322"/>
    <n v="1"/>
    <n v="4.75"/>
    <m/>
    <m/>
    <m/>
    <m/>
  </r>
  <r>
    <x v="7"/>
    <x v="8"/>
    <s v="S12000028"/>
    <n v="150"/>
    <n v="1427.75"/>
    <n v="4"/>
    <n v="48.75"/>
    <m/>
    <m/>
    <m/>
    <m/>
  </r>
  <r>
    <x v="7"/>
    <x v="31"/>
    <s v="S12000039"/>
    <n v="67"/>
    <n v="251.75"/>
    <n v="2"/>
    <n v="9.75"/>
    <m/>
    <m/>
    <m/>
    <m/>
  </r>
  <r>
    <x v="8"/>
    <x v="21"/>
    <s v="S12000042"/>
    <n v="249"/>
    <n v="1316.5"/>
    <n v="2"/>
    <n v="54.75"/>
    <m/>
    <m/>
    <m/>
    <m/>
  </r>
  <r>
    <x v="8"/>
    <x v="1"/>
    <s v="S12000017"/>
    <n v="224"/>
    <n v="1608.5"/>
    <n v="18"/>
    <n v="340"/>
    <m/>
    <m/>
    <m/>
    <m/>
  </r>
  <r>
    <x v="8"/>
    <x v="30"/>
    <s v="S12000019"/>
    <n v="79"/>
    <n v="480"/>
    <n v="8"/>
    <n v="73.25"/>
    <m/>
    <m/>
    <m/>
    <m/>
  </r>
  <r>
    <x v="8"/>
    <x v="28"/>
    <s v="S12000024"/>
    <n v="136"/>
    <n v="605.5"/>
    <n v="2"/>
    <n v="51"/>
    <m/>
    <m/>
    <m/>
    <m/>
  </r>
  <r>
    <x v="8"/>
    <x v="31"/>
    <s v="S12000039"/>
    <n v="41"/>
    <n v="221.25"/>
    <n v="2"/>
    <n v="20"/>
    <m/>
    <m/>
    <m/>
    <m/>
  </r>
  <r>
    <x v="9"/>
    <x v="17"/>
    <s v="S12000033"/>
    <n v="343"/>
    <n v="2507.25"/>
    <n v="5"/>
    <n v="108.25"/>
    <m/>
    <m/>
    <m/>
    <m/>
  </r>
  <r>
    <x v="9"/>
    <x v="12"/>
    <s v="S12000035"/>
    <n v="435"/>
    <n v="2292"/>
    <n v="24"/>
    <n v="236.5"/>
    <m/>
    <m/>
    <m/>
    <m/>
  </r>
  <r>
    <x v="9"/>
    <x v="22"/>
    <s v="S12000006"/>
    <n v="356"/>
    <n v="2195.75"/>
    <n v="2"/>
    <n v="24.75"/>
    <m/>
    <m/>
    <n v="2"/>
    <n v="7.25"/>
  </r>
  <r>
    <x v="9"/>
    <x v="0"/>
    <s v="S12000011"/>
    <n v="53"/>
    <n v="261.5"/>
    <n v="1"/>
    <n v="5.5"/>
    <m/>
    <m/>
    <m/>
    <m/>
  </r>
  <r>
    <x v="9"/>
    <x v="30"/>
    <s v="S12000019"/>
    <n v="126"/>
    <n v="829"/>
    <n v="6"/>
    <n v="40"/>
    <m/>
    <m/>
    <m/>
    <m/>
  </r>
  <r>
    <x v="9"/>
    <x v="3"/>
    <s v="S12000021"/>
    <n v="251"/>
    <n v="1773.5"/>
    <n v="8"/>
    <n v="169.25"/>
    <n v="1"/>
    <n v="19.25"/>
    <n v="1"/>
    <n v="78"/>
  </r>
  <r>
    <x v="9"/>
    <x v="7"/>
    <s v="S12000038"/>
    <n v="194"/>
    <n v="1054.5"/>
    <n v="4"/>
    <n v="52.75"/>
    <m/>
    <m/>
    <m/>
    <m/>
  </r>
  <r>
    <x v="0"/>
    <x v="9"/>
    <s v="S12000005"/>
    <n v="42"/>
    <n v="247.25"/>
    <n v="2"/>
    <n v="16"/>
    <m/>
    <m/>
    <m/>
    <m/>
  </r>
  <r>
    <x v="0"/>
    <x v="19"/>
    <s v="S12000010"/>
    <n v="96"/>
    <n v="335.5"/>
    <n v="6"/>
    <n v="37.5"/>
    <m/>
    <m/>
    <m/>
    <m/>
  </r>
  <r>
    <x v="0"/>
    <x v="20"/>
    <s v="S12000014"/>
    <n v="232"/>
    <n v="1156"/>
    <n v="11"/>
    <n v="105.25"/>
    <m/>
    <m/>
    <m/>
    <m/>
  </r>
  <r>
    <x v="0"/>
    <x v="30"/>
    <s v="S12000019"/>
    <n v="122"/>
    <n v="365.5"/>
    <n v="4"/>
    <n v="31.25"/>
    <m/>
    <m/>
    <m/>
    <m/>
  </r>
  <r>
    <x v="1"/>
    <x v="24"/>
    <s v="S12000034"/>
    <n v="334"/>
    <n v="2016.25"/>
    <n v="39"/>
    <n v="438"/>
    <n v="1"/>
    <n v="28.25"/>
    <m/>
    <m/>
  </r>
  <r>
    <x v="1"/>
    <x v="30"/>
    <s v="S12000019"/>
    <n v="96"/>
    <n v="321.75"/>
    <n v="2"/>
    <n v="7.75"/>
    <m/>
    <m/>
    <m/>
    <m/>
  </r>
  <r>
    <x v="1"/>
    <x v="18"/>
    <s v="S12000013"/>
    <n v="5"/>
    <n v="27.25"/>
    <n v="4"/>
    <n v="78.75"/>
    <m/>
    <m/>
    <m/>
    <m/>
  </r>
  <r>
    <x v="2"/>
    <x v="5"/>
    <s v="S12000045"/>
    <n v="77"/>
    <n v="520.25"/>
    <n v="4"/>
    <n v="57"/>
    <m/>
    <m/>
    <m/>
    <m/>
  </r>
  <r>
    <x v="2"/>
    <x v="2"/>
    <s v="S12000018"/>
    <n v="107"/>
    <n v="429.5"/>
    <n v="8"/>
    <n v="55"/>
    <m/>
    <m/>
    <m/>
    <m/>
  </r>
  <r>
    <x v="2"/>
    <x v="6"/>
    <s v="S12000020"/>
    <n v="136"/>
    <n v="833.25"/>
    <n v="6"/>
    <n v="94.25"/>
    <n v="1"/>
    <n v="7"/>
    <m/>
    <m/>
  </r>
  <r>
    <x v="2"/>
    <x v="8"/>
    <s v="S12000028"/>
    <n v="294"/>
    <n v="1861.5"/>
    <n v="16"/>
    <n v="121.75"/>
    <n v="1"/>
    <n v="17.25"/>
    <m/>
    <m/>
  </r>
  <r>
    <x v="3"/>
    <x v="1"/>
    <s v="S12000017"/>
    <n v="227"/>
    <n v="1333"/>
    <n v="59"/>
    <n v="1064.25"/>
    <n v="6"/>
    <n v="232"/>
    <n v="4"/>
    <n v="38.5"/>
  </r>
  <r>
    <x v="3"/>
    <x v="27"/>
    <s v="S12000044"/>
    <n v="344"/>
    <n v="1826.5"/>
    <n v="7"/>
    <n v="65.5"/>
    <m/>
    <m/>
    <m/>
    <m/>
  </r>
  <r>
    <x v="4"/>
    <x v="21"/>
    <s v="S12000042"/>
    <n v="371"/>
    <n v="1559.5"/>
    <n v="10"/>
    <n v="90.75"/>
    <m/>
    <m/>
    <n v="3"/>
    <n v="23.5"/>
  </r>
  <r>
    <x v="4"/>
    <x v="19"/>
    <s v="S12000010"/>
    <n v="144"/>
    <n v="567.25"/>
    <n v="5"/>
    <n v="34.5"/>
    <m/>
    <m/>
    <m/>
    <m/>
  </r>
  <r>
    <x v="4"/>
    <x v="20"/>
    <s v="S12000014"/>
    <n v="201"/>
    <n v="1063.25"/>
    <m/>
    <m/>
    <m/>
    <m/>
    <m/>
    <m/>
  </r>
  <r>
    <x v="4"/>
    <x v="30"/>
    <s v="S12000019"/>
    <n v="131"/>
    <n v="878.5"/>
    <n v="7"/>
    <n v="91.25"/>
    <m/>
    <m/>
    <m/>
    <m/>
  </r>
  <r>
    <x v="4"/>
    <x v="28"/>
    <s v="S12000024"/>
    <n v="281"/>
    <n v="1204.5"/>
    <n v="12"/>
    <n v="81"/>
    <n v="1"/>
    <n v="14.25"/>
    <m/>
    <m/>
  </r>
  <r>
    <x v="4"/>
    <x v="10"/>
    <s v="S12000027"/>
    <n v="14"/>
    <n v="110.25"/>
    <n v="2"/>
    <n v="23.75"/>
    <m/>
    <m/>
    <m/>
    <m/>
  </r>
  <r>
    <x v="5"/>
    <x v="24"/>
    <s v="S12000034"/>
    <n v="345"/>
    <m/>
    <n v="6"/>
    <m/>
    <m/>
    <m/>
    <m/>
    <m/>
  </r>
  <r>
    <x v="5"/>
    <x v="2"/>
    <s v="S12000018"/>
    <n v="51"/>
    <m/>
    <n v="3"/>
    <m/>
    <m/>
    <m/>
    <m/>
    <m/>
  </r>
  <r>
    <x v="5"/>
    <x v="30"/>
    <s v="S12000019"/>
    <n v="64"/>
    <m/>
    <n v="6"/>
    <m/>
    <m/>
    <m/>
    <m/>
    <m/>
  </r>
  <r>
    <x v="5"/>
    <x v="23"/>
    <s v="S12000023"/>
    <n v="23"/>
    <m/>
    <m/>
    <m/>
    <m/>
    <m/>
    <m/>
    <m/>
  </r>
  <r>
    <x v="5"/>
    <x v="10"/>
    <s v="S12000027"/>
    <n v="11"/>
    <m/>
    <m/>
    <m/>
    <m/>
    <m/>
    <m/>
    <m/>
  </r>
  <r>
    <x v="6"/>
    <x v="27"/>
    <s v="S12000050"/>
    <n v="115"/>
    <n v="395.25"/>
    <n v="2"/>
    <n v="10.5"/>
    <m/>
    <m/>
    <m/>
    <m/>
  </r>
  <r>
    <x v="6"/>
    <x v="16"/>
    <s v="S12000030"/>
    <n v="74"/>
    <n v="377.5"/>
    <n v="6"/>
    <n v="138.5"/>
    <n v="1"/>
    <n v="54.5"/>
    <m/>
    <m/>
  </r>
  <r>
    <x v="6"/>
    <x v="31"/>
    <s v="S12000039"/>
    <n v="28"/>
    <n v="102.5"/>
    <m/>
    <m/>
    <m/>
    <m/>
    <m/>
    <m/>
  </r>
  <r>
    <x v="6"/>
    <x v="29"/>
    <s v="S12000040"/>
    <n v="86"/>
    <n v="305.5"/>
    <m/>
    <m/>
    <m/>
    <m/>
    <m/>
    <m/>
  </r>
  <r>
    <x v="7"/>
    <x v="11"/>
    <s v="S12000041"/>
    <n v="124"/>
    <n v="657"/>
    <m/>
    <m/>
    <m/>
    <m/>
    <m/>
    <m/>
  </r>
  <r>
    <x v="7"/>
    <x v="12"/>
    <s v="S12000035"/>
    <n v="173"/>
    <n v="911.75"/>
    <n v="16"/>
    <n v="148.75"/>
    <m/>
    <m/>
    <m/>
    <m/>
  </r>
  <r>
    <x v="7"/>
    <x v="22"/>
    <s v="S12000006"/>
    <n v="140"/>
    <n v="836.25"/>
    <n v="1"/>
    <n v="6.25"/>
    <m/>
    <m/>
    <m/>
    <m/>
  </r>
  <r>
    <x v="7"/>
    <x v="2"/>
    <s v="S12000018"/>
    <n v="43"/>
    <n v="225.75"/>
    <m/>
    <m/>
    <m/>
    <m/>
    <m/>
    <m/>
  </r>
  <r>
    <x v="8"/>
    <x v="25"/>
    <s v="S12000036"/>
    <n v="536"/>
    <n v="2521"/>
    <n v="28"/>
    <n v="135"/>
    <m/>
    <m/>
    <n v="2"/>
    <n v="8"/>
  </r>
  <r>
    <x v="8"/>
    <x v="19"/>
    <s v="S12000010"/>
    <n v="116"/>
    <n v="695"/>
    <n v="3"/>
    <n v="32"/>
    <m/>
    <m/>
    <m/>
    <m/>
  </r>
  <r>
    <x v="8"/>
    <x v="3"/>
    <s v="S12000021"/>
    <n v="263"/>
    <n v="2036.75"/>
    <n v="8"/>
    <n v="119.5"/>
    <m/>
    <m/>
    <m/>
    <m/>
  </r>
  <r>
    <x v="8"/>
    <x v="29"/>
    <s v="S12000040"/>
    <n v="109"/>
    <n v="544"/>
    <n v="2"/>
    <n v="10"/>
    <m/>
    <m/>
    <m/>
    <m/>
  </r>
  <r>
    <x v="10"/>
    <x v="5"/>
    <s v="S12000045"/>
    <n v="71"/>
    <n v="426.25"/>
    <n v="4"/>
    <n v="38.75"/>
    <m/>
    <m/>
    <m/>
    <m/>
  </r>
  <r>
    <x v="10"/>
    <x v="29"/>
    <s v="S12000040"/>
    <n v="240"/>
    <n v="1183.5"/>
    <m/>
    <m/>
    <m/>
    <m/>
    <m/>
    <m/>
  </r>
  <r>
    <x v="9"/>
    <x v="31"/>
    <s v="S12000039"/>
    <n v="122"/>
    <n v="571.25"/>
    <n v="7"/>
    <n v="68.5"/>
    <m/>
    <m/>
    <m/>
    <m/>
  </r>
  <r>
    <x v="10"/>
    <x v="12"/>
    <s v="S12000035"/>
    <n v="485"/>
    <n v="2805"/>
    <n v="23"/>
    <n v="267.5"/>
    <m/>
    <m/>
    <n v="1"/>
    <n v="19.75"/>
  </r>
  <r>
    <x v="10"/>
    <x v="0"/>
    <s v="S12000011"/>
    <n v="46"/>
    <n v="232.75"/>
    <m/>
    <m/>
    <m/>
    <m/>
    <m/>
    <m/>
  </r>
  <r>
    <x v="10"/>
    <x v="14"/>
    <s v="S12000046"/>
    <n v="1331"/>
    <n v="5962.5"/>
    <n v="70"/>
    <n v="441.25"/>
    <m/>
    <m/>
    <n v="1"/>
    <n v="5.5"/>
  </r>
  <r>
    <x v="10"/>
    <x v="1"/>
    <s v="S12000017"/>
    <n v="379"/>
    <n v="2709.25"/>
    <n v="23"/>
    <n v="379.25"/>
    <n v="1"/>
    <n v="64.5"/>
    <m/>
    <m/>
  </r>
  <r>
    <x v="10"/>
    <x v="2"/>
    <s v="S12000018"/>
    <n v="88"/>
    <n v="454"/>
    <n v="3"/>
    <n v="32"/>
    <m/>
    <m/>
    <m/>
    <m/>
  </r>
  <r>
    <x v="10"/>
    <x v="23"/>
    <s v="S12000023"/>
    <n v="42"/>
    <n v="233.5"/>
    <n v="1"/>
    <n v="9"/>
    <m/>
    <m/>
    <m/>
    <m/>
  </r>
  <r>
    <x v="9"/>
    <x v="8"/>
    <s v="S12000028"/>
    <n v="243"/>
    <n v="1766"/>
    <n v="14"/>
    <n v="268.5"/>
    <m/>
    <m/>
    <m/>
    <m/>
  </r>
  <r>
    <x v="9"/>
    <x v="4"/>
    <s v="S12000029"/>
    <n v="365"/>
    <n v="2863.75"/>
    <n v="13"/>
    <n v="181"/>
    <m/>
    <m/>
    <m/>
    <m/>
  </r>
  <r>
    <x v="9"/>
    <x v="16"/>
    <s v="S12000030"/>
    <n v="92"/>
    <n v="504.5"/>
    <n v="3"/>
    <n v="83.5"/>
    <n v="1"/>
    <n v="67"/>
    <m/>
    <m/>
  </r>
  <r>
    <x v="10"/>
    <x v="17"/>
    <s v="S12000033"/>
    <n v="404"/>
    <n v="2431"/>
    <n v="3"/>
    <n v="100.75"/>
    <n v="1"/>
    <n v="81.5"/>
    <m/>
    <m/>
  </r>
  <r>
    <x v="10"/>
    <x v="9"/>
    <s v="S12000005"/>
    <n v="51"/>
    <n v="340.5"/>
    <n v="2"/>
    <n v="12.75"/>
    <m/>
    <m/>
    <m/>
    <m/>
  </r>
  <r>
    <x v="10"/>
    <x v="13"/>
    <s v="S12000008"/>
    <n v="171"/>
    <n v="795.5"/>
    <n v="7"/>
    <n v="148"/>
    <m/>
    <m/>
    <m/>
    <m/>
  </r>
  <r>
    <x v="10"/>
    <x v="20"/>
    <s v="S12000014"/>
    <n v="167"/>
    <n v="880.25"/>
    <m/>
    <m/>
    <m/>
    <m/>
    <m/>
    <m/>
  </r>
  <r>
    <x v="10"/>
    <x v="26"/>
    <s v="S12000015"/>
    <n v="529"/>
    <n v="3427.25"/>
    <n v="10"/>
    <n v="73.75"/>
    <m/>
    <m/>
    <m/>
    <m/>
  </r>
  <r>
    <x v="10"/>
    <x v="4"/>
    <s v="S12000029"/>
    <n v="360"/>
    <n v="2761"/>
    <n v="10"/>
    <n v="219.75"/>
    <m/>
    <m/>
    <m/>
    <m/>
  </r>
  <r>
    <x v="10"/>
    <x v="16"/>
    <s v="S12000030"/>
    <n v="156"/>
    <n v="987.75"/>
    <n v="2"/>
    <n v="21.5"/>
    <m/>
    <m/>
    <m/>
    <m/>
  </r>
  <r>
    <x v="0"/>
    <x v="17"/>
    <s v="S12000033"/>
    <n v="356"/>
    <n v="1936.75"/>
    <n v="13"/>
    <n v="138.5"/>
    <n v="2"/>
    <n v="19.25"/>
    <m/>
    <m/>
  </r>
  <r>
    <x v="0"/>
    <x v="26"/>
    <s v="S12000015"/>
    <n v="483"/>
    <n v="1857.5"/>
    <n v="15"/>
    <n v="104.75"/>
    <m/>
    <m/>
    <m/>
    <m/>
  </r>
  <r>
    <x v="0"/>
    <x v="6"/>
    <s v="S12000020"/>
    <n v="110"/>
    <n v="771.25"/>
    <n v="4"/>
    <n v="72.5"/>
    <m/>
    <m/>
    <m/>
    <m/>
  </r>
  <r>
    <x v="0"/>
    <x v="18"/>
    <s v="S12000013"/>
    <n v="18"/>
    <n v="138.5"/>
    <n v="1"/>
    <n v="13.25"/>
    <m/>
    <m/>
    <m/>
    <m/>
  </r>
  <r>
    <x v="0"/>
    <x v="23"/>
    <s v="S12000023"/>
    <n v="16"/>
    <n v="108.5"/>
    <m/>
    <m/>
    <m/>
    <m/>
    <m/>
    <m/>
  </r>
  <r>
    <x v="0"/>
    <x v="7"/>
    <s v="S12000038"/>
    <n v="212"/>
    <n v="1318.75"/>
    <n v="3"/>
    <n v="28.75"/>
    <m/>
    <m/>
    <m/>
    <m/>
  </r>
  <r>
    <x v="0"/>
    <x v="15"/>
    <s v="S12000026"/>
    <n v="332"/>
    <n v="1463"/>
    <n v="49"/>
    <n v="381.75"/>
    <n v="1"/>
    <n v="31"/>
    <m/>
    <m/>
  </r>
  <r>
    <x v="0"/>
    <x v="31"/>
    <s v="S12000039"/>
    <n v="176"/>
    <n v="797.25"/>
    <m/>
    <m/>
    <m/>
    <m/>
    <m/>
    <m/>
  </r>
  <r>
    <x v="1"/>
    <x v="9"/>
    <s v="S12000005"/>
    <n v="51"/>
    <n v="190"/>
    <m/>
    <m/>
    <m/>
    <m/>
    <m/>
    <m/>
  </r>
  <r>
    <x v="1"/>
    <x v="0"/>
    <s v="S12000011"/>
    <n v="54"/>
    <n v="343.75"/>
    <n v="3"/>
    <n v="60"/>
    <m/>
    <m/>
    <m/>
    <m/>
  </r>
  <r>
    <x v="1"/>
    <x v="23"/>
    <s v="S12000023"/>
    <n v="31"/>
    <n v="146.75"/>
    <n v="1"/>
    <n v="13.25"/>
    <m/>
    <m/>
    <m/>
    <m/>
  </r>
  <r>
    <x v="2"/>
    <x v="17"/>
    <s v="S12000033"/>
    <n v="415"/>
    <n v="2311"/>
    <n v="20"/>
    <n v="156.5"/>
    <n v="7"/>
    <n v="48"/>
    <m/>
    <m/>
  </r>
  <r>
    <x v="2"/>
    <x v="19"/>
    <s v="S12000010"/>
    <n v="126"/>
    <n v="481.75"/>
    <n v="13"/>
    <n v="102.25"/>
    <m/>
    <m/>
    <m/>
    <m/>
  </r>
  <r>
    <x v="2"/>
    <x v="4"/>
    <s v="S12000029"/>
    <n v="243"/>
    <n v="1452.5"/>
    <n v="8"/>
    <n v="235.75"/>
    <n v="1"/>
    <n v="72.25"/>
    <m/>
    <m/>
  </r>
  <r>
    <x v="2"/>
    <x v="16"/>
    <s v="S12000030"/>
    <n v="146"/>
    <n v="598.5"/>
    <n v="14"/>
    <n v="101.25"/>
    <m/>
    <m/>
    <m/>
    <m/>
  </r>
  <r>
    <x v="3"/>
    <x v="24"/>
    <s v="S12000034"/>
    <n v="317"/>
    <n v="2121"/>
    <n v="27"/>
    <n v="291.25"/>
    <m/>
    <m/>
    <n v="1"/>
    <n v="23.25"/>
  </r>
  <r>
    <x v="3"/>
    <x v="22"/>
    <s v="S12000006"/>
    <n v="346"/>
    <n v="1646"/>
    <n v="33"/>
    <n v="312.25"/>
    <m/>
    <m/>
    <m/>
    <m/>
  </r>
  <r>
    <x v="3"/>
    <x v="5"/>
    <s v="S12000045"/>
    <n v="86"/>
    <n v="611"/>
    <n v="6"/>
    <n v="67.25"/>
    <m/>
    <m/>
    <m/>
    <m/>
  </r>
  <r>
    <x v="3"/>
    <x v="10"/>
    <s v="S12000027"/>
    <n v="22"/>
    <n v="189"/>
    <n v="1"/>
    <n v="8"/>
    <m/>
    <m/>
    <n v="1"/>
    <n v="3.5"/>
  </r>
  <r>
    <x v="4"/>
    <x v="24"/>
    <s v="S12000034"/>
    <n v="344"/>
    <n v="1895"/>
    <n v="29"/>
    <n v="240.5"/>
    <m/>
    <m/>
    <n v="1"/>
    <n v="7.5"/>
  </r>
  <r>
    <x v="4"/>
    <x v="27"/>
    <s v="S12000044"/>
    <n v="294"/>
    <n v="1348"/>
    <n v="13"/>
    <n v="182.75"/>
    <n v="2"/>
    <n v="68.75"/>
    <n v="1"/>
    <n v="63"/>
  </r>
  <r>
    <x v="5"/>
    <x v="12"/>
    <s v="S12000035"/>
    <n v="275"/>
    <m/>
    <n v="7"/>
    <m/>
    <m/>
    <m/>
    <m/>
    <m/>
  </r>
  <r>
    <x v="5"/>
    <x v="21"/>
    <s v="S12000042"/>
    <n v="419"/>
    <m/>
    <n v="5"/>
    <m/>
    <m/>
    <m/>
    <m/>
    <m/>
  </r>
  <r>
    <x v="5"/>
    <x v="13"/>
    <s v="S12000008"/>
    <n v="105"/>
    <m/>
    <n v="5"/>
    <m/>
    <m/>
    <m/>
    <m/>
    <m/>
  </r>
  <r>
    <x v="5"/>
    <x v="0"/>
    <s v="S12000011"/>
    <n v="28"/>
    <m/>
    <m/>
    <m/>
    <m/>
    <m/>
    <m/>
    <m/>
  </r>
  <r>
    <x v="5"/>
    <x v="26"/>
    <s v="S12000015"/>
    <n v="335"/>
    <m/>
    <n v="82"/>
    <m/>
    <m/>
    <m/>
    <n v="2"/>
    <m/>
  </r>
  <r>
    <x v="6"/>
    <x v="22"/>
    <s v="S12000006"/>
    <n v="122"/>
    <n v="533.25"/>
    <n v="5"/>
    <n v="39.25"/>
    <m/>
    <m/>
    <m/>
    <m/>
  </r>
  <r>
    <x v="6"/>
    <x v="30"/>
    <s v="S12000019"/>
    <n v="35"/>
    <n v="292.25"/>
    <n v="2"/>
    <n v="31.75"/>
    <m/>
    <m/>
    <m/>
    <m/>
  </r>
  <r>
    <x v="7"/>
    <x v="5"/>
    <s v="S12000045"/>
    <n v="67"/>
    <n v="330.5"/>
    <n v="5"/>
    <n v="29.25"/>
    <m/>
    <m/>
    <m/>
    <m/>
  </r>
  <r>
    <x v="7"/>
    <x v="20"/>
    <s v="S12000014"/>
    <n v="107"/>
    <n v="523"/>
    <n v="5"/>
    <n v="53.5"/>
    <m/>
    <m/>
    <m/>
    <m/>
  </r>
  <r>
    <x v="7"/>
    <x v="4"/>
    <s v="S12000029"/>
    <n v="156"/>
    <n v="1502.5"/>
    <n v="9"/>
    <n v="137.25"/>
    <m/>
    <m/>
    <m/>
    <m/>
  </r>
  <r>
    <x v="8"/>
    <x v="14"/>
    <s v="S12000046"/>
    <n v="1019"/>
    <n v="5074.75"/>
    <n v="92"/>
    <n v="844"/>
    <m/>
    <m/>
    <n v="1"/>
    <n v="18"/>
  </r>
  <r>
    <x v="8"/>
    <x v="18"/>
    <s v="S12000013"/>
    <n v="32"/>
    <n v="144.75"/>
    <n v="2"/>
    <n v="12.5"/>
    <m/>
    <m/>
    <m/>
    <m/>
  </r>
  <r>
    <x v="8"/>
    <x v="7"/>
    <s v="S12000038"/>
    <n v="187"/>
    <n v="947.75"/>
    <n v="3"/>
    <n v="24.5"/>
    <m/>
    <m/>
    <n v="1"/>
    <n v="11"/>
  </r>
  <r>
    <x v="9"/>
    <x v="20"/>
    <s v="S12000014"/>
    <n v="121"/>
    <n v="721.75"/>
    <n v="1"/>
    <n v="33"/>
    <m/>
    <m/>
    <m/>
    <m/>
  </r>
  <r>
    <x v="9"/>
    <x v="2"/>
    <s v="S12000018"/>
    <n v="88"/>
    <n v="492"/>
    <n v="3"/>
    <n v="41.5"/>
    <m/>
    <m/>
    <m/>
    <m/>
  </r>
  <r>
    <x v="9"/>
    <x v="6"/>
    <s v="S12000020"/>
    <n v="116"/>
    <n v="902"/>
    <n v="9"/>
    <n v="198.5"/>
    <m/>
    <m/>
    <m/>
    <m/>
  </r>
  <r>
    <x v="10"/>
    <x v="21"/>
    <s v="S12000042"/>
    <n v="316"/>
    <n v="1340.5"/>
    <n v="7"/>
    <n v="75"/>
    <m/>
    <m/>
    <m/>
    <m/>
  </r>
  <r>
    <x v="10"/>
    <x v="15"/>
    <s v="S12000026"/>
    <n v="197"/>
    <n v="1006"/>
    <n v="8"/>
    <n v="72"/>
    <m/>
    <m/>
    <m/>
    <m/>
  </r>
  <r>
    <x v="10"/>
    <x v="8"/>
    <s v="S12000028"/>
    <n v="277"/>
    <n v="1628"/>
    <n v="3"/>
    <n v="34.5"/>
    <m/>
    <m/>
    <n v="1"/>
    <n v="10.75"/>
  </r>
  <r>
    <x v="0"/>
    <x v="11"/>
    <s v="S12000041"/>
    <n v="202"/>
    <n v="853.5"/>
    <n v="4"/>
    <n v="21.75"/>
    <m/>
    <m/>
    <m/>
    <m/>
  </r>
  <r>
    <x v="0"/>
    <x v="25"/>
    <s v="S12000036"/>
    <n v="903"/>
    <n v="3293.5"/>
    <n v="53"/>
    <n v="292"/>
    <n v="1"/>
    <n v="5.5"/>
    <m/>
    <m/>
  </r>
  <r>
    <x v="0"/>
    <x v="22"/>
    <s v="S12000006"/>
    <n v="177"/>
    <n v="785.25"/>
    <n v="36"/>
    <n v="306.5"/>
    <m/>
    <m/>
    <n v="1"/>
    <n v="12.5"/>
  </r>
  <r>
    <x v="0"/>
    <x v="14"/>
    <s v="S12000046"/>
    <n v="1045"/>
    <n v="5340"/>
    <n v="77"/>
    <n v="444"/>
    <m/>
    <m/>
    <n v="1"/>
    <n v="5.5"/>
  </r>
  <r>
    <x v="0"/>
    <x v="27"/>
    <s v="S12000044"/>
    <n v="298"/>
    <n v="2166.75"/>
    <n v="3"/>
    <n v="23.75"/>
    <m/>
    <m/>
    <m/>
    <m/>
  </r>
  <r>
    <x v="0"/>
    <x v="16"/>
    <s v="S12000030"/>
    <n v="210"/>
    <n v="875.75"/>
    <n v="7"/>
    <n v="49.25"/>
    <m/>
    <m/>
    <m/>
    <m/>
  </r>
  <r>
    <x v="1"/>
    <x v="1"/>
    <s v="S12000017"/>
    <n v="287"/>
    <n v="1820.25"/>
    <n v="49"/>
    <n v="847.75"/>
    <n v="10"/>
    <n v="256.5"/>
    <m/>
    <m/>
  </r>
  <r>
    <x v="1"/>
    <x v="2"/>
    <s v="S12000018"/>
    <n v="62"/>
    <n v="263.75"/>
    <n v="1"/>
    <n v="17.25"/>
    <m/>
    <m/>
    <m/>
    <m/>
  </r>
  <r>
    <x v="1"/>
    <x v="4"/>
    <s v="S12000029"/>
    <n v="243"/>
    <n v="1871.5"/>
    <n v="7"/>
    <n v="246.25"/>
    <n v="1"/>
    <n v="90.5"/>
    <m/>
    <m/>
  </r>
  <r>
    <x v="1"/>
    <x v="16"/>
    <s v="S12000030"/>
    <n v="332"/>
    <n v="1013.5"/>
    <n v="8"/>
    <n v="39"/>
    <n v="1"/>
    <n v="21.75"/>
    <n v="1"/>
    <n v="2.5"/>
  </r>
  <r>
    <x v="1"/>
    <x v="31"/>
    <s v="S12000039"/>
    <n v="212"/>
    <n v="933.75"/>
    <n v="8"/>
    <n v="99.75"/>
    <m/>
    <m/>
    <m/>
    <m/>
  </r>
  <r>
    <x v="2"/>
    <x v="13"/>
    <s v="S12000008"/>
    <n v="152"/>
    <n v="1162.5"/>
    <n v="12"/>
    <n v="126.25"/>
    <n v="1"/>
    <n v="12.75"/>
    <m/>
    <m/>
  </r>
  <r>
    <x v="2"/>
    <x v="7"/>
    <s v="S12000038"/>
    <n v="164"/>
    <n v="1078.5"/>
    <n v="5"/>
    <n v="60"/>
    <m/>
    <m/>
    <m/>
    <m/>
  </r>
  <r>
    <x v="3"/>
    <x v="17"/>
    <s v="S12000033"/>
    <n v="294"/>
    <n v="1570.5"/>
    <n v="21"/>
    <n v="212.25"/>
    <n v="2"/>
    <n v="57.5"/>
    <n v="1"/>
    <n v="3.5"/>
  </r>
  <r>
    <x v="3"/>
    <x v="19"/>
    <s v="S12000010"/>
    <n v="138"/>
    <n v="536.5"/>
    <n v="6"/>
    <n v="35.75"/>
    <m/>
    <m/>
    <m/>
    <m/>
  </r>
  <r>
    <x v="3"/>
    <x v="26"/>
    <s v="S12000015"/>
    <n v="450"/>
    <n v="1686.5"/>
    <n v="14"/>
    <n v="150.5"/>
    <n v="2"/>
    <n v="38.75"/>
    <n v="2"/>
    <n v="19.5"/>
  </r>
  <r>
    <x v="4"/>
    <x v="25"/>
    <s v="S12000036"/>
    <n v="672"/>
    <n v="2918.5"/>
    <n v="42"/>
    <n v="362.75"/>
    <n v="5"/>
    <n v="63.5"/>
    <n v="4"/>
    <n v="16"/>
  </r>
  <r>
    <x v="4"/>
    <x v="22"/>
    <s v="S12000006"/>
    <n v="420"/>
    <n v="2070.25"/>
    <n v="20"/>
    <n v="205.5"/>
    <n v="2"/>
    <n v="17"/>
    <m/>
    <m/>
  </r>
  <r>
    <x v="4"/>
    <x v="8"/>
    <s v="S12000028"/>
    <n v="216"/>
    <n v="1373.25"/>
    <n v="13"/>
    <n v="108"/>
    <n v="3"/>
    <n v="44.25"/>
    <n v="1"/>
    <m/>
  </r>
  <r>
    <x v="5"/>
    <x v="14"/>
    <s v="S12000046"/>
    <n v="897"/>
    <m/>
    <n v="142"/>
    <m/>
    <m/>
    <m/>
    <n v="3"/>
    <m/>
  </r>
  <r>
    <x v="5"/>
    <x v="1"/>
    <s v="S12000017"/>
    <n v="462"/>
    <m/>
    <n v="31"/>
    <m/>
    <m/>
    <m/>
    <n v="3"/>
    <m/>
  </r>
  <r>
    <x v="5"/>
    <x v="6"/>
    <s v="S12000020"/>
    <n v="91"/>
    <m/>
    <n v="9"/>
    <m/>
    <m/>
    <m/>
    <n v="1"/>
    <m/>
  </r>
  <r>
    <x v="5"/>
    <x v="31"/>
    <s v="S12000039"/>
    <n v="125"/>
    <m/>
    <n v="3"/>
    <m/>
    <m/>
    <m/>
    <m/>
    <m/>
  </r>
  <r>
    <x v="6"/>
    <x v="20"/>
    <s v="S12000014"/>
    <n v="62"/>
    <n v="270.5"/>
    <m/>
    <m/>
    <m/>
    <m/>
    <m/>
    <m/>
  </r>
  <r>
    <x v="6"/>
    <x v="18"/>
    <s v="S12000013"/>
    <n v="11"/>
    <n v="62.75"/>
    <m/>
    <m/>
    <m/>
    <m/>
    <m/>
    <m/>
  </r>
  <r>
    <x v="6"/>
    <x v="3"/>
    <s v="S12000021"/>
    <n v="89"/>
    <n v="599.25"/>
    <m/>
    <m/>
    <m/>
    <m/>
    <m/>
    <m/>
  </r>
  <r>
    <x v="7"/>
    <x v="19"/>
    <s v="S12000010"/>
    <n v="97"/>
    <n v="604.5"/>
    <n v="9"/>
    <n v="188.25"/>
    <n v="2"/>
    <n v="70.75"/>
    <m/>
    <m/>
  </r>
  <r>
    <x v="7"/>
    <x v="0"/>
    <s v="S12000011"/>
    <n v="23"/>
    <n v="152"/>
    <m/>
    <m/>
    <m/>
    <m/>
    <m/>
    <m/>
  </r>
  <r>
    <x v="7"/>
    <x v="28"/>
    <s v="S12000024"/>
    <n v="146"/>
    <n v="838.5"/>
    <m/>
    <m/>
    <m/>
    <m/>
    <m/>
    <m/>
  </r>
  <r>
    <x v="7"/>
    <x v="29"/>
    <s v="S12000040"/>
    <n v="174"/>
    <n v="634"/>
    <n v="3"/>
    <n v="14.75"/>
    <m/>
    <m/>
    <m/>
    <m/>
  </r>
  <r>
    <x v="8"/>
    <x v="8"/>
    <s v="S12000028"/>
    <n v="223"/>
    <n v="1582.75"/>
    <n v="17"/>
    <n v="265.5"/>
    <n v="2"/>
    <n v="98.25"/>
    <n v="1"/>
    <n v="15.5"/>
  </r>
  <r>
    <x v="8"/>
    <x v="16"/>
    <s v="S12000030"/>
    <n v="109"/>
    <n v="503"/>
    <n v="1"/>
    <n v="44.5"/>
    <m/>
    <m/>
    <m/>
    <m/>
  </r>
  <r>
    <x v="9"/>
    <x v="32"/>
    <m/>
    <n v="134"/>
    <n v="655.25"/>
    <m/>
    <m/>
    <m/>
    <m/>
    <m/>
    <m/>
  </r>
  <r>
    <x v="9"/>
    <x v="21"/>
    <s v="S12000042"/>
    <n v="320"/>
    <n v="1517"/>
    <n v="8"/>
    <n v="49.5"/>
    <m/>
    <m/>
    <m/>
    <m/>
  </r>
  <r>
    <x v="9"/>
    <x v="13"/>
    <s v="S12000008"/>
    <n v="173"/>
    <n v="738.5"/>
    <n v="10"/>
    <n v="84"/>
    <m/>
    <m/>
    <n v="1"/>
    <n v="57.25"/>
  </r>
  <r>
    <x v="9"/>
    <x v="26"/>
    <s v="S12000015"/>
    <n v="365"/>
    <n v="2189"/>
    <n v="11"/>
    <n v="118.5"/>
    <m/>
    <m/>
    <n v="1"/>
    <n v="4"/>
  </r>
  <r>
    <x v="9"/>
    <x v="29"/>
    <s v="S12000040"/>
    <n v="195"/>
    <n v="974.5"/>
    <m/>
    <m/>
    <m/>
    <m/>
    <m/>
    <m/>
  </r>
  <r>
    <x v="10"/>
    <x v="19"/>
    <s v="S12000010"/>
    <n v="122"/>
    <n v="650.25"/>
    <n v="1"/>
    <n v="5.75"/>
    <m/>
    <m/>
    <m/>
    <m/>
  </r>
  <r>
    <x v="10"/>
    <x v="31"/>
    <s v="S12000039"/>
    <n v="94"/>
    <n v="563.75"/>
    <n v="4"/>
    <n v="25.5"/>
    <m/>
    <m/>
    <m/>
    <m/>
  </r>
  <r>
    <x v="0"/>
    <x v="12"/>
    <s v="S12000035"/>
    <n v="250"/>
    <n v="1985.5"/>
    <n v="3"/>
    <n v="38.5"/>
    <m/>
    <m/>
    <m/>
    <m/>
  </r>
  <r>
    <x v="0"/>
    <x v="29"/>
    <s v="S12000040"/>
    <n v="221"/>
    <n v="867.25"/>
    <n v="17"/>
    <n v="91.25"/>
    <m/>
    <m/>
    <m/>
    <m/>
  </r>
  <r>
    <x v="1"/>
    <x v="21"/>
    <s v="S12000042"/>
    <n v="588"/>
    <n v="2433.5"/>
    <n v="10"/>
    <n v="76.25"/>
    <m/>
    <m/>
    <m/>
    <m/>
  </r>
  <r>
    <x v="1"/>
    <x v="20"/>
    <s v="S12000014"/>
    <n v="151"/>
    <n v="754.5"/>
    <n v="9"/>
    <n v="57.25"/>
    <m/>
    <m/>
    <n v="1"/>
    <n v="11.5"/>
  </r>
  <r>
    <x v="1"/>
    <x v="14"/>
    <s v="S12000046"/>
    <n v="1812"/>
    <n v="7682.25"/>
    <n v="144"/>
    <n v="952.25"/>
    <n v="1"/>
    <n v="37.25"/>
    <m/>
    <m/>
  </r>
  <r>
    <x v="1"/>
    <x v="10"/>
    <s v="S12000027"/>
    <n v="24"/>
    <n v="127.25"/>
    <m/>
    <m/>
    <m/>
    <m/>
    <m/>
    <m/>
  </r>
  <r>
    <x v="2"/>
    <x v="12"/>
    <s v="S12000035"/>
    <n v="317"/>
    <n v="2229.75"/>
    <n v="14"/>
    <n v="172.25"/>
    <n v="2"/>
    <n v="56.5"/>
    <m/>
    <m/>
  </r>
  <r>
    <x v="2"/>
    <x v="26"/>
    <s v="S12000015"/>
    <n v="452"/>
    <n v="1850"/>
    <n v="30"/>
    <n v="353.5"/>
    <n v="1"/>
    <n v="76.75"/>
    <m/>
    <m/>
  </r>
  <r>
    <x v="2"/>
    <x v="18"/>
    <s v="S12000013"/>
    <n v="16"/>
    <n v="73.25"/>
    <n v="5"/>
    <n v="96.5"/>
    <n v="1"/>
    <n v="28.75"/>
    <m/>
    <m/>
  </r>
  <r>
    <x v="2"/>
    <x v="23"/>
    <s v="S12000023"/>
    <n v="24"/>
    <n v="132.75"/>
    <n v="5"/>
    <n v="53.25"/>
    <m/>
    <m/>
    <m/>
    <m/>
  </r>
  <r>
    <x v="2"/>
    <x v="15"/>
    <s v="S12000026"/>
    <n v="243"/>
    <n v="1093.5"/>
    <n v="42"/>
    <n v="392.75"/>
    <n v="1"/>
    <n v="32"/>
    <n v="1"/>
    <n v="6.5"/>
  </r>
  <r>
    <x v="2"/>
    <x v="31"/>
    <s v="S12000039"/>
    <n v="118"/>
    <n v="596.75"/>
    <n v="3"/>
    <n v="39.25"/>
    <m/>
    <m/>
    <m/>
    <m/>
  </r>
  <r>
    <x v="3"/>
    <x v="2"/>
    <s v="S12000018"/>
    <n v="57"/>
    <n v="256.5"/>
    <n v="8"/>
    <n v="62"/>
    <m/>
    <m/>
    <m/>
    <m/>
  </r>
  <r>
    <x v="3"/>
    <x v="23"/>
    <s v="S12000023"/>
    <n v="10"/>
    <n v="46.75"/>
    <n v="3"/>
    <n v="44.25"/>
    <m/>
    <m/>
    <m/>
    <m/>
  </r>
  <r>
    <x v="3"/>
    <x v="31"/>
    <s v="S12000039"/>
    <n v="100"/>
    <n v="682.75"/>
    <n v="9"/>
    <n v="115.25"/>
    <m/>
    <m/>
    <m/>
    <m/>
  </r>
  <r>
    <x v="4"/>
    <x v="12"/>
    <s v="S12000035"/>
    <n v="205"/>
    <n v="1662"/>
    <n v="15"/>
    <n v="154.75"/>
    <m/>
    <m/>
    <m/>
    <m/>
  </r>
  <r>
    <x v="4"/>
    <x v="0"/>
    <s v="S12000011"/>
    <n v="34"/>
    <n v="234"/>
    <n v="2"/>
    <n v="18.75"/>
    <m/>
    <m/>
    <m/>
    <m/>
  </r>
  <r>
    <x v="4"/>
    <x v="1"/>
    <s v="S12000017"/>
    <n v="172"/>
    <n v="1061.75"/>
    <n v="24"/>
    <n v="392.5"/>
    <n v="1"/>
    <n v="70.75"/>
    <n v="7"/>
    <n v="123"/>
  </r>
  <r>
    <x v="4"/>
    <x v="2"/>
    <s v="S12000018"/>
    <n v="73"/>
    <n v="338.75"/>
    <n v="5"/>
    <n v="63"/>
    <n v="1"/>
    <n v="33.25"/>
    <m/>
    <m/>
  </r>
  <r>
    <x v="4"/>
    <x v="15"/>
    <s v="S12000026"/>
    <n v="202"/>
    <n v="998.75"/>
    <n v="17"/>
    <n v="142.5"/>
    <m/>
    <m/>
    <m/>
    <m/>
  </r>
  <r>
    <x v="5"/>
    <x v="25"/>
    <s v="S12000036"/>
    <n v="631"/>
    <m/>
    <n v="17"/>
    <m/>
    <m/>
    <m/>
    <n v="1"/>
    <m/>
  </r>
  <r>
    <x v="5"/>
    <x v="22"/>
    <s v="S12000006"/>
    <n v="429"/>
    <m/>
    <n v="6"/>
    <m/>
    <m/>
    <m/>
    <m/>
    <m/>
  </r>
  <r>
    <x v="5"/>
    <x v="7"/>
    <s v="S12000038"/>
    <n v="140"/>
    <m/>
    <n v="9"/>
    <m/>
    <m/>
    <m/>
    <m/>
    <m/>
  </r>
  <r>
    <x v="5"/>
    <x v="29"/>
    <s v="S12000040"/>
    <n v="173"/>
    <m/>
    <n v="1"/>
    <m/>
    <n v="1"/>
    <m/>
    <m/>
    <m/>
  </r>
  <r>
    <x v="6"/>
    <x v="17"/>
    <s v="S12000033"/>
    <n v="176"/>
    <n v="1044.75"/>
    <n v="5"/>
    <n v="24.25"/>
    <m/>
    <m/>
    <n v="1"/>
    <n v="20"/>
  </r>
  <r>
    <x v="6"/>
    <x v="13"/>
    <s v="S12000008"/>
    <n v="67"/>
    <n v="266.75"/>
    <n v="2"/>
    <n v="17.5"/>
    <m/>
    <m/>
    <m/>
    <m/>
  </r>
  <r>
    <x v="6"/>
    <x v="23"/>
    <s v="S12000023"/>
    <n v="8"/>
    <n v="37.75"/>
    <n v="1"/>
    <n v="34.75"/>
    <m/>
    <m/>
    <m/>
    <m/>
  </r>
  <r>
    <x v="6"/>
    <x v="10"/>
    <s v="S12000027"/>
    <n v="10"/>
    <n v="101.75"/>
    <m/>
    <m/>
    <m/>
    <m/>
    <m/>
    <m/>
  </r>
  <r>
    <x v="6"/>
    <x v="8"/>
    <s v="S12000028"/>
    <n v="120"/>
    <n v="791.75"/>
    <n v="2"/>
    <n v="7.75"/>
    <m/>
    <m/>
    <m/>
    <m/>
  </r>
  <r>
    <x v="7"/>
    <x v="13"/>
    <s v="S12000008"/>
    <n v="110"/>
    <n v="650"/>
    <m/>
    <m/>
    <m/>
    <m/>
    <m/>
    <m/>
  </r>
  <r>
    <x v="7"/>
    <x v="6"/>
    <s v="S12000020"/>
    <n v="56"/>
    <n v="597.75"/>
    <n v="3"/>
    <n v="53.75"/>
    <m/>
    <m/>
    <m/>
    <m/>
  </r>
  <r>
    <x v="7"/>
    <x v="33"/>
    <s v="S12000013"/>
    <n v="4"/>
    <n v="16"/>
    <m/>
    <m/>
    <m/>
    <m/>
    <m/>
    <m/>
  </r>
  <r>
    <x v="7"/>
    <x v="3"/>
    <s v="S12000021"/>
    <n v="151"/>
    <n v="1309.75"/>
    <n v="2"/>
    <n v="43"/>
    <m/>
    <m/>
    <m/>
    <m/>
  </r>
  <r>
    <x v="7"/>
    <x v="27"/>
    <s v="S12000044"/>
    <n v="179"/>
    <n v="630.25"/>
    <n v="6"/>
    <n v="30"/>
    <m/>
    <m/>
    <m/>
    <m/>
  </r>
  <r>
    <x v="7"/>
    <x v="23"/>
    <s v="S12000023"/>
    <n v="15"/>
    <n v="208.5"/>
    <m/>
    <m/>
    <m/>
    <m/>
    <m/>
    <m/>
  </r>
  <r>
    <x v="8"/>
    <x v="12"/>
    <s v="S12000035"/>
    <n v="357"/>
    <n v="1988.5"/>
    <n v="22"/>
    <n v="418.25"/>
    <m/>
    <m/>
    <m/>
    <m/>
  </r>
  <r>
    <x v="8"/>
    <x v="5"/>
    <s v="S12000045"/>
    <n v="51"/>
    <n v="265.25"/>
    <n v="2"/>
    <n v="13.5"/>
    <m/>
    <m/>
    <m/>
    <m/>
  </r>
  <r>
    <x v="8"/>
    <x v="27"/>
    <s v="S12000044"/>
    <n v="192"/>
    <n v="860"/>
    <n v="5"/>
    <n v="26.75"/>
    <m/>
    <m/>
    <m/>
    <m/>
  </r>
  <r>
    <x v="9"/>
    <x v="19"/>
    <s v="S12000010"/>
    <n v="110"/>
    <n v="654.5"/>
    <n v="7"/>
    <n v="111.75"/>
    <n v="1"/>
    <n v="73.25"/>
    <n v="3"/>
    <n v="35"/>
  </r>
  <r>
    <x v="10"/>
    <x v="24"/>
    <s v="S12000034"/>
    <n v="336"/>
    <n v="2281.25"/>
    <n v="19"/>
    <n v="284.75"/>
    <m/>
    <m/>
    <n v="1"/>
    <n v="18.5"/>
  </r>
  <r>
    <x v="10"/>
    <x v="6"/>
    <s v="S12000020"/>
    <n v="99"/>
    <n v="742.75"/>
    <n v="11"/>
    <n v="240.25"/>
    <m/>
    <m/>
    <m/>
    <m/>
  </r>
  <r>
    <x v="10"/>
    <x v="7"/>
    <s v="S12000038"/>
    <n v="278"/>
    <n v="1165.75"/>
    <n v="2"/>
    <n v="11.25"/>
    <m/>
    <m/>
    <n v="1"/>
    <n v="0"/>
  </r>
  <r>
    <x v="10"/>
    <x v="10"/>
    <s v="S12000027"/>
    <n v="62"/>
    <n v="373.5"/>
    <n v="1"/>
    <n v="28"/>
    <m/>
    <m/>
    <m/>
    <m/>
  </r>
  <r>
    <x v="0"/>
    <x v="21"/>
    <s v="S12000042"/>
    <n v="456"/>
    <n v="1804.75"/>
    <n v="4"/>
    <n v="13.5"/>
    <m/>
    <m/>
    <m/>
    <m/>
  </r>
  <r>
    <x v="0"/>
    <x v="8"/>
    <s v="S12000028"/>
    <n v="239"/>
    <n v="1368.5"/>
    <n v="8"/>
    <n v="65.5"/>
    <m/>
    <m/>
    <m/>
    <m/>
  </r>
  <r>
    <x v="1"/>
    <x v="11"/>
    <s v="S12000041"/>
    <n v="167"/>
    <n v="768.25"/>
    <n v="7"/>
    <n v="62"/>
    <m/>
    <m/>
    <m/>
    <m/>
  </r>
  <r>
    <x v="1"/>
    <x v="22"/>
    <s v="S12000006"/>
    <n v="236"/>
    <n v="943.25"/>
    <n v="60"/>
    <n v="445.25"/>
    <m/>
    <m/>
    <m/>
    <m/>
  </r>
  <r>
    <x v="1"/>
    <x v="13"/>
    <s v="S12000008"/>
    <n v="131"/>
    <n v="1016"/>
    <n v="12"/>
    <n v="128.75"/>
    <n v="1"/>
    <n v="28.5"/>
    <m/>
    <m/>
  </r>
  <r>
    <x v="1"/>
    <x v="19"/>
    <s v="S12000010"/>
    <n v="143"/>
    <n v="628"/>
    <n v="13"/>
    <n v="106"/>
    <m/>
    <m/>
    <m/>
    <m/>
  </r>
  <r>
    <x v="1"/>
    <x v="15"/>
    <s v="S12000026"/>
    <n v="251"/>
    <n v="1101.75"/>
    <n v="39"/>
    <n v="303.5"/>
    <m/>
    <m/>
    <n v="1"/>
    <n v="5.5"/>
  </r>
  <r>
    <x v="2"/>
    <x v="24"/>
    <s v="S12000034"/>
    <n v="336"/>
    <n v="2384"/>
    <n v="26"/>
    <n v="277.5"/>
    <n v="1"/>
    <n v="6.5"/>
    <m/>
    <m/>
  </r>
  <r>
    <x v="2"/>
    <x v="11"/>
    <s v="S12000041"/>
    <n v="97"/>
    <n v="396"/>
    <n v="2"/>
    <n v="19.75"/>
    <m/>
    <m/>
    <m/>
    <m/>
  </r>
  <r>
    <x v="2"/>
    <x v="25"/>
    <s v="S12000036"/>
    <n v="733"/>
    <n v="2765"/>
    <n v="50"/>
    <n v="314"/>
    <n v="3"/>
    <n v="28"/>
    <n v="4"/>
    <n v="8.25"/>
  </r>
  <r>
    <x v="2"/>
    <x v="14"/>
    <s v="S12000046"/>
    <n v="1457"/>
    <n v="6398"/>
    <n v="105"/>
    <n v="596"/>
    <m/>
    <m/>
    <m/>
    <m/>
  </r>
  <r>
    <x v="2"/>
    <x v="29"/>
    <s v="S12000040"/>
    <n v="155"/>
    <n v="749"/>
    <n v="22"/>
    <n v="164.25"/>
    <m/>
    <m/>
    <m/>
    <m/>
  </r>
  <r>
    <x v="3"/>
    <x v="21"/>
    <s v="S12000042"/>
    <n v="299"/>
    <n v="1117.25"/>
    <n v="7"/>
    <n v="57.75"/>
    <m/>
    <m/>
    <n v="1"/>
    <n v="7"/>
  </r>
  <r>
    <x v="3"/>
    <x v="20"/>
    <s v="S12000014"/>
    <n v="148"/>
    <n v="843"/>
    <n v="11"/>
    <n v="143.25"/>
    <m/>
    <m/>
    <m/>
    <m/>
  </r>
  <r>
    <x v="3"/>
    <x v="6"/>
    <s v="S12000020"/>
    <n v="207"/>
    <n v="1131.25"/>
    <n v="9"/>
    <n v="130.75"/>
    <m/>
    <m/>
    <m/>
    <m/>
  </r>
  <r>
    <x v="3"/>
    <x v="28"/>
    <s v="S12000024"/>
    <n v="284"/>
    <n v="1240.75"/>
    <n v="9"/>
    <n v="81.25"/>
    <m/>
    <m/>
    <m/>
    <m/>
  </r>
  <r>
    <x v="4"/>
    <x v="13"/>
    <s v="S12000008"/>
    <n v="138"/>
    <n v="837.25"/>
    <n v="7"/>
    <n v="59"/>
    <m/>
    <m/>
    <m/>
    <m/>
  </r>
  <r>
    <x v="4"/>
    <x v="16"/>
    <s v="S12000030"/>
    <n v="190"/>
    <n v="759"/>
    <n v="3"/>
    <n v="38.75"/>
    <m/>
    <m/>
    <m/>
    <m/>
  </r>
  <r>
    <x v="5"/>
    <x v="3"/>
    <s v="S12000021"/>
    <n v="145"/>
    <m/>
    <n v="3"/>
    <m/>
    <m/>
    <m/>
    <m/>
    <m/>
  </r>
  <r>
    <x v="6"/>
    <x v="9"/>
    <s v="S12000005"/>
    <n v="35"/>
    <n v="206.25"/>
    <m/>
    <m/>
    <m/>
    <m/>
    <m/>
    <m/>
  </r>
  <r>
    <x v="6"/>
    <x v="5"/>
    <s v="S12000045"/>
    <n v="45"/>
    <n v="153.5"/>
    <m/>
    <m/>
    <m/>
    <m/>
    <m/>
    <m/>
  </r>
  <r>
    <x v="6"/>
    <x v="2"/>
    <s v="S12000018"/>
    <n v="29"/>
    <n v="163"/>
    <m/>
    <m/>
    <m/>
    <m/>
    <m/>
    <m/>
  </r>
  <r>
    <x v="6"/>
    <x v="28"/>
    <s v="S12000048"/>
    <n v="152"/>
    <n v="697"/>
    <m/>
    <m/>
    <m/>
    <m/>
    <m/>
    <m/>
  </r>
  <r>
    <x v="6"/>
    <x v="15"/>
    <s v="S12000026"/>
    <n v="63"/>
    <n v="350"/>
    <n v="3"/>
    <n v="49.5"/>
    <m/>
    <m/>
    <m/>
    <m/>
  </r>
  <r>
    <x v="6"/>
    <x v="4"/>
    <s v="S12000029"/>
    <n v="141"/>
    <n v="1621"/>
    <n v="4"/>
    <n v="64.75"/>
    <m/>
    <m/>
    <m/>
    <m/>
  </r>
  <r>
    <x v="7"/>
    <x v="25"/>
    <s v="S12000036"/>
    <n v="692"/>
    <n v="3146.25"/>
    <n v="18"/>
    <n v="259.5"/>
    <m/>
    <m/>
    <n v="1"/>
    <n v="13"/>
  </r>
  <r>
    <x v="7"/>
    <x v="26"/>
    <s v="S12000015"/>
    <n v="365"/>
    <n v="1707.75"/>
    <n v="5"/>
    <n v="90.25"/>
    <m/>
    <m/>
    <n v="3"/>
    <n v="16.25"/>
  </r>
  <r>
    <x v="7"/>
    <x v="30"/>
    <s v="S12000019"/>
    <n v="83"/>
    <n v="501"/>
    <n v="5"/>
    <n v="92.25"/>
    <n v="1"/>
    <n v="65"/>
    <m/>
    <m/>
  </r>
  <r>
    <x v="7"/>
    <x v="7"/>
    <s v="S12000038"/>
    <n v="94"/>
    <n v="625"/>
    <n v="1"/>
    <n v="6.25"/>
    <m/>
    <m/>
    <m/>
    <m/>
  </r>
  <r>
    <x v="7"/>
    <x v="16"/>
    <s v="S12000030"/>
    <n v="171"/>
    <n v="815.25"/>
    <n v="4"/>
    <n v="42.75"/>
    <m/>
    <m/>
    <m/>
    <m/>
  </r>
  <r>
    <x v="8"/>
    <x v="17"/>
    <s v="S12000033"/>
    <n v="350"/>
    <n v="2702.5"/>
    <n v="7"/>
    <n v="130.75"/>
    <m/>
    <m/>
    <m/>
    <m/>
  </r>
  <r>
    <x v="8"/>
    <x v="13"/>
    <s v="S12000008"/>
    <n v="146"/>
    <n v="706"/>
    <n v="4"/>
    <n v="42.5"/>
    <m/>
    <m/>
    <m/>
    <m/>
  </r>
  <r>
    <x v="8"/>
    <x v="0"/>
    <s v="S12000011"/>
    <n v="49"/>
    <n v="290.5"/>
    <m/>
    <m/>
    <m/>
    <m/>
    <m/>
    <m/>
  </r>
  <r>
    <x v="8"/>
    <x v="2"/>
    <s v="S12000018"/>
    <n v="73"/>
    <n v="511.75"/>
    <m/>
    <m/>
    <m/>
    <m/>
    <m/>
    <m/>
  </r>
  <r>
    <x v="8"/>
    <x v="6"/>
    <s v="S12000020"/>
    <n v="139"/>
    <n v="1163"/>
    <n v="12"/>
    <n v="258.25"/>
    <m/>
    <m/>
    <m/>
    <m/>
  </r>
  <r>
    <x v="9"/>
    <x v="25"/>
    <s v="S12000036"/>
    <n v="523"/>
    <n v="2808"/>
    <n v="41"/>
    <n v="513"/>
    <n v="1"/>
    <n v="30.25"/>
    <n v="1"/>
    <m/>
  </r>
  <r>
    <x v="9"/>
    <x v="9"/>
    <s v="S12000005"/>
    <n v="24"/>
    <n v="154.75"/>
    <n v="1"/>
    <n v="4.75"/>
    <m/>
    <m/>
    <m/>
    <m/>
  </r>
  <r>
    <x v="9"/>
    <x v="1"/>
    <s v="S12000017"/>
    <n v="348"/>
    <n v="2388.75"/>
    <n v="14"/>
    <n v="500.25"/>
    <m/>
    <m/>
    <n v="2"/>
    <n v="108.75"/>
  </r>
  <r>
    <x v="9"/>
    <x v="18"/>
    <s v="S12000013"/>
    <n v="33"/>
    <n v="186.75"/>
    <n v="1"/>
    <n v="12.25"/>
    <m/>
    <m/>
    <m/>
    <m/>
  </r>
  <r>
    <x v="9"/>
    <x v="27"/>
    <s v="S12000044"/>
    <n v="423"/>
    <n v="1918.25"/>
    <n v="8"/>
    <n v="61.75"/>
    <m/>
    <m/>
    <m/>
    <m/>
  </r>
  <r>
    <x v="9"/>
    <x v="15"/>
    <s v="S12000026"/>
    <n v="146"/>
    <n v="737.5"/>
    <n v="14"/>
    <n v="142.75"/>
    <m/>
    <m/>
    <m/>
    <m/>
  </r>
  <r>
    <x v="10"/>
    <x v="11"/>
    <s v="S12000041"/>
    <n v="69"/>
    <n v="380.75"/>
    <n v="1"/>
    <n v="6.75"/>
    <m/>
    <m/>
    <m/>
    <m/>
  </r>
  <r>
    <x v="10"/>
    <x v="25"/>
    <s v="S12000036"/>
    <n v="655"/>
    <n v="3002.5"/>
    <n v="51"/>
    <n v="430.75"/>
    <m/>
    <m/>
    <m/>
    <m/>
  </r>
  <r>
    <x v="10"/>
    <x v="18"/>
    <s v="S12000013"/>
    <n v="35"/>
    <n v="226.75"/>
    <n v="1"/>
    <n v="14.75"/>
    <m/>
    <m/>
    <m/>
    <m/>
  </r>
  <r>
    <x v="10"/>
    <x v="27"/>
    <s v="S12000044"/>
    <n v="336"/>
    <n v="1735"/>
    <n v="8"/>
    <n v="44"/>
    <m/>
    <m/>
    <n v="1"/>
    <n v="31"/>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n v="29016"/>
    <n v="41785"/>
    <n v="70801"/>
    <n v="44321"/>
    <n v="27955"/>
    <n v="16366"/>
  </r>
  <r>
    <x v="1"/>
    <n v="24462"/>
    <n v="44740"/>
    <n v="69202"/>
    <n v="37549"/>
    <n v="25645"/>
    <n v="11904"/>
  </r>
  <r>
    <x v="2"/>
    <n v="7679"/>
    <n v="12319"/>
    <n v="19998"/>
    <n v="12535"/>
    <n v="8696"/>
    <n v="3839"/>
  </r>
  <r>
    <x v="3"/>
    <n v="27754"/>
    <n v="42077"/>
    <n v="69831"/>
    <n v="42385"/>
    <n v="28114"/>
    <n v="14271"/>
  </r>
  <r>
    <x v="4"/>
    <n v="22292"/>
    <n v="46945"/>
    <n v="69237"/>
    <n v="34610"/>
    <n v="24016"/>
    <n v="10594"/>
  </r>
  <r>
    <x v="5"/>
    <n v="26013"/>
    <n v="30238"/>
    <n v="56251"/>
    <n v="44122"/>
    <m/>
    <m/>
  </r>
  <r>
    <x v="6"/>
    <n v="5940"/>
    <n v="30802"/>
    <n v="36742"/>
    <n v="15794"/>
    <n v="11486"/>
    <n v="4308"/>
  </r>
  <r>
    <x v="7"/>
    <n v="4241"/>
    <n v="29848"/>
    <n v="34089"/>
    <n v="11728"/>
    <n v="7881"/>
    <n v="2913"/>
  </r>
  <r>
    <x v="8"/>
    <n v="29576"/>
    <n v="41472"/>
    <n v="71048"/>
    <n v="46164"/>
    <n v="30359"/>
    <n v="15805"/>
  </r>
  <r>
    <x v="9"/>
    <n v="6764"/>
    <n v="31935"/>
    <n v="38699"/>
    <n v="15690"/>
    <m/>
    <m/>
  </r>
  <r>
    <x v="10"/>
    <n v="33998"/>
    <n v="18732"/>
    <n v="52730"/>
    <m/>
    <m/>
    <m/>
  </r>
  <r>
    <x v="11"/>
    <n v="26986"/>
    <n v="38729"/>
    <n v="65715"/>
    <n v="41832"/>
    <n v="28032"/>
    <n v="13800"/>
  </r>
  <r>
    <x v="12"/>
    <n v="28846"/>
    <n v="27699"/>
    <n v="56545"/>
    <n v="46395"/>
    <m/>
    <m/>
  </r>
  <r>
    <x v="13"/>
    <n v="28338"/>
    <n v="43379"/>
    <n v="71717"/>
    <n v="43710"/>
    <n v="28897"/>
    <n v="14813"/>
  </r>
  <r>
    <x v="14"/>
    <n v="16504"/>
    <n v="27692"/>
    <n v="44196"/>
    <n v="45586"/>
    <m/>
    <m/>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4">
  <r>
    <x v="0"/>
    <x v="0"/>
    <s v="S12000038"/>
    <n v="1030"/>
    <n v="1105"/>
    <n v="2135"/>
    <n v="905"/>
    <n v="674"/>
    <n v="1579"/>
    <n v="85724"/>
    <n v="2.4910000000000001"/>
    <n v="1.8420000000000001"/>
    <n v="84025"/>
    <n v="2.5409999999999999"/>
    <n v="1.879"/>
  </r>
  <r>
    <x v="1"/>
    <x v="1"/>
    <s v="S12000013"/>
    <n v="123"/>
    <n v="226"/>
    <n v="349"/>
    <n v="181"/>
    <n v="15"/>
    <n v="196"/>
    <n v="14490"/>
    <n v="2.4089999999999998"/>
    <n v="1.353"/>
    <n v="12924"/>
    <n v="2.7"/>
    <n v="1.5169999999999999"/>
  </r>
  <r>
    <x v="2"/>
    <x v="1"/>
    <s v="S12000013"/>
    <m/>
    <m/>
    <n v="134"/>
    <m/>
    <m/>
    <m/>
    <n v="14975"/>
    <n v="0.89500000000000002"/>
    <m/>
    <n v="12986"/>
    <n v="1.032"/>
    <m/>
  </r>
  <r>
    <x v="1"/>
    <x v="2"/>
    <s v="S12000045"/>
    <n v="554"/>
    <n v="307"/>
    <n v="861"/>
    <n v="757"/>
    <n v="209"/>
    <n v="966"/>
    <n v="44864"/>
    <n v="1.919"/>
    <n v="2.153"/>
    <n v="44102"/>
    <n v="1.952"/>
    <n v="2.19"/>
  </r>
  <r>
    <x v="3"/>
    <x v="3"/>
    <s v="S12000046"/>
    <n v="2973"/>
    <n v="5059"/>
    <n v="8032"/>
    <n v="3089"/>
    <n v="982"/>
    <n v="4071"/>
    <n v="308293"/>
    <n v="2.605"/>
    <n v="1.32"/>
    <n v="291115"/>
    <n v="2.7589999999999999"/>
    <n v="1.3980000000000001"/>
  </r>
  <r>
    <x v="4"/>
    <x v="4"/>
    <s v="S12000010"/>
    <m/>
    <m/>
    <n v="646"/>
    <m/>
    <m/>
    <m/>
    <n v="50641"/>
    <n v="1.276"/>
    <m/>
    <n v="48440"/>
    <n v="1.3340000000000001"/>
    <m/>
  </r>
  <r>
    <x v="2"/>
    <x v="5"/>
    <s v="S12000034"/>
    <m/>
    <m/>
    <n v="1211"/>
    <m/>
    <m/>
    <m/>
    <n v="121610"/>
    <n v="0.996"/>
    <m/>
    <n v="114897"/>
    <n v="1.054"/>
    <m/>
  </r>
  <r>
    <x v="5"/>
    <x v="6"/>
    <m/>
    <n v="270"/>
    <n v="1707"/>
    <n v="1977"/>
    <n v="574"/>
    <n v="162"/>
    <n v="859"/>
    <m/>
    <m/>
    <m/>
    <n v="150643.15462185504"/>
    <n v="1.3120000000000001"/>
    <n v="0.56999999999999995"/>
  </r>
  <r>
    <x v="6"/>
    <x v="1"/>
    <s v="S12000013"/>
    <n v="112"/>
    <n v="274"/>
    <n v="386"/>
    <n v="132"/>
    <n v="29"/>
    <n v="161"/>
    <n v="14706"/>
    <n v="2.625"/>
    <n v="1.095"/>
    <n v="12773"/>
    <n v="3.0219999999999998"/>
    <n v="1.26"/>
  </r>
  <r>
    <x v="1"/>
    <x v="7"/>
    <s v="S12000030"/>
    <n v="265"/>
    <n v="607"/>
    <n v="872"/>
    <n v="297"/>
    <n v="113"/>
    <n v="410"/>
    <n v="39965"/>
    <n v="2.1819999999999999"/>
    <n v="1.026"/>
    <n v="38056"/>
    <n v="2.2909999999999999"/>
    <n v="1.077"/>
  </r>
  <r>
    <x v="4"/>
    <x v="3"/>
    <s v="S12000046"/>
    <m/>
    <m/>
    <n v="4705"/>
    <m/>
    <m/>
    <m/>
    <n v="319810"/>
    <n v="1.4710000000000001"/>
    <m/>
    <n v="298847"/>
    <n v="1.5739999999999998"/>
    <m/>
  </r>
  <r>
    <x v="6"/>
    <x v="5"/>
    <s v="S12000034"/>
    <n v="564"/>
    <n v="1206"/>
    <n v="1770"/>
    <n v="618"/>
    <n v="336"/>
    <n v="954"/>
    <n v="118197"/>
    <n v="1.4969999999999999"/>
    <n v="0.80700000000000005"/>
    <n v="111156"/>
    <n v="1.5920000000000001"/>
    <n v="0.85799999999999998"/>
  </r>
  <r>
    <x v="3"/>
    <x v="4"/>
    <s v="S12000010"/>
    <n v="540"/>
    <n v="494"/>
    <n v="1034"/>
    <n v="544"/>
    <n v="339"/>
    <n v="883"/>
    <n v="47407"/>
    <n v="2.181"/>
    <n v="1.863"/>
    <n v="45301"/>
    <n v="2.2829999999999999"/>
    <n v="1.9489999999999998"/>
  </r>
  <r>
    <x v="6"/>
    <x v="8"/>
    <s v="S12000014"/>
    <n v="533"/>
    <n v="1326"/>
    <n v="1859"/>
    <n v="606"/>
    <n v="192"/>
    <n v="798"/>
    <n v="74826"/>
    <n v="2.484"/>
    <n v="1.0660000000000001"/>
    <n v="72267"/>
    <n v="2.5720000000000001"/>
    <n v="1.1040000000000001"/>
  </r>
  <r>
    <x v="7"/>
    <x v="6"/>
    <m/>
    <n v="424"/>
    <n v="1895"/>
    <n v="2319"/>
    <n v="943"/>
    <n v="264"/>
    <n v="1207"/>
    <n v="158594"/>
    <n v="1.462"/>
    <n v="0.76100000000000001"/>
    <n v="149454"/>
    <n v="1.552"/>
    <n v="0.80800000000000005"/>
  </r>
  <r>
    <x v="8"/>
    <x v="7"/>
    <s v="S12000030"/>
    <n v="352"/>
    <n v="667"/>
    <n v="1019"/>
    <n v="391"/>
    <n v="166"/>
    <n v="557"/>
    <n v="40320"/>
    <n v="2.5270000000000001"/>
    <n v="1.381"/>
    <n v="38310"/>
    <n v="2.66"/>
    <n v="1.454"/>
  </r>
  <r>
    <x v="1"/>
    <x v="8"/>
    <s v="S12000014"/>
    <n v="552"/>
    <n v="1169"/>
    <n v="1721"/>
    <n v="614"/>
    <n v="186"/>
    <n v="800"/>
    <n v="72128"/>
    <n v="2.3860000000000001"/>
    <n v="1.109"/>
    <n v="69443"/>
    <n v="2.4779999999999998"/>
    <n v="1.1519999999999999"/>
  </r>
  <r>
    <x v="9"/>
    <x v="0"/>
    <s v="S12000038"/>
    <n v="333"/>
    <n v="352"/>
    <n v="685"/>
    <n v="424"/>
    <n v="124"/>
    <n v="548"/>
    <n v="88624"/>
    <n v="0.77300000000000002"/>
    <n v="0.61799999999999999"/>
    <n v="87241"/>
    <n v="0.78500000000000003"/>
    <n v="0.628"/>
  </r>
  <r>
    <x v="10"/>
    <x v="9"/>
    <s v="S12000035"/>
    <n v="667"/>
    <n v="980"/>
    <n v="1647"/>
    <n v="562"/>
    <n v="512"/>
    <n v="1074"/>
    <n v="47712"/>
    <n v="3.452"/>
    <n v="2.2509999999999999"/>
    <n v="40938"/>
    <n v="4.0229999999999997"/>
    <n v="2.6230000000000002"/>
  </r>
  <r>
    <x v="1"/>
    <x v="5"/>
    <s v="S12000034"/>
    <n v="567"/>
    <n v="789"/>
    <n v="1356"/>
    <n v="497"/>
    <n v="391"/>
    <n v="888"/>
    <n v="112867"/>
    <n v="1.2010000000000001"/>
    <n v="0.78700000000000003"/>
    <n v="107128"/>
    <n v="1.266"/>
    <n v="0.82899999999999996"/>
  </r>
  <r>
    <x v="2"/>
    <x v="10"/>
    <s v="S12000005"/>
    <m/>
    <m/>
    <n v="428"/>
    <m/>
    <m/>
    <m/>
    <n v="25109"/>
    <n v="1.7050000000000001"/>
    <m/>
    <n v="24157"/>
    <n v="1.772"/>
    <m/>
  </r>
  <r>
    <x v="7"/>
    <x v="11"/>
    <m/>
    <n v="264"/>
    <n v="829"/>
    <n v="1093"/>
    <n v="597"/>
    <n v="105"/>
    <n v="702"/>
    <n v="59737"/>
    <n v="1.83"/>
    <n v="1.175"/>
    <n v="55811"/>
    <n v="1.958"/>
    <n v="1.258"/>
  </r>
  <r>
    <x v="9"/>
    <x v="3"/>
    <s v="S12000046"/>
    <n v="767"/>
    <n v="1321"/>
    <n v="2088"/>
    <n v="901"/>
    <n v="243"/>
    <n v="1144"/>
    <n v="317193"/>
    <n v="0.65800000000000003"/>
    <n v="0.36099999999999999"/>
    <n v="295761"/>
    <n v="0.70599999999999996"/>
    <n v="0.38700000000000001"/>
  </r>
  <r>
    <x v="8"/>
    <x v="12"/>
    <s v="S12000017"/>
    <n v="962"/>
    <n v="2623"/>
    <n v="3585"/>
    <n v="1042"/>
    <n v="500"/>
    <n v="1542"/>
    <n v="114603"/>
    <n v="3.1280000000000001"/>
    <n v="1.3460000000000001"/>
    <n v="105711"/>
    <n v="3.391"/>
    <n v="1.4590000000000001"/>
  </r>
  <r>
    <x v="11"/>
    <x v="5"/>
    <s v="S12000034"/>
    <n v="699"/>
    <n v="1579"/>
    <n v="2278"/>
    <n v="731"/>
    <n v="413"/>
    <n v="1144"/>
    <n v="119196"/>
    <n v="1.911"/>
    <n v="0.96"/>
    <n v="112114"/>
    <n v="2.032"/>
    <n v="1.02"/>
  </r>
  <r>
    <x v="5"/>
    <x v="5"/>
    <m/>
    <n v="85"/>
    <n v="904"/>
    <n v="989"/>
    <n v="147"/>
    <n v="94"/>
    <n v="247"/>
    <m/>
    <m/>
    <m/>
    <n v="117418.94062026255"/>
    <n v="0.84199999999999997"/>
    <n v="0.21"/>
  </r>
  <r>
    <x v="0"/>
    <x v="3"/>
    <s v="S12000046"/>
    <n v="2485"/>
    <n v="3499"/>
    <n v="5984"/>
    <n v="2530"/>
    <n v="949"/>
    <n v="3479"/>
    <n v="306000"/>
    <n v="1.956"/>
    <n v="1.137"/>
    <n v="289399"/>
    <n v="2.0680000000000001"/>
    <n v="1.202"/>
  </r>
  <r>
    <x v="5"/>
    <x v="8"/>
    <m/>
    <n v="159"/>
    <n v="880"/>
    <n v="1039"/>
    <n v="315"/>
    <n v="93"/>
    <n v="469"/>
    <m/>
    <m/>
    <m/>
    <n v="73237.002643969041"/>
    <n v="1.419"/>
    <n v="0.64"/>
  </r>
  <r>
    <x v="9"/>
    <x v="4"/>
    <s v="S12000010"/>
    <n v="124"/>
    <n v="154"/>
    <n v="278"/>
    <n v="162"/>
    <n v="64"/>
    <n v="226"/>
    <n v="49642"/>
    <n v="0.56000000000000005"/>
    <n v="0.45500000000000002"/>
    <n v="47482"/>
    <n v="0.58499999999999996"/>
    <n v="0.47599999999999998"/>
  </r>
  <r>
    <x v="4"/>
    <x v="10"/>
    <s v="S12000005"/>
    <m/>
    <m/>
    <n v="520"/>
    <m/>
    <m/>
    <m/>
    <n v="24931"/>
    <n v="2.0859999999999999"/>
    <m/>
    <n v="24077"/>
    <n v="2.16"/>
    <m/>
  </r>
  <r>
    <x v="6"/>
    <x v="10"/>
    <s v="S12000005"/>
    <n v="219"/>
    <n v="372"/>
    <n v="591"/>
    <n v="235"/>
    <n v="82"/>
    <n v="317"/>
    <n v="24524"/>
    <n v="2.41"/>
    <n v="1.2929999999999999"/>
    <n v="23674"/>
    <n v="2.496"/>
    <n v="1.339"/>
  </r>
  <r>
    <x v="5"/>
    <x v="11"/>
    <m/>
    <n v="166"/>
    <n v="776"/>
    <n v="942"/>
    <n v="323"/>
    <n v="68"/>
    <n v="422"/>
    <m/>
    <m/>
    <m/>
    <n v="56161.646355943558"/>
    <n v="1.677"/>
    <n v="0.751"/>
  </r>
  <r>
    <x v="5"/>
    <x v="13"/>
    <m/>
    <n v="59"/>
    <n v="543"/>
    <n v="602"/>
    <n v="118"/>
    <n v="29"/>
    <n v="169"/>
    <m/>
    <m/>
    <m/>
    <n v="71441.31977787464"/>
    <n v="0.84299999999999997"/>
    <n v="0.23699999999999999"/>
  </r>
  <r>
    <x v="10"/>
    <x v="12"/>
    <s v="S12000017"/>
    <n v="1073"/>
    <n v="2605"/>
    <n v="3678"/>
    <n v="1225"/>
    <n v="526"/>
    <n v="1751"/>
    <n v="115538"/>
    <n v="3.1829999999999998"/>
    <n v="1.516"/>
    <n v="106834"/>
    <n v="3.4430000000000001"/>
    <n v="1.639"/>
  </r>
  <r>
    <x v="11"/>
    <x v="14"/>
    <s v="S12000020"/>
    <n v="483"/>
    <n v="1205"/>
    <n v="1688"/>
    <n v="500"/>
    <n v="377"/>
    <n v="877"/>
    <n v="45630"/>
    <n v="3.6989999999999998"/>
    <n v="1.9220000000000002"/>
    <n v="42932"/>
    <n v="3.9319999999999999"/>
    <n v="2.0430000000000001"/>
  </r>
  <r>
    <x v="11"/>
    <x v="4"/>
    <s v="S12000010"/>
    <n v="372"/>
    <n v="530"/>
    <n v="902"/>
    <n v="448"/>
    <n v="151"/>
    <n v="599"/>
    <n v="48851"/>
    <n v="1.8460000000000001"/>
    <n v="1.226"/>
    <n v="46771"/>
    <n v="1.929"/>
    <n v="1.2810000000000001"/>
  </r>
  <r>
    <x v="11"/>
    <x v="11"/>
    <s v="S12000008"/>
    <n v="423"/>
    <n v="680"/>
    <n v="1103"/>
    <n v="487"/>
    <n v="216"/>
    <n v="703"/>
    <n v="58628"/>
    <n v="1.881"/>
    <n v="1.1990000000000001"/>
    <n v="55387"/>
    <n v="1.9910000000000001"/>
    <n v="1.2690000000000001"/>
  </r>
  <r>
    <x v="1"/>
    <x v="12"/>
    <s v="S12000017"/>
    <n v="1287"/>
    <n v="2547"/>
    <n v="3834"/>
    <n v="1317"/>
    <n v="724"/>
    <n v="2041"/>
    <n v="113703"/>
    <n v="3.3719999999999999"/>
    <n v="1.7949999999999999"/>
    <n v="104445"/>
    <n v="3.6710000000000003"/>
    <n v="1.954"/>
  </r>
  <r>
    <x v="7"/>
    <x v="5"/>
    <m/>
    <n v="108"/>
    <n v="1156"/>
    <n v="1264"/>
    <n v="253"/>
    <n v="62"/>
    <n v="315"/>
    <n v="122524"/>
    <n v="1.032"/>
    <n v="0.25700000000000001"/>
    <n v="116807"/>
    <n v="1.0820000000000001"/>
    <n v="0.27"/>
  </r>
  <r>
    <x v="7"/>
    <x v="13"/>
    <m/>
    <n v="110"/>
    <n v="642"/>
    <n v="752"/>
    <n v="258"/>
    <n v="52"/>
    <n v="310"/>
    <n v="76136"/>
    <n v="0.98799999999999999"/>
    <n v="0.40699999999999997"/>
    <n v="70837"/>
    <n v="1.0620000000000001"/>
    <n v="0.438"/>
  </r>
  <r>
    <x v="2"/>
    <x v="8"/>
    <s v="S12000014"/>
    <m/>
    <m/>
    <n v="930"/>
    <m/>
    <m/>
    <m/>
    <n v="76359"/>
    <n v="1.218"/>
    <m/>
    <n v="73646"/>
    <n v="1.2629999999999999"/>
    <m/>
  </r>
  <r>
    <x v="7"/>
    <x v="15"/>
    <m/>
    <n v="129"/>
    <n v="775"/>
    <n v="904"/>
    <n v="261"/>
    <n v="97"/>
    <n v="358"/>
    <n v="59974"/>
    <n v="1.5070000000000001"/>
    <n v="0.59699999999999998"/>
    <n v="55826"/>
    <n v="1.619"/>
    <n v="0.64100000000000001"/>
  </r>
  <r>
    <x v="6"/>
    <x v="16"/>
    <s v="S12000018"/>
    <n v="635"/>
    <n v="894"/>
    <n v="1529"/>
    <n v="575"/>
    <n v="360"/>
    <n v="935"/>
    <n v="38985"/>
    <n v="3.9220000000000002"/>
    <n v="2.3980000000000001"/>
    <n v="37640"/>
    <n v="4.0620000000000003"/>
    <n v="2.484"/>
  </r>
  <r>
    <x v="10"/>
    <x v="17"/>
    <s v="S12000044"/>
    <n v="1654"/>
    <n v="2505"/>
    <n v="4159"/>
    <n v="2213"/>
    <n v="542"/>
    <n v="2755"/>
    <n v="152293"/>
    <n v="2.7309999999999999"/>
    <n v="1.8090000000000002"/>
    <n v="149282"/>
    <n v="2.786"/>
    <n v="1.8460000000000001"/>
  </r>
  <r>
    <x v="1"/>
    <x v="16"/>
    <s v="S12000018"/>
    <n v="649"/>
    <n v="595"/>
    <n v="1244"/>
    <n v="626"/>
    <n v="354"/>
    <n v="980"/>
    <n v="38791"/>
    <n v="3.2069999999999999"/>
    <n v="2.5259999999999998"/>
    <n v="37337"/>
    <n v="3.3319999999999999"/>
    <n v="2.625"/>
  </r>
  <r>
    <x v="0"/>
    <x v="6"/>
    <s v="S12000029"/>
    <n v="1304"/>
    <n v="2091"/>
    <n v="3395"/>
    <n v="1516"/>
    <n v="593"/>
    <n v="2109"/>
    <n v="148771"/>
    <n v="2.282"/>
    <n v="1.4179999999999999"/>
    <n v="144148"/>
    <n v="2.355"/>
    <n v="1.4630000000000001"/>
  </r>
  <r>
    <x v="0"/>
    <x v="18"/>
    <s v="S12000021"/>
    <n v="905"/>
    <n v="1053"/>
    <n v="1958"/>
    <n v="831"/>
    <n v="575"/>
    <n v="1406"/>
    <n v="67800"/>
    <n v="2.8879999999999999"/>
    <n v="2.0739999999999998"/>
    <n v="63440"/>
    <n v="3.0859999999999999"/>
    <n v="2.2160000000000002"/>
  </r>
  <r>
    <x v="9"/>
    <x v="18"/>
    <s v="S12000021"/>
    <n v="230"/>
    <n v="321"/>
    <n v="551"/>
    <n v="255"/>
    <n v="150"/>
    <n v="405"/>
    <n v="68843"/>
    <n v="0.8"/>
    <n v="0.58799999999999997"/>
    <n v="64415"/>
    <n v="0.85499999999999998"/>
    <n v="0.629"/>
  </r>
  <r>
    <x v="4"/>
    <x v="8"/>
    <s v="S12000014"/>
    <m/>
    <m/>
    <n v="1070"/>
    <m/>
    <m/>
    <m/>
    <n v="75942"/>
    <n v="1.409"/>
    <m/>
    <n v="73375"/>
    <n v="1.458"/>
    <m/>
  </r>
  <r>
    <x v="4"/>
    <x v="13"/>
    <s v="S12000024"/>
    <m/>
    <m/>
    <n v="849"/>
    <m/>
    <m/>
    <m/>
    <n v="74589"/>
    <n v="1.1379999999999999"/>
    <m/>
    <n v="70315"/>
    <n v="1.2070000000000001"/>
    <m/>
  </r>
  <r>
    <x v="2"/>
    <x v="19"/>
    <s v="S12000019"/>
    <m/>
    <m/>
    <n v="443"/>
    <m/>
    <m/>
    <m/>
    <n v="43231"/>
    <n v="1.0249999999999999"/>
    <m/>
    <n v="41676"/>
    <n v="1.0629999999999999"/>
    <m/>
  </r>
  <r>
    <x v="4"/>
    <x v="5"/>
    <s v="S12000034"/>
    <m/>
    <m/>
    <n v="1319"/>
    <m/>
    <m/>
    <m/>
    <n v="120682"/>
    <n v="1.093"/>
    <m/>
    <n v="113861"/>
    <n v="1.1579999999999999"/>
    <m/>
  </r>
  <r>
    <x v="9"/>
    <x v="6"/>
    <s v="S12000029"/>
    <n v="578"/>
    <n v="758"/>
    <n v="1336"/>
    <n v="744"/>
    <n v="232"/>
    <n v="976"/>
    <n v="153863"/>
    <n v="0.86799999999999999"/>
    <n v="0.63400000000000001"/>
    <n v="148483"/>
    <n v="0.9"/>
    <n v="0.65700000000000003"/>
  </r>
  <r>
    <x v="6"/>
    <x v="19"/>
    <s v="S12000019"/>
    <n v="394"/>
    <n v="606"/>
    <n v="1000"/>
    <n v="353"/>
    <n v="267"/>
    <n v="620"/>
    <n v="40612"/>
    <n v="2.4620000000000002"/>
    <n v="1.5270000000000001"/>
    <n v="39122"/>
    <n v="2.556"/>
    <n v="1.585"/>
  </r>
  <r>
    <x v="10"/>
    <x v="1"/>
    <s v="S12000013"/>
    <n v="114"/>
    <n v="205"/>
    <n v="319"/>
    <n v="144"/>
    <n v="41"/>
    <n v="185"/>
    <n v="14577"/>
    <n v="2.1880000000000002"/>
    <n v="1.2690000000000001"/>
    <n v="12968"/>
    <n v="2.46"/>
    <n v="1.427"/>
  </r>
  <r>
    <x v="1"/>
    <x v="20"/>
    <s v="S12000041"/>
    <n v="829"/>
    <n v="2850"/>
    <n v="3679"/>
    <n v="723"/>
    <n v="504"/>
    <n v="1227"/>
    <n v="54872"/>
    <n v="6.7050000000000001"/>
    <n v="2.2359999999999998"/>
    <n v="52413"/>
    <n v="7.0190000000000001"/>
    <n v="2.3410000000000002"/>
  </r>
  <r>
    <x v="11"/>
    <x v="15"/>
    <s v="S12000026"/>
    <n v="869"/>
    <n v="1387"/>
    <n v="2256"/>
    <n v="798"/>
    <n v="632"/>
    <n v="1430"/>
    <n v="58671"/>
    <n v="3.8449999999999998"/>
    <n v="2.4369999999999998"/>
    <n v="54715"/>
    <n v="4.1230000000000002"/>
    <n v="2.6139999999999999"/>
  </r>
  <r>
    <x v="2"/>
    <x v="7"/>
    <s v="S12000030"/>
    <m/>
    <m/>
    <n v="450"/>
    <m/>
    <m/>
    <m/>
    <n v="42644"/>
    <n v="1.0549999999999999"/>
    <m/>
    <n v="40609"/>
    <n v="1.1080000000000001"/>
    <m/>
  </r>
  <r>
    <x v="2"/>
    <x v="21"/>
    <s v="S12000015"/>
    <m/>
    <m/>
    <n v="2647"/>
    <m/>
    <m/>
    <m/>
    <n v="181405"/>
    <n v="1.4590000000000001"/>
    <m/>
    <n v="172287"/>
    <n v="1.536"/>
    <m/>
  </r>
  <r>
    <x v="1"/>
    <x v="19"/>
    <s v="S12000019"/>
    <n v="569"/>
    <n v="411"/>
    <n v="980"/>
    <n v="405"/>
    <n v="452"/>
    <n v="857"/>
    <n v="37503"/>
    <n v="2.613"/>
    <n v="2.2850000000000001"/>
    <n v="36009"/>
    <n v="2.722"/>
    <n v="2.38"/>
  </r>
  <r>
    <x v="3"/>
    <x v="16"/>
    <s v="S12000018"/>
    <n v="712"/>
    <n v="762"/>
    <n v="1474"/>
    <n v="621"/>
    <n v="402"/>
    <n v="1023"/>
    <n v="38848"/>
    <n v="3.794"/>
    <n v="2.633"/>
    <n v="37651"/>
    <n v="3.915"/>
    <n v="2.7170000000000001"/>
  </r>
  <r>
    <x v="9"/>
    <x v="11"/>
    <s v="S12000008"/>
    <n v="172"/>
    <n v="315"/>
    <n v="487"/>
    <n v="222"/>
    <n v="77"/>
    <n v="299"/>
    <n v="58821"/>
    <n v="0.82799999999999996"/>
    <n v="0.50800000000000001"/>
    <n v="55564"/>
    <n v="0.876"/>
    <n v="0.53800000000000003"/>
  </r>
  <r>
    <x v="9"/>
    <x v="13"/>
    <s v="S12000024"/>
    <n v="166"/>
    <n v="375"/>
    <n v="541"/>
    <n v="186"/>
    <n v="102"/>
    <n v="288"/>
    <n v="73775"/>
    <n v="0.73299999999999998"/>
    <n v="0.39"/>
    <n v="69432"/>
    <n v="0.77900000000000003"/>
    <n v="0.41499999999999998"/>
  </r>
  <r>
    <x v="5"/>
    <x v="3"/>
    <m/>
    <n v="512"/>
    <n v="4698"/>
    <n v="5210"/>
    <n v="886"/>
    <n v="293"/>
    <n v="1343"/>
    <m/>
    <m/>
    <m/>
    <n v="298250.61170251353"/>
    <n v="1.7469999999999999"/>
    <n v="0.45"/>
  </r>
  <r>
    <x v="5"/>
    <x v="4"/>
    <m/>
    <n v="52"/>
    <n v="423"/>
    <n v="475"/>
    <n v="114"/>
    <n v="20"/>
    <n v="138"/>
    <m/>
    <m/>
    <m/>
    <n v="50562.133092692835"/>
    <n v="0.93899999999999995"/>
    <n v="0.27300000000000002"/>
  </r>
  <r>
    <x v="0"/>
    <x v="22"/>
    <s v="S12000023"/>
    <n v="116"/>
    <n v="272"/>
    <n v="388"/>
    <n v="90"/>
    <n v="90"/>
    <n v="180"/>
    <n v="11063"/>
    <n v="3.5070000000000001"/>
    <n v="1.627"/>
    <n v="10256"/>
    <n v="3.7829999999999999"/>
    <n v="1.7549999999999999"/>
  </r>
  <r>
    <x v="11"/>
    <x v="16"/>
    <s v="S12000018"/>
    <n v="631"/>
    <n v="773"/>
    <n v="1404"/>
    <n v="603"/>
    <n v="338"/>
    <n v="941"/>
    <n v="38977"/>
    <n v="3.6019999999999999"/>
    <n v="2.4140000000000001"/>
    <n v="37614"/>
    <n v="3.7330000000000001"/>
    <n v="2.5019999999999998"/>
  </r>
  <r>
    <x v="6"/>
    <x v="23"/>
    <s v="S12000006"/>
    <n v="1028"/>
    <n v="721"/>
    <n v="1749"/>
    <n v="1107"/>
    <n v="447"/>
    <n v="1554"/>
    <n v="74823"/>
    <n v="2.3380000000000001"/>
    <n v="2.077"/>
    <n v="69586"/>
    <n v="2.5129999999999999"/>
    <n v="2.2330000000000001"/>
  </r>
  <r>
    <x v="2"/>
    <x v="16"/>
    <s v="S12000018"/>
    <m/>
    <m/>
    <n v="592"/>
    <m/>
    <m/>
    <m/>
    <n v="39776"/>
    <n v="1.488"/>
    <m/>
    <n v="38218"/>
    <n v="1.5489999999999999"/>
    <m/>
  </r>
  <r>
    <x v="0"/>
    <x v="13"/>
    <s v="S12000024"/>
    <n v="466"/>
    <n v="1489"/>
    <n v="1955"/>
    <n v="375"/>
    <n v="285"/>
    <n v="660"/>
    <n v="71347"/>
    <n v="2.74"/>
    <n v="0.92500000000000004"/>
    <n v="67101"/>
    <n v="2.9140000000000001"/>
    <n v="0.98399999999999999"/>
  </r>
  <r>
    <x v="0"/>
    <x v="24"/>
    <s v="S12000028"/>
    <n v="691"/>
    <n v="784"/>
    <n v="1475"/>
    <n v="697"/>
    <n v="405"/>
    <n v="1102"/>
    <n v="54942"/>
    <n v="2.6850000000000001"/>
    <n v="2.0059999999999998"/>
    <n v="51923"/>
    <n v="2.8410000000000002"/>
    <n v="2.1219999999999999"/>
  </r>
  <r>
    <x v="11"/>
    <x v="25"/>
    <s v="S12000027"/>
    <n v="156"/>
    <n v="407"/>
    <n v="563"/>
    <n v="141"/>
    <n v="112"/>
    <n v="253"/>
    <n v="11305"/>
    <n v="4.9800000000000004"/>
    <n v="2.238"/>
    <n v="10439"/>
    <n v="5.3929999999999998"/>
    <n v="2.4239999999999999"/>
  </r>
  <r>
    <x v="0"/>
    <x v="11"/>
    <s v="S12000008"/>
    <n v="574"/>
    <n v="681"/>
    <n v="1255"/>
    <n v="584"/>
    <n v="364"/>
    <n v="948"/>
    <n v="57873"/>
    <n v="2.169"/>
    <n v="1.6379999999999999"/>
    <n v="54748"/>
    <n v="2.2919999999999998"/>
    <n v="1.732"/>
  </r>
  <r>
    <x v="0"/>
    <x v="14"/>
    <s v="S12000020"/>
    <n v="768"/>
    <n v="1016"/>
    <n v="1784"/>
    <n v="709"/>
    <n v="647"/>
    <n v="1356"/>
    <n v="44454"/>
    <n v="4.0129999999999999"/>
    <n v="3.05"/>
    <n v="41961"/>
    <n v="4.2519999999999998"/>
    <n v="3.2320000000000002"/>
  </r>
  <r>
    <x v="3"/>
    <x v="23"/>
    <s v="S12000006"/>
    <n v="1115"/>
    <n v="835"/>
    <n v="1950"/>
    <n v="1083"/>
    <n v="534"/>
    <n v="1617"/>
    <n v="74687"/>
    <n v="2.6109999999999998"/>
    <n v="2.165"/>
    <n v="69503"/>
    <n v="2.806"/>
    <n v="2.327"/>
  </r>
  <r>
    <x v="1"/>
    <x v="10"/>
    <s v="S12000005"/>
    <n v="354"/>
    <n v="518"/>
    <n v="872"/>
    <n v="391"/>
    <n v="151"/>
    <n v="542"/>
    <n v="23894"/>
    <n v="3.649"/>
    <n v="2.2679999999999998"/>
    <n v="22978"/>
    <n v="3.7949999999999999"/>
    <n v="2.359"/>
  </r>
  <r>
    <x v="3"/>
    <x v="26"/>
    <s v="S12000042"/>
    <n v="661"/>
    <n v="2303"/>
    <n v="2964"/>
    <n v="624"/>
    <n v="289"/>
    <n v="913"/>
    <n v="74354"/>
    <n v="3.9859999999999998"/>
    <n v="1.228"/>
    <n v="70049"/>
    <n v="4.2309999999999999"/>
    <n v="1.3029999999999999"/>
  </r>
  <r>
    <x v="9"/>
    <x v="22"/>
    <s v="S12000023"/>
    <n v="35"/>
    <n v="35"/>
    <n v="70"/>
    <n v="45"/>
    <n v="39"/>
    <n v="84"/>
    <n v="11391"/>
    <n v="0.61499999999999999"/>
    <n v="0.73699999999999999"/>
    <n v="10635"/>
    <n v="0.65800000000000003"/>
    <n v="0.79"/>
  </r>
  <r>
    <x v="6"/>
    <x v="27"/>
    <s v="S12000033"/>
    <n v="569"/>
    <n v="2176"/>
    <n v="2745"/>
    <n v="546"/>
    <n v="278"/>
    <n v="824"/>
    <n v="118131"/>
    <n v="2.3239999999999998"/>
    <n v="0.69799999999999995"/>
    <n v="107586"/>
    <n v="2.5510000000000002"/>
    <n v="0.76600000000000001"/>
  </r>
  <r>
    <x v="11"/>
    <x v="21"/>
    <s v="S12000015"/>
    <n v="2533"/>
    <n v="3908"/>
    <n v="6441"/>
    <n v="2725"/>
    <n v="1258"/>
    <n v="3983"/>
    <n v="178183"/>
    <n v="3.6150000000000002"/>
    <n v="2.2349999999999999"/>
    <n v="169239"/>
    <n v="3.806"/>
    <n v="2.3529999999999998"/>
  </r>
  <r>
    <x v="7"/>
    <x v="4"/>
    <m/>
    <n v="65"/>
    <n v="558"/>
    <n v="623"/>
    <n v="123"/>
    <n v="39"/>
    <n v="162"/>
    <n v="52327"/>
    <n v="1.1910000000000001"/>
    <n v="0.31"/>
    <n v="49686"/>
    <n v="1.254"/>
    <n v="0.32600000000000001"/>
  </r>
  <r>
    <x v="5"/>
    <x v="16"/>
    <m/>
    <n v="131"/>
    <n v="322"/>
    <n v="453"/>
    <n v="259"/>
    <n v="48"/>
    <n v="316"/>
    <m/>
    <m/>
    <m/>
    <n v="37614.524402442781"/>
    <n v="1.204"/>
    <n v="0.84"/>
  </r>
  <r>
    <x v="1"/>
    <x v="25"/>
    <s v="S12000027"/>
    <n v="73"/>
    <n v="218"/>
    <n v="291"/>
    <n v="69"/>
    <n v="56"/>
    <n v="125"/>
    <n v="10852"/>
    <n v="2.6819999999999999"/>
    <n v="1.1519999999999999"/>
    <n v="10135"/>
    <n v="2.871"/>
    <n v="1.2330000000000001"/>
  </r>
  <r>
    <x v="10"/>
    <x v="11"/>
    <s v="S12000008"/>
    <n v="509"/>
    <n v="828"/>
    <n v="1337"/>
    <n v="543"/>
    <n v="320"/>
    <n v="863"/>
    <n v="57654"/>
    <n v="2.319"/>
    <n v="1.4969999999999999"/>
    <n v="54570"/>
    <n v="2.4500000000000002"/>
    <n v="1.581"/>
  </r>
  <r>
    <x v="10"/>
    <x v="13"/>
    <s v="S12000024"/>
    <n v="443"/>
    <n v="1554"/>
    <n v="1997"/>
    <n v="437"/>
    <n v="234"/>
    <n v="671"/>
    <n v="70828"/>
    <n v="2.82"/>
    <n v="0.94699999999999995"/>
    <n v="66545"/>
    <n v="3.0009999999999999"/>
    <n v="1.008"/>
  </r>
  <r>
    <x v="8"/>
    <x v="11"/>
    <s v="S12000008"/>
    <n v="467"/>
    <n v="836"/>
    <n v="1303"/>
    <n v="506"/>
    <n v="256"/>
    <n v="762"/>
    <n v="57324"/>
    <n v="2.2730000000000001"/>
    <n v="1.329"/>
    <n v="54401"/>
    <n v="2.395"/>
    <n v="1.401"/>
  </r>
  <r>
    <x v="11"/>
    <x v="1"/>
    <s v="S12000013"/>
    <n v="67"/>
    <n v="235"/>
    <n v="302"/>
    <n v="69"/>
    <n v="42"/>
    <n v="111"/>
    <n v="14734"/>
    <n v="2.0499999999999998"/>
    <n v="0.753"/>
    <n v="12833"/>
    <n v="2.3529999999999998"/>
    <n v="0.86499999999999999"/>
  </r>
  <r>
    <x v="8"/>
    <x v="25"/>
    <s v="S12000027"/>
    <n v="55"/>
    <n v="168"/>
    <n v="223"/>
    <n v="60"/>
    <n v="42"/>
    <n v="102"/>
    <n v="10950"/>
    <n v="2.0369999999999999"/>
    <n v="0.93200000000000005"/>
    <n v="10166"/>
    <n v="2.194"/>
    <n v="1.0029999999999999"/>
  </r>
  <r>
    <x v="7"/>
    <x v="17"/>
    <m/>
    <n v="356"/>
    <n v="1712"/>
    <n v="2068"/>
    <n v="746"/>
    <n v="208"/>
    <n v="954"/>
    <n v="160560"/>
    <n v="1.288"/>
    <n v="0.59399999999999997"/>
    <n v="152653"/>
    <n v="1.355"/>
    <n v="0.625"/>
  </r>
  <r>
    <x v="1"/>
    <x v="11"/>
    <s v="S12000008"/>
    <n v="582"/>
    <n v="1242"/>
    <n v="1824"/>
    <n v="662"/>
    <n v="298"/>
    <n v="960"/>
    <n v="57172"/>
    <n v="3.19"/>
    <n v="1.679"/>
    <n v="54453"/>
    <n v="3.35"/>
    <n v="1.7629999999999999"/>
  </r>
  <r>
    <x v="5"/>
    <x v="17"/>
    <m/>
    <n v="183"/>
    <n v="1697"/>
    <n v="1880"/>
    <n v="441"/>
    <n v="99"/>
    <n v="633"/>
    <m/>
    <m/>
    <m/>
    <n v="153004.37421296784"/>
    <n v="1.2290000000000001"/>
    <n v="0.41399999999999998"/>
  </r>
  <r>
    <x v="2"/>
    <x v="25"/>
    <s v="S12000027"/>
    <m/>
    <m/>
    <n v="228"/>
    <m/>
    <m/>
    <m/>
    <n v="11544"/>
    <n v="1.9750000000000001"/>
    <m/>
    <n v="10633"/>
    <n v="2.1440000000000001"/>
    <m/>
  </r>
  <r>
    <x v="9"/>
    <x v="10"/>
    <s v="S12000005"/>
    <n v="63"/>
    <n v="100"/>
    <n v="163"/>
    <n v="94"/>
    <n v="28"/>
    <n v="122"/>
    <n v="24838"/>
    <n v="0.65600000000000003"/>
    <n v="0.49099999999999999"/>
    <n v="24066"/>
    <n v="0.67700000000000005"/>
    <n v="0.50700000000000001"/>
  </r>
  <r>
    <x v="5"/>
    <x v="1"/>
    <m/>
    <n v="10"/>
    <n v="96"/>
    <n v="106"/>
    <n v="4"/>
    <n v="18"/>
    <n v="23"/>
    <m/>
    <m/>
    <m/>
    <n v="12887.857898960023"/>
    <n v="0.82199999999999995"/>
    <n v="0.17799999999999999"/>
  </r>
  <r>
    <x v="3"/>
    <x v="0"/>
    <s v="S12000038"/>
    <n v="1137"/>
    <n v="1411"/>
    <n v="2548"/>
    <n v="1077"/>
    <n v="656"/>
    <n v="1733"/>
    <n v="86449"/>
    <n v="2.9470000000000001"/>
    <n v="2.0049999999999999"/>
    <n v="84938"/>
    <n v="3"/>
    <n v="2.04"/>
  </r>
  <r>
    <x v="6"/>
    <x v="28"/>
    <s v="S12000040"/>
    <n v="851"/>
    <n v="1470"/>
    <n v="2321"/>
    <n v="780"/>
    <n v="506"/>
    <n v="1286"/>
    <n v="79854"/>
    <n v="2.907"/>
    <n v="1.6099999999999999"/>
    <n v="77953"/>
    <n v="2.9769999999999999"/>
    <n v="1.65"/>
  </r>
  <r>
    <x v="9"/>
    <x v="20"/>
    <s v="S12000041"/>
    <n v="199"/>
    <n v="513"/>
    <n v="712"/>
    <n v="175"/>
    <n v="113"/>
    <n v="288"/>
    <n v="57206"/>
    <n v="1.2450000000000001"/>
    <n v="0.503"/>
    <n v="54480"/>
    <n v="1.3069999999999999"/>
    <n v="0.52900000000000003"/>
  </r>
  <r>
    <x v="5"/>
    <x v="12"/>
    <m/>
    <n v="93"/>
    <n v="1660"/>
    <n v="1753"/>
    <n v="156"/>
    <n v="111"/>
    <n v="270"/>
    <m/>
    <m/>
    <m/>
    <n v="113906.20821736612"/>
    <n v="1.5390000000000001"/>
    <n v="0.23699999999999999"/>
  </r>
  <r>
    <x v="0"/>
    <x v="21"/>
    <s v="S12000015"/>
    <n v="3392"/>
    <n v="3061"/>
    <n v="6453"/>
    <n v="3462"/>
    <n v="1853"/>
    <n v="5315"/>
    <n v="174528"/>
    <n v="3.6970000000000001"/>
    <n v="3.0449999999999999"/>
    <n v="165833"/>
    <n v="3.891"/>
    <n v="3.2050000000000001"/>
  </r>
  <r>
    <x v="0"/>
    <x v="20"/>
    <s v="S12000041"/>
    <n v="499"/>
    <n v="1528"/>
    <n v="2027"/>
    <n v="450"/>
    <n v="277"/>
    <n v="727"/>
    <n v="55872"/>
    <n v="3.6280000000000001"/>
    <n v="1.3009999999999999"/>
    <n v="53333"/>
    <n v="3.8010000000000002"/>
    <n v="1.363"/>
  </r>
  <r>
    <x v="2"/>
    <x v="28"/>
    <s v="S12000040"/>
    <m/>
    <m/>
    <n v="1240"/>
    <m/>
    <m/>
    <m/>
    <n v="83624"/>
    <n v="1.4830000000000001"/>
    <m/>
    <n v="81779"/>
    <n v="1.516"/>
    <m/>
  </r>
  <r>
    <x v="7"/>
    <x v="19"/>
    <m/>
    <n v="68"/>
    <n v="350"/>
    <n v="418"/>
    <n v="133"/>
    <n v="47"/>
    <n v="180"/>
    <n v="44052"/>
    <n v="0.94899999999999995"/>
    <n v="0.40899999999999997"/>
    <n v="41958"/>
    <n v="0.996"/>
    <n v="0.42899999999999999"/>
  </r>
  <r>
    <x v="11"/>
    <x v="19"/>
    <s v="S12000019"/>
    <n v="338"/>
    <n v="669"/>
    <n v="1007"/>
    <n v="303"/>
    <n v="225"/>
    <n v="528"/>
    <n v="41226"/>
    <n v="2.4430000000000001"/>
    <n v="1.2810000000000001"/>
    <n v="39733"/>
    <n v="2.5339999999999998"/>
    <n v="1.329"/>
  </r>
  <r>
    <x v="8"/>
    <x v="15"/>
    <s v="S12000026"/>
    <n v="1229"/>
    <n v="1194"/>
    <n v="2423"/>
    <n v="844"/>
    <n v="1072"/>
    <n v="1916"/>
    <n v="57274"/>
    <n v="4.2309999999999999"/>
    <n v="3.3449999999999998"/>
    <n v="53157"/>
    <n v="4.5579999999999998"/>
    <n v="3.6040000000000001"/>
  </r>
  <r>
    <x v="1"/>
    <x v="17"/>
    <s v="S12000044"/>
    <n v="1381"/>
    <n v="1452"/>
    <n v="2833"/>
    <n v="1819"/>
    <n v="538"/>
    <n v="2357"/>
    <n v="150541"/>
    <n v="1.8820000000000001"/>
    <n v="1.5659999999999998"/>
    <n v="147554"/>
    <n v="1.92"/>
    <n v="1.597"/>
  </r>
  <r>
    <x v="10"/>
    <x v="16"/>
    <s v="S12000018"/>
    <n v="758"/>
    <n v="936"/>
    <n v="1694"/>
    <n v="685"/>
    <n v="396"/>
    <n v="1081"/>
    <n v="38787"/>
    <n v="4.367"/>
    <n v="2.7869999999999999"/>
    <n v="37426"/>
    <n v="4.5259999999999998"/>
    <n v="2.8879999999999999"/>
  </r>
  <r>
    <x v="8"/>
    <x v="6"/>
    <s v="S12000029"/>
    <n v="1155"/>
    <n v="1979"/>
    <n v="3134"/>
    <n v="1410"/>
    <n v="474"/>
    <n v="1884"/>
    <n v="146925"/>
    <n v="2.133"/>
    <n v="1.282"/>
    <n v="142286"/>
    <n v="2.2029999999999998"/>
    <n v="1.3240000000000001"/>
  </r>
  <r>
    <x v="6"/>
    <x v="17"/>
    <s v="S12000044"/>
    <n v="1248"/>
    <n v="2019"/>
    <n v="3267"/>
    <n v="1614"/>
    <n v="428"/>
    <n v="2042"/>
    <n v="155364"/>
    <n v="2.1030000000000002"/>
    <n v="1.3140000000000001"/>
    <n v="151744"/>
    <n v="2.153"/>
    <n v="1.3460000000000001"/>
  </r>
  <r>
    <x v="8"/>
    <x v="16"/>
    <s v="S12000018"/>
    <n v="673"/>
    <n v="631"/>
    <n v="1304"/>
    <n v="636"/>
    <n v="386"/>
    <n v="1022"/>
    <n v="38699"/>
    <n v="3.37"/>
    <n v="2.641"/>
    <n v="37384"/>
    <n v="3.488"/>
    <n v="2.734"/>
  </r>
  <r>
    <x v="2"/>
    <x v="15"/>
    <s v="S12000026"/>
    <m/>
    <m/>
    <n v="859"/>
    <m/>
    <m/>
    <m/>
    <n v="59557"/>
    <n v="1.4419999999999999"/>
    <m/>
    <n v="55660"/>
    <n v="1.5430000000000001"/>
    <m/>
  </r>
  <r>
    <x v="1"/>
    <x v="24"/>
    <s v="S12000028"/>
    <n v="601"/>
    <n v="462"/>
    <n v="1063"/>
    <n v="577"/>
    <n v="430"/>
    <n v="1007"/>
    <n v="54385"/>
    <n v="1.9550000000000001"/>
    <n v="1.8519999999999999"/>
    <n v="51654"/>
    <n v="2.0579999999999998"/>
    <n v="1.95"/>
  </r>
  <r>
    <x v="0"/>
    <x v="7"/>
    <s v="S12000030"/>
    <n v="336"/>
    <n v="720"/>
    <n v="1056"/>
    <n v="334"/>
    <n v="201"/>
    <n v="535"/>
    <n v="40998"/>
    <n v="2.5760000000000001"/>
    <n v="1.3049999999999999"/>
    <n v="38951"/>
    <n v="2.7109999999999999"/>
    <n v="1.3740000000000001"/>
  </r>
  <r>
    <x v="9"/>
    <x v="23"/>
    <s v="S12000006"/>
    <n v="143"/>
    <n v="231"/>
    <n v="374"/>
    <n v="125"/>
    <n v="82"/>
    <n v="207"/>
    <n v="75298"/>
    <n v="0.497"/>
    <n v="0.27500000000000002"/>
    <n v="69957"/>
    <n v="0.53500000000000003"/>
    <n v="0.29599999999999999"/>
  </r>
  <r>
    <x v="11"/>
    <x v="7"/>
    <s v="S12000030"/>
    <n v="311"/>
    <n v="590"/>
    <n v="901"/>
    <n v="360"/>
    <n v="153"/>
    <n v="513"/>
    <n v="41638"/>
    <n v="2.1640000000000001"/>
    <n v="1.232"/>
    <n v="39654"/>
    <n v="2.2720000000000002"/>
    <n v="1.294"/>
  </r>
  <r>
    <x v="1"/>
    <x v="14"/>
    <s v="S12000020"/>
    <n v="332"/>
    <n v="299"/>
    <n v="631"/>
    <n v="317"/>
    <n v="264"/>
    <n v="581"/>
    <n v="43495"/>
    <n v="1.4510000000000001"/>
    <n v="1.3360000000000001"/>
    <n v="40839"/>
    <n v="1.5449999999999999"/>
    <n v="1.423"/>
  </r>
  <r>
    <x v="2"/>
    <x v="29"/>
    <s v="S12000039"/>
    <m/>
    <m/>
    <n v="928"/>
    <m/>
    <m/>
    <m/>
    <n v="45846"/>
    <n v="2.024"/>
    <m/>
    <n v="43481"/>
    <n v="2.1339999999999999"/>
    <m/>
  </r>
  <r>
    <x v="10"/>
    <x v="4"/>
    <s v="S12000010"/>
    <n v="716"/>
    <n v="704"/>
    <n v="1420"/>
    <n v="715"/>
    <n v="505"/>
    <n v="1220"/>
    <n v="46332"/>
    <n v="3.0649999999999999"/>
    <n v="2.633"/>
    <n v="44384"/>
    <n v="3.1989999999999998"/>
    <n v="2.7490000000000001"/>
  </r>
  <r>
    <x v="4"/>
    <x v="9"/>
    <s v="S12000035"/>
    <m/>
    <m/>
    <n v="1019"/>
    <m/>
    <m/>
    <m/>
    <n v="48411"/>
    <n v="2.105"/>
    <m/>
    <n v="42384"/>
    <n v="2.4039999999999999"/>
    <m/>
  </r>
  <r>
    <x v="9"/>
    <x v="26"/>
    <s v="S12000042"/>
    <n v="286"/>
    <n v="637"/>
    <n v="923"/>
    <n v="280"/>
    <n v="166"/>
    <n v="446"/>
    <n v="75027"/>
    <n v="1.23"/>
    <n v="0.59399999999999997"/>
    <n v="70689"/>
    <n v="1.306"/>
    <n v="0.63100000000000001"/>
  </r>
  <r>
    <x v="2"/>
    <x v="30"/>
    <s v="S12000011"/>
    <m/>
    <m/>
    <n v="679"/>
    <m/>
    <m/>
    <m/>
    <n v="40507"/>
    <n v="1.6760000000000002"/>
    <m/>
    <n v="40697"/>
    <n v="1.6680000000000001"/>
    <m/>
  </r>
  <r>
    <x v="8"/>
    <x v="17"/>
    <s v="S12000044"/>
    <n v="1427"/>
    <n v="2067"/>
    <n v="3494"/>
    <n v="1929"/>
    <n v="499"/>
    <n v="2428"/>
    <n v="151424"/>
    <n v="2.3069999999999999"/>
    <n v="1.603"/>
    <n v="148610"/>
    <n v="2.351"/>
    <n v="1.6339999999999999"/>
  </r>
  <r>
    <x v="3"/>
    <x v="13"/>
    <s v="S12000024"/>
    <n v="484"/>
    <n v="1014"/>
    <n v="1498"/>
    <n v="451"/>
    <n v="265"/>
    <n v="716"/>
    <n v="71810"/>
    <n v="2.0859999999999999"/>
    <n v="0.997"/>
    <n v="67618"/>
    <n v="2.2149999999999999"/>
    <n v="1.0589999999999999"/>
  </r>
  <r>
    <x v="3"/>
    <x v="11"/>
    <s v="S12000008"/>
    <n v="485"/>
    <n v="664"/>
    <n v="1149"/>
    <n v="538"/>
    <n v="276"/>
    <n v="814"/>
    <n v="58158"/>
    <n v="1.976"/>
    <n v="1.4"/>
    <n v="54873"/>
    <n v="2.0939999999999999"/>
    <n v="1.4830000000000001"/>
  </r>
  <r>
    <x v="0"/>
    <x v="8"/>
    <s v="S12000014"/>
    <n v="570"/>
    <n v="980"/>
    <n v="1550"/>
    <n v="612"/>
    <n v="266"/>
    <n v="878"/>
    <n v="73767"/>
    <n v="2.101"/>
    <n v="1.19"/>
    <n v="71072"/>
    <n v="2.181"/>
    <n v="1.2349999999999999"/>
  </r>
  <r>
    <x v="11"/>
    <x v="8"/>
    <s v="S12000014"/>
    <n v="511"/>
    <n v="1174"/>
    <n v="1685"/>
    <n v="590"/>
    <n v="172"/>
    <n v="762"/>
    <n v="75226"/>
    <n v="2.2400000000000002"/>
    <n v="1.0129999999999999"/>
    <n v="72672"/>
    <n v="2.319"/>
    <n v="1.0489999999999999"/>
  </r>
  <r>
    <x v="11"/>
    <x v="10"/>
    <s v="S12000005"/>
    <n v="292"/>
    <n v="379"/>
    <n v="671"/>
    <n v="445"/>
    <n v="50"/>
    <n v="495"/>
    <n v="24716"/>
    <n v="2.7149999999999999"/>
    <n v="2.0030000000000001"/>
    <n v="23890"/>
    <n v="2.8090000000000002"/>
    <n v="2.0720000000000001"/>
  </r>
  <r>
    <x v="0"/>
    <x v="10"/>
    <s v="S12000005"/>
    <n v="270"/>
    <n v="361"/>
    <n v="631"/>
    <n v="281"/>
    <n v="120"/>
    <n v="401"/>
    <n v="24221"/>
    <n v="2.605"/>
    <n v="1.6560000000000001"/>
    <n v="23401"/>
    <n v="2.6959999999999997"/>
    <n v="1.714"/>
  </r>
  <r>
    <x v="6"/>
    <x v="13"/>
    <s v="S12000024"/>
    <n v="385"/>
    <n v="1084"/>
    <n v="1469"/>
    <n v="357"/>
    <n v="249"/>
    <n v="606"/>
    <n v="72441"/>
    <n v="2.028"/>
    <n v="0.83699999999999997"/>
    <n v="68196"/>
    <n v="2.1539999999999999"/>
    <n v="0.88900000000000001"/>
  </r>
  <r>
    <x v="4"/>
    <x v="11"/>
    <s v="S12000008"/>
    <m/>
    <m/>
    <n v="1194"/>
    <m/>
    <m/>
    <m/>
    <n v="58973"/>
    <n v="2.0249999999999999"/>
    <m/>
    <n v="56149"/>
    <n v="2.1259999999999999"/>
    <m/>
  </r>
  <r>
    <x v="8"/>
    <x v="0"/>
    <s v="S12000038"/>
    <n v="884"/>
    <n v="1268"/>
    <n v="2152"/>
    <n v="1019"/>
    <n v="425"/>
    <n v="1444"/>
    <n v="84442"/>
    <n v="2.548"/>
    <n v="1.71"/>
    <n v="82385"/>
    <n v="2.6120000000000001"/>
    <n v="1.7530000000000001"/>
  </r>
  <r>
    <x v="2"/>
    <x v="11"/>
    <s v="S12000008"/>
    <m/>
    <m/>
    <n v="1109"/>
    <m/>
    <m/>
    <m/>
    <n v="59305"/>
    <n v="1.87"/>
    <m/>
    <n v="56621"/>
    <n v="1.9590000000000001"/>
    <m/>
  </r>
  <r>
    <x v="0"/>
    <x v="5"/>
    <s v="S12000034"/>
    <n v="739"/>
    <n v="1595"/>
    <n v="2334"/>
    <n v="712"/>
    <n v="510"/>
    <n v="1222"/>
    <n v="116421"/>
    <n v="2.0049999999999999"/>
    <n v="1.05"/>
    <n v="110296"/>
    <n v="2.1160000000000001"/>
    <n v="1.1080000000000001"/>
  </r>
  <r>
    <x v="10"/>
    <x v="28"/>
    <s v="S12000040"/>
    <n v="1092"/>
    <n v="779"/>
    <n v="1871"/>
    <n v="1051"/>
    <n v="659"/>
    <n v="1710"/>
    <n v="77834"/>
    <n v="2.4039999999999999"/>
    <n v="2.1970000000000001"/>
    <n v="75782"/>
    <n v="2.4689999999999999"/>
    <n v="2.2560000000000002"/>
  </r>
  <r>
    <x v="7"/>
    <x v="10"/>
    <m/>
    <n v="58"/>
    <n v="398"/>
    <n v="456"/>
    <n v="88"/>
    <n v="43"/>
    <n v="131"/>
    <n v="25277"/>
    <n v="1.804"/>
    <n v="0.51800000000000002"/>
    <n v="24305"/>
    <n v="1.8759999999999999"/>
    <n v="0.53900000000000003"/>
  </r>
  <r>
    <x v="7"/>
    <x v="8"/>
    <m/>
    <n v="126"/>
    <n v="678"/>
    <n v="804"/>
    <n v="275"/>
    <n v="91"/>
    <n v="366"/>
    <n v="76689"/>
    <n v="1.048"/>
    <n v="0.47699999999999998"/>
    <n v="72907"/>
    <n v="1.103"/>
    <n v="0.502"/>
  </r>
  <r>
    <x v="3"/>
    <x v="22"/>
    <s v="S12000023"/>
    <n v="126"/>
    <n v="250"/>
    <n v="376"/>
    <n v="88"/>
    <n v="105"/>
    <n v="193"/>
    <n v="11192"/>
    <n v="3.36"/>
    <n v="1.724"/>
    <n v="10385"/>
    <n v="3.621"/>
    <n v="1.8580000000000001"/>
  </r>
  <r>
    <x v="4"/>
    <x v="22"/>
    <s v="S12000023"/>
    <m/>
    <m/>
    <n v="209"/>
    <m/>
    <m/>
    <m/>
    <n v="11475"/>
    <n v="1.821"/>
    <m/>
    <n v="10758"/>
    <n v="1.9430000000000001"/>
    <m/>
  </r>
  <r>
    <x v="10"/>
    <x v="25"/>
    <s v="S12000027"/>
    <n v="100"/>
    <n v="177"/>
    <n v="277"/>
    <n v="101"/>
    <n v="94"/>
    <n v="195"/>
    <n v="11021"/>
    <n v="2.5129999999999999"/>
    <n v="1.7690000000000001"/>
    <n v="10235"/>
    <n v="2.706"/>
    <n v="1.905"/>
  </r>
  <r>
    <x v="9"/>
    <x v="16"/>
    <s v="S12000018"/>
    <n v="292"/>
    <n v="201"/>
    <n v="493"/>
    <n v="339"/>
    <n v="129"/>
    <n v="468"/>
    <n v="39107"/>
    <n v="1.2610000000000001"/>
    <n v="1.1970000000000001"/>
    <n v="37646"/>
    <n v="1.31"/>
    <n v="1.2429999999999999"/>
  </r>
  <r>
    <x v="1"/>
    <x v="13"/>
    <s v="S12000024"/>
    <n v="922"/>
    <n v="3441"/>
    <n v="4363"/>
    <n v="890"/>
    <n v="524"/>
    <n v="1414"/>
    <n v="69923"/>
    <n v="6.24"/>
    <n v="2.0219999999999998"/>
    <n v="65616"/>
    <n v="6.649"/>
    <n v="2.1549999999999998"/>
  </r>
  <r>
    <x v="6"/>
    <x v="0"/>
    <s v="S12000038"/>
    <n v="848"/>
    <n v="1039"/>
    <n v="1887"/>
    <n v="803"/>
    <n v="475"/>
    <n v="1278"/>
    <n v="87265"/>
    <n v="2.1619999999999999"/>
    <n v="1.4650000000000001"/>
    <n v="85745"/>
    <n v="2.2010000000000001"/>
    <n v="1.49"/>
  </r>
  <r>
    <x v="4"/>
    <x v="6"/>
    <s v="S12000029"/>
    <m/>
    <m/>
    <n v="3086"/>
    <m/>
    <m/>
    <m/>
    <n v="155373"/>
    <n v="1.986"/>
    <m/>
    <n v="149864"/>
    <n v="2.0590000000000002"/>
    <m/>
  </r>
  <r>
    <x v="3"/>
    <x v="6"/>
    <s v="S12000029"/>
    <n v="1336"/>
    <n v="2180"/>
    <n v="3516"/>
    <n v="1607"/>
    <n v="503"/>
    <n v="2110"/>
    <n v="149972"/>
    <n v="2.3439999999999999"/>
    <n v="1.407"/>
    <n v="145182"/>
    <n v="2.4220000000000002"/>
    <n v="1.4530000000000001"/>
  </r>
  <r>
    <x v="11"/>
    <x v="22"/>
    <s v="S12000023"/>
    <n v="122"/>
    <n v="237"/>
    <n v="359"/>
    <n v="127"/>
    <n v="84"/>
    <n v="211"/>
    <n v="11322"/>
    <n v="3.1709999999999998"/>
    <n v="1.8639999999999999"/>
    <n v="10589"/>
    <n v="3.39"/>
    <n v="1.9929999999999999"/>
  </r>
  <r>
    <x v="6"/>
    <x v="6"/>
    <s v="S12000029"/>
    <n v="1352"/>
    <n v="2193"/>
    <n v="3545"/>
    <n v="1663"/>
    <n v="484"/>
    <n v="2147"/>
    <n v="151352"/>
    <n v="2.3420000000000001"/>
    <n v="1.419"/>
    <n v="146173"/>
    <n v="2.4249999999999998"/>
    <n v="1.4689999999999999"/>
  </r>
  <r>
    <x v="7"/>
    <x v="22"/>
    <m/>
    <n v="31"/>
    <n v="175"/>
    <n v="206"/>
    <n v="95"/>
    <n v="16"/>
    <n v="111"/>
    <n v="11719"/>
    <n v="1.758"/>
    <n v="0.94699999999999995"/>
    <n v="10811"/>
    <n v="1.905"/>
    <n v="1.0269999999999999"/>
  </r>
  <r>
    <x v="4"/>
    <x v="16"/>
    <s v="S12000018"/>
    <m/>
    <m/>
    <n v="871"/>
    <m/>
    <m/>
    <m/>
    <n v="39446"/>
    <n v="2.2080000000000002"/>
    <m/>
    <n v="37958"/>
    <n v="2.2949999999999999"/>
    <m/>
  </r>
  <r>
    <x v="6"/>
    <x v="4"/>
    <s v="S12000010"/>
    <n v="440"/>
    <n v="524"/>
    <n v="964"/>
    <n v="530"/>
    <n v="193"/>
    <n v="723"/>
    <n v="48055"/>
    <n v="2.0059999999999998"/>
    <n v="1.5049999999999999"/>
    <n v="45975"/>
    <n v="2.097"/>
    <n v="1.573"/>
  </r>
  <r>
    <x v="2"/>
    <x v="3"/>
    <s v="S12000046"/>
    <m/>
    <m/>
    <n v="4422"/>
    <m/>
    <m/>
    <m/>
    <n v="322238"/>
    <n v="1.3719999999999999"/>
    <m/>
    <n v="300340"/>
    <n v="1.472"/>
    <m/>
  </r>
  <r>
    <x v="10"/>
    <x v="15"/>
    <s v="S12000026"/>
    <n v="1347"/>
    <n v="1196"/>
    <n v="2543"/>
    <n v="802"/>
    <n v="1330"/>
    <n v="2132"/>
    <n v="57628"/>
    <n v="4.4130000000000003"/>
    <n v="3.7"/>
    <n v="53351"/>
    <n v="4.7670000000000003"/>
    <n v="3.996"/>
  </r>
  <r>
    <x v="6"/>
    <x v="3"/>
    <s v="S12000046"/>
    <n v="2993"/>
    <n v="7060"/>
    <n v="10053"/>
    <n v="3265"/>
    <n v="886"/>
    <n v="4151"/>
    <n v="311447"/>
    <n v="3.2280000000000002"/>
    <n v="1.333"/>
    <n v="292619"/>
    <n v="3.4359999999999999"/>
    <n v="1.419"/>
  </r>
  <r>
    <x v="10"/>
    <x v="2"/>
    <s v="S12000045"/>
    <n v="662"/>
    <n v="793"/>
    <n v="1455"/>
    <n v="844"/>
    <n v="248"/>
    <n v="1092"/>
    <n v="45678"/>
    <n v="3.1850000000000001"/>
    <n v="2.391"/>
    <n v="45008"/>
    <n v="3.2330000000000001"/>
    <n v="2.4260000000000002"/>
  </r>
  <r>
    <x v="2"/>
    <x v="4"/>
    <s v="S12000010"/>
    <m/>
    <m/>
    <n v="520"/>
    <m/>
    <m/>
    <m/>
    <n v="51409"/>
    <n v="1.0109999999999999"/>
    <m/>
    <n v="49220"/>
    <n v="1.056"/>
    <m/>
  </r>
  <r>
    <x v="4"/>
    <x v="1"/>
    <s v="S12000013"/>
    <m/>
    <m/>
    <n v="242"/>
    <m/>
    <m/>
    <m/>
    <n v="14856"/>
    <n v="1.629"/>
    <m/>
    <n v="12925"/>
    <n v="1.8719999999999999"/>
    <m/>
  </r>
  <r>
    <x v="5"/>
    <x v="0"/>
    <m/>
    <n v="293"/>
    <n v="807"/>
    <n v="1100"/>
    <n v="512"/>
    <n v="150"/>
    <n v="706"/>
    <m/>
    <m/>
    <m/>
    <n v="87749.395499301856"/>
    <n v="1.254"/>
    <n v="0.80500000000000005"/>
  </r>
  <r>
    <x v="4"/>
    <x v="17"/>
    <s v="S12000044"/>
    <m/>
    <m/>
    <n v="3283"/>
    <m/>
    <m/>
    <m/>
    <n v="158456"/>
    <n v="2.0720000000000001"/>
    <m/>
    <n v="153643"/>
    <n v="2.137"/>
    <m/>
  </r>
  <r>
    <x v="6"/>
    <x v="18"/>
    <s v="S12000021"/>
    <n v="701"/>
    <n v="879"/>
    <n v="1580"/>
    <n v="725"/>
    <n v="449"/>
    <n v="1174"/>
    <n v="68158"/>
    <n v="2.3180000000000001"/>
    <n v="1.722"/>
    <n v="63935"/>
    <n v="2.4710000000000001"/>
    <n v="1.8359999999999999"/>
  </r>
  <r>
    <x v="2"/>
    <x v="6"/>
    <s v="S12000029"/>
    <m/>
    <m/>
    <n v="2707"/>
    <m/>
    <m/>
    <m/>
    <n v="157277"/>
    <n v="1.7210000000000001"/>
    <m/>
    <n v="151587"/>
    <n v="1.786"/>
    <m/>
  </r>
  <r>
    <x v="5"/>
    <x v="22"/>
    <m/>
    <n v="16"/>
    <n v="166"/>
    <n v="182"/>
    <n v="42"/>
    <n v="8"/>
    <n v="50"/>
    <m/>
    <m/>
    <m/>
    <n v="10886.945853525613"/>
    <n v="1.6720000000000002"/>
    <n v="0.45900000000000002"/>
  </r>
  <r>
    <x v="2"/>
    <x v="18"/>
    <s v="S12000021"/>
    <m/>
    <m/>
    <n v="944"/>
    <m/>
    <m/>
    <m/>
    <n v="69747"/>
    <n v="1.353"/>
    <m/>
    <n v="65237"/>
    <n v="1.4470000000000001"/>
    <m/>
  </r>
  <r>
    <x v="9"/>
    <x v="19"/>
    <s v="S12000019"/>
    <n v="103"/>
    <n v="196"/>
    <n v="299"/>
    <n v="110"/>
    <n v="58"/>
    <n v="168"/>
    <n v="41657"/>
    <n v="0.71799999999999997"/>
    <n v="0.40300000000000002"/>
    <n v="40137"/>
    <n v="0.745"/>
    <n v="0.41899999999999998"/>
  </r>
  <r>
    <x v="10"/>
    <x v="30"/>
    <s v="S12000011"/>
    <n v="587"/>
    <n v="1106"/>
    <n v="1693"/>
    <n v="640"/>
    <n v="250"/>
    <n v="890"/>
    <n v="38061"/>
    <n v="4.4480000000000004"/>
    <n v="2.3380000000000001"/>
    <n v="38270"/>
    <n v="4.4240000000000004"/>
    <n v="2.3260000000000001"/>
  </r>
  <r>
    <x v="1"/>
    <x v="23"/>
    <s v="S12000006"/>
    <n v="1064"/>
    <n v="392"/>
    <n v="1456"/>
    <n v="882"/>
    <n v="540"/>
    <n v="1422"/>
    <n v="73555"/>
    <n v="1.9790000000000001"/>
    <n v="1.9330000000000001"/>
    <n v="68682"/>
    <n v="2.12"/>
    <n v="2.0699999999999998"/>
  </r>
  <r>
    <x v="11"/>
    <x v="2"/>
    <s v="S12000045"/>
    <n v="656"/>
    <n v="662"/>
    <n v="1318"/>
    <n v="758"/>
    <n v="299"/>
    <n v="1057"/>
    <n v="46986"/>
    <n v="2.8050000000000002"/>
    <n v="2.25"/>
    <n v="46228"/>
    <n v="2.851"/>
    <n v="2.286"/>
  </r>
  <r>
    <x v="7"/>
    <x v="2"/>
    <m/>
    <n v="166"/>
    <n v="855"/>
    <n v="1021"/>
    <n v="316"/>
    <n v="101"/>
    <n v="417"/>
    <n v="48165"/>
    <n v="2.12"/>
    <n v="0.86599999999999999"/>
    <n v="46610"/>
    <n v="2.1909999999999998"/>
    <n v="0.89500000000000002"/>
  </r>
  <r>
    <x v="4"/>
    <x v="15"/>
    <s v="S12000026"/>
    <m/>
    <m/>
    <n v="1001"/>
    <m/>
    <m/>
    <m/>
    <n v="59126"/>
    <n v="1.6930000000000001"/>
    <m/>
    <n v="55296"/>
    <n v="1.81"/>
    <m/>
  </r>
  <r>
    <x v="9"/>
    <x v="25"/>
    <s v="S12000027"/>
    <n v="17"/>
    <n v="59"/>
    <n v="76"/>
    <n v="8"/>
    <n v="26"/>
    <n v="34"/>
    <n v="11374"/>
    <n v="0.66800000000000004"/>
    <n v="0.29899999999999999"/>
    <n v="10461"/>
    <n v="0.72699999999999998"/>
    <n v="0.32500000000000001"/>
  </r>
  <r>
    <x v="7"/>
    <x v="30"/>
    <m/>
    <n v="159"/>
    <n v="487"/>
    <n v="646"/>
    <n v="314"/>
    <n v="68"/>
    <n v="382"/>
    <n v="40849"/>
    <n v="1.581"/>
    <n v="0.93500000000000005"/>
    <n v="40260"/>
    <n v="1.605"/>
    <n v="0.94899999999999995"/>
  </r>
  <r>
    <x v="7"/>
    <x v="29"/>
    <m/>
    <n v="194"/>
    <n v="749"/>
    <n v="943"/>
    <n v="268"/>
    <n v="137"/>
    <n v="405"/>
    <n v="46068"/>
    <n v="2.0470000000000002"/>
    <n v="0.879"/>
    <n v="42822"/>
    <n v="2.202"/>
    <n v="0.94599999999999995"/>
  </r>
  <r>
    <x v="5"/>
    <x v="14"/>
    <m/>
    <n v="48"/>
    <n v="502"/>
    <n v="550"/>
    <n v="85"/>
    <n v="37"/>
    <n v="124"/>
    <m/>
    <m/>
    <m/>
    <n v="44291.343786430371"/>
    <n v="1.242"/>
    <n v="0.28000000000000003"/>
  </r>
  <r>
    <x v="10"/>
    <x v="23"/>
    <s v="S12000006"/>
    <n v="1086"/>
    <n v="1068"/>
    <n v="2154"/>
    <n v="923"/>
    <n v="558"/>
    <n v="1481"/>
    <n v="74190"/>
    <n v="2.903"/>
    <n v="1.996"/>
    <n v="68999"/>
    <n v="3.1219999999999999"/>
    <n v="2.1459999999999999"/>
  </r>
  <r>
    <x v="5"/>
    <x v="2"/>
    <m/>
    <n v="113"/>
    <n v="688"/>
    <n v="801"/>
    <n v="199"/>
    <n v="81"/>
    <n v="317"/>
    <m/>
    <m/>
    <m/>
    <n v="46742.806549922221"/>
    <n v="1.714"/>
    <n v="0.67800000000000005"/>
  </r>
  <r>
    <x v="3"/>
    <x v="15"/>
    <s v="S12000026"/>
    <n v="1121"/>
    <n v="1263"/>
    <n v="2384"/>
    <n v="779"/>
    <n v="941"/>
    <n v="1720"/>
    <n v="58167"/>
    <n v="4.0990000000000002"/>
    <n v="2.9569999999999999"/>
    <n v="54306"/>
    <n v="4.3899999999999997"/>
    <n v="3.1669999999999998"/>
  </r>
  <r>
    <x v="10"/>
    <x v="26"/>
    <s v="S12000042"/>
    <n v="849"/>
    <n v="3502"/>
    <n v="4351"/>
    <n v="818"/>
    <n v="370"/>
    <n v="1188"/>
    <n v="73689"/>
    <n v="5.9050000000000002"/>
    <n v="1.6120000000000001"/>
    <n v="69534"/>
    <n v="6.2569999999999997"/>
    <n v="1.7090000000000001"/>
  </r>
  <r>
    <x v="10"/>
    <x v="22"/>
    <s v="S12000023"/>
    <n v="134"/>
    <n v="192"/>
    <n v="326"/>
    <n v="109"/>
    <n v="92"/>
    <n v="201"/>
    <n v="10924"/>
    <n v="2.984"/>
    <n v="1.8399999999999999"/>
    <n v="10146"/>
    <n v="3.2130000000000001"/>
    <n v="1.9809999999999999"/>
  </r>
  <r>
    <x v="5"/>
    <x v="24"/>
    <m/>
    <n v="77"/>
    <n v="531"/>
    <n v="608"/>
    <n v="147"/>
    <n v="47"/>
    <n v="215"/>
    <m/>
    <m/>
    <m/>
    <n v="53129.170261244602"/>
    <n v="1.1439999999999999"/>
    <n v="0.40500000000000003"/>
  </r>
  <r>
    <x v="5"/>
    <x v="29"/>
    <m/>
    <n v="104"/>
    <n v="704"/>
    <n v="808"/>
    <n v="218"/>
    <n v="95"/>
    <n v="330"/>
    <m/>
    <m/>
    <m/>
    <n v="43050.124248335145"/>
    <n v="1.877"/>
    <n v="0.76700000000000002"/>
  </r>
  <r>
    <x v="3"/>
    <x v="10"/>
    <s v="S12000005"/>
    <n v="205"/>
    <n v="360"/>
    <n v="565"/>
    <n v="233"/>
    <n v="85"/>
    <n v="318"/>
    <n v="24377"/>
    <n v="2.3180000000000001"/>
    <n v="1.3049999999999999"/>
    <n v="23563"/>
    <n v="2.3980000000000001"/>
    <n v="1.35"/>
  </r>
  <r>
    <x v="8"/>
    <x v="26"/>
    <s v="S12000042"/>
    <n v="698"/>
    <n v="3024"/>
    <n v="3722"/>
    <n v="677"/>
    <n v="308"/>
    <n v="985"/>
    <n v="73575"/>
    <n v="5.0590000000000002"/>
    <n v="1.339"/>
    <n v="69610"/>
    <n v="5.3469999999999995"/>
    <n v="1.415"/>
  </r>
  <r>
    <x v="11"/>
    <x v="13"/>
    <s v="S12000024"/>
    <n v="389"/>
    <n v="1165"/>
    <n v="1554"/>
    <n v="403"/>
    <n v="198"/>
    <n v="601"/>
    <n v="73267"/>
    <n v="2.121"/>
    <n v="0.82"/>
    <n v="69003"/>
    <n v="2.2519999999999998"/>
    <n v="0.871"/>
  </r>
  <r>
    <x v="0"/>
    <x v="4"/>
    <s v="S12000010"/>
    <n v="596"/>
    <n v="578"/>
    <n v="1174"/>
    <n v="608"/>
    <n v="364"/>
    <n v="972"/>
    <n v="46672"/>
    <n v="2.5150000000000001"/>
    <n v="2.0830000000000002"/>
    <n v="44749"/>
    <n v="2.6240000000000001"/>
    <n v="2.1720000000000002"/>
  </r>
  <r>
    <x v="0"/>
    <x v="25"/>
    <s v="S12000027"/>
    <n v="86"/>
    <n v="283"/>
    <n v="369"/>
    <n v="90"/>
    <n v="70"/>
    <n v="160"/>
    <n v="11109"/>
    <n v="3.3220000000000001"/>
    <n v="1.44"/>
    <n v="10283"/>
    <n v="3.5880000000000001"/>
    <n v="1.556"/>
  </r>
  <r>
    <x v="11"/>
    <x v="31"/>
    <s v="S12000036"/>
    <n v="1502"/>
    <n v="3441"/>
    <n v="4943"/>
    <n v="1592"/>
    <n v="578"/>
    <n v="2170"/>
    <n v="252731"/>
    <n v="1.956"/>
    <n v="0.85899999999999999"/>
    <n v="238269"/>
    <n v="2.0750000000000002"/>
    <n v="0.91100000000000003"/>
  </r>
  <r>
    <x v="8"/>
    <x v="1"/>
    <s v="S12000013"/>
    <n v="93"/>
    <n v="199"/>
    <n v="292"/>
    <n v="116"/>
    <n v="30"/>
    <n v="146"/>
    <n v="14520"/>
    <n v="2.0110000000000001"/>
    <n v="1.006"/>
    <n v="12920"/>
    <n v="2.2599999999999998"/>
    <n v="1.1299999999999999"/>
  </r>
  <r>
    <x v="2"/>
    <x v="31"/>
    <s v="S12000036"/>
    <m/>
    <m/>
    <n v="2046"/>
    <m/>
    <m/>
    <m/>
    <n v="261000"/>
    <n v="0.78400000000000003"/>
    <m/>
    <n v="244738"/>
    <n v="0.83599999999999997"/>
    <m/>
  </r>
  <r>
    <x v="3"/>
    <x v="5"/>
    <s v="S12000034"/>
    <n v="735"/>
    <n v="1405"/>
    <n v="2140"/>
    <n v="828"/>
    <n v="451"/>
    <n v="1279"/>
    <n v="117363"/>
    <n v="1.823"/>
    <n v="1.0900000000000001"/>
    <n v="110941"/>
    <n v="1.929"/>
    <n v="1.153"/>
  </r>
  <r>
    <x v="5"/>
    <x v="10"/>
    <m/>
    <n v="29"/>
    <n v="332"/>
    <n v="361"/>
    <n v="32"/>
    <n v="16"/>
    <n v="55"/>
    <m/>
    <m/>
    <m/>
    <n v="24437.594766831102"/>
    <n v="1.4769999999999999"/>
    <n v="0.22500000000000001"/>
  </r>
  <r>
    <x v="3"/>
    <x v="8"/>
    <s v="S12000014"/>
    <n v="512"/>
    <n v="1083"/>
    <n v="1595"/>
    <n v="530"/>
    <n v="280"/>
    <n v="810"/>
    <n v="74361"/>
    <n v="2.145"/>
    <n v="1.089"/>
    <n v="71800"/>
    <n v="2.2210000000000001"/>
    <n v="1.1280000000000001"/>
  </r>
  <r>
    <x v="0"/>
    <x v="28"/>
    <s v="S12000040"/>
    <n v="972"/>
    <n v="766"/>
    <n v="1738"/>
    <n v="837"/>
    <n v="665"/>
    <n v="1502"/>
    <n v="78604"/>
    <n v="2.2109999999999999"/>
    <n v="1.911"/>
    <n v="76630"/>
    <n v="2.2679999999999998"/>
    <n v="1.96"/>
  </r>
  <r>
    <x v="8"/>
    <x v="20"/>
    <s v="S12000041"/>
    <n v="486"/>
    <n v="1357"/>
    <n v="1843"/>
    <n v="498"/>
    <n v="226"/>
    <n v="724"/>
    <n v="55267"/>
    <n v="3.335"/>
    <n v="1.31"/>
    <n v="52692"/>
    <n v="3.4980000000000002"/>
    <n v="1.3740000000000001"/>
  </r>
  <r>
    <x v="5"/>
    <x v="15"/>
    <m/>
    <n v="123"/>
    <n v="599"/>
    <n v="722"/>
    <n v="184"/>
    <n v="95"/>
    <n v="334"/>
    <m/>
    <m/>
    <m/>
    <n v="56084.6598177981"/>
    <n v="1.2869999999999999"/>
    <n v="0.59599999999999997"/>
  </r>
  <r>
    <x v="3"/>
    <x v="7"/>
    <s v="S12000030"/>
    <n v="335"/>
    <n v="625"/>
    <n v="960"/>
    <n v="315"/>
    <n v="213"/>
    <n v="528"/>
    <n v="41250"/>
    <n v="2.327"/>
    <n v="1.28"/>
    <n v="39285"/>
    <n v="2.444"/>
    <n v="1.3439999999999999"/>
  </r>
  <r>
    <x v="10"/>
    <x v="0"/>
    <s v="S12000038"/>
    <n v="794"/>
    <n v="944"/>
    <n v="1738"/>
    <n v="865"/>
    <n v="399"/>
    <n v="1264"/>
    <n v="84997"/>
    <n v="2.0449999999999999"/>
    <n v="1.4870000000000001"/>
    <n v="83245"/>
    <n v="2.0880000000000001"/>
    <n v="1.518"/>
  </r>
  <r>
    <x v="2"/>
    <x v="20"/>
    <s v="S12000041"/>
    <m/>
    <m/>
    <n v="1332"/>
    <m/>
    <m/>
    <m/>
    <n v="58088"/>
    <n v="2.2930000000000001"/>
    <m/>
    <n v="55441"/>
    <n v="2.403"/>
    <m/>
  </r>
  <r>
    <x v="9"/>
    <x v="28"/>
    <s v="S12000040"/>
    <n v="272"/>
    <n v="405"/>
    <n v="677"/>
    <n v="260"/>
    <n v="158"/>
    <n v="418"/>
    <n v="81723"/>
    <n v="0.82799999999999996"/>
    <n v="0.51100000000000001"/>
    <n v="79892"/>
    <n v="0.84699999999999998"/>
    <n v="0.52300000000000002"/>
  </r>
  <r>
    <x v="7"/>
    <x v="27"/>
    <m/>
    <n v="158"/>
    <n v="1521"/>
    <n v="1679"/>
    <n v="349"/>
    <n v="132"/>
    <n v="481"/>
    <n v="124369"/>
    <n v="1.35"/>
    <n v="0.38700000000000001"/>
    <n v="111024"/>
    <n v="1.512"/>
    <n v="0.433"/>
  </r>
  <r>
    <x v="7"/>
    <x v="9"/>
    <m/>
    <n v="97"/>
    <n v="739"/>
    <n v="836"/>
    <n v="182"/>
    <n v="82"/>
    <n v="264"/>
    <n v="49144"/>
    <n v="1.7010000000000001"/>
    <n v="0.53700000000000003"/>
    <n v="42610"/>
    <n v="1.962"/>
    <n v="0.62"/>
  </r>
  <r>
    <x v="4"/>
    <x v="31"/>
    <s v="S12000036"/>
    <m/>
    <m/>
    <n v="2702"/>
    <m/>
    <m/>
    <m/>
    <n v="257658"/>
    <n v="1.0489999999999999"/>
    <m/>
    <n v="241658"/>
    <n v="1.1179999999999999"/>
    <m/>
  </r>
  <r>
    <x v="4"/>
    <x v="24"/>
    <s v="S12000028"/>
    <m/>
    <m/>
    <n v="834"/>
    <m/>
    <m/>
    <m/>
    <n v="56016"/>
    <n v="1.4889999999999999"/>
    <m/>
    <n v="52753"/>
    <n v="1.581"/>
    <m/>
  </r>
  <r>
    <x v="11"/>
    <x v="27"/>
    <s v="S12000033"/>
    <n v="392"/>
    <n v="2273"/>
    <n v="2665"/>
    <n v="391"/>
    <n v="199"/>
    <n v="590"/>
    <n v="119523"/>
    <n v="2.23"/>
    <n v="0.49399999999999999"/>
    <n v="108381"/>
    <n v="2.4590000000000001"/>
    <n v="0.54400000000000004"/>
  </r>
  <r>
    <x v="4"/>
    <x v="21"/>
    <s v="S12000015"/>
    <m/>
    <m/>
    <n v="3158"/>
    <m/>
    <m/>
    <m/>
    <n v="180234"/>
    <n v="1.752"/>
    <m/>
    <n v="171086"/>
    <n v="1.8460000000000001"/>
    <m/>
  </r>
  <r>
    <x v="6"/>
    <x v="21"/>
    <s v="S12000015"/>
    <n v="2778"/>
    <n v="3429"/>
    <n v="6207"/>
    <n v="2925"/>
    <n v="1478"/>
    <n v="4403"/>
    <n v="177084"/>
    <n v="3.5049999999999999"/>
    <n v="2.4859999999999998"/>
    <n v="167944"/>
    <n v="3.6959999999999997"/>
    <n v="2.6219999999999999"/>
  </r>
  <r>
    <x v="8"/>
    <x v="19"/>
    <s v="S12000019"/>
    <n v="479"/>
    <n v="491"/>
    <n v="970"/>
    <n v="465"/>
    <n v="272"/>
    <n v="737"/>
    <n v="38159"/>
    <n v="2.5419999999999998"/>
    <n v="1.931"/>
    <n v="36602"/>
    <n v="2.65"/>
    <n v="2.0139999999999998"/>
  </r>
  <r>
    <x v="3"/>
    <x v="1"/>
    <s v="S12000013"/>
    <n v="125"/>
    <n v="223"/>
    <n v="348"/>
    <n v="171"/>
    <n v="11"/>
    <n v="182"/>
    <n v="14714"/>
    <n v="2.3650000000000002"/>
    <n v="1.2370000000000001"/>
    <n v="12805"/>
    <n v="2.718"/>
    <n v="1.421"/>
  </r>
  <r>
    <x v="0"/>
    <x v="31"/>
    <s v="S12000036"/>
    <n v="2671"/>
    <n v="2368"/>
    <n v="5039"/>
    <n v="2446"/>
    <n v="1264"/>
    <n v="3710"/>
    <n v="244131"/>
    <n v="2.0640000000000001"/>
    <n v="1.52"/>
    <n v="231383"/>
    <n v="2.1779999999999999"/>
    <n v="1.603"/>
  </r>
  <r>
    <x v="11"/>
    <x v="28"/>
    <s v="S12000040"/>
    <n v="658"/>
    <n v="1193"/>
    <n v="1851"/>
    <n v="631"/>
    <n v="327"/>
    <n v="958"/>
    <n v="80911"/>
    <n v="2.2879999999999998"/>
    <n v="1.1839999999999999"/>
    <n v="78966"/>
    <n v="2.3439999999999999"/>
    <n v="1.2130000000000001"/>
  </r>
  <r>
    <x v="11"/>
    <x v="6"/>
    <s v="S12000029"/>
    <n v="1364"/>
    <n v="2345"/>
    <n v="3709"/>
    <n v="1628"/>
    <n v="551"/>
    <n v="2179"/>
    <n v="152998"/>
    <n v="2.4239999999999999"/>
    <n v="1.4239999999999999"/>
    <n v="147434"/>
    <n v="2.516"/>
    <n v="1.478"/>
  </r>
  <r>
    <x v="3"/>
    <x v="25"/>
    <s v="S12000027"/>
    <n v="113"/>
    <n v="212"/>
    <n v="325"/>
    <n v="128"/>
    <n v="76"/>
    <n v="204"/>
    <n v="11180"/>
    <n v="2.907"/>
    <n v="1.825"/>
    <n v="10341"/>
    <n v="3.1429999999999998"/>
    <n v="1.9729999999999999"/>
  </r>
  <r>
    <x v="3"/>
    <x v="2"/>
    <s v="S12000045"/>
    <n v="721"/>
    <n v="684"/>
    <n v="1405"/>
    <n v="764"/>
    <n v="348"/>
    <n v="1112"/>
    <n v="46430"/>
    <n v="3.0259999999999998"/>
    <n v="2.395"/>
    <n v="45690"/>
    <n v="3.0750000000000002"/>
    <n v="2.4340000000000002"/>
  </r>
  <r>
    <x v="7"/>
    <x v="28"/>
    <m/>
    <n v="229"/>
    <n v="1062"/>
    <n v="1291"/>
    <n v="626"/>
    <n v="164"/>
    <n v="790"/>
    <n v="84929"/>
    <n v="1.52"/>
    <n v="0.93"/>
    <n v="81029"/>
    <n v="1.593"/>
    <n v="0.97499999999999998"/>
  </r>
  <r>
    <x v="9"/>
    <x v="15"/>
    <s v="S12000026"/>
    <n v="265"/>
    <n v="374"/>
    <n v="639"/>
    <n v="252"/>
    <n v="193"/>
    <n v="445"/>
    <n v="58814"/>
    <n v="1.0860000000000001"/>
    <n v="0.75700000000000001"/>
    <n v="54796"/>
    <n v="1.1659999999999999"/>
    <n v="0.81200000000000006"/>
  </r>
  <r>
    <x v="0"/>
    <x v="17"/>
    <s v="S12000044"/>
    <n v="1400"/>
    <n v="2084"/>
    <n v="3484"/>
    <n v="1722"/>
    <n v="548"/>
    <n v="2270"/>
    <n v="153388"/>
    <n v="2.2709999999999999"/>
    <n v="1.48"/>
    <n v="150364"/>
    <n v="2.3170000000000002"/>
    <n v="1.51"/>
  </r>
  <r>
    <x v="9"/>
    <x v="9"/>
    <s v="S12000035"/>
    <n v="165"/>
    <n v="320"/>
    <n v="485"/>
    <n v="154"/>
    <n v="116"/>
    <n v="270"/>
    <n v="48199"/>
    <n v="1.006"/>
    <n v="0.56000000000000005"/>
    <n v="41839"/>
    <n v="1.159"/>
    <n v="0.64500000000000002"/>
  </r>
  <r>
    <x v="10"/>
    <x v="18"/>
    <s v="S12000021"/>
    <n v="932"/>
    <n v="1137"/>
    <n v="2069"/>
    <n v="954"/>
    <n v="531"/>
    <n v="1485"/>
    <n v="67590"/>
    <n v="3.0609999999999999"/>
    <n v="2.1970000000000001"/>
    <n v="63189"/>
    <n v="3.274"/>
    <n v="2.35"/>
  </r>
  <r>
    <x v="10"/>
    <x v="19"/>
    <s v="S12000019"/>
    <n v="574"/>
    <n v="527"/>
    <n v="1101"/>
    <n v="474"/>
    <n v="435"/>
    <n v="909"/>
    <n v="38675"/>
    <n v="2.847"/>
    <n v="2.35"/>
    <n v="37069"/>
    <n v="2.9699999999999998"/>
    <n v="2.452"/>
  </r>
  <r>
    <x v="3"/>
    <x v="20"/>
    <s v="S12000041"/>
    <n v="469"/>
    <n v="1121"/>
    <n v="1590"/>
    <n v="434"/>
    <n v="216"/>
    <n v="650"/>
    <n v="56135"/>
    <n v="2.8319999999999999"/>
    <n v="1.1579999999999999"/>
    <n v="53627"/>
    <n v="2.9649999999999999"/>
    <n v="1.212"/>
  </r>
  <r>
    <x v="4"/>
    <x v="25"/>
    <s v="S12000027"/>
    <m/>
    <m/>
    <n v="342"/>
    <m/>
    <m/>
    <m/>
    <n v="11462"/>
    <n v="2.984"/>
    <m/>
    <n v="10554"/>
    <n v="3.24"/>
    <m/>
  </r>
  <r>
    <x v="8"/>
    <x v="8"/>
    <s v="S12000014"/>
    <n v="533"/>
    <n v="1084"/>
    <n v="1617"/>
    <n v="573"/>
    <n v="201"/>
    <n v="774"/>
    <n v="72624"/>
    <n v="2.2269999999999999"/>
    <n v="1.0660000000000001"/>
    <n v="69693"/>
    <n v="2.3199999999999998"/>
    <n v="1.111"/>
  </r>
  <r>
    <x v="6"/>
    <x v="7"/>
    <s v="S12000030"/>
    <n v="323"/>
    <n v="611"/>
    <n v="934"/>
    <n v="329"/>
    <n v="182"/>
    <n v="511"/>
    <n v="41443"/>
    <n v="2.254"/>
    <n v="1.2330000000000001"/>
    <n v="39440"/>
    <n v="2.3679999999999999"/>
    <n v="1.296"/>
  </r>
  <r>
    <x v="6"/>
    <x v="2"/>
    <s v="S12000045"/>
    <n v="653"/>
    <n v="579"/>
    <n v="1232"/>
    <n v="755"/>
    <n v="285"/>
    <n v="1040"/>
    <n v="46721"/>
    <n v="2.637"/>
    <n v="2.226"/>
    <n v="46023"/>
    <n v="2.677"/>
    <n v="2.2599999999999998"/>
  </r>
  <r>
    <x v="0"/>
    <x v="15"/>
    <s v="S12000026"/>
    <n v="1359"/>
    <n v="1477"/>
    <n v="2836"/>
    <n v="832"/>
    <n v="1288"/>
    <n v="2120"/>
    <n v="57940"/>
    <n v="4.8949999999999996"/>
    <n v="3.6589999999999998"/>
    <n v="53787"/>
    <n v="5.2729999999999997"/>
    <n v="3.9409999999999998"/>
  </r>
  <r>
    <x v="4"/>
    <x v="20"/>
    <s v="S12000041"/>
    <m/>
    <m/>
    <n v="1585"/>
    <m/>
    <m/>
    <m/>
    <n v="57711"/>
    <n v="2.746"/>
    <m/>
    <n v="55003"/>
    <n v="2.8820000000000001"/>
    <m/>
  </r>
  <r>
    <x v="8"/>
    <x v="5"/>
    <s v="S12000034"/>
    <n v="617"/>
    <n v="831"/>
    <n v="1448"/>
    <n v="609"/>
    <n v="394"/>
    <n v="1003"/>
    <n v="114086"/>
    <n v="1.2690000000000001"/>
    <n v="0.879"/>
    <n v="108381"/>
    <n v="1.3360000000000001"/>
    <n v="0.92500000000000004"/>
  </r>
  <r>
    <x v="0"/>
    <x v="2"/>
    <s v="S12000045"/>
    <n v="720"/>
    <n v="659"/>
    <n v="1379"/>
    <n v="857"/>
    <n v="291"/>
    <n v="1148"/>
    <n v="46026"/>
    <n v="2.996"/>
    <n v="2.4939999999999998"/>
    <n v="45350"/>
    <n v="3.0409999999999999"/>
    <n v="2.5310000000000001"/>
  </r>
  <r>
    <x v="3"/>
    <x v="12"/>
    <s v="S12000017"/>
    <n v="1288"/>
    <n v="3927"/>
    <n v="5215"/>
    <n v="1385"/>
    <n v="742"/>
    <n v="2127"/>
    <n v="117291"/>
    <n v="4.4459999999999997"/>
    <n v="1.8129999999999999"/>
    <n v="108319"/>
    <n v="4.8140000000000001"/>
    <n v="1.964"/>
  </r>
  <r>
    <x v="6"/>
    <x v="15"/>
    <s v="S12000026"/>
    <n v="920"/>
    <n v="1208"/>
    <n v="2128"/>
    <n v="740"/>
    <n v="673"/>
    <n v="1413"/>
    <n v="58425"/>
    <n v="3.6419999999999999"/>
    <n v="2.4180000000000001"/>
    <n v="54413"/>
    <n v="3.911"/>
    <n v="2.597"/>
  </r>
  <r>
    <x v="2"/>
    <x v="17"/>
    <s v="S12000044"/>
    <m/>
    <m/>
    <n v="2568"/>
    <m/>
    <m/>
    <m/>
    <n v="159586"/>
    <n v="1.609"/>
    <m/>
    <n v="154382"/>
    <n v="1.663"/>
    <m/>
  </r>
  <r>
    <x v="1"/>
    <x v="15"/>
    <s v="S12000026"/>
    <n v="1252"/>
    <n v="1347"/>
    <n v="2599"/>
    <n v="948"/>
    <n v="1046"/>
    <n v="1994"/>
    <n v="57097"/>
    <n v="4.5519999999999996"/>
    <n v="3.492"/>
    <n v="52934"/>
    <n v="4.91"/>
    <n v="3.7669999999999999"/>
  </r>
  <r>
    <x v="4"/>
    <x v="12"/>
    <s v="S12000017"/>
    <m/>
    <m/>
    <n v="2214"/>
    <m/>
    <m/>
    <m/>
    <n v="120785"/>
    <n v="1.833"/>
    <m/>
    <n v="110743"/>
    <n v="1.9990000000000001"/>
    <m/>
  </r>
  <r>
    <x v="6"/>
    <x v="14"/>
    <s v="S12000020"/>
    <n v="516"/>
    <n v="1149"/>
    <n v="1665"/>
    <n v="399"/>
    <n v="473"/>
    <n v="872"/>
    <n v="45209"/>
    <n v="3.6829999999999998"/>
    <n v="1.929"/>
    <n v="42554"/>
    <n v="3.9130000000000003"/>
    <n v="2.0489999999999999"/>
  </r>
  <r>
    <x v="4"/>
    <x v="14"/>
    <s v="S12000020"/>
    <m/>
    <m/>
    <n v="931"/>
    <m/>
    <m/>
    <m/>
    <n v="46166"/>
    <n v="2.0169999999999999"/>
    <m/>
    <n v="43590"/>
    <n v="2.1360000000000001"/>
    <m/>
  </r>
  <r>
    <x v="3"/>
    <x v="29"/>
    <s v="S12000039"/>
    <n v="654"/>
    <n v="1023"/>
    <n v="1677"/>
    <n v="714"/>
    <n v="285"/>
    <n v="999"/>
    <n v="45093"/>
    <n v="3.7189999999999999"/>
    <n v="2.2149999999999999"/>
    <n v="42746"/>
    <n v="3.923"/>
    <n v="2.3370000000000002"/>
  </r>
  <r>
    <x v="2"/>
    <x v="12"/>
    <s v="S12000017"/>
    <m/>
    <m/>
    <n v="2133"/>
    <m/>
    <m/>
    <m/>
    <n v="122235"/>
    <n v="1.7450000000000001"/>
    <m/>
    <n v="111633"/>
    <n v="1.911"/>
    <m/>
  </r>
  <r>
    <x v="3"/>
    <x v="30"/>
    <s v="S12000011"/>
    <n v="604"/>
    <n v="662"/>
    <n v="1266"/>
    <n v="700"/>
    <n v="194"/>
    <n v="894"/>
    <n v="38677"/>
    <n v="3.2730000000000001"/>
    <n v="2.3109999999999999"/>
    <n v="38899"/>
    <n v="3.2549999999999999"/>
    <n v="2.298"/>
  </r>
  <r>
    <x v="6"/>
    <x v="24"/>
    <s v="S12000028"/>
    <n v="437"/>
    <n v="687"/>
    <n v="1124"/>
    <n v="531"/>
    <n v="204"/>
    <n v="735"/>
    <n v="55486"/>
    <n v="2.0259999999999998"/>
    <n v="1.325"/>
    <n v="52281"/>
    <n v="2.15"/>
    <n v="1.4060000000000001"/>
  </r>
  <r>
    <x v="9"/>
    <x v="2"/>
    <s v="S12000045"/>
    <n v="229"/>
    <n v="173"/>
    <n v="402"/>
    <n v="238"/>
    <n v="133"/>
    <n v="371"/>
    <n v="47251"/>
    <n v="0.85099999999999998"/>
    <n v="0.78500000000000003"/>
    <n v="46563"/>
    <n v="0.86299999999999999"/>
    <n v="0.79700000000000004"/>
  </r>
  <r>
    <x v="6"/>
    <x v="12"/>
    <s v="S12000017"/>
    <n v="813"/>
    <n v="2969"/>
    <n v="3782"/>
    <n v="818"/>
    <n v="537"/>
    <n v="1355"/>
    <n v="118117"/>
    <n v="3.202"/>
    <n v="1.147"/>
    <n v="108878"/>
    <n v="3.4740000000000002"/>
    <n v="1.2450000000000001"/>
  </r>
  <r>
    <x v="9"/>
    <x v="27"/>
    <s v="S12000033"/>
    <n v="130"/>
    <n v="406"/>
    <n v="536"/>
    <n v="135"/>
    <n v="54"/>
    <n v="189"/>
    <n v="120980"/>
    <n v="0.443"/>
    <n v="0.156"/>
    <n v="108893"/>
    <n v="0.49199999999999999"/>
    <n v="0.17399999999999999"/>
  </r>
  <r>
    <x v="3"/>
    <x v="9"/>
    <s v="S12000035"/>
    <n v="650"/>
    <n v="1030"/>
    <n v="1680"/>
    <n v="503"/>
    <n v="462"/>
    <n v="965"/>
    <n v="47884"/>
    <n v="3.508"/>
    <n v="2.0150000000000001"/>
    <n v="41455"/>
    <n v="4.0529999999999999"/>
    <n v="2.3279999999999998"/>
  </r>
  <r>
    <x v="6"/>
    <x v="30"/>
    <s v="S12000011"/>
    <n v="445"/>
    <n v="651"/>
    <n v="1096"/>
    <n v="492"/>
    <n v="194"/>
    <n v="686"/>
    <n v="38902"/>
    <n v="2.8170000000000002"/>
    <n v="1.7629999999999999"/>
    <n v="39108"/>
    <n v="2.802"/>
    <n v="1.754"/>
  </r>
  <r>
    <x v="4"/>
    <x v="29"/>
    <s v="S12000039"/>
    <m/>
    <m/>
    <n v="1111"/>
    <m/>
    <m/>
    <m/>
    <n v="45607"/>
    <n v="2.4359999999999999"/>
    <m/>
    <n v="43364"/>
    <n v="2.5620000000000003"/>
    <m/>
  </r>
  <r>
    <x v="6"/>
    <x v="31"/>
    <s v="S12000036"/>
    <n v="1893"/>
    <n v="2567"/>
    <n v="4460"/>
    <n v="1882"/>
    <n v="776"/>
    <n v="2658"/>
    <n v="249810"/>
    <n v="1.7850000000000001"/>
    <n v="1.0640000000000001"/>
    <n v="235771"/>
    <n v="1.8919999999999999"/>
    <n v="1.127"/>
  </r>
  <r>
    <x v="7"/>
    <x v="7"/>
    <m/>
    <n v="103"/>
    <n v="516"/>
    <n v="619"/>
    <n v="181"/>
    <n v="85"/>
    <n v="266"/>
    <n v="42990"/>
    <n v="1.44"/>
    <n v="0.61899999999999999"/>
    <n v="40810"/>
    <n v="1.5169999999999999"/>
    <n v="0.65200000000000002"/>
  </r>
  <r>
    <x v="7"/>
    <x v="25"/>
    <m/>
    <n v="23"/>
    <n v="193"/>
    <n v="216"/>
    <n v="19"/>
    <n v="53"/>
    <n v="72"/>
    <n v="11629"/>
    <n v="1.857"/>
    <n v="0.61899999999999999"/>
    <n v="10621"/>
    <n v="2.0339999999999998"/>
    <n v="0.67800000000000005"/>
  </r>
  <r>
    <x v="11"/>
    <x v="3"/>
    <s v="S12000046"/>
    <n v="2529"/>
    <n v="7410"/>
    <n v="9939"/>
    <n v="2783"/>
    <n v="753"/>
    <n v="3536"/>
    <n v="314604"/>
    <n v="3.1589999999999998"/>
    <n v="1.1240000000000001"/>
    <n v="294622"/>
    <n v="3.3730000000000002"/>
    <n v="1.2"/>
  </r>
  <r>
    <x v="7"/>
    <x v="3"/>
    <m/>
    <n v="751"/>
    <n v="3363"/>
    <n v="4114"/>
    <n v="1394"/>
    <n v="534"/>
    <n v="1928"/>
    <n v="324431"/>
    <n v="1.268"/>
    <n v="0.59399999999999997"/>
    <n v="297386"/>
    <n v="1.383"/>
    <n v="0.64800000000000002"/>
  </r>
  <r>
    <x v="7"/>
    <x v="20"/>
    <m/>
    <n v="107"/>
    <n v="867"/>
    <n v="974"/>
    <n v="138"/>
    <n v="132"/>
    <n v="270"/>
    <n v="58286"/>
    <n v="1.671"/>
    <n v="0.46300000000000002"/>
    <n v="54804"/>
    <n v="1.7770000000000001"/>
    <n v="0.49299999999999999"/>
  </r>
  <r>
    <x v="9"/>
    <x v="29"/>
    <s v="S12000039"/>
    <n v="222"/>
    <n v="355"/>
    <n v="577"/>
    <n v="269"/>
    <n v="67"/>
    <n v="336"/>
    <n v="45148"/>
    <n v="1.278"/>
    <n v="0.74399999999999999"/>
    <n v="43164"/>
    <n v="1.337"/>
    <n v="0.77800000000000002"/>
  </r>
  <r>
    <x v="3"/>
    <x v="27"/>
    <s v="S12000033"/>
    <n v="478"/>
    <n v="1669"/>
    <n v="2147"/>
    <n v="432"/>
    <n v="260"/>
    <n v="692"/>
    <n v="116821"/>
    <n v="1.8380000000000001"/>
    <n v="0.59199999999999997"/>
    <n v="106802"/>
    <n v="2.0099999999999998"/>
    <n v="0.64800000000000002"/>
  </r>
  <r>
    <x v="5"/>
    <x v="21"/>
    <m/>
    <n v="330"/>
    <n v="1696"/>
    <n v="2026"/>
    <n v="521"/>
    <n v="254"/>
    <n v="823"/>
    <m/>
    <m/>
    <m/>
    <n v="171913.40662763728"/>
    <n v="1.179"/>
    <n v="0.47899999999999998"/>
  </r>
  <r>
    <x v="9"/>
    <x v="30"/>
    <s v="S12000011"/>
    <n v="204"/>
    <n v="172"/>
    <n v="376"/>
    <n v="222"/>
    <n v="100"/>
    <n v="322"/>
    <n v="39453"/>
    <n v="0.95299999999999996"/>
    <n v="0.81599999999999995"/>
    <n v="39586"/>
    <n v="0.95"/>
    <n v="0.81299999999999994"/>
  </r>
  <r>
    <x v="10"/>
    <x v="10"/>
    <s v="S12000005"/>
    <n v="243"/>
    <n v="382"/>
    <n v="625"/>
    <n v="229"/>
    <n v="130"/>
    <n v="359"/>
    <n v="24114"/>
    <n v="2.5920000000000001"/>
    <n v="1.4889999999999999"/>
    <n v="23333"/>
    <n v="2.6790000000000003"/>
    <n v="1.5390000000000001"/>
  </r>
  <r>
    <x v="5"/>
    <x v="31"/>
    <m/>
    <n v="204"/>
    <n v="2496"/>
    <n v="2700"/>
    <n v="221"/>
    <n v="216"/>
    <n v="472"/>
    <m/>
    <m/>
    <m/>
    <n v="244791.4683634642"/>
    <n v="1.103"/>
    <n v="0.193"/>
  </r>
  <r>
    <x v="11"/>
    <x v="20"/>
    <s v="S12000041"/>
    <n v="440"/>
    <n v="1358"/>
    <n v="1798"/>
    <n v="474"/>
    <n v="203"/>
    <n v="677"/>
    <n v="56928"/>
    <n v="3.1579999999999999"/>
    <n v="1.1890000000000001"/>
    <n v="54221"/>
    <n v="3.3159999999999998"/>
    <n v="1.2490000000000001"/>
  </r>
  <r>
    <x v="2"/>
    <x v="26"/>
    <s v="S12000042"/>
    <m/>
    <m/>
    <n v="1763"/>
    <m/>
    <m/>
    <m/>
    <n v="75840"/>
    <n v="2.3250000000000002"/>
    <m/>
    <n v="71701"/>
    <n v="2.4590000000000001"/>
    <m/>
  </r>
  <r>
    <x v="2"/>
    <x v="23"/>
    <s v="S12000006"/>
    <m/>
    <m/>
    <n v="1049"/>
    <m/>
    <m/>
    <m/>
    <n v="75922"/>
    <n v="1.3820000000000001"/>
    <m/>
    <n v="70984"/>
    <n v="1.478"/>
    <m/>
  </r>
  <r>
    <x v="2"/>
    <x v="27"/>
    <s v="S12000033"/>
    <m/>
    <m/>
    <n v="1645"/>
    <m/>
    <m/>
    <m/>
    <n v="123363"/>
    <n v="1.333"/>
    <m/>
    <n v="109827"/>
    <n v="1.498"/>
    <m/>
  </r>
  <r>
    <x v="0"/>
    <x v="29"/>
    <s v="S12000039"/>
    <n v="558"/>
    <n v="1036"/>
    <n v="1594"/>
    <n v="620"/>
    <n v="238"/>
    <n v="858"/>
    <n v="45104"/>
    <n v="3.5339999999999998"/>
    <n v="1.9020000000000001"/>
    <n v="42657"/>
    <n v="3.7370000000000001"/>
    <n v="2.0110000000000001"/>
  </r>
  <r>
    <x v="4"/>
    <x v="27"/>
    <s v="S12000033"/>
    <m/>
    <m/>
    <n v="1463"/>
    <m/>
    <m/>
    <m/>
    <n v="122242"/>
    <n v="1.1970000000000001"/>
    <m/>
    <n v="108844"/>
    <n v="1.3439999999999999"/>
    <m/>
  </r>
  <r>
    <x v="5"/>
    <x v="20"/>
    <m/>
    <n v="86"/>
    <n v="636"/>
    <n v="722"/>
    <n v="149"/>
    <n v="65"/>
    <n v="228"/>
    <m/>
    <m/>
    <m/>
    <n v="54997.612762941659"/>
    <n v="1.3129999999999999"/>
    <n v="0.41499999999999998"/>
  </r>
  <r>
    <x v="4"/>
    <x v="26"/>
    <s v="S12000042"/>
    <m/>
    <m/>
    <n v="1766"/>
    <m/>
    <m/>
    <m/>
    <n v="75453"/>
    <n v="2.3410000000000002"/>
    <m/>
    <n v="71224"/>
    <n v="2.48"/>
    <m/>
  </r>
  <r>
    <x v="5"/>
    <x v="25"/>
    <m/>
    <n v="21"/>
    <n v="160"/>
    <n v="181"/>
    <n v="42"/>
    <n v="30"/>
    <n v="73"/>
    <m/>
    <m/>
    <m/>
    <n v="10763.196157324961"/>
    <n v="1.6819999999999999"/>
    <n v="0.67800000000000005"/>
  </r>
  <r>
    <x v="8"/>
    <x v="10"/>
    <s v="S12000005"/>
    <n v="273"/>
    <n v="511"/>
    <n v="784"/>
    <n v="314"/>
    <n v="87"/>
    <n v="401"/>
    <n v="23995"/>
    <n v="3.2669999999999999"/>
    <n v="1.671"/>
    <n v="23217"/>
    <n v="3.3769999999999998"/>
    <n v="1.7269999999999999"/>
  </r>
  <r>
    <x v="9"/>
    <x v="24"/>
    <s v="S12000028"/>
    <n v="130"/>
    <n v="263"/>
    <n v="393"/>
    <n v="197"/>
    <n v="53"/>
    <n v="250"/>
    <n v="55793"/>
    <n v="0.70399999999999996"/>
    <n v="0.44800000000000001"/>
    <n v="52571"/>
    <n v="0.748"/>
    <n v="0.47599999999999998"/>
  </r>
  <r>
    <x v="6"/>
    <x v="9"/>
    <s v="S12000035"/>
    <n v="531"/>
    <n v="939"/>
    <n v="1470"/>
    <n v="480"/>
    <n v="351"/>
    <n v="831"/>
    <n v="48020"/>
    <n v="3.0609999999999999"/>
    <n v="1.7309999999999999"/>
    <n v="41630"/>
    <n v="3.5310000000000001"/>
    <n v="1.996"/>
  </r>
  <r>
    <x v="10"/>
    <x v="27"/>
    <s v="S12000033"/>
    <n v="572"/>
    <n v="2074"/>
    <n v="2646"/>
    <n v="538"/>
    <n v="281"/>
    <n v="819"/>
    <n v="114234"/>
    <n v="2.3159999999999998"/>
    <n v="0.71699999999999997"/>
    <n v="105311"/>
    <n v="2.5129999999999999"/>
    <n v="0.77800000000000002"/>
  </r>
  <r>
    <x v="7"/>
    <x v="23"/>
    <m/>
    <n v="238"/>
    <n v="849"/>
    <n v="1087"/>
    <n v="469"/>
    <n v="162"/>
    <n v="631"/>
    <n v="76275"/>
    <n v="1.425"/>
    <n v="0.82699999999999996"/>
    <n v="70696"/>
    <n v="1.538"/>
    <n v="0.89300000000000002"/>
  </r>
  <r>
    <x v="7"/>
    <x v="26"/>
    <m/>
    <n v="134"/>
    <n v="1306"/>
    <n v="1440"/>
    <n v="158"/>
    <n v="117"/>
    <n v="275"/>
    <n v="76306"/>
    <n v="1.887"/>
    <n v="0.36"/>
    <n v="70409"/>
    <n v="2.0449999999999999"/>
    <n v="0.39100000000000001"/>
  </r>
  <r>
    <x v="0"/>
    <x v="19"/>
    <s v="S12000019"/>
    <n v="528"/>
    <n v="438"/>
    <n v="966"/>
    <n v="416"/>
    <n v="424"/>
    <n v="840"/>
    <n v="39297"/>
    <n v="2.4580000000000002"/>
    <n v="2.1379999999999999"/>
    <n v="37766"/>
    <n v="2.5579999999999998"/>
    <n v="2.2240000000000002"/>
  </r>
  <r>
    <x v="10"/>
    <x v="29"/>
    <s v="S12000039"/>
    <n v="470"/>
    <n v="934"/>
    <n v="1404"/>
    <n v="586"/>
    <n v="154"/>
    <n v="740"/>
    <n v="45056"/>
    <n v="3.1160000000000001"/>
    <n v="1.6419999999999999"/>
    <n v="42571"/>
    <n v="3.298"/>
    <n v="1.738"/>
  </r>
  <r>
    <x v="8"/>
    <x v="3"/>
    <s v="S12000046"/>
    <n v="2493"/>
    <n v="3638"/>
    <n v="6131"/>
    <n v="2836"/>
    <n v="867"/>
    <n v="3703"/>
    <n v="301891"/>
    <n v="2.0310000000000001"/>
    <n v="1.2270000000000001"/>
    <n v="286377"/>
    <n v="2.141"/>
    <n v="1.2929999999999999"/>
  </r>
  <r>
    <x v="8"/>
    <x v="2"/>
    <s v="S12000045"/>
    <n v="562"/>
    <n v="539"/>
    <n v="1101"/>
    <n v="734"/>
    <n v="214"/>
    <n v="948"/>
    <n v="45281"/>
    <n v="2.431"/>
    <n v="2.0939999999999999"/>
    <n v="44504"/>
    <n v="2.4740000000000002"/>
    <n v="2.13"/>
  </r>
  <r>
    <x v="8"/>
    <x v="4"/>
    <s v="S12000010"/>
    <n v="737"/>
    <n v="511"/>
    <n v="1248"/>
    <n v="708"/>
    <n v="526"/>
    <n v="1234"/>
    <n v="45968"/>
    <n v="2.7149999999999999"/>
    <n v="2.6840000000000002"/>
    <n v="43981"/>
    <n v="2.8380000000000001"/>
    <n v="2.806"/>
  </r>
  <r>
    <x v="1"/>
    <x v="6"/>
    <s v="S12000029"/>
    <n v="1230"/>
    <n v="1647"/>
    <n v="2877"/>
    <n v="1474"/>
    <n v="585"/>
    <n v="2059"/>
    <n v="146110"/>
    <n v="1.9689999999999999"/>
    <n v="1.409"/>
    <n v="141129"/>
    <n v="2.0390000000000001"/>
    <n v="1.4590000000000001"/>
  </r>
  <r>
    <x v="1"/>
    <x v="27"/>
    <s v="S12000033"/>
    <n v="492"/>
    <n v="1898"/>
    <n v="2390"/>
    <n v="419"/>
    <n v="245"/>
    <n v="664"/>
    <n v="112713"/>
    <n v="2.12"/>
    <n v="0.58899999999999997"/>
    <n v="105047"/>
    <n v="2.2749999999999999"/>
    <n v="0.63200000000000001"/>
  </r>
  <r>
    <x v="7"/>
    <x v="0"/>
    <m/>
    <n v="342"/>
    <n v="826"/>
    <n v="1168"/>
    <n v="726"/>
    <n v="131"/>
    <n v="857"/>
    <n v="91192"/>
    <n v="1.2810000000000001"/>
    <n v="0.94"/>
    <n v="87576"/>
    <n v="1.3340000000000001"/>
    <n v="0.97899999999999998"/>
  </r>
  <r>
    <x v="1"/>
    <x v="18"/>
    <s v="S12000021"/>
    <n v="958"/>
    <n v="660"/>
    <n v="1618"/>
    <n v="972"/>
    <n v="661"/>
    <n v="1633"/>
    <n v="67082"/>
    <n v="2.4119999999999999"/>
    <n v="2.4340000000000002"/>
    <n v="62613"/>
    <n v="2.5840000000000001"/>
    <n v="2.6080000000000001"/>
  </r>
  <r>
    <x v="1"/>
    <x v="9"/>
    <s v="S12000035"/>
    <n v="529"/>
    <n v="457"/>
    <n v="986"/>
    <n v="539"/>
    <n v="425"/>
    <n v="964"/>
    <n v="47336"/>
    <n v="2.0830000000000002"/>
    <n v="2.0369999999999999"/>
    <n v="40934"/>
    <n v="2.4089999999999998"/>
    <n v="2.355"/>
  </r>
  <r>
    <x v="8"/>
    <x v="14"/>
    <s v="S12000020"/>
    <n v="372"/>
    <n v="356"/>
    <n v="728"/>
    <n v="336"/>
    <n v="293"/>
    <n v="629"/>
    <n v="43788"/>
    <n v="1.663"/>
    <n v="1.4359999999999999"/>
    <n v="41288"/>
    <n v="1.7629999999999999"/>
    <n v="1.5230000000000001"/>
  </r>
  <r>
    <x v="11"/>
    <x v="0"/>
    <s v="S12000038"/>
    <n v="774"/>
    <n v="1023"/>
    <n v="1797"/>
    <n v="786"/>
    <n v="396"/>
    <n v="1182"/>
    <n v="88086"/>
    <n v="2.04"/>
    <n v="1.3420000000000001"/>
    <n v="86683"/>
    <n v="2.073"/>
    <n v="1.3639999999999999"/>
  </r>
  <r>
    <x v="8"/>
    <x v="31"/>
    <s v="S12000036"/>
    <n v="2833"/>
    <n v="2754"/>
    <n v="5587"/>
    <n v="2716"/>
    <n v="1169"/>
    <n v="3885"/>
    <n v="239525"/>
    <n v="2.3330000000000002"/>
    <n v="1.6219999999999999"/>
    <n v="229231"/>
    <n v="2.4369999999999998"/>
    <n v="1.6949999999999998"/>
  </r>
  <r>
    <x v="1"/>
    <x v="3"/>
    <s v="S12000046"/>
    <n v="2763"/>
    <n v="3336"/>
    <n v="6099"/>
    <n v="3186"/>
    <n v="954"/>
    <n v="4140"/>
    <n v="301633"/>
    <n v="2.0219999999999998"/>
    <n v="1.373"/>
    <n v="285346"/>
    <n v="2.137"/>
    <n v="1.4510000000000001"/>
  </r>
  <r>
    <x v="8"/>
    <x v="27"/>
    <s v="S12000033"/>
    <n v="524"/>
    <n v="1951"/>
    <n v="2475"/>
    <n v="469"/>
    <n v="283"/>
    <n v="752"/>
    <n v="113508"/>
    <n v="2.1800000000000002"/>
    <n v="0.66300000000000003"/>
    <n v="105287"/>
    <n v="2.351"/>
    <n v="0.71399999999999997"/>
  </r>
  <r>
    <x v="6"/>
    <x v="11"/>
    <s v="S12000008"/>
    <n v="421"/>
    <n v="656"/>
    <n v="1077"/>
    <n v="446"/>
    <n v="251"/>
    <n v="697"/>
    <n v="58453"/>
    <n v="1.843"/>
    <n v="1.1919999999999999"/>
    <n v="55107"/>
    <n v="1.954"/>
    <n v="1.2650000000000001"/>
  </r>
  <r>
    <x v="0"/>
    <x v="1"/>
    <s v="S12000013"/>
    <n v="94"/>
    <n v="249"/>
    <n v="343"/>
    <n v="95"/>
    <n v="46"/>
    <n v="141"/>
    <n v="14599"/>
    <n v="2.3490000000000002"/>
    <n v="0.96599999999999997"/>
    <n v="12951"/>
    <n v="2.6480000000000001"/>
    <n v="1.089"/>
  </r>
  <r>
    <x v="9"/>
    <x v="8"/>
    <s v="S12000014"/>
    <n v="157"/>
    <n v="297"/>
    <n v="454"/>
    <n v="179"/>
    <n v="71"/>
    <n v="250"/>
    <n v="75595"/>
    <n v="0.60099999999999998"/>
    <n v="0.33100000000000002"/>
    <n v="72994"/>
    <n v="0.622"/>
    <n v="0.34200000000000003"/>
  </r>
  <r>
    <x v="9"/>
    <x v="1"/>
    <s v="S12000013"/>
    <n v="23"/>
    <n v="34"/>
    <n v="57"/>
    <n v="26"/>
    <n v="12"/>
    <n v="38"/>
    <n v="14764"/>
    <n v="0.38600000000000001"/>
    <n v="0.25700000000000001"/>
    <n v="12849"/>
    <n v="0.44400000000000001"/>
    <n v="0.29599999999999999"/>
  </r>
  <r>
    <x v="1"/>
    <x v="0"/>
    <s v="S12000038"/>
    <n v="1045"/>
    <n v="832"/>
    <n v="1877"/>
    <n v="1240"/>
    <n v="486"/>
    <n v="1726"/>
    <n v="83933"/>
    <n v="2.2359999999999998"/>
    <n v="2.056"/>
    <n v="81787"/>
    <n v="2.2949999999999999"/>
    <n v="2.11"/>
  </r>
  <r>
    <x v="9"/>
    <x v="5"/>
    <s v="S12000034"/>
    <n v="127"/>
    <n v="310"/>
    <n v="437"/>
    <n v="150"/>
    <n v="76"/>
    <n v="226"/>
    <n v="119854"/>
    <n v="0.36499999999999999"/>
    <n v="0.189"/>
    <n v="112713"/>
    <n v="0.38800000000000001"/>
    <n v="0.20100000000000001"/>
  </r>
  <r>
    <x v="8"/>
    <x v="28"/>
    <s v="S12000040"/>
    <n v="1103"/>
    <n v="638"/>
    <n v="1741"/>
    <n v="967"/>
    <n v="813"/>
    <n v="1780"/>
    <n v="77186"/>
    <n v="2.2560000000000002"/>
    <n v="2.306"/>
    <n v="75035"/>
    <n v="2.3199999999999998"/>
    <n v="2.3719999999999999"/>
  </r>
  <r>
    <x v="2"/>
    <x v="0"/>
    <s v="S12000038"/>
    <m/>
    <m/>
    <n v="1179"/>
    <m/>
    <m/>
    <m/>
    <n v="90485"/>
    <n v="1.3029999999999999"/>
    <m/>
    <n v="88749"/>
    <n v="1.3280000000000001"/>
    <m/>
  </r>
  <r>
    <x v="1"/>
    <x v="28"/>
    <s v="S12000040"/>
    <n v="1381"/>
    <n v="546"/>
    <n v="1927"/>
    <n v="1141"/>
    <n v="1121"/>
    <n v="2262"/>
    <n v="76473"/>
    <n v="2.52"/>
    <n v="2.9580000000000002"/>
    <n v="74335"/>
    <n v="2.5920000000000001"/>
    <n v="3.0430000000000001"/>
  </r>
  <r>
    <x v="8"/>
    <x v="21"/>
    <s v="S12000015"/>
    <n v="3404"/>
    <n v="3462"/>
    <n v="6866"/>
    <n v="3640"/>
    <n v="1737"/>
    <n v="5377"/>
    <n v="172425"/>
    <n v="3.9820000000000002"/>
    <n v="3.1179999999999999"/>
    <n v="163958"/>
    <n v="4.1879999999999997"/>
    <n v="3.2789999999999999"/>
  </r>
  <r>
    <x v="5"/>
    <x v="18"/>
    <m/>
    <n v="183"/>
    <n v="801"/>
    <n v="984"/>
    <n v="263"/>
    <n v="154"/>
    <n v="458"/>
    <m/>
    <m/>
    <m/>
    <n v="65107.059422716513"/>
    <n v="1.5110000000000001"/>
    <n v="0.70299999999999996"/>
  </r>
  <r>
    <x v="1"/>
    <x v="22"/>
    <s v="S12000023"/>
    <n v="115"/>
    <n v="150"/>
    <n v="265"/>
    <n v="183"/>
    <n v="64"/>
    <n v="247"/>
    <n v="10717"/>
    <n v="2.4729999999999999"/>
    <n v="2.3050000000000002"/>
    <n v="9945"/>
    <n v="2.665"/>
    <n v="2.484"/>
  </r>
  <r>
    <x v="2"/>
    <x v="13"/>
    <s v="S12000024"/>
    <m/>
    <m/>
    <n v="890"/>
    <m/>
    <m/>
    <m/>
    <n v="75321"/>
    <n v="1.1819999999999999"/>
    <m/>
    <n v="71103"/>
    <n v="1.252"/>
    <m/>
  </r>
  <r>
    <x v="2"/>
    <x v="22"/>
    <s v="S12000023"/>
    <m/>
    <m/>
    <n v="148"/>
    <m/>
    <m/>
    <m/>
    <n v="11618"/>
    <n v="1.274"/>
    <m/>
    <n v="10799"/>
    <n v="1.37"/>
    <m/>
  </r>
  <r>
    <x v="1"/>
    <x v="21"/>
    <s v="S12000015"/>
    <n v="3531"/>
    <n v="3068"/>
    <n v="6599"/>
    <n v="3943"/>
    <n v="1691"/>
    <n v="5634"/>
    <n v="171560"/>
    <n v="3.8460000000000001"/>
    <n v="3.2839999999999998"/>
    <n v="162200"/>
    <n v="4.0679999999999996"/>
    <n v="3.4729999999999999"/>
  </r>
  <r>
    <x v="5"/>
    <x v="9"/>
    <m/>
    <n v="70"/>
    <n v="556"/>
    <n v="626"/>
    <n v="151"/>
    <n v="71"/>
    <n v="224"/>
    <m/>
    <m/>
    <m/>
    <n v="42831.175905558739"/>
    <n v="1.462"/>
    <n v="0.52300000000000002"/>
  </r>
  <r>
    <x v="4"/>
    <x v="19"/>
    <s v="S12000019"/>
    <m/>
    <m/>
    <n v="577"/>
    <m/>
    <m/>
    <m/>
    <n v="42492"/>
    <n v="1.3580000000000001"/>
    <m/>
    <n v="40876"/>
    <n v="1.4119999999999999"/>
    <m/>
  </r>
  <r>
    <x v="6"/>
    <x v="22"/>
    <s v="S12000023"/>
    <n v="96"/>
    <n v="194"/>
    <n v="290"/>
    <n v="82"/>
    <n v="85"/>
    <n v="167"/>
    <n v="11261"/>
    <n v="2.5750000000000002"/>
    <n v="1.4830000000000001"/>
    <n v="10506"/>
    <n v="2.76"/>
    <n v="1.5899999999999999"/>
  </r>
  <r>
    <x v="3"/>
    <x v="19"/>
    <s v="S12000019"/>
    <n v="489"/>
    <n v="509"/>
    <n v="998"/>
    <n v="349"/>
    <n v="448"/>
    <n v="797"/>
    <n v="39937"/>
    <n v="2.4990000000000001"/>
    <n v="1.996"/>
    <n v="38557"/>
    <n v="2.5880000000000001"/>
    <n v="2.0670000000000002"/>
  </r>
  <r>
    <x v="10"/>
    <x v="20"/>
    <s v="S12000041"/>
    <n v="485"/>
    <n v="1685"/>
    <n v="2170"/>
    <n v="462"/>
    <n v="262"/>
    <n v="724"/>
    <n v="55619"/>
    <n v="3.9020000000000001"/>
    <n v="1.302"/>
    <n v="53142"/>
    <n v="4.0830000000000002"/>
    <n v="1.3620000000000001"/>
  </r>
  <r>
    <x v="10"/>
    <x v="21"/>
    <s v="S12000015"/>
    <n v="3204"/>
    <n v="3874"/>
    <n v="7078"/>
    <n v="3231"/>
    <n v="1803"/>
    <n v="5034"/>
    <n v="173366"/>
    <n v="4.0830000000000002"/>
    <n v="2.9039999999999999"/>
    <n v="164705"/>
    <n v="4.2969999999999997"/>
    <n v="3.056"/>
  </r>
  <r>
    <x v="5"/>
    <x v="30"/>
    <m/>
    <n v="118"/>
    <n v="543"/>
    <n v="661"/>
    <n v="244"/>
    <n v="39"/>
    <n v="294"/>
    <m/>
    <m/>
    <m/>
    <n v="40540.754458151241"/>
    <n v="1.63"/>
    <n v="0.72499999999999998"/>
  </r>
  <r>
    <x v="11"/>
    <x v="24"/>
    <s v="S12000028"/>
    <n v="413"/>
    <n v="588"/>
    <n v="1001"/>
    <n v="525"/>
    <n v="185"/>
    <n v="710"/>
    <n v="55668"/>
    <n v="1.798"/>
    <n v="1.2749999999999999"/>
    <n v="52588"/>
    <n v="1.903"/>
    <n v="1.35"/>
  </r>
  <r>
    <x v="8"/>
    <x v="23"/>
    <s v="S12000006"/>
    <n v="897"/>
    <n v="629"/>
    <n v="1526"/>
    <n v="765"/>
    <n v="450"/>
    <n v="1215"/>
    <n v="73895"/>
    <n v="2.0649999999999999"/>
    <n v="1.6440000000000001"/>
    <n v="68818"/>
    <n v="2.2170000000000001"/>
    <n v="1.766"/>
  </r>
  <r>
    <x v="1"/>
    <x v="26"/>
    <s v="S12000042"/>
    <n v="1038"/>
    <n v="6335"/>
    <n v="7373"/>
    <n v="936"/>
    <n v="496"/>
    <n v="1432"/>
    <n v="73560"/>
    <n v="10.023"/>
    <n v="1.9470000000000001"/>
    <n v="69500"/>
    <n v="10.609"/>
    <n v="2.06"/>
  </r>
  <r>
    <x v="11"/>
    <x v="29"/>
    <s v="S12000039"/>
    <n v="468"/>
    <n v="931"/>
    <n v="1399"/>
    <n v="550"/>
    <n v="172"/>
    <n v="722"/>
    <n v="45357"/>
    <n v="3.0840000000000001"/>
    <n v="1.5920000000000001"/>
    <n v="43030"/>
    <n v="3.2509999999999999"/>
    <n v="1.6779999999999999"/>
  </r>
  <r>
    <x v="7"/>
    <x v="24"/>
    <m/>
    <n v="161"/>
    <n v="529"/>
    <n v="690"/>
    <n v="302"/>
    <n v="110"/>
    <n v="412"/>
    <n v="56697"/>
    <n v="1.2170000000000001"/>
    <n v="0.72699999999999998"/>
    <n v="52851"/>
    <n v="1.306"/>
    <n v="0.78"/>
  </r>
  <r>
    <x v="5"/>
    <x v="7"/>
    <m/>
    <n v="86"/>
    <n v="483"/>
    <n v="569"/>
    <n v="172"/>
    <n v="50"/>
    <n v="232"/>
    <m/>
    <m/>
    <m/>
    <n v="41103.45535551112"/>
    <n v="1.3839999999999999"/>
    <n v="0.56399999999999995"/>
  </r>
  <r>
    <x v="7"/>
    <x v="14"/>
    <m/>
    <n v="58"/>
    <n v="619"/>
    <n v="677"/>
    <n v="104"/>
    <n v="71"/>
    <n v="175"/>
    <n v="47060"/>
    <n v="1.4390000000000001"/>
    <n v="0.372"/>
    <n v="43891"/>
    <n v="1.542"/>
    <n v="0.39900000000000002"/>
  </r>
  <r>
    <x v="11"/>
    <x v="30"/>
    <s v="S12000011"/>
    <n v="366"/>
    <n v="587"/>
    <n v="953"/>
    <n v="397"/>
    <n v="172"/>
    <n v="569"/>
    <n v="39144"/>
    <n v="2.4350000000000001"/>
    <n v="1.454"/>
    <n v="39345"/>
    <n v="2.4220000000000002"/>
    <n v="1.446"/>
  </r>
  <r>
    <x v="8"/>
    <x v="22"/>
    <s v="S12000023"/>
    <n v="87"/>
    <n v="161"/>
    <n v="248"/>
    <n v="64"/>
    <n v="81"/>
    <n v="145"/>
    <n v="10816"/>
    <n v="2.2930000000000001"/>
    <n v="1.341"/>
    <n v="10042"/>
    <n v="2.4699999999999998"/>
    <n v="1.444"/>
  </r>
  <r>
    <x v="10"/>
    <x v="5"/>
    <s v="S12000034"/>
    <n v="683"/>
    <n v="1249"/>
    <n v="1932"/>
    <n v="648"/>
    <n v="431"/>
    <n v="1079"/>
    <n v="115223"/>
    <n v="1.677"/>
    <n v="0.93600000000000005"/>
    <n v="109631"/>
    <n v="1.762"/>
    <n v="0.98399999999999999"/>
  </r>
  <r>
    <x v="7"/>
    <x v="1"/>
    <m/>
    <n v="12"/>
    <n v="90"/>
    <n v="102"/>
    <n v="28"/>
    <n v="18"/>
    <n v="46"/>
    <n v="15097"/>
    <n v="0.67600000000000005"/>
    <n v="0.30499999999999999"/>
    <n v="12806"/>
    <n v="0.79700000000000004"/>
    <n v="0.35899999999999999"/>
  </r>
  <r>
    <x v="7"/>
    <x v="16"/>
    <m/>
    <n v="177"/>
    <n v="315"/>
    <n v="492"/>
    <n v="328"/>
    <n v="116"/>
    <n v="444"/>
    <n v="39913"/>
    <n v="1.2330000000000001"/>
    <n v="1.1120000000000001"/>
    <n v="37556"/>
    <n v="1.31"/>
    <n v="1.1819999999999999"/>
  </r>
  <r>
    <x v="4"/>
    <x v="0"/>
    <s v="S12000038"/>
    <m/>
    <m/>
    <n v="1377"/>
    <m/>
    <m/>
    <m/>
    <n v="89571"/>
    <n v="1.5369999999999999"/>
    <m/>
    <n v="87910"/>
    <n v="1.5659999999999998"/>
    <m/>
  </r>
  <r>
    <x v="11"/>
    <x v="17"/>
    <s v="S12000044"/>
    <n v="1328"/>
    <n v="2916"/>
    <n v="4244"/>
    <n v="1742"/>
    <n v="411"/>
    <n v="2153"/>
    <n v="156694"/>
    <n v="2.7080000000000002"/>
    <n v="1.3740000000000001"/>
    <n v="152443"/>
    <n v="2.7839999999999998"/>
    <n v="1.4119999999999999"/>
  </r>
  <r>
    <x v="10"/>
    <x v="8"/>
    <s v="S12000014"/>
    <n v="552"/>
    <n v="1153"/>
    <n v="1705"/>
    <n v="631"/>
    <n v="207"/>
    <n v="838"/>
    <n v="73290"/>
    <n v="2.3260000000000001"/>
    <n v="1.143"/>
    <n v="70431"/>
    <n v="2.4209999999999998"/>
    <n v="1.19"/>
  </r>
  <r>
    <x v="11"/>
    <x v="12"/>
    <s v="S12000017"/>
    <n v="592"/>
    <n v="2276"/>
    <n v="2868"/>
    <n v="522"/>
    <n v="464"/>
    <n v="986"/>
    <n v="119061"/>
    <n v="2.4089999999999998"/>
    <n v="0.82799999999999996"/>
    <n v="109514"/>
    <n v="2.6189999999999998"/>
    <n v="0.9"/>
  </r>
  <r>
    <x v="3"/>
    <x v="28"/>
    <s v="S12000040"/>
    <n v="963"/>
    <n v="1092"/>
    <n v="2055"/>
    <n v="850"/>
    <n v="604"/>
    <n v="1454"/>
    <n v="79112"/>
    <n v="2.5979999999999999"/>
    <n v="1.8380000000000001"/>
    <n v="77369"/>
    <n v="2.6560000000000001"/>
    <n v="1.879"/>
  </r>
  <r>
    <x v="8"/>
    <x v="13"/>
    <s v="S12000024"/>
    <n v="635"/>
    <n v="1787"/>
    <n v="2422"/>
    <n v="628"/>
    <n v="319"/>
    <n v="947"/>
    <n v="70312"/>
    <n v="3.4449999999999998"/>
    <n v="1.347"/>
    <n v="66035"/>
    <n v="3.6680000000000001"/>
    <n v="1.4339999999999999"/>
  </r>
  <r>
    <x v="6"/>
    <x v="25"/>
    <s v="S12000027"/>
    <n v="87"/>
    <n v="209"/>
    <n v="296"/>
    <n v="85"/>
    <n v="74"/>
    <n v="159"/>
    <n v="11270"/>
    <n v="2.6259999999999999"/>
    <n v="1.411"/>
    <n v="10384"/>
    <n v="2.851"/>
    <n v="1.5310000000000001"/>
  </r>
  <r>
    <x v="9"/>
    <x v="31"/>
    <s v="S12000036"/>
    <n v="676"/>
    <n v="738"/>
    <n v="1414"/>
    <n v="694"/>
    <n v="310"/>
    <n v="1004"/>
    <n v="254929"/>
    <n v="0.55500000000000005"/>
    <n v="0.39400000000000002"/>
    <n v="239364"/>
    <n v="0.59099999999999997"/>
    <n v="0.41899999999999998"/>
  </r>
  <r>
    <x v="9"/>
    <x v="21"/>
    <s v="S12000015"/>
    <n v="580"/>
    <n v="716"/>
    <n v="1296"/>
    <n v="652"/>
    <n v="329"/>
    <n v="981"/>
    <n v="179232"/>
    <n v="0.72299999999999998"/>
    <n v="0.54700000000000004"/>
    <n v="169886"/>
    <n v="0.76300000000000001"/>
    <n v="0.57699999999999996"/>
  </r>
  <r>
    <x v="4"/>
    <x v="28"/>
    <s v="S12000040"/>
    <m/>
    <m/>
    <n v="1287"/>
    <m/>
    <m/>
    <m/>
    <n v="82591"/>
    <n v="1.5580000000000001"/>
    <m/>
    <n v="80932"/>
    <n v="1.5899999999999999"/>
    <m/>
  </r>
  <r>
    <x v="7"/>
    <x v="12"/>
    <m/>
    <n v="145"/>
    <n v="1925"/>
    <n v="2070"/>
    <n v="233"/>
    <n v="226"/>
    <n v="459"/>
    <n v="123568"/>
    <n v="1.675"/>
    <n v="0.371"/>
    <n v="112857"/>
    <n v="1.8340000000000001"/>
    <n v="0.40699999999999997"/>
  </r>
  <r>
    <x v="0"/>
    <x v="9"/>
    <s v="S12000035"/>
    <n v="630"/>
    <n v="925"/>
    <n v="1555"/>
    <n v="481"/>
    <n v="497"/>
    <n v="978"/>
    <n v="47780"/>
    <n v="3.254"/>
    <n v="2.0470000000000002"/>
    <n v="41040"/>
    <n v="3.7890000000000001"/>
    <n v="2.383"/>
  </r>
  <r>
    <x v="3"/>
    <x v="21"/>
    <s v="S12000015"/>
    <n v="3137"/>
    <n v="3401"/>
    <n v="6538"/>
    <n v="3292"/>
    <n v="1655"/>
    <n v="4947"/>
    <n v="175915"/>
    <n v="3.7170000000000001"/>
    <n v="2.8120000000000003"/>
    <n v="166960"/>
    <n v="3.9159999999999999"/>
    <n v="2.9630000000000001"/>
  </r>
  <r>
    <x v="5"/>
    <x v="27"/>
    <m/>
    <n v="106"/>
    <n v="1241"/>
    <n v="1347"/>
    <n v="216"/>
    <n v="95"/>
    <n v="320"/>
    <m/>
    <m/>
    <m/>
    <n v="112386.7935874821"/>
    <n v="1.1990000000000001"/>
    <n v="0.28499999999999998"/>
  </r>
  <r>
    <x v="6"/>
    <x v="20"/>
    <s v="S12000041"/>
    <n v="429"/>
    <n v="1339"/>
    <n v="1768"/>
    <n v="450"/>
    <n v="177"/>
    <n v="627"/>
    <n v="56485"/>
    <n v="3.13"/>
    <n v="1.1100000000000001"/>
    <n v="53888"/>
    <n v="3.2810000000000001"/>
    <n v="1.1639999999999999"/>
  </r>
  <r>
    <x v="11"/>
    <x v="9"/>
    <s v="S12000035"/>
    <n v="451"/>
    <n v="1072"/>
    <n v="1523"/>
    <n v="389"/>
    <n v="332"/>
    <n v="721"/>
    <n v="48134"/>
    <n v="3.1640000000000001"/>
    <n v="1.498"/>
    <n v="41789"/>
    <n v="3.6440000000000001"/>
    <n v="1.7250000000000001"/>
  </r>
  <r>
    <x v="4"/>
    <x v="7"/>
    <s v="S12000030"/>
    <m/>
    <m/>
    <n v="479"/>
    <m/>
    <m/>
    <m/>
    <n v="42140"/>
    <n v="1.137"/>
    <m/>
    <n v="40174"/>
    <n v="1.1919999999999999"/>
    <m/>
  </r>
  <r>
    <x v="5"/>
    <x v="28"/>
    <m/>
    <n v="182"/>
    <n v="1004"/>
    <n v="1186"/>
    <n v="468"/>
    <n v="133"/>
    <n v="607"/>
    <m/>
    <m/>
    <m/>
    <n v="81644.803218683475"/>
    <n v="1.4530000000000001"/>
    <n v="0.74299999999999999"/>
  </r>
  <r>
    <x v="2"/>
    <x v="2"/>
    <s v="S12000045"/>
    <m/>
    <m/>
    <n v="1173"/>
    <m/>
    <m/>
    <m/>
    <n v="47934"/>
    <n v="2.4470000000000001"/>
    <m/>
    <n v="47131"/>
    <n v="2.4889999999999999"/>
    <m/>
  </r>
  <r>
    <x v="9"/>
    <x v="17"/>
    <s v="S12000044"/>
    <n v="678"/>
    <n v="1189"/>
    <n v="1867"/>
    <n v="858"/>
    <n v="263"/>
    <n v="1121"/>
    <n v="157625"/>
    <n v="1.1839999999999999"/>
    <n v="0.71099999999999997"/>
    <n v="152910"/>
    <n v="1.2210000000000001"/>
    <n v="0.73299999999999998"/>
  </r>
  <r>
    <x v="4"/>
    <x v="2"/>
    <s v="S12000045"/>
    <m/>
    <m/>
    <n v="1279"/>
    <m/>
    <m/>
    <m/>
    <n v="47549"/>
    <n v="2.69"/>
    <m/>
    <n v="46849"/>
    <n v="2.73"/>
    <m/>
  </r>
  <r>
    <x v="2"/>
    <x v="24"/>
    <s v="S12000028"/>
    <m/>
    <m/>
    <n v="675"/>
    <m/>
    <m/>
    <m/>
    <n v="56453"/>
    <n v="1.196"/>
    <m/>
    <n v="52920"/>
    <n v="1.276"/>
    <m/>
  </r>
  <r>
    <x v="4"/>
    <x v="18"/>
    <s v="S12000021"/>
    <m/>
    <m/>
    <n v="1177"/>
    <m/>
    <m/>
    <m/>
    <n v="69175"/>
    <n v="1.7010000000000001"/>
    <m/>
    <n v="64886"/>
    <n v="1.8140000000000001"/>
    <m/>
  </r>
  <r>
    <x v="3"/>
    <x v="18"/>
    <s v="S12000021"/>
    <n v="805"/>
    <n v="932"/>
    <n v="1737"/>
    <n v="822"/>
    <n v="457"/>
    <n v="1279"/>
    <n v="67960"/>
    <n v="2.556"/>
    <n v="1.8820000000000001"/>
    <n v="63756"/>
    <n v="2.7240000000000002"/>
    <n v="2.0059999999999998"/>
  </r>
  <r>
    <x v="0"/>
    <x v="26"/>
    <s v="S12000042"/>
    <n v="870"/>
    <n v="3053"/>
    <n v="3923"/>
    <n v="823"/>
    <n v="377"/>
    <n v="1200"/>
    <n v="74026"/>
    <n v="5.2990000000000004"/>
    <n v="1.621"/>
    <n v="69635"/>
    <n v="5.6340000000000003"/>
    <n v="1.7229999999999999"/>
  </r>
  <r>
    <x v="5"/>
    <x v="19"/>
    <m/>
    <n v="59"/>
    <n v="334"/>
    <n v="393"/>
    <n v="103"/>
    <n v="66"/>
    <n v="172"/>
    <m/>
    <m/>
    <m/>
    <n v="42739.113676722816"/>
    <n v="0.92"/>
    <n v="0.40200000000000002"/>
  </r>
  <r>
    <x v="0"/>
    <x v="27"/>
    <s v="S12000033"/>
    <n v="466"/>
    <n v="1427"/>
    <n v="1893"/>
    <n v="374"/>
    <n v="299"/>
    <n v="673"/>
    <n v="115080"/>
    <n v="1.645"/>
    <n v="0.58499999999999996"/>
    <n v="106749"/>
    <n v="1.7730000000000001"/>
    <n v="0.63"/>
  </r>
  <r>
    <x v="4"/>
    <x v="30"/>
    <s v="S12000011"/>
    <m/>
    <m/>
    <n v="645"/>
    <m/>
    <m/>
    <m/>
    <n v="39909"/>
    <n v="1.6160000000000001"/>
    <m/>
    <n v="40081"/>
    <n v="1.609"/>
    <m/>
  </r>
  <r>
    <x v="0"/>
    <x v="23"/>
    <s v="S12000006"/>
    <n v="1262"/>
    <n v="848"/>
    <n v="2110"/>
    <n v="1150"/>
    <n v="642"/>
    <n v="1792"/>
    <n v="74453"/>
    <n v="2.8340000000000001"/>
    <n v="2.407"/>
    <n v="69202"/>
    <n v="3.0489999999999999"/>
    <n v="2.59"/>
  </r>
  <r>
    <x v="2"/>
    <x v="14"/>
    <s v="S12000020"/>
    <m/>
    <m/>
    <n v="687"/>
    <m/>
    <m/>
    <m/>
    <n v="46585"/>
    <n v="1.4750000000000001"/>
    <m/>
    <n v="43995"/>
    <n v="1.5620000000000001"/>
    <m/>
  </r>
  <r>
    <x v="6"/>
    <x v="29"/>
    <s v="S12000039"/>
    <n v="556"/>
    <n v="1008"/>
    <n v="1564"/>
    <n v="642"/>
    <n v="185"/>
    <n v="827"/>
    <n v="45228"/>
    <n v="3.4580000000000002"/>
    <n v="1.829"/>
    <n v="42868"/>
    <n v="3.6480000000000001"/>
    <n v="1.929"/>
  </r>
  <r>
    <x v="10"/>
    <x v="6"/>
    <s v="S12000029"/>
    <n v="1189"/>
    <n v="2143"/>
    <n v="3332"/>
    <n v="1396"/>
    <n v="511"/>
    <n v="1907"/>
    <n v="147849"/>
    <n v="2.254"/>
    <n v="1.29"/>
    <n v="143313"/>
    <n v="2.3250000000000002"/>
    <n v="1.331"/>
  </r>
  <r>
    <x v="3"/>
    <x v="17"/>
    <s v="S12000044"/>
    <n v="1327"/>
    <n v="1990"/>
    <n v="3317"/>
    <n v="1744"/>
    <n v="446"/>
    <n v="2190"/>
    <n v="154286"/>
    <n v="2.15"/>
    <n v="1.419"/>
    <n v="151155"/>
    <n v="2.194"/>
    <n v="1.4490000000000001"/>
  </r>
  <r>
    <x v="10"/>
    <x v="3"/>
    <s v="S12000046"/>
    <n v="2649"/>
    <n v="3737"/>
    <n v="6386"/>
    <n v="2864"/>
    <n v="956"/>
    <n v="3820"/>
    <n v="304013"/>
    <n v="2.101"/>
    <n v="1.2570000000000001"/>
    <n v="287862"/>
    <n v="2.218"/>
    <n v="1.327"/>
  </r>
  <r>
    <x v="3"/>
    <x v="14"/>
    <s v="S12000020"/>
    <n v="609"/>
    <n v="826"/>
    <n v="1435"/>
    <n v="554"/>
    <n v="522"/>
    <n v="1076"/>
    <n v="44838"/>
    <n v="3.2"/>
    <n v="2.4"/>
    <n v="42269"/>
    <n v="3.395"/>
    <n v="2.5460000000000003"/>
  </r>
  <r>
    <x v="3"/>
    <x v="31"/>
    <s v="S12000036"/>
    <n v="2302"/>
    <n v="2297"/>
    <n v="4599"/>
    <n v="2309"/>
    <n v="888"/>
    <n v="3197"/>
    <n v="246818"/>
    <n v="1.863"/>
    <n v="1.2949999999999999"/>
    <n v="233369"/>
    <n v="1.9710000000000001"/>
    <n v="1.37"/>
  </r>
  <r>
    <x v="3"/>
    <x v="24"/>
    <s v="S12000028"/>
    <n v="543"/>
    <n v="765"/>
    <n v="1308"/>
    <n v="559"/>
    <n v="334"/>
    <n v="893"/>
    <n v="55252"/>
    <n v="2.367"/>
    <n v="1.6160000000000001"/>
    <n v="52104"/>
    <n v="2.5099999999999998"/>
    <n v="1.714"/>
  </r>
  <r>
    <x v="2"/>
    <x v="9"/>
    <s v="S12000035"/>
    <m/>
    <m/>
    <n v="940"/>
    <m/>
    <m/>
    <m/>
    <n v="48786"/>
    <n v="1.927"/>
    <m/>
    <n v="42664"/>
    <n v="2.2029999999999998"/>
    <m/>
  </r>
  <r>
    <x v="4"/>
    <x v="23"/>
    <s v="S12000006"/>
    <m/>
    <m/>
    <n v="1255"/>
    <m/>
    <m/>
    <m/>
    <n v="75521"/>
    <n v="1.6619999999999999"/>
    <m/>
    <n v="70405"/>
    <n v="1.7829999999999999"/>
    <m/>
  </r>
  <r>
    <x v="0"/>
    <x v="12"/>
    <s v="S12000017"/>
    <n v="1215"/>
    <n v="3439"/>
    <n v="4654"/>
    <n v="1204"/>
    <n v="702"/>
    <n v="1906"/>
    <n v="116453"/>
    <n v="3.996"/>
    <n v="1.637"/>
    <n v="107573"/>
    <n v="4.3259999999999996"/>
    <n v="1.772"/>
  </r>
  <r>
    <x v="0"/>
    <x v="30"/>
    <s v="S12000011"/>
    <n v="644"/>
    <n v="916"/>
    <n v="1560"/>
    <n v="686"/>
    <n v="274"/>
    <n v="960"/>
    <n v="38389"/>
    <n v="4.0640000000000001"/>
    <n v="2.5009999999999999"/>
    <n v="38581"/>
    <n v="4.0430000000000001"/>
    <n v="2.488"/>
  </r>
  <r>
    <x v="9"/>
    <x v="12"/>
    <s v="S12000017"/>
    <n v="164"/>
    <n v="631"/>
    <n v="795"/>
    <n v="167"/>
    <n v="166"/>
    <n v="333"/>
    <n v="119918"/>
    <n v="0.66300000000000003"/>
    <n v="0.27800000000000002"/>
    <n v="110084"/>
    <n v="0.72199999999999998"/>
    <n v="0.30199999999999999"/>
  </r>
  <r>
    <x v="9"/>
    <x v="14"/>
    <s v="S12000020"/>
    <n v="86"/>
    <n v="260"/>
    <n v="346"/>
    <n v="97"/>
    <n v="61"/>
    <n v="158"/>
    <n v="45838"/>
    <n v="0.755"/>
    <n v="0.34499999999999997"/>
    <n v="43175"/>
    <n v="0.80100000000000005"/>
    <n v="0.36599999999999999"/>
  </r>
  <r>
    <x v="7"/>
    <x v="31"/>
    <m/>
    <n v="261"/>
    <n v="2310"/>
    <n v="2571"/>
    <n v="433"/>
    <n v="284"/>
    <n v="717"/>
    <n v="263670"/>
    <n v="0.97499999999999998"/>
    <n v="0.27200000000000002"/>
    <n v="242021"/>
    <n v="1.0620000000000001"/>
    <n v="0.29599999999999999"/>
  </r>
  <r>
    <x v="7"/>
    <x v="21"/>
    <m/>
    <n v="484"/>
    <n v="1848"/>
    <n v="2332"/>
    <n v="832"/>
    <n v="385"/>
    <n v="1217"/>
    <n v="182775"/>
    <n v="1.276"/>
    <n v="0.66600000000000004"/>
    <n v="170982"/>
    <n v="1.3639999999999999"/>
    <n v="0.71199999999999997"/>
  </r>
  <r>
    <x v="6"/>
    <x v="26"/>
    <s v="S12000042"/>
    <n v="692"/>
    <n v="2702"/>
    <n v="3394"/>
    <n v="680"/>
    <n v="318"/>
    <n v="998"/>
    <n v="74531"/>
    <n v="4.5540000000000003"/>
    <n v="1.339"/>
    <n v="70337"/>
    <n v="4.8250000000000002"/>
    <n v="1.419"/>
  </r>
  <r>
    <x v="0"/>
    <x v="16"/>
    <s v="S12000018"/>
    <n v="797"/>
    <n v="1003"/>
    <n v="1800"/>
    <n v="621"/>
    <n v="567"/>
    <n v="1188"/>
    <n v="38835"/>
    <n v="4.6349999999999998"/>
    <n v="3.0590000000000002"/>
    <n v="37586"/>
    <n v="4.7889999999999997"/>
    <n v="3.161"/>
  </r>
  <r>
    <x v="11"/>
    <x v="26"/>
    <s v="S12000042"/>
    <n v="577"/>
    <n v="2144"/>
    <n v="2721"/>
    <n v="510"/>
    <n v="327"/>
    <n v="837"/>
    <n v="74891"/>
    <n v="3.633"/>
    <n v="1.1179999999999999"/>
    <n v="70685"/>
    <n v="3.8490000000000002"/>
    <n v="1.1839999999999999"/>
  </r>
  <r>
    <x v="1"/>
    <x v="31"/>
    <s v="S12000036"/>
    <n v="2962"/>
    <n v="2362"/>
    <n v="5324"/>
    <n v="2668"/>
    <n v="1393"/>
    <n v="4061"/>
    <n v="237524"/>
    <n v="2.2410000000000001"/>
    <n v="1.71"/>
    <n v="227222"/>
    <n v="2.343"/>
    <n v="1.7869999999999999"/>
  </r>
  <r>
    <x v="9"/>
    <x v="7"/>
    <s v="S12000030"/>
    <n v="63"/>
    <n v="108"/>
    <n v="171"/>
    <n v="76"/>
    <n v="44"/>
    <n v="120"/>
    <n v="41950"/>
    <n v="0.40799999999999997"/>
    <n v="0.28599999999999998"/>
    <n v="39896"/>
    <n v="0.42899999999999999"/>
    <n v="0.30099999999999999"/>
  </r>
  <r>
    <x v="8"/>
    <x v="24"/>
    <s v="S12000028"/>
    <n v="608"/>
    <n v="517"/>
    <n v="1125"/>
    <n v="715"/>
    <n v="318"/>
    <n v="1033"/>
    <n v="54489"/>
    <n v="2.0649999999999999"/>
    <n v="1.8959999999999999"/>
    <n v="51874"/>
    <n v="2.169"/>
    <n v="1.9910000000000001"/>
  </r>
  <r>
    <x v="11"/>
    <x v="23"/>
    <s v="S12000006"/>
    <n v="870"/>
    <n v="839"/>
    <n v="1709"/>
    <n v="824"/>
    <n v="438"/>
    <n v="1262"/>
    <n v="75089"/>
    <n v="2.2759999999999998"/>
    <n v="1.681"/>
    <n v="69699"/>
    <n v="2.452"/>
    <n v="1.8109999999999999"/>
  </r>
  <r>
    <x v="10"/>
    <x v="7"/>
    <s v="S12000030"/>
    <n v="358"/>
    <n v="653"/>
    <n v="1011"/>
    <n v="384"/>
    <n v="181"/>
    <n v="565"/>
    <n v="40646"/>
    <n v="2.4870000000000001"/>
    <n v="1.3900000000000001"/>
    <n v="38665"/>
    <n v="2.6150000000000002"/>
    <n v="1.4610000000000001"/>
  </r>
  <r>
    <x v="1"/>
    <x v="29"/>
    <s v="S12000039"/>
    <n v="436"/>
    <n v="496"/>
    <n v="932"/>
    <n v="473"/>
    <n v="195"/>
    <n v="668"/>
    <n v="44880"/>
    <n v="2.077"/>
    <n v="1.488"/>
    <n v="42097"/>
    <n v="2.214"/>
    <n v="1.587"/>
  </r>
  <r>
    <x v="1"/>
    <x v="30"/>
    <s v="S12000011"/>
    <n v="492"/>
    <n v="448"/>
    <n v="940"/>
    <n v="603"/>
    <n v="198"/>
    <n v="801"/>
    <n v="37639"/>
    <n v="2.4969999999999999"/>
    <n v="2.1280000000000001"/>
    <n v="37804"/>
    <n v="2.4870000000000001"/>
    <n v="2.1189999999999998"/>
  </r>
  <r>
    <x v="5"/>
    <x v="26"/>
    <m/>
    <n v="93"/>
    <n v="1136"/>
    <n v="1229"/>
    <n v="200"/>
    <n v="56"/>
    <n v="265"/>
    <m/>
    <m/>
    <m/>
    <n v="71097.765743088923"/>
    <n v="1.7290000000000001"/>
    <n v="0.373"/>
  </r>
  <r>
    <x v="5"/>
    <x v="23"/>
    <m/>
    <n v="180"/>
    <n v="727"/>
    <n v="907"/>
    <n v="375"/>
    <n v="120"/>
    <n v="540"/>
    <m/>
    <m/>
    <m/>
    <n v="70971.815561576936"/>
    <n v="1.278"/>
    <n v="0.76100000000000001"/>
  </r>
  <r>
    <x v="8"/>
    <x v="18"/>
    <s v="S12000021"/>
    <n v="901"/>
    <n v="964"/>
    <n v="1865"/>
    <n v="932"/>
    <n v="551"/>
    <n v="1483"/>
    <n v="67204"/>
    <n v="2.7749999999999999"/>
    <n v="2.2069999999999999"/>
    <n v="62802"/>
    <n v="2.9699999999999998"/>
    <n v="2.3609999999999998"/>
  </r>
  <r>
    <x v="8"/>
    <x v="29"/>
    <s v="S12000039"/>
    <n v="402"/>
    <n v="519"/>
    <n v="921"/>
    <n v="471"/>
    <n v="160"/>
    <n v="631"/>
    <n v="44734"/>
    <n v="2.0590000000000002"/>
    <n v="1.411"/>
    <n v="42353"/>
    <n v="2.1749999999999998"/>
    <n v="1.49"/>
  </r>
  <r>
    <x v="10"/>
    <x v="24"/>
    <s v="S12000028"/>
    <n v="657"/>
    <n v="731"/>
    <n v="1388"/>
    <n v="688"/>
    <n v="380"/>
    <n v="1068"/>
    <n v="54635"/>
    <n v="2.54"/>
    <n v="1.9550000000000001"/>
    <n v="51912"/>
    <n v="2.6739999999999999"/>
    <n v="2.0569999999999999"/>
  </r>
  <r>
    <x v="1"/>
    <x v="4"/>
    <s v="S12000010"/>
    <n v="649"/>
    <n v="366"/>
    <n v="1015"/>
    <n v="611"/>
    <n v="496"/>
    <n v="1107"/>
    <n v="45613"/>
    <n v="2.2250000000000001"/>
    <n v="2.427"/>
    <n v="43682"/>
    <n v="2.3239999999999998"/>
    <n v="2.5339999999999998"/>
  </r>
  <r>
    <x v="10"/>
    <x v="31"/>
    <s v="S12000036"/>
    <n v="2759"/>
    <n v="2546"/>
    <n v="5305"/>
    <n v="2752"/>
    <n v="1091"/>
    <n v="3843"/>
    <n v="241433"/>
    <n v="2.1970000000000001"/>
    <n v="1.5920000000000001"/>
    <n v="229650"/>
    <n v="2.31"/>
    <n v="1.673"/>
  </r>
  <r>
    <x v="10"/>
    <x v="14"/>
    <s v="S12000020"/>
    <n v="426"/>
    <n v="479"/>
    <n v="905"/>
    <n v="383"/>
    <n v="384"/>
    <n v="767"/>
    <n v="44096"/>
    <n v="2.052"/>
    <n v="1.7389999999999999"/>
    <n v="41641"/>
    <n v="2.173"/>
    <n v="1.8420000000000001"/>
  </r>
  <r>
    <x v="8"/>
    <x v="9"/>
    <s v="S12000035"/>
    <n v="498"/>
    <n v="680"/>
    <n v="1178"/>
    <n v="412"/>
    <n v="414"/>
    <n v="826"/>
    <n v="47500"/>
    <n v="2.48"/>
    <n v="1.7389999999999999"/>
    <n v="40857"/>
    <n v="2.883"/>
    <n v="2.0219999999999998"/>
  </r>
  <r>
    <x v="8"/>
    <x v="30"/>
    <s v="S12000011"/>
    <n v="546"/>
    <n v="689"/>
    <n v="1235"/>
    <n v="549"/>
    <n v="267"/>
    <n v="816"/>
    <n v="37852"/>
    <n v="3.2629999999999999"/>
    <n v="2.1560000000000001"/>
    <n v="38048"/>
    <n v="3.246"/>
    <n v="2.145"/>
  </r>
  <r>
    <x v="7"/>
    <x v="18"/>
    <m/>
    <n v="202"/>
    <n v="665"/>
    <n v="867"/>
    <n v="314"/>
    <n v="176"/>
    <n v="490"/>
    <n v="70223"/>
    <n v="1.2349999999999999"/>
    <n v="0.69799999999999995"/>
    <n v="64633"/>
    <n v="1.341"/>
    <n v="0.75800000000000001"/>
  </r>
  <r>
    <x v="11"/>
    <x v="18"/>
    <s v="S12000021"/>
    <n v="716"/>
    <n v="969"/>
    <n v="1685"/>
    <n v="784"/>
    <n v="366"/>
    <n v="1150"/>
    <n v="68496"/>
    <n v="2.46"/>
    <n v="1.679"/>
    <n v="64140"/>
    <n v="2.6269999999999998"/>
    <n v="1.7930000000000001"/>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0">
  <r>
    <x v="0"/>
    <x v="0"/>
    <x v="0"/>
    <m/>
    <n v="306"/>
    <n v="0"/>
    <n v="0"/>
    <n v="278"/>
    <n v="0"/>
    <n v="0"/>
    <n v="28"/>
  </r>
  <r>
    <x v="1"/>
    <x v="0"/>
    <x v="1"/>
    <m/>
    <n v="493"/>
    <n v="0"/>
    <n v="0"/>
    <n v="0"/>
    <n v="0"/>
    <n v="0"/>
    <n v="493"/>
  </r>
  <r>
    <x v="2"/>
    <x v="1"/>
    <x v="2"/>
    <m/>
    <n v="19"/>
    <n v="0"/>
    <n v="2"/>
    <n v="0"/>
    <n v="0"/>
    <n v="0"/>
    <n v="19"/>
  </r>
  <r>
    <x v="0"/>
    <x v="0"/>
    <x v="3"/>
    <m/>
    <n v="389"/>
    <n v="0"/>
    <n v="0"/>
    <n v="167"/>
    <n v="0"/>
    <n v="172"/>
    <n v="50"/>
  </r>
  <r>
    <x v="3"/>
    <x v="1"/>
    <x v="4"/>
    <m/>
    <n v="23"/>
    <n v="0"/>
    <n v="2"/>
    <n v="0"/>
    <n v="0"/>
    <n v="0"/>
    <n v="23"/>
  </r>
  <r>
    <x v="4"/>
    <x v="0"/>
    <x v="5"/>
    <s v="S40000004"/>
    <n v="308"/>
    <n v="0"/>
    <n v="0"/>
    <n v="8"/>
    <n v="0"/>
    <n v="0"/>
    <n v="300"/>
  </r>
  <r>
    <x v="5"/>
    <x v="0"/>
    <x v="6"/>
    <s v="S40000005"/>
    <n v="130"/>
    <n v="0"/>
    <n v="0"/>
    <n v="103"/>
    <n v="0"/>
    <n v="0"/>
    <n v="27"/>
  </r>
  <r>
    <x v="2"/>
    <x v="2"/>
    <x v="7"/>
    <s v="S92000003"/>
    <n v="1142"/>
    <n v="171"/>
    <n v="0"/>
    <n v="0"/>
    <n v="887"/>
    <n v="0"/>
    <n v="84"/>
  </r>
  <r>
    <x v="3"/>
    <x v="0"/>
    <x v="8"/>
    <m/>
    <n v="116"/>
    <n v="0"/>
    <n v="0"/>
    <n v="14"/>
    <n v="0"/>
    <n v="0"/>
    <n v="102"/>
  </r>
  <r>
    <x v="3"/>
    <x v="0"/>
    <x v="9"/>
    <m/>
    <n v="313"/>
    <n v="0"/>
    <n v="0"/>
    <n v="102"/>
    <n v="0"/>
    <n v="0"/>
    <n v="211"/>
  </r>
  <r>
    <x v="6"/>
    <x v="0"/>
    <x v="10"/>
    <s v="S12000033"/>
    <n v="163"/>
    <n v="0"/>
    <n v="0"/>
    <n v="9"/>
    <n v="0"/>
    <n v="0"/>
    <n v="154"/>
  </r>
  <r>
    <x v="1"/>
    <x v="0"/>
    <x v="11"/>
    <m/>
    <n v="118"/>
    <n v="0"/>
    <n v="0"/>
    <n v="69"/>
    <n v="0"/>
    <n v="0"/>
    <n v="49"/>
  </r>
  <r>
    <x v="6"/>
    <x v="0"/>
    <x v="12"/>
    <s v="S12000044"/>
    <n v="201"/>
    <n v="0"/>
    <n v="0"/>
    <n v="35"/>
    <n v="0"/>
    <n v="0"/>
    <n v="166"/>
  </r>
  <r>
    <x v="5"/>
    <x v="0"/>
    <x v="13"/>
    <s v="S40000003"/>
    <n v="256"/>
    <n v="0"/>
    <n v="0"/>
    <n v="86"/>
    <n v="0"/>
    <n v="2"/>
    <n v="168"/>
  </r>
  <r>
    <x v="2"/>
    <x v="1"/>
    <x v="14"/>
    <m/>
    <n v="1"/>
    <n v="0"/>
    <n v="7"/>
    <n v="0"/>
    <n v="0"/>
    <n v="0"/>
    <n v="1"/>
  </r>
  <r>
    <x v="4"/>
    <x v="1"/>
    <x v="1"/>
    <s v="S40000003"/>
    <n v="26"/>
    <n v="0"/>
    <n v="0"/>
    <n v="0"/>
    <n v="0"/>
    <n v="0"/>
    <n v="26"/>
  </r>
  <r>
    <x v="4"/>
    <x v="0"/>
    <x v="15"/>
    <s v="S40000005"/>
    <n v="622"/>
    <n v="0"/>
    <n v="0"/>
    <n v="500"/>
    <n v="0"/>
    <n v="48"/>
    <n v="74"/>
  </r>
  <r>
    <x v="3"/>
    <x v="0"/>
    <x v="10"/>
    <m/>
    <n v="165"/>
    <n v="0"/>
    <n v="0"/>
    <n v="8"/>
    <n v="0"/>
    <n v="0"/>
    <n v="157"/>
  </r>
  <r>
    <x v="2"/>
    <x v="0"/>
    <x v="13"/>
    <m/>
    <n v="234"/>
    <n v="0"/>
    <n v="0"/>
    <n v="73"/>
    <n v="0"/>
    <n v="0"/>
    <n v="161"/>
  </r>
  <r>
    <x v="2"/>
    <x v="0"/>
    <x v="3"/>
    <m/>
    <n v="400"/>
    <n v="0"/>
    <n v="0"/>
    <n v="173"/>
    <n v="0"/>
    <n v="172"/>
    <n v="55"/>
  </r>
  <r>
    <x v="4"/>
    <x v="0"/>
    <x v="16"/>
    <s v="S40000003"/>
    <n v="197"/>
    <n v="0"/>
    <n v="0"/>
    <n v="100"/>
    <n v="0"/>
    <n v="22"/>
    <n v="75"/>
  </r>
  <r>
    <x v="6"/>
    <x v="1"/>
    <x v="12"/>
    <s v="S39000014"/>
    <n v="17"/>
    <n v="0"/>
    <n v="0"/>
    <n v="0"/>
    <n v="0"/>
    <n v="0"/>
    <n v="17"/>
  </r>
  <r>
    <x v="1"/>
    <x v="0"/>
    <x v="17"/>
    <m/>
    <n v="90"/>
    <n v="0"/>
    <n v="0"/>
    <n v="21"/>
    <n v="0"/>
    <n v="0"/>
    <n v="69"/>
  </r>
  <r>
    <x v="6"/>
    <x v="1"/>
    <x v="18"/>
    <s v="S39000009"/>
    <n v="30"/>
    <n v="0"/>
    <n v="0"/>
    <n v="0"/>
    <n v="0"/>
    <n v="0"/>
    <n v="30"/>
  </r>
  <r>
    <x v="4"/>
    <x v="0"/>
    <x v="19"/>
    <s v="S40000003"/>
    <n v="76"/>
    <n v="0"/>
    <n v="0"/>
    <n v="0"/>
    <n v="0"/>
    <n v="0"/>
    <n v="76"/>
  </r>
  <r>
    <x v="2"/>
    <x v="0"/>
    <x v="20"/>
    <m/>
    <n v="42"/>
    <n v="0"/>
    <n v="0"/>
    <n v="13"/>
    <n v="0"/>
    <n v="0"/>
    <n v="29"/>
  </r>
  <r>
    <x v="0"/>
    <x v="0"/>
    <x v="5"/>
    <m/>
    <n v="292"/>
    <n v="0"/>
    <n v="0"/>
    <n v="9"/>
    <n v="0"/>
    <n v="0"/>
    <n v="283"/>
  </r>
  <r>
    <x v="2"/>
    <x v="1"/>
    <x v="21"/>
    <m/>
    <n v="26"/>
    <n v="0"/>
    <n v="3"/>
    <n v="0"/>
    <n v="0"/>
    <n v="0"/>
    <n v="26"/>
  </r>
  <r>
    <x v="1"/>
    <x v="0"/>
    <x v="3"/>
    <m/>
    <n v="401"/>
    <n v="0"/>
    <n v="0"/>
    <n v="172"/>
    <n v="0"/>
    <n v="183"/>
    <n v="46"/>
  </r>
  <r>
    <x v="3"/>
    <x v="0"/>
    <x v="3"/>
    <m/>
    <n v="416"/>
    <n v="0"/>
    <n v="0"/>
    <n v="182"/>
    <n v="0"/>
    <n v="181"/>
    <n v="53"/>
  </r>
  <r>
    <x v="2"/>
    <x v="0"/>
    <x v="22"/>
    <m/>
    <n v="182"/>
    <n v="0"/>
    <n v="0"/>
    <n v="14"/>
    <n v="0"/>
    <n v="0"/>
    <n v="168"/>
  </r>
  <r>
    <x v="1"/>
    <x v="0"/>
    <x v="22"/>
    <m/>
    <n v="187"/>
    <n v="0"/>
    <n v="0"/>
    <n v="13"/>
    <n v="0"/>
    <n v="0"/>
    <n v="174"/>
  </r>
  <r>
    <x v="0"/>
    <x v="0"/>
    <x v="23"/>
    <m/>
    <n v="251"/>
    <n v="0"/>
    <n v="0"/>
    <n v="194"/>
    <n v="0"/>
    <n v="6"/>
    <n v="51"/>
  </r>
  <r>
    <x v="2"/>
    <x v="0"/>
    <x v="19"/>
    <m/>
    <n v="76"/>
    <n v="0"/>
    <n v="0"/>
    <n v="0"/>
    <n v="0"/>
    <n v="0"/>
    <n v="76"/>
  </r>
  <r>
    <x v="5"/>
    <x v="1"/>
    <x v="23"/>
    <s v="S40000003"/>
    <n v="22"/>
    <n v="0"/>
    <n v="2"/>
    <n v="0"/>
    <n v="0"/>
    <n v="0"/>
    <n v="22"/>
  </r>
  <r>
    <x v="5"/>
    <x v="1"/>
    <x v="24"/>
    <s v="S40000005"/>
    <n v="31"/>
    <n v="0"/>
    <n v="2"/>
    <n v="0"/>
    <n v="0"/>
    <n v="0"/>
    <n v="31"/>
  </r>
  <r>
    <x v="3"/>
    <x v="0"/>
    <x v="0"/>
    <m/>
    <n v="299"/>
    <n v="0"/>
    <n v="0"/>
    <n v="268"/>
    <n v="0"/>
    <n v="0"/>
    <n v="31"/>
  </r>
  <r>
    <x v="4"/>
    <x v="0"/>
    <x v="25"/>
    <s v="S40000005"/>
    <n v="147"/>
    <n v="0"/>
    <n v="0"/>
    <n v="114"/>
    <n v="0"/>
    <n v="3"/>
    <n v="30"/>
  </r>
  <r>
    <x v="3"/>
    <x v="1"/>
    <x v="2"/>
    <m/>
    <n v="15"/>
    <n v="0"/>
    <n v="2"/>
    <n v="0"/>
    <n v="0"/>
    <n v="0"/>
    <n v="15"/>
  </r>
  <r>
    <x v="0"/>
    <x v="0"/>
    <x v="20"/>
    <m/>
    <n v="36"/>
    <n v="0"/>
    <n v="0"/>
    <n v="11"/>
    <n v="0"/>
    <n v="0"/>
    <n v="25"/>
  </r>
  <r>
    <x v="1"/>
    <x v="1"/>
    <x v="4"/>
    <m/>
    <n v="30"/>
    <n v="0"/>
    <n v="2"/>
    <n v="0"/>
    <n v="0"/>
    <n v="0"/>
    <n v="30"/>
  </r>
  <r>
    <x v="5"/>
    <x v="0"/>
    <x v="26"/>
    <s v="S40000004"/>
    <n v="90"/>
    <n v="0"/>
    <n v="0"/>
    <n v="65"/>
    <n v="0"/>
    <n v="0"/>
    <n v="25"/>
  </r>
  <r>
    <x v="1"/>
    <x v="1"/>
    <x v="14"/>
    <m/>
    <n v="17"/>
    <n v="0"/>
    <n v="7"/>
    <n v="0"/>
    <n v="0"/>
    <n v="0"/>
    <n v="17"/>
  </r>
  <r>
    <x v="5"/>
    <x v="0"/>
    <x v="27"/>
    <s v="S40000004"/>
    <n v="50"/>
    <n v="0"/>
    <n v="0"/>
    <n v="25"/>
    <n v="0"/>
    <n v="0"/>
    <n v="25"/>
  </r>
  <r>
    <x v="5"/>
    <x v="1"/>
    <x v="1"/>
    <s v="S40000003"/>
    <n v="25"/>
    <n v="0"/>
    <n v="0"/>
    <n v="0"/>
    <n v="0"/>
    <n v="0"/>
    <n v="25"/>
  </r>
  <r>
    <x v="4"/>
    <x v="3"/>
    <x v="28"/>
    <s v="S40000003"/>
    <n v="91"/>
    <n v="0"/>
    <n v="0"/>
    <n v="0"/>
    <n v="0"/>
    <n v="0"/>
    <n v="91"/>
  </r>
  <r>
    <x v="0"/>
    <x v="0"/>
    <x v="1"/>
    <m/>
    <n v="491"/>
    <n v="0"/>
    <n v="0"/>
    <n v="0"/>
    <n v="0"/>
    <n v="0"/>
    <n v="491"/>
  </r>
  <r>
    <x v="3"/>
    <x v="0"/>
    <x v="26"/>
    <m/>
    <n v="81"/>
    <n v="0"/>
    <n v="0"/>
    <n v="55"/>
    <n v="0"/>
    <n v="0"/>
    <n v="26"/>
  </r>
  <r>
    <x v="0"/>
    <x v="0"/>
    <x v="16"/>
    <m/>
    <n v="191"/>
    <n v="0"/>
    <n v="0"/>
    <n v="96"/>
    <n v="0"/>
    <n v="20"/>
    <n v="75"/>
  </r>
  <r>
    <x v="6"/>
    <x v="0"/>
    <x v="6"/>
    <s v="S12000041"/>
    <n v="126"/>
    <n v="0"/>
    <n v="0"/>
    <n v="98"/>
    <n v="0"/>
    <n v="0"/>
    <n v="28"/>
  </r>
  <r>
    <x v="0"/>
    <x v="1"/>
    <x v="29"/>
    <m/>
    <n v="24"/>
    <n v="0"/>
    <n v="8"/>
    <n v="0"/>
    <n v="0"/>
    <n v="0"/>
    <n v="24"/>
  </r>
  <r>
    <x v="6"/>
    <x v="1"/>
    <x v="21"/>
    <s v="S39000007"/>
    <n v="25"/>
    <n v="0"/>
    <n v="2"/>
    <n v="0"/>
    <n v="0"/>
    <n v="0"/>
    <n v="25"/>
  </r>
  <r>
    <x v="3"/>
    <x v="0"/>
    <x v="30"/>
    <m/>
    <n v="142"/>
    <n v="0"/>
    <n v="0"/>
    <n v="59"/>
    <n v="0"/>
    <n v="0"/>
    <n v="83"/>
  </r>
  <r>
    <x v="0"/>
    <x v="1"/>
    <x v="31"/>
    <m/>
    <n v="19"/>
    <n v="0"/>
    <n v="0"/>
    <n v="0"/>
    <n v="0"/>
    <n v="0"/>
    <n v="19"/>
  </r>
  <r>
    <x v="5"/>
    <x v="1"/>
    <x v="13"/>
    <s v="S40000003"/>
    <n v="16"/>
    <n v="0"/>
    <n v="2"/>
    <n v="0"/>
    <n v="0"/>
    <n v="0"/>
    <n v="16"/>
  </r>
  <r>
    <x v="0"/>
    <x v="0"/>
    <x v="30"/>
    <m/>
    <n v="137"/>
    <n v="0"/>
    <n v="0"/>
    <n v="53"/>
    <n v="0"/>
    <n v="0"/>
    <n v="84"/>
  </r>
  <r>
    <x v="1"/>
    <x v="0"/>
    <x v="30"/>
    <m/>
    <n v="137"/>
    <n v="0"/>
    <n v="0"/>
    <n v="50"/>
    <n v="0"/>
    <n v="0"/>
    <n v="87"/>
  </r>
  <r>
    <x v="1"/>
    <x v="0"/>
    <x v="32"/>
    <m/>
    <n v="193"/>
    <n v="0"/>
    <n v="0"/>
    <n v="140"/>
    <n v="0"/>
    <n v="0"/>
    <n v="53"/>
  </r>
  <r>
    <x v="6"/>
    <x v="0"/>
    <x v="5"/>
    <s v="S12000036"/>
    <n v="306"/>
    <n v="0"/>
    <n v="0"/>
    <n v="9"/>
    <n v="0"/>
    <n v="0"/>
    <n v="297"/>
  </r>
  <r>
    <x v="5"/>
    <x v="0"/>
    <x v="33"/>
    <s v="S40000005"/>
    <n v="134"/>
    <n v="0"/>
    <n v="0"/>
    <n v="134"/>
    <n v="0"/>
    <n v="0"/>
    <n v="0"/>
  </r>
  <r>
    <x v="2"/>
    <x v="0"/>
    <x v="26"/>
    <m/>
    <n v="81"/>
    <n v="0"/>
    <n v="0"/>
    <n v="56"/>
    <n v="0"/>
    <n v="0"/>
    <n v="25"/>
  </r>
  <r>
    <x v="4"/>
    <x v="0"/>
    <x v="26"/>
    <s v="S40000004"/>
    <n v="90"/>
    <n v="0"/>
    <n v="0"/>
    <n v="64"/>
    <n v="0"/>
    <n v="0"/>
    <n v="26"/>
  </r>
  <r>
    <x v="4"/>
    <x v="0"/>
    <x v="12"/>
    <s v="S40000003"/>
    <n v="198"/>
    <n v="0"/>
    <n v="0"/>
    <n v="38"/>
    <n v="0"/>
    <n v="0"/>
    <n v="160"/>
  </r>
  <r>
    <x v="4"/>
    <x v="1"/>
    <x v="23"/>
    <s v="S40000003"/>
    <n v="21"/>
    <n v="0"/>
    <n v="4"/>
    <n v="0"/>
    <n v="0"/>
    <n v="0"/>
    <n v="21"/>
  </r>
  <r>
    <x v="3"/>
    <x v="0"/>
    <x v="13"/>
    <m/>
    <n v="229"/>
    <n v="0"/>
    <n v="0"/>
    <n v="74"/>
    <n v="0"/>
    <n v="0"/>
    <n v="155"/>
  </r>
  <r>
    <x v="5"/>
    <x v="0"/>
    <x v="19"/>
    <s v="S40000003"/>
    <n v="79"/>
    <n v="0"/>
    <n v="0"/>
    <n v="0"/>
    <n v="0"/>
    <n v="0"/>
    <n v="79"/>
  </r>
  <r>
    <x v="2"/>
    <x v="0"/>
    <x v="0"/>
    <m/>
    <n v="294"/>
    <n v="0"/>
    <n v="0"/>
    <n v="266"/>
    <n v="0"/>
    <n v="0"/>
    <n v="28"/>
  </r>
  <r>
    <x v="2"/>
    <x v="0"/>
    <x v="25"/>
    <m/>
    <n v="149"/>
    <n v="0"/>
    <n v="0"/>
    <n v="116"/>
    <n v="0"/>
    <n v="3"/>
    <n v="30"/>
  </r>
  <r>
    <x v="1"/>
    <x v="0"/>
    <x v="8"/>
    <m/>
    <n v="112"/>
    <n v="0"/>
    <n v="0"/>
    <n v="13"/>
    <n v="0"/>
    <n v="0"/>
    <n v="99"/>
  </r>
  <r>
    <x v="0"/>
    <x v="1"/>
    <x v="21"/>
    <m/>
    <n v="32"/>
    <n v="0"/>
    <n v="4"/>
    <n v="0"/>
    <n v="0"/>
    <n v="0"/>
    <n v="32"/>
  </r>
  <r>
    <x v="4"/>
    <x v="0"/>
    <x v="1"/>
    <s v="S40000003"/>
    <n v="499"/>
    <n v="0"/>
    <n v="0"/>
    <n v="0"/>
    <n v="0"/>
    <n v="0"/>
    <n v="499"/>
  </r>
  <r>
    <x v="1"/>
    <x v="1"/>
    <x v="15"/>
    <m/>
    <n v="33"/>
    <n v="0"/>
    <n v="10"/>
    <n v="0"/>
    <n v="0"/>
    <n v="0"/>
    <n v="33"/>
  </r>
  <r>
    <x v="2"/>
    <x v="0"/>
    <x v="34"/>
    <m/>
    <n v="98"/>
    <n v="0"/>
    <n v="0"/>
    <n v="46"/>
    <n v="0"/>
    <n v="0"/>
    <n v="52"/>
  </r>
  <r>
    <x v="0"/>
    <x v="0"/>
    <x v="19"/>
    <m/>
    <n v="71"/>
    <n v="0"/>
    <n v="0"/>
    <n v="0"/>
    <n v="0"/>
    <n v="0"/>
    <n v="71"/>
  </r>
  <r>
    <x v="1"/>
    <x v="1"/>
    <x v="35"/>
    <m/>
    <n v="28"/>
    <n v="0"/>
    <n v="6"/>
    <n v="0"/>
    <n v="0"/>
    <n v="0"/>
    <n v="28"/>
  </r>
  <r>
    <x v="0"/>
    <x v="0"/>
    <x v="33"/>
    <m/>
    <n v="123"/>
    <n v="0"/>
    <n v="0"/>
    <n v="122"/>
    <n v="0"/>
    <n v="0"/>
    <n v="1"/>
  </r>
  <r>
    <x v="1"/>
    <x v="1"/>
    <x v="2"/>
    <m/>
    <n v="18"/>
    <n v="0"/>
    <n v="2"/>
    <n v="0"/>
    <n v="0"/>
    <n v="0"/>
    <n v="18"/>
  </r>
  <r>
    <x v="3"/>
    <x v="0"/>
    <x v="33"/>
    <m/>
    <n v="123"/>
    <n v="0"/>
    <n v="0"/>
    <n v="123"/>
    <n v="0"/>
    <n v="0"/>
    <n v="0"/>
  </r>
  <r>
    <x v="2"/>
    <x v="0"/>
    <x v="36"/>
    <m/>
    <n v="204"/>
    <n v="0"/>
    <n v="0"/>
    <n v="117"/>
    <n v="0"/>
    <n v="21"/>
    <n v="66"/>
  </r>
  <r>
    <x v="6"/>
    <x v="0"/>
    <x v="30"/>
    <s v="S12000014"/>
    <n v="143"/>
    <n v="0"/>
    <n v="0"/>
    <n v="55"/>
    <n v="0"/>
    <n v="0"/>
    <n v="88"/>
  </r>
  <r>
    <x v="1"/>
    <x v="0"/>
    <x v="37"/>
    <m/>
    <n v="115"/>
    <n v="0"/>
    <n v="0"/>
    <n v="115"/>
    <n v="0"/>
    <n v="0"/>
    <n v="0"/>
  </r>
  <r>
    <x v="5"/>
    <x v="1"/>
    <x v="14"/>
    <s v="S40000005"/>
    <n v="14"/>
    <n v="0"/>
    <n v="5"/>
    <n v="0"/>
    <n v="0"/>
    <n v="0"/>
    <n v="14"/>
  </r>
  <r>
    <x v="2"/>
    <x v="3"/>
    <x v="28"/>
    <m/>
    <n v="60"/>
    <n v="0"/>
    <n v="0"/>
    <n v="0"/>
    <n v="0"/>
    <n v="0"/>
    <n v="60"/>
  </r>
  <r>
    <x v="0"/>
    <x v="0"/>
    <x v="11"/>
    <m/>
    <n v="115"/>
    <n v="0"/>
    <n v="0"/>
    <n v="69"/>
    <n v="0"/>
    <n v="0"/>
    <n v="46"/>
  </r>
  <r>
    <x v="4"/>
    <x v="0"/>
    <x v="38"/>
    <s v="S40000003"/>
    <n v="48"/>
    <n v="0"/>
    <n v="0"/>
    <n v="0"/>
    <n v="0"/>
    <n v="0"/>
    <n v="48"/>
  </r>
  <r>
    <x v="5"/>
    <x v="0"/>
    <x v="15"/>
    <s v="S40000005"/>
    <n v="645"/>
    <n v="0"/>
    <n v="0"/>
    <n v="525"/>
    <n v="0"/>
    <n v="49"/>
    <n v="71"/>
  </r>
  <r>
    <x v="1"/>
    <x v="0"/>
    <x v="6"/>
    <m/>
    <n v="122"/>
    <n v="0"/>
    <n v="0"/>
    <n v="96"/>
    <n v="0"/>
    <n v="0"/>
    <n v="26"/>
  </r>
  <r>
    <x v="6"/>
    <x v="0"/>
    <x v="36"/>
    <s v="S12000048"/>
    <n v="222"/>
    <n v="0"/>
    <n v="0"/>
    <n v="131"/>
    <n v="0"/>
    <n v="22"/>
    <n v="69"/>
  </r>
  <r>
    <x v="0"/>
    <x v="1"/>
    <x v="18"/>
    <m/>
    <n v="26"/>
    <n v="0"/>
    <n v="0"/>
    <n v="0"/>
    <n v="0"/>
    <n v="0"/>
    <n v="26"/>
  </r>
  <r>
    <x v="4"/>
    <x v="0"/>
    <x v="11"/>
    <s v="S40000002"/>
    <n v="127"/>
    <n v="0"/>
    <n v="0"/>
    <n v="75"/>
    <n v="0"/>
    <n v="0"/>
    <n v="52"/>
  </r>
  <r>
    <x v="5"/>
    <x v="0"/>
    <x v="1"/>
    <s v="S40000003"/>
    <n v="517"/>
    <n v="0"/>
    <n v="0"/>
    <n v="0"/>
    <n v="0"/>
    <n v="0"/>
    <n v="517"/>
  </r>
  <r>
    <x v="6"/>
    <x v="1"/>
    <x v="39"/>
    <s v="S39000002"/>
    <n v="25"/>
    <n v="0"/>
    <n v="2"/>
    <n v="0"/>
    <n v="0"/>
    <n v="0"/>
    <n v="25"/>
  </r>
  <r>
    <x v="1"/>
    <x v="0"/>
    <x v="12"/>
    <m/>
    <n v="186"/>
    <n v="0"/>
    <n v="0"/>
    <n v="30"/>
    <n v="0"/>
    <n v="0"/>
    <n v="156"/>
  </r>
  <r>
    <x v="6"/>
    <x v="0"/>
    <x v="13"/>
    <s v="S12000029"/>
    <n v="246"/>
    <n v="0"/>
    <n v="0"/>
    <n v="77"/>
    <n v="0"/>
    <n v="2"/>
    <n v="167"/>
  </r>
  <r>
    <x v="2"/>
    <x v="1"/>
    <x v="35"/>
    <m/>
    <n v="28"/>
    <n v="0"/>
    <n v="6"/>
    <n v="0"/>
    <n v="0"/>
    <n v="0"/>
    <n v="28"/>
  </r>
  <r>
    <x v="1"/>
    <x v="0"/>
    <x v="40"/>
    <m/>
    <n v="106"/>
    <n v="0"/>
    <n v="0"/>
    <n v="38"/>
    <n v="0"/>
    <n v="0"/>
    <n v="68"/>
  </r>
  <r>
    <x v="4"/>
    <x v="1"/>
    <x v="24"/>
    <s v="S40000005"/>
    <n v="28"/>
    <n v="0"/>
    <n v="3"/>
    <n v="0"/>
    <n v="0"/>
    <n v="0"/>
    <n v="28"/>
  </r>
  <r>
    <x v="2"/>
    <x v="0"/>
    <x v="37"/>
    <m/>
    <n v="112"/>
    <n v="0"/>
    <n v="0"/>
    <n v="112"/>
    <n v="0"/>
    <n v="0"/>
    <n v="0"/>
  </r>
  <r>
    <x v="6"/>
    <x v="1"/>
    <x v="15"/>
    <s v="S39000013"/>
    <n v="45"/>
    <n v="0"/>
    <n v="4"/>
    <n v="0"/>
    <n v="0"/>
    <n v="0"/>
    <n v="45"/>
  </r>
  <r>
    <x v="0"/>
    <x v="1"/>
    <x v="14"/>
    <m/>
    <n v="1"/>
    <n v="0"/>
    <n v="0"/>
    <n v="0"/>
    <n v="0"/>
    <n v="0"/>
    <n v="1"/>
  </r>
  <r>
    <x v="4"/>
    <x v="0"/>
    <x v="32"/>
    <s v="S40000004"/>
    <n v="200"/>
    <n v="0"/>
    <n v="0"/>
    <n v="149"/>
    <n v="0"/>
    <n v="0"/>
    <n v="51"/>
  </r>
  <r>
    <x v="0"/>
    <x v="0"/>
    <x v="10"/>
    <m/>
    <n v="165"/>
    <n v="0"/>
    <n v="0"/>
    <n v="10"/>
    <n v="0"/>
    <n v="0"/>
    <n v="155"/>
  </r>
  <r>
    <x v="3"/>
    <x v="0"/>
    <x v="20"/>
    <m/>
    <n v="43"/>
    <n v="0"/>
    <n v="0"/>
    <n v="14"/>
    <n v="0"/>
    <n v="0"/>
    <n v="29"/>
  </r>
  <r>
    <x v="4"/>
    <x v="1"/>
    <x v="35"/>
    <s v="S40000003"/>
    <n v="26"/>
    <n v="0"/>
    <n v="6"/>
    <n v="0"/>
    <n v="0"/>
    <n v="0"/>
    <n v="26"/>
  </r>
  <r>
    <x v="0"/>
    <x v="0"/>
    <x v="26"/>
    <m/>
    <n v="75"/>
    <n v="0"/>
    <n v="0"/>
    <n v="51"/>
    <n v="0"/>
    <n v="0"/>
    <n v="24"/>
  </r>
  <r>
    <x v="4"/>
    <x v="0"/>
    <x v="13"/>
    <s v="S40000003"/>
    <n v="254"/>
    <n v="0"/>
    <n v="0"/>
    <n v="84"/>
    <n v="0"/>
    <n v="2"/>
    <n v="168"/>
  </r>
  <r>
    <x v="0"/>
    <x v="3"/>
    <x v="41"/>
    <s v="S40000004"/>
    <n v="67"/>
    <n v="0"/>
    <n v="0"/>
    <n v="0"/>
    <n v="0"/>
    <n v="0"/>
    <n v="67"/>
  </r>
  <r>
    <x v="5"/>
    <x v="0"/>
    <x v="37"/>
    <s v="S40000005"/>
    <n v="109"/>
    <n v="0"/>
    <n v="0"/>
    <n v="109"/>
    <n v="0"/>
    <n v="0"/>
    <n v="0"/>
  </r>
  <r>
    <x v="5"/>
    <x v="3"/>
    <x v="41"/>
    <s v="S40000004"/>
    <n v="52"/>
    <n v="0"/>
    <n v="0"/>
    <n v="0"/>
    <n v="0"/>
    <n v="0"/>
    <n v="52"/>
  </r>
  <r>
    <x v="4"/>
    <x v="2"/>
    <x v="7"/>
    <s v="S92000003"/>
    <n v="1107"/>
    <n v="182"/>
    <n v="0"/>
    <n v="0"/>
    <n v="835"/>
    <n v="0"/>
    <n v="90"/>
  </r>
  <r>
    <x v="1"/>
    <x v="1"/>
    <x v="29"/>
    <m/>
    <n v="36"/>
    <n v="0"/>
    <n v="7"/>
    <n v="0"/>
    <n v="0"/>
    <n v="0"/>
    <n v="36"/>
  </r>
  <r>
    <x v="4"/>
    <x v="0"/>
    <x v="17"/>
    <s v="S40000003"/>
    <n v="95"/>
    <n v="0"/>
    <n v="0"/>
    <n v="22"/>
    <n v="0"/>
    <n v="0"/>
    <n v="73"/>
  </r>
  <r>
    <x v="2"/>
    <x v="0"/>
    <x v="11"/>
    <m/>
    <n v="117"/>
    <n v="0"/>
    <n v="0"/>
    <n v="68"/>
    <n v="0"/>
    <n v="0"/>
    <n v="49"/>
  </r>
  <r>
    <x v="1"/>
    <x v="2"/>
    <x v="7"/>
    <s v="S92000003"/>
    <n v="1182"/>
    <n v="174"/>
    <n v="0"/>
    <n v="0"/>
    <n v="920"/>
    <n v="0"/>
    <n v="88"/>
  </r>
  <r>
    <x v="6"/>
    <x v="0"/>
    <x v="23"/>
    <s v="S12000006"/>
    <n v="257"/>
    <n v="0"/>
    <n v="0"/>
    <n v="198"/>
    <n v="0"/>
    <n v="6"/>
    <n v="53"/>
  </r>
  <r>
    <x v="6"/>
    <x v="0"/>
    <x v="9"/>
    <s v="S12000047"/>
    <n v="390"/>
    <n v="0"/>
    <n v="0"/>
    <n v="116"/>
    <n v="0"/>
    <n v="0"/>
    <n v="274"/>
  </r>
  <r>
    <x v="5"/>
    <x v="2"/>
    <x v="7"/>
    <s v="S92000003"/>
    <n v="1095"/>
    <n v="188"/>
    <n v="0"/>
    <n v="0"/>
    <n v="817"/>
    <n v="0"/>
    <n v="90"/>
  </r>
  <r>
    <x v="5"/>
    <x v="0"/>
    <x v="34"/>
    <s v="S40000003"/>
    <n v="105"/>
    <n v="0"/>
    <n v="0"/>
    <n v="55"/>
    <n v="0"/>
    <n v="0"/>
    <n v="50"/>
  </r>
  <r>
    <x v="2"/>
    <x v="1"/>
    <x v="15"/>
    <m/>
    <n v="23"/>
    <n v="0"/>
    <n v="11"/>
    <n v="0"/>
    <n v="0"/>
    <n v="0"/>
    <n v="23"/>
  </r>
  <r>
    <x v="4"/>
    <x v="0"/>
    <x v="10"/>
    <s v="S40000005"/>
    <n v="159"/>
    <n v="0"/>
    <n v="0"/>
    <n v="10"/>
    <n v="0"/>
    <n v="0"/>
    <n v="149"/>
  </r>
  <r>
    <x v="2"/>
    <x v="0"/>
    <x v="8"/>
    <m/>
    <n v="113"/>
    <n v="0"/>
    <n v="0"/>
    <n v="11"/>
    <n v="0"/>
    <n v="0"/>
    <n v="102"/>
  </r>
  <r>
    <x v="5"/>
    <x v="0"/>
    <x v="36"/>
    <s v="S40000005"/>
    <n v="219"/>
    <n v="0"/>
    <n v="0"/>
    <n v="131"/>
    <n v="0"/>
    <n v="21"/>
    <n v="67"/>
  </r>
  <r>
    <x v="3"/>
    <x v="1"/>
    <x v="15"/>
    <m/>
    <n v="25"/>
    <n v="0"/>
    <n v="14"/>
    <n v="0"/>
    <n v="0"/>
    <n v="0"/>
    <n v="25"/>
  </r>
  <r>
    <x v="1"/>
    <x v="1"/>
    <x v="42"/>
    <m/>
    <n v="27"/>
    <n v="0"/>
    <n v="4"/>
    <n v="0"/>
    <n v="0"/>
    <n v="0"/>
    <n v="27"/>
  </r>
  <r>
    <x v="3"/>
    <x v="0"/>
    <x v="22"/>
    <m/>
    <n v="177"/>
    <n v="0"/>
    <n v="0"/>
    <n v="15"/>
    <n v="0"/>
    <n v="0"/>
    <n v="162"/>
  </r>
  <r>
    <x v="3"/>
    <x v="0"/>
    <x v="23"/>
    <m/>
    <n v="245"/>
    <n v="0"/>
    <n v="0"/>
    <n v="187"/>
    <n v="0"/>
    <n v="6"/>
    <n v="52"/>
  </r>
  <r>
    <x v="0"/>
    <x v="0"/>
    <x v="13"/>
    <m/>
    <n v="234"/>
    <n v="0"/>
    <n v="0"/>
    <n v="68"/>
    <n v="0"/>
    <n v="2"/>
    <n v="164"/>
  </r>
  <r>
    <x v="0"/>
    <x v="0"/>
    <x v="27"/>
    <m/>
    <n v="50"/>
    <n v="0"/>
    <n v="0"/>
    <n v="25"/>
    <n v="0"/>
    <n v="0"/>
    <n v="25"/>
  </r>
  <r>
    <x v="5"/>
    <x v="1"/>
    <x v="15"/>
    <s v="S40000005"/>
    <n v="38"/>
    <n v="0"/>
    <n v="7"/>
    <n v="0"/>
    <n v="0"/>
    <n v="0"/>
    <n v="38"/>
  </r>
  <r>
    <x v="6"/>
    <x v="0"/>
    <x v="27"/>
    <s v="S12000005"/>
    <n v="45"/>
    <n v="0"/>
    <n v="0"/>
    <n v="20"/>
    <n v="0"/>
    <n v="0"/>
    <n v="25"/>
  </r>
  <r>
    <x v="1"/>
    <x v="0"/>
    <x v="27"/>
    <m/>
    <n v="49"/>
    <n v="0"/>
    <n v="0"/>
    <n v="25"/>
    <n v="0"/>
    <n v="0"/>
    <n v="24"/>
  </r>
  <r>
    <x v="0"/>
    <x v="1"/>
    <x v="23"/>
    <m/>
    <n v="18"/>
    <n v="0"/>
    <n v="4"/>
    <n v="0"/>
    <n v="0"/>
    <n v="0"/>
    <n v="18"/>
  </r>
  <r>
    <x v="1"/>
    <x v="3"/>
    <x v="28"/>
    <m/>
    <n v="107"/>
    <n v="0"/>
    <n v="0"/>
    <n v="0"/>
    <n v="0"/>
    <n v="0"/>
    <n v="107"/>
  </r>
  <r>
    <x v="1"/>
    <x v="0"/>
    <x v="0"/>
    <m/>
    <n v="313"/>
    <n v="0"/>
    <n v="0"/>
    <n v="285"/>
    <n v="0"/>
    <n v="0"/>
    <n v="28"/>
  </r>
  <r>
    <x v="2"/>
    <x v="0"/>
    <x v="12"/>
    <m/>
    <n v="198"/>
    <n v="0"/>
    <n v="0"/>
    <n v="29"/>
    <n v="0"/>
    <n v="0"/>
    <n v="169"/>
  </r>
  <r>
    <x v="1"/>
    <x v="0"/>
    <x v="19"/>
    <m/>
    <n v="75"/>
    <n v="0"/>
    <n v="0"/>
    <n v="0"/>
    <n v="0"/>
    <n v="0"/>
    <n v="75"/>
  </r>
  <r>
    <x v="3"/>
    <x v="1"/>
    <x v="29"/>
    <m/>
    <n v="20"/>
    <n v="0"/>
    <n v="9"/>
    <n v="0"/>
    <n v="0"/>
    <n v="0"/>
    <n v="20"/>
  </r>
  <r>
    <x v="1"/>
    <x v="0"/>
    <x v="9"/>
    <m/>
    <n v="357"/>
    <n v="0"/>
    <n v="0"/>
    <n v="103"/>
    <n v="0"/>
    <n v="0"/>
    <n v="254"/>
  </r>
  <r>
    <x v="3"/>
    <x v="3"/>
    <x v="28"/>
    <m/>
    <n v="132"/>
    <n v="0"/>
    <n v="0"/>
    <n v="0"/>
    <n v="0"/>
    <n v="0"/>
    <n v="132"/>
  </r>
  <r>
    <x v="5"/>
    <x v="0"/>
    <x v="16"/>
    <s v="S40000003"/>
    <n v="201"/>
    <n v="0"/>
    <n v="0"/>
    <n v="104"/>
    <n v="0"/>
    <n v="22"/>
    <n v="75"/>
  </r>
  <r>
    <x v="3"/>
    <x v="0"/>
    <x v="1"/>
    <m/>
    <n v="448"/>
    <n v="0"/>
    <n v="0"/>
    <n v="0"/>
    <n v="0"/>
    <n v="0"/>
    <n v="448"/>
  </r>
  <r>
    <x v="6"/>
    <x v="0"/>
    <x v="3"/>
    <s v="S12000035"/>
    <n v="433"/>
    <n v="0"/>
    <n v="0"/>
    <n v="176"/>
    <n v="0"/>
    <n v="203"/>
    <n v="54"/>
  </r>
  <r>
    <x v="1"/>
    <x v="0"/>
    <x v="43"/>
    <m/>
    <n v="121"/>
    <n v="0"/>
    <n v="0"/>
    <n v="121"/>
    <n v="0"/>
    <n v="0"/>
    <n v="0"/>
  </r>
  <r>
    <x v="2"/>
    <x v="0"/>
    <x v="40"/>
    <m/>
    <n v="98"/>
    <n v="0"/>
    <n v="0"/>
    <n v="35"/>
    <n v="0"/>
    <n v="0"/>
    <n v="63"/>
  </r>
  <r>
    <x v="3"/>
    <x v="1"/>
    <x v="35"/>
    <m/>
    <n v="20"/>
    <n v="0"/>
    <n v="6"/>
    <n v="0"/>
    <n v="0"/>
    <n v="0"/>
    <n v="20"/>
  </r>
  <r>
    <x v="6"/>
    <x v="1"/>
    <x v="24"/>
    <s v="S39000018"/>
    <n v="29"/>
    <n v="0"/>
    <n v="1"/>
    <n v="0"/>
    <n v="0"/>
    <n v="0"/>
    <n v="29"/>
  </r>
  <r>
    <x v="4"/>
    <x v="1"/>
    <x v="39"/>
    <s v="S40000005"/>
    <n v="26"/>
    <n v="0"/>
    <n v="7"/>
    <n v="0"/>
    <n v="0"/>
    <n v="0"/>
    <n v="26"/>
  </r>
  <r>
    <x v="5"/>
    <x v="1"/>
    <x v="35"/>
    <s v="S40000003"/>
    <n v="28"/>
    <n v="0"/>
    <n v="3"/>
    <n v="0"/>
    <n v="0"/>
    <n v="0"/>
    <n v="28"/>
  </r>
  <r>
    <x v="3"/>
    <x v="1"/>
    <x v="14"/>
    <m/>
    <n v="11"/>
    <n v="0"/>
    <n v="0"/>
    <n v="0"/>
    <n v="0"/>
    <n v="0"/>
    <n v="11"/>
  </r>
  <r>
    <x v="4"/>
    <x v="1"/>
    <x v="42"/>
    <s v="S40000003"/>
    <n v="27"/>
    <n v="0"/>
    <n v="4"/>
    <n v="0"/>
    <n v="0"/>
    <n v="0"/>
    <n v="27"/>
  </r>
  <r>
    <x v="3"/>
    <x v="1"/>
    <x v="23"/>
    <m/>
    <n v="1"/>
    <n v="0"/>
    <n v="4"/>
    <n v="0"/>
    <n v="0"/>
    <n v="0"/>
    <n v="1"/>
  </r>
  <r>
    <x v="4"/>
    <x v="1"/>
    <x v="2"/>
    <s v="S40000004"/>
    <n v="19"/>
    <n v="0"/>
    <n v="2"/>
    <n v="0"/>
    <n v="0"/>
    <n v="0"/>
    <n v="19"/>
  </r>
  <r>
    <x v="1"/>
    <x v="0"/>
    <x v="5"/>
    <m/>
    <n v="302"/>
    <n v="0"/>
    <n v="0"/>
    <n v="7"/>
    <n v="0"/>
    <n v="0"/>
    <n v="295"/>
  </r>
  <r>
    <x v="5"/>
    <x v="0"/>
    <x v="43"/>
    <s v="S40000005"/>
    <n v="135"/>
    <n v="0"/>
    <n v="0"/>
    <n v="135"/>
    <n v="0"/>
    <n v="0"/>
    <n v="0"/>
  </r>
  <r>
    <x v="3"/>
    <x v="0"/>
    <x v="6"/>
    <m/>
    <n v="125"/>
    <n v="0"/>
    <n v="0"/>
    <n v="99"/>
    <n v="0"/>
    <n v="0"/>
    <n v="26"/>
  </r>
  <r>
    <x v="2"/>
    <x v="3"/>
    <x v="44"/>
    <m/>
    <n v="52"/>
    <n v="0"/>
    <n v="0"/>
    <n v="0"/>
    <n v="0"/>
    <n v="0"/>
    <n v="52"/>
  </r>
  <r>
    <x v="1"/>
    <x v="1"/>
    <x v="21"/>
    <m/>
    <n v="29"/>
    <n v="0"/>
    <n v="4"/>
    <n v="0"/>
    <n v="0"/>
    <n v="0"/>
    <n v="29"/>
  </r>
  <r>
    <x v="5"/>
    <x v="0"/>
    <x v="5"/>
    <s v="S40000004"/>
    <n v="314"/>
    <n v="0"/>
    <n v="0"/>
    <n v="8"/>
    <n v="0"/>
    <n v="0"/>
    <n v="306"/>
  </r>
  <r>
    <x v="2"/>
    <x v="0"/>
    <x v="38"/>
    <m/>
    <n v="53"/>
    <n v="0"/>
    <n v="0"/>
    <n v="0"/>
    <n v="0"/>
    <n v="0"/>
    <n v="53"/>
  </r>
  <r>
    <x v="2"/>
    <x v="0"/>
    <x v="17"/>
    <m/>
    <n v="96"/>
    <n v="0"/>
    <n v="0"/>
    <n v="21"/>
    <n v="0"/>
    <n v="0"/>
    <n v="75"/>
  </r>
  <r>
    <x v="6"/>
    <x v="1"/>
    <x v="2"/>
    <s v="S39000010"/>
    <n v="20"/>
    <n v="0"/>
    <n v="0"/>
    <n v="0"/>
    <n v="0"/>
    <n v="0"/>
    <n v="20"/>
  </r>
  <r>
    <x v="6"/>
    <x v="1"/>
    <x v="45"/>
    <s v="S39000016"/>
    <n v="18"/>
    <n v="0"/>
    <n v="1"/>
    <n v="0"/>
    <n v="0"/>
    <n v="0"/>
    <n v="18"/>
  </r>
  <r>
    <x v="2"/>
    <x v="0"/>
    <x v="43"/>
    <m/>
    <n v="135"/>
    <n v="0"/>
    <n v="0"/>
    <n v="132"/>
    <n v="0"/>
    <n v="0"/>
    <n v="3"/>
  </r>
  <r>
    <x v="1"/>
    <x v="0"/>
    <x v="33"/>
    <m/>
    <n v="133"/>
    <n v="0"/>
    <n v="0"/>
    <n v="133"/>
    <n v="0"/>
    <n v="0"/>
    <n v="0"/>
  </r>
  <r>
    <x v="1"/>
    <x v="1"/>
    <x v="24"/>
    <m/>
    <n v="31"/>
    <n v="0"/>
    <n v="3"/>
    <n v="0"/>
    <n v="0"/>
    <n v="0"/>
    <n v="31"/>
  </r>
  <r>
    <x v="4"/>
    <x v="0"/>
    <x v="46"/>
    <s v="S40000003"/>
    <n v="125"/>
    <n v="0"/>
    <n v="0"/>
    <n v="78"/>
    <n v="0"/>
    <n v="0"/>
    <n v="47"/>
  </r>
  <r>
    <x v="0"/>
    <x v="0"/>
    <x v="22"/>
    <m/>
    <n v="181"/>
    <n v="0"/>
    <n v="0"/>
    <n v="12"/>
    <n v="0"/>
    <n v="0"/>
    <n v="169"/>
  </r>
  <r>
    <x v="0"/>
    <x v="1"/>
    <x v="14"/>
    <m/>
    <n v="9"/>
    <n v="0"/>
    <n v="8"/>
    <n v="0"/>
    <n v="0"/>
    <n v="0"/>
    <n v="9"/>
  </r>
  <r>
    <x v="4"/>
    <x v="1"/>
    <x v="14"/>
    <s v="S40000005"/>
    <n v="15"/>
    <n v="0"/>
    <n v="7"/>
    <n v="0"/>
    <n v="0"/>
    <n v="0"/>
    <n v="15"/>
  </r>
  <r>
    <x v="6"/>
    <x v="0"/>
    <x v="25"/>
    <s v="S12000020"/>
    <n v="154"/>
    <n v="0"/>
    <n v="0"/>
    <n v="120"/>
    <n v="0"/>
    <n v="4"/>
    <n v="30"/>
  </r>
  <r>
    <x v="0"/>
    <x v="1"/>
    <x v="15"/>
    <m/>
    <n v="20"/>
    <n v="0"/>
    <n v="11"/>
    <n v="0"/>
    <n v="0"/>
    <n v="0"/>
    <n v="20"/>
  </r>
  <r>
    <x v="5"/>
    <x v="0"/>
    <x v="11"/>
    <s v="S40000004"/>
    <n v="126"/>
    <n v="0"/>
    <n v="0"/>
    <n v="75"/>
    <n v="0"/>
    <n v="0"/>
    <n v="51"/>
  </r>
  <r>
    <x v="1"/>
    <x v="0"/>
    <x v="46"/>
    <m/>
    <n v="123"/>
    <n v="0"/>
    <n v="0"/>
    <n v="77"/>
    <n v="0"/>
    <n v="0"/>
    <n v="46"/>
  </r>
  <r>
    <x v="6"/>
    <x v="0"/>
    <x v="16"/>
    <s v="S12000021"/>
    <n v="205"/>
    <n v="0"/>
    <n v="0"/>
    <n v="107"/>
    <n v="0"/>
    <n v="22"/>
    <n v="76"/>
  </r>
  <r>
    <x v="3"/>
    <x v="0"/>
    <x v="5"/>
    <m/>
    <n v="296"/>
    <n v="0"/>
    <n v="0"/>
    <n v="8"/>
    <n v="0"/>
    <n v="0"/>
    <n v="288"/>
  </r>
  <r>
    <x v="1"/>
    <x v="1"/>
    <x v="47"/>
    <m/>
    <n v="38"/>
    <n v="0"/>
    <n v="4"/>
    <n v="0"/>
    <n v="0"/>
    <n v="0"/>
    <n v="38"/>
  </r>
  <r>
    <x v="2"/>
    <x v="1"/>
    <x v="18"/>
    <m/>
    <n v="27"/>
    <n v="0"/>
    <n v="0"/>
    <n v="0"/>
    <n v="0"/>
    <n v="0"/>
    <n v="27"/>
  </r>
  <r>
    <x v="4"/>
    <x v="0"/>
    <x v="27"/>
    <s v="S40000002"/>
    <n v="51"/>
    <n v="0"/>
    <n v="0"/>
    <n v="27"/>
    <n v="0"/>
    <n v="0"/>
    <n v="24"/>
  </r>
  <r>
    <x v="3"/>
    <x v="1"/>
    <x v="18"/>
    <m/>
    <n v="25"/>
    <n v="0"/>
    <n v="0"/>
    <n v="0"/>
    <n v="0"/>
    <n v="0"/>
    <n v="25"/>
  </r>
  <r>
    <x v="6"/>
    <x v="1"/>
    <x v="23"/>
    <s v="S39000004"/>
    <n v="22"/>
    <n v="0"/>
    <n v="1"/>
    <n v="0"/>
    <n v="0"/>
    <n v="0"/>
    <n v="22"/>
  </r>
  <r>
    <x v="2"/>
    <x v="0"/>
    <x v="6"/>
    <m/>
    <n v="127"/>
    <n v="0"/>
    <n v="0"/>
    <n v="100"/>
    <n v="0"/>
    <n v="0"/>
    <n v="27"/>
  </r>
  <r>
    <x v="5"/>
    <x v="0"/>
    <x v="8"/>
    <s v="S40000003"/>
    <n v="117"/>
    <n v="0"/>
    <n v="0"/>
    <n v="15"/>
    <n v="0"/>
    <n v="0"/>
    <n v="102"/>
  </r>
  <r>
    <x v="1"/>
    <x v="0"/>
    <x v="10"/>
    <m/>
    <n v="165"/>
    <n v="0"/>
    <n v="0"/>
    <n v="11"/>
    <n v="0"/>
    <n v="0"/>
    <n v="154"/>
  </r>
  <r>
    <x v="6"/>
    <x v="0"/>
    <x v="40"/>
    <s v="S12000018"/>
    <n v="116"/>
    <n v="0"/>
    <n v="0"/>
    <n v="44"/>
    <n v="0"/>
    <n v="0"/>
    <n v="72"/>
  </r>
  <r>
    <x v="4"/>
    <x v="0"/>
    <x v="43"/>
    <s v="S40000005"/>
    <n v="131"/>
    <n v="0"/>
    <n v="0"/>
    <n v="131"/>
    <n v="0"/>
    <n v="0"/>
    <n v="0"/>
  </r>
  <r>
    <x v="3"/>
    <x v="0"/>
    <x v="15"/>
    <m/>
    <n v="557"/>
    <n v="0"/>
    <n v="0"/>
    <n v="441"/>
    <n v="0"/>
    <n v="43"/>
    <n v="73"/>
  </r>
  <r>
    <x v="4"/>
    <x v="1"/>
    <x v="21"/>
    <s v="S40000004"/>
    <n v="28"/>
    <n v="0"/>
    <n v="4"/>
    <n v="0"/>
    <n v="0"/>
    <n v="0"/>
    <n v="28"/>
  </r>
  <r>
    <x v="6"/>
    <x v="0"/>
    <x v="37"/>
    <s v="S12000023"/>
    <n v="109"/>
    <n v="0"/>
    <n v="0"/>
    <n v="109"/>
    <n v="0"/>
    <n v="0"/>
    <n v="0"/>
  </r>
  <r>
    <x v="5"/>
    <x v="1"/>
    <x v="47"/>
    <m/>
    <n v="38"/>
    <n v="0"/>
    <n v="4"/>
    <n v="0"/>
    <n v="0"/>
    <n v="0"/>
    <n v="38"/>
  </r>
  <r>
    <x v="3"/>
    <x v="0"/>
    <x v="11"/>
    <m/>
    <n v="119"/>
    <n v="0"/>
    <n v="0"/>
    <n v="72"/>
    <n v="0"/>
    <n v="0"/>
    <n v="47"/>
  </r>
  <r>
    <x v="0"/>
    <x v="0"/>
    <x v="12"/>
    <m/>
    <n v="190"/>
    <n v="0"/>
    <n v="0"/>
    <n v="31"/>
    <n v="0"/>
    <n v="0"/>
    <n v="159"/>
  </r>
  <r>
    <x v="3"/>
    <x v="2"/>
    <x v="7"/>
    <s v="S92000003"/>
    <n v="1178"/>
    <n v="171"/>
    <n v="0"/>
    <n v="0"/>
    <n v="917"/>
    <n v="0"/>
    <n v="90"/>
  </r>
  <r>
    <x v="3"/>
    <x v="1"/>
    <x v="42"/>
    <m/>
    <n v="18"/>
    <n v="0"/>
    <n v="4"/>
    <n v="0"/>
    <n v="0"/>
    <n v="0"/>
    <n v="18"/>
  </r>
  <r>
    <x v="5"/>
    <x v="1"/>
    <x v="12"/>
    <s v="S40000003"/>
    <n v="16"/>
    <n v="0"/>
    <n v="0"/>
    <n v="0"/>
    <n v="0"/>
    <n v="0"/>
    <n v="16"/>
  </r>
  <r>
    <x v="0"/>
    <x v="1"/>
    <x v="42"/>
    <m/>
    <n v="26"/>
    <n v="0"/>
    <n v="4"/>
    <n v="0"/>
    <n v="0"/>
    <n v="0"/>
    <n v="26"/>
  </r>
  <r>
    <x v="3"/>
    <x v="1"/>
    <x v="31"/>
    <m/>
    <n v="15"/>
    <n v="0"/>
    <n v="0"/>
    <n v="0"/>
    <n v="0"/>
    <n v="0"/>
    <n v="15"/>
  </r>
  <r>
    <x v="0"/>
    <x v="0"/>
    <x v="34"/>
    <m/>
    <n v="96"/>
    <n v="0"/>
    <n v="0"/>
    <n v="48"/>
    <n v="0"/>
    <n v="0"/>
    <n v="48"/>
  </r>
  <r>
    <x v="0"/>
    <x v="0"/>
    <x v="38"/>
    <m/>
    <n v="47"/>
    <n v="0"/>
    <n v="0"/>
    <n v="0"/>
    <n v="0"/>
    <n v="0"/>
    <n v="47"/>
  </r>
  <r>
    <x v="3"/>
    <x v="3"/>
    <x v="41"/>
    <s v="S40000004"/>
    <n v="73"/>
    <n v="0"/>
    <n v="0"/>
    <n v="0"/>
    <n v="0"/>
    <n v="0"/>
    <n v="73"/>
  </r>
  <r>
    <x v="6"/>
    <x v="0"/>
    <x v="33"/>
    <s v="S12000027"/>
    <n v="127"/>
    <n v="0"/>
    <n v="0"/>
    <n v="127"/>
    <n v="0"/>
    <n v="0"/>
    <n v="0"/>
  </r>
  <r>
    <x v="0"/>
    <x v="1"/>
    <x v="35"/>
    <m/>
    <n v="30"/>
    <n v="0"/>
    <n v="0"/>
    <n v="0"/>
    <n v="0"/>
    <n v="0"/>
    <n v="30"/>
  </r>
  <r>
    <x v="6"/>
    <x v="1"/>
    <x v="13"/>
    <s v="S39000015"/>
    <n v="16"/>
    <n v="0"/>
    <n v="1"/>
    <n v="0"/>
    <n v="0"/>
    <n v="0"/>
    <n v="16"/>
  </r>
  <r>
    <x v="0"/>
    <x v="0"/>
    <x v="17"/>
    <m/>
    <n v="87"/>
    <n v="0"/>
    <n v="0"/>
    <n v="19"/>
    <n v="0"/>
    <n v="0"/>
    <n v="68"/>
  </r>
  <r>
    <x v="2"/>
    <x v="0"/>
    <x v="33"/>
    <m/>
    <n v="115"/>
    <n v="0"/>
    <n v="0"/>
    <n v="114"/>
    <n v="0"/>
    <n v="0"/>
    <n v="1"/>
  </r>
  <r>
    <x v="6"/>
    <x v="3"/>
    <x v="44"/>
    <s v="S40000005"/>
    <n v="30"/>
    <n v="0"/>
    <n v="0"/>
    <n v="0"/>
    <n v="0"/>
    <n v="0"/>
    <n v="30"/>
  </r>
  <r>
    <x v="0"/>
    <x v="0"/>
    <x v="32"/>
    <m/>
    <n v="210"/>
    <n v="0"/>
    <n v="0"/>
    <n v="154"/>
    <n v="0"/>
    <n v="0"/>
    <n v="56"/>
  </r>
  <r>
    <x v="6"/>
    <x v="0"/>
    <x v="19"/>
    <s v="S12000045"/>
    <n v="78"/>
    <n v="0"/>
    <n v="0"/>
    <n v="0"/>
    <n v="0"/>
    <n v="0"/>
    <n v="78"/>
  </r>
  <r>
    <x v="6"/>
    <x v="3"/>
    <x v="41"/>
    <s v="S40000004"/>
    <n v="37"/>
    <n v="0"/>
    <n v="0"/>
    <n v="0"/>
    <n v="0"/>
    <n v="0"/>
    <n v="37"/>
  </r>
  <r>
    <x v="6"/>
    <x v="1"/>
    <x v="1"/>
    <s v="S39000012"/>
    <n v="25"/>
    <n v="0"/>
    <n v="0"/>
    <n v="0"/>
    <n v="0"/>
    <n v="0"/>
    <n v="25"/>
  </r>
  <r>
    <x v="2"/>
    <x v="0"/>
    <x v="30"/>
    <m/>
    <n v="152"/>
    <n v="0"/>
    <n v="0"/>
    <n v="61"/>
    <n v="0"/>
    <n v="0"/>
    <n v="91"/>
  </r>
  <r>
    <x v="3"/>
    <x v="3"/>
    <x v="44"/>
    <m/>
    <n v="64"/>
    <n v="0"/>
    <n v="0"/>
    <n v="0"/>
    <n v="0"/>
    <n v="0"/>
    <n v="64"/>
  </r>
  <r>
    <x v="4"/>
    <x v="0"/>
    <x v="48"/>
    <s v="S40000004"/>
    <n v="115"/>
    <n v="0"/>
    <n v="0"/>
    <n v="58"/>
    <n v="0"/>
    <n v="0"/>
    <n v="57"/>
  </r>
  <r>
    <x v="5"/>
    <x v="1"/>
    <x v="10"/>
    <s v="S40000005"/>
    <n v="13"/>
    <n v="0"/>
    <n v="0"/>
    <n v="0"/>
    <n v="0"/>
    <n v="0"/>
    <n v="13"/>
  </r>
  <r>
    <x v="6"/>
    <x v="1"/>
    <x v="31"/>
    <s v="S39000008"/>
    <n v="14"/>
    <n v="0"/>
    <n v="0"/>
    <n v="0"/>
    <n v="0"/>
    <n v="0"/>
    <n v="14"/>
  </r>
  <r>
    <x v="6"/>
    <x v="3"/>
    <x v="28"/>
    <s v="S40000003"/>
    <n v="79"/>
    <n v="0"/>
    <n v="0"/>
    <n v="0"/>
    <n v="0"/>
    <n v="0"/>
    <n v="79"/>
  </r>
  <r>
    <x v="6"/>
    <x v="0"/>
    <x v="0"/>
    <s v="S12000034"/>
    <n v="314"/>
    <n v="0"/>
    <n v="0"/>
    <n v="284"/>
    <n v="0"/>
    <n v="0"/>
    <n v="30"/>
  </r>
  <r>
    <x v="6"/>
    <x v="0"/>
    <x v="26"/>
    <s v="S12000010"/>
    <n v="86"/>
    <n v="0"/>
    <n v="0"/>
    <n v="62"/>
    <n v="0"/>
    <n v="0"/>
    <n v="24"/>
  </r>
  <r>
    <x v="0"/>
    <x v="0"/>
    <x v="48"/>
    <m/>
    <n v="113"/>
    <n v="0"/>
    <n v="0"/>
    <n v="54"/>
    <n v="0"/>
    <n v="0"/>
    <n v="59"/>
  </r>
  <r>
    <x v="2"/>
    <x v="0"/>
    <x v="48"/>
    <m/>
    <n v="119"/>
    <n v="0"/>
    <n v="0"/>
    <n v="56"/>
    <n v="0"/>
    <n v="0"/>
    <n v="63"/>
  </r>
  <r>
    <x v="4"/>
    <x v="0"/>
    <x v="8"/>
    <s v="S40000003"/>
    <n v="113"/>
    <n v="0"/>
    <n v="0"/>
    <n v="13"/>
    <n v="0"/>
    <n v="0"/>
    <n v="100"/>
  </r>
  <r>
    <x v="0"/>
    <x v="0"/>
    <x v="46"/>
    <m/>
    <n v="118"/>
    <n v="0"/>
    <n v="0"/>
    <n v="71"/>
    <n v="0"/>
    <n v="0"/>
    <n v="47"/>
  </r>
  <r>
    <x v="0"/>
    <x v="1"/>
    <x v="1"/>
    <m/>
    <n v="23"/>
    <n v="0"/>
    <n v="0"/>
    <n v="0"/>
    <n v="0"/>
    <n v="0"/>
    <n v="23"/>
  </r>
  <r>
    <x v="4"/>
    <x v="0"/>
    <x v="30"/>
    <s v="S40000004"/>
    <n v="144"/>
    <n v="0"/>
    <n v="0"/>
    <n v="56"/>
    <n v="0"/>
    <n v="0"/>
    <n v="88"/>
  </r>
  <r>
    <x v="3"/>
    <x v="1"/>
    <x v="21"/>
    <m/>
    <n v="20"/>
    <n v="0"/>
    <n v="4"/>
    <n v="0"/>
    <n v="0"/>
    <n v="0"/>
    <n v="20"/>
  </r>
  <r>
    <x v="3"/>
    <x v="0"/>
    <x v="12"/>
    <m/>
    <n v="189"/>
    <n v="0"/>
    <n v="0"/>
    <n v="26"/>
    <n v="0"/>
    <n v="0"/>
    <n v="163"/>
  </r>
  <r>
    <x v="5"/>
    <x v="1"/>
    <x v="31"/>
    <s v="S40000003"/>
    <n v="13"/>
    <n v="0"/>
    <n v="0"/>
    <n v="0"/>
    <n v="0"/>
    <n v="0"/>
    <n v="13"/>
  </r>
  <r>
    <x v="4"/>
    <x v="0"/>
    <x v="20"/>
    <s v="S40000004"/>
    <n v="38"/>
    <n v="0"/>
    <n v="0"/>
    <n v="11"/>
    <n v="0"/>
    <n v="0"/>
    <n v="27"/>
  </r>
  <r>
    <x v="2"/>
    <x v="0"/>
    <x v="46"/>
    <m/>
    <n v="119"/>
    <n v="0"/>
    <n v="0"/>
    <n v="71"/>
    <n v="0"/>
    <n v="0"/>
    <n v="48"/>
  </r>
  <r>
    <x v="5"/>
    <x v="0"/>
    <x v="40"/>
    <s v="S40000003"/>
    <n v="112"/>
    <n v="0"/>
    <n v="0"/>
    <n v="42"/>
    <n v="0"/>
    <n v="0"/>
    <n v="70"/>
  </r>
  <r>
    <x v="4"/>
    <x v="0"/>
    <x v="33"/>
    <s v="S40000005"/>
    <n v="132"/>
    <n v="0"/>
    <n v="0"/>
    <n v="132"/>
    <n v="0"/>
    <n v="0"/>
    <n v="0"/>
  </r>
  <r>
    <x v="5"/>
    <x v="0"/>
    <x v="17"/>
    <s v="S40000003"/>
    <n v="93"/>
    <n v="0"/>
    <n v="0"/>
    <n v="20"/>
    <n v="0"/>
    <n v="0"/>
    <n v="73"/>
  </r>
  <r>
    <x v="3"/>
    <x v="1"/>
    <x v="1"/>
    <m/>
    <n v="20"/>
    <n v="0"/>
    <n v="0"/>
    <n v="0"/>
    <n v="0"/>
    <n v="0"/>
    <n v="20"/>
  </r>
  <r>
    <x v="2"/>
    <x v="0"/>
    <x v="23"/>
    <m/>
    <n v="239"/>
    <n v="0"/>
    <n v="0"/>
    <n v="179"/>
    <n v="0"/>
    <n v="7"/>
    <n v="53"/>
  </r>
  <r>
    <x v="2"/>
    <x v="0"/>
    <x v="16"/>
    <m/>
    <n v="202"/>
    <n v="0"/>
    <n v="0"/>
    <n v="98"/>
    <n v="0"/>
    <n v="19"/>
    <n v="85"/>
  </r>
  <r>
    <x v="2"/>
    <x v="0"/>
    <x v="10"/>
    <m/>
    <n v="172"/>
    <n v="0"/>
    <n v="0"/>
    <n v="10"/>
    <n v="0"/>
    <n v="0"/>
    <n v="162"/>
  </r>
  <r>
    <x v="5"/>
    <x v="0"/>
    <x v="20"/>
    <s v="S40000004"/>
    <n v="39"/>
    <n v="0"/>
    <n v="0"/>
    <n v="13"/>
    <n v="0"/>
    <n v="0"/>
    <n v="26"/>
  </r>
  <r>
    <x v="1"/>
    <x v="0"/>
    <x v="34"/>
    <m/>
    <n v="95"/>
    <n v="0"/>
    <n v="0"/>
    <n v="48"/>
    <n v="0"/>
    <n v="0"/>
    <n v="47"/>
  </r>
  <r>
    <x v="2"/>
    <x v="1"/>
    <x v="47"/>
    <m/>
    <n v="33"/>
    <n v="0"/>
    <n v="4"/>
    <n v="0"/>
    <n v="0"/>
    <n v="0"/>
    <n v="33"/>
  </r>
  <r>
    <x v="1"/>
    <x v="0"/>
    <x v="15"/>
    <m/>
    <n v="593"/>
    <n v="0"/>
    <n v="0"/>
    <n v="478"/>
    <n v="0"/>
    <n v="45"/>
    <n v="70"/>
  </r>
  <r>
    <x v="1"/>
    <x v="1"/>
    <x v="1"/>
    <m/>
    <n v="23"/>
    <n v="0"/>
    <n v="0"/>
    <n v="0"/>
    <n v="0"/>
    <n v="0"/>
    <n v="23"/>
  </r>
  <r>
    <x v="5"/>
    <x v="0"/>
    <x v="23"/>
    <s v="S40000003"/>
    <n v="249"/>
    <n v="0"/>
    <n v="0"/>
    <n v="192"/>
    <n v="0"/>
    <n v="5"/>
    <n v="52"/>
  </r>
  <r>
    <x v="3"/>
    <x v="0"/>
    <x v="27"/>
    <m/>
    <n v="49"/>
    <n v="0"/>
    <n v="0"/>
    <n v="23"/>
    <n v="0"/>
    <n v="0"/>
    <n v="26"/>
  </r>
  <r>
    <x v="1"/>
    <x v="0"/>
    <x v="36"/>
    <m/>
    <n v="204"/>
    <n v="0"/>
    <n v="0"/>
    <n v="116"/>
    <n v="0"/>
    <n v="22"/>
    <n v="66"/>
  </r>
  <r>
    <x v="0"/>
    <x v="0"/>
    <x v="36"/>
    <m/>
    <n v="209"/>
    <n v="0"/>
    <n v="0"/>
    <n v="119"/>
    <n v="0"/>
    <n v="21"/>
    <n v="69"/>
  </r>
  <r>
    <x v="4"/>
    <x v="0"/>
    <x v="0"/>
    <s v="S40000005"/>
    <n v="315"/>
    <n v="0"/>
    <n v="0"/>
    <n v="286"/>
    <n v="0"/>
    <n v="0"/>
    <n v="29"/>
  </r>
  <r>
    <x v="1"/>
    <x v="0"/>
    <x v="26"/>
    <m/>
    <n v="80"/>
    <n v="0"/>
    <n v="0"/>
    <n v="56"/>
    <n v="0"/>
    <n v="0"/>
    <n v="24"/>
  </r>
  <r>
    <x v="4"/>
    <x v="0"/>
    <x v="36"/>
    <s v="S40000005"/>
    <n v="214"/>
    <n v="0"/>
    <n v="0"/>
    <n v="130"/>
    <n v="0"/>
    <n v="21"/>
    <n v="63"/>
  </r>
  <r>
    <x v="1"/>
    <x v="3"/>
    <x v="41"/>
    <s v="S40000004"/>
    <n v="66"/>
    <n v="0"/>
    <n v="0"/>
    <n v="0"/>
    <n v="0"/>
    <n v="0"/>
    <n v="66"/>
  </r>
  <r>
    <x v="0"/>
    <x v="0"/>
    <x v="15"/>
    <m/>
    <n v="11"/>
    <n v="0"/>
    <n v="0"/>
    <n v="0"/>
    <n v="0"/>
    <n v="0"/>
    <n v="11"/>
  </r>
  <r>
    <x v="4"/>
    <x v="0"/>
    <x v="40"/>
    <s v="S40000003"/>
    <n v="114"/>
    <n v="0"/>
    <n v="0"/>
    <n v="44"/>
    <n v="0"/>
    <n v="0"/>
    <n v="70"/>
  </r>
  <r>
    <x v="3"/>
    <x v="0"/>
    <x v="46"/>
    <m/>
    <n v="124"/>
    <n v="0"/>
    <n v="0"/>
    <n v="69"/>
    <n v="0"/>
    <n v="0"/>
    <n v="55"/>
  </r>
  <r>
    <x v="5"/>
    <x v="0"/>
    <x v="46"/>
    <s v="S40000003"/>
    <n v="129"/>
    <n v="0"/>
    <n v="0"/>
    <n v="80"/>
    <n v="0"/>
    <n v="0"/>
    <n v="49"/>
  </r>
  <r>
    <x v="4"/>
    <x v="1"/>
    <x v="18"/>
    <s v="S40000004"/>
    <n v="28"/>
    <n v="0"/>
    <n v="0"/>
    <n v="0"/>
    <n v="0"/>
    <n v="0"/>
    <n v="28"/>
  </r>
  <r>
    <x v="3"/>
    <x v="0"/>
    <x v="32"/>
    <m/>
    <n v="203"/>
    <n v="0"/>
    <n v="0"/>
    <n v="145"/>
    <n v="0"/>
    <n v="0"/>
    <n v="58"/>
  </r>
  <r>
    <x v="4"/>
    <x v="0"/>
    <x v="3"/>
    <s v="S40000003"/>
    <n v="421"/>
    <n v="0"/>
    <n v="0"/>
    <n v="168"/>
    <n v="0"/>
    <n v="201"/>
    <n v="52"/>
  </r>
  <r>
    <x v="6"/>
    <x v="0"/>
    <x v="48"/>
    <s v="S12000040"/>
    <n v="115"/>
    <n v="0"/>
    <n v="0"/>
    <n v="59"/>
    <n v="0"/>
    <n v="0"/>
    <n v="56"/>
  </r>
  <r>
    <x v="3"/>
    <x v="0"/>
    <x v="36"/>
    <m/>
    <n v="197"/>
    <n v="0"/>
    <n v="0"/>
    <n v="117"/>
    <n v="0"/>
    <n v="21"/>
    <n v="59"/>
  </r>
  <r>
    <x v="0"/>
    <x v="0"/>
    <x v="43"/>
    <m/>
    <n v="138"/>
    <n v="0"/>
    <n v="0"/>
    <n v="135"/>
    <n v="0"/>
    <n v="0"/>
    <n v="3"/>
  </r>
  <r>
    <x v="5"/>
    <x v="3"/>
    <x v="44"/>
    <s v="S40000005"/>
    <n v="42"/>
    <n v="0"/>
    <n v="0"/>
    <n v="0"/>
    <n v="0"/>
    <n v="0"/>
    <n v="42"/>
  </r>
  <r>
    <x v="6"/>
    <x v="0"/>
    <x v="11"/>
    <s v="S12000030"/>
    <n v="124"/>
    <n v="0"/>
    <n v="0"/>
    <n v="75"/>
    <n v="0"/>
    <n v="0"/>
    <n v="49"/>
  </r>
  <r>
    <x v="5"/>
    <x v="0"/>
    <x v="38"/>
    <s v="S40000003"/>
    <n v="50"/>
    <n v="0"/>
    <n v="0"/>
    <n v="0"/>
    <n v="0"/>
    <n v="0"/>
    <n v="50"/>
  </r>
  <r>
    <x v="5"/>
    <x v="0"/>
    <x v="22"/>
    <s v="S40000005"/>
    <n v="194"/>
    <n v="0"/>
    <n v="0"/>
    <n v="12"/>
    <n v="0"/>
    <n v="0"/>
    <n v="182"/>
  </r>
  <r>
    <x v="3"/>
    <x v="0"/>
    <x v="16"/>
    <m/>
    <n v="191"/>
    <n v="0"/>
    <n v="0"/>
    <n v="100"/>
    <n v="0"/>
    <n v="19"/>
    <n v="72"/>
  </r>
  <r>
    <x v="2"/>
    <x v="0"/>
    <x v="27"/>
    <m/>
    <n v="50"/>
    <n v="0"/>
    <n v="0"/>
    <n v="23"/>
    <n v="0"/>
    <n v="0"/>
    <n v="27"/>
  </r>
  <r>
    <x v="1"/>
    <x v="0"/>
    <x v="23"/>
    <m/>
    <n v="248"/>
    <n v="0"/>
    <n v="0"/>
    <n v="192"/>
    <n v="0"/>
    <n v="6"/>
    <n v="50"/>
  </r>
  <r>
    <x v="2"/>
    <x v="1"/>
    <x v="23"/>
    <m/>
    <n v="22"/>
    <n v="0"/>
    <n v="4"/>
    <n v="0"/>
    <n v="0"/>
    <n v="0"/>
    <n v="22"/>
  </r>
  <r>
    <x v="4"/>
    <x v="1"/>
    <x v="10"/>
    <s v="S40000005"/>
    <n v="12"/>
    <n v="0"/>
    <n v="0"/>
    <n v="0"/>
    <n v="0"/>
    <n v="0"/>
    <n v="12"/>
  </r>
  <r>
    <x v="0"/>
    <x v="1"/>
    <x v="47"/>
    <m/>
    <n v="31"/>
    <n v="0"/>
    <n v="4"/>
    <n v="0"/>
    <n v="0"/>
    <n v="0"/>
    <n v="31"/>
  </r>
  <r>
    <x v="6"/>
    <x v="0"/>
    <x v="17"/>
    <s v="S12000039"/>
    <n v="93"/>
    <n v="0"/>
    <n v="0"/>
    <n v="20"/>
    <n v="0"/>
    <n v="0"/>
    <n v="73"/>
  </r>
  <r>
    <x v="5"/>
    <x v="1"/>
    <x v="18"/>
    <s v="S40000004"/>
    <n v="28"/>
    <n v="0"/>
    <n v="0"/>
    <n v="0"/>
    <n v="0"/>
    <n v="0"/>
    <n v="28"/>
  </r>
  <r>
    <x v="3"/>
    <x v="0"/>
    <x v="48"/>
    <m/>
    <n v="125"/>
    <n v="0"/>
    <n v="0"/>
    <n v="61"/>
    <n v="0"/>
    <n v="0"/>
    <n v="64"/>
  </r>
  <r>
    <x v="3"/>
    <x v="1"/>
    <x v="47"/>
    <m/>
    <n v="26"/>
    <n v="0"/>
    <n v="3"/>
    <n v="0"/>
    <n v="0"/>
    <n v="0"/>
    <n v="26"/>
  </r>
  <r>
    <x v="6"/>
    <x v="1"/>
    <x v="14"/>
    <s v="S39000017"/>
    <n v="16"/>
    <n v="0"/>
    <n v="3"/>
    <n v="0"/>
    <n v="0"/>
    <n v="0"/>
    <n v="16"/>
  </r>
  <r>
    <x v="4"/>
    <x v="1"/>
    <x v="15"/>
    <s v="S40000005"/>
    <n v="35"/>
    <n v="0"/>
    <n v="11"/>
    <n v="0"/>
    <n v="0"/>
    <n v="0"/>
    <n v="35"/>
  </r>
  <r>
    <x v="3"/>
    <x v="0"/>
    <x v="34"/>
    <m/>
    <n v="96"/>
    <n v="0"/>
    <n v="0"/>
    <n v="43"/>
    <n v="0"/>
    <n v="0"/>
    <n v="53"/>
  </r>
  <r>
    <x v="6"/>
    <x v="0"/>
    <x v="15"/>
    <s v="S12000017"/>
    <n v="684"/>
    <n v="0"/>
    <n v="0"/>
    <n v="552"/>
    <n v="0"/>
    <n v="62"/>
    <n v="70"/>
  </r>
  <r>
    <x v="4"/>
    <x v="0"/>
    <x v="23"/>
    <s v="S40000003"/>
    <n v="243"/>
    <n v="0"/>
    <n v="0"/>
    <n v="186"/>
    <n v="0"/>
    <n v="6"/>
    <n v="51"/>
  </r>
  <r>
    <x v="0"/>
    <x v="1"/>
    <x v="2"/>
    <m/>
    <n v="19"/>
    <n v="0"/>
    <n v="2"/>
    <n v="0"/>
    <n v="0"/>
    <n v="0"/>
    <n v="19"/>
  </r>
  <r>
    <x v="6"/>
    <x v="0"/>
    <x v="34"/>
    <s v="S12000028"/>
    <n v="108"/>
    <n v="0"/>
    <n v="0"/>
    <n v="58"/>
    <n v="0"/>
    <n v="0"/>
    <n v="50"/>
  </r>
  <r>
    <x v="5"/>
    <x v="1"/>
    <x v="42"/>
    <s v="S40000003"/>
    <n v="28"/>
    <n v="0"/>
    <n v="2"/>
    <n v="0"/>
    <n v="0"/>
    <n v="0"/>
    <n v="28"/>
  </r>
  <r>
    <x v="5"/>
    <x v="0"/>
    <x v="3"/>
    <s v="S40000003"/>
    <n v="439"/>
    <n v="0"/>
    <n v="0"/>
    <n v="174"/>
    <n v="0"/>
    <n v="212"/>
    <n v="53"/>
  </r>
  <r>
    <x v="1"/>
    <x v="1"/>
    <x v="31"/>
    <m/>
    <n v="19"/>
    <n v="0"/>
    <n v="0"/>
    <n v="0"/>
    <n v="0"/>
    <n v="0"/>
    <n v="19"/>
  </r>
  <r>
    <x v="4"/>
    <x v="3"/>
    <x v="44"/>
    <s v="S40000005"/>
    <n v="55"/>
    <n v="0"/>
    <n v="0"/>
    <n v="0"/>
    <n v="0"/>
    <n v="0"/>
    <n v="55"/>
  </r>
  <r>
    <x v="1"/>
    <x v="1"/>
    <x v="18"/>
    <m/>
    <n v="27"/>
    <n v="0"/>
    <n v="0"/>
    <n v="0"/>
    <n v="0"/>
    <n v="0"/>
    <n v="27"/>
  </r>
  <r>
    <x v="1"/>
    <x v="3"/>
    <x v="44"/>
    <m/>
    <n v="48"/>
    <n v="0"/>
    <n v="0"/>
    <n v="0"/>
    <n v="0"/>
    <n v="0"/>
    <n v="48"/>
  </r>
  <r>
    <x v="5"/>
    <x v="1"/>
    <x v="39"/>
    <s v="S40000005"/>
    <n v="25"/>
    <n v="0"/>
    <n v="5"/>
    <n v="0"/>
    <n v="0"/>
    <n v="0"/>
    <n v="25"/>
  </r>
  <r>
    <x v="0"/>
    <x v="1"/>
    <x v="35"/>
    <m/>
    <n v="0"/>
    <n v="0"/>
    <n v="5"/>
    <n v="0"/>
    <n v="0"/>
    <n v="0"/>
    <n v="0"/>
  </r>
  <r>
    <x v="2"/>
    <x v="1"/>
    <x v="14"/>
    <m/>
    <n v="10"/>
    <n v="0"/>
    <n v="0"/>
    <n v="0"/>
    <n v="0"/>
    <n v="0"/>
    <n v="10"/>
  </r>
  <r>
    <x v="3"/>
    <x v="0"/>
    <x v="25"/>
    <m/>
    <n v="138"/>
    <n v="0"/>
    <n v="0"/>
    <n v="105"/>
    <n v="0"/>
    <n v="3"/>
    <n v="30"/>
  </r>
  <r>
    <x v="2"/>
    <x v="0"/>
    <x v="9"/>
    <m/>
    <n v="320"/>
    <n v="0"/>
    <n v="0"/>
    <n v="104"/>
    <n v="0"/>
    <n v="0"/>
    <n v="216"/>
  </r>
  <r>
    <x v="5"/>
    <x v="0"/>
    <x v="32"/>
    <s v="S40000004"/>
    <n v="201"/>
    <n v="0"/>
    <n v="0"/>
    <n v="148"/>
    <n v="0"/>
    <n v="0"/>
    <n v="53"/>
  </r>
  <r>
    <x v="2"/>
    <x v="3"/>
    <x v="41"/>
    <s v="S40000004"/>
    <n v="29"/>
    <n v="0"/>
    <n v="0"/>
    <n v="0"/>
    <n v="0"/>
    <n v="0"/>
    <n v="29"/>
  </r>
  <r>
    <x v="1"/>
    <x v="0"/>
    <x v="25"/>
    <m/>
    <n v="144"/>
    <n v="0"/>
    <n v="0"/>
    <n v="114"/>
    <n v="0"/>
    <n v="0"/>
    <n v="30"/>
  </r>
  <r>
    <x v="3"/>
    <x v="0"/>
    <x v="17"/>
    <m/>
    <n v="99"/>
    <n v="0"/>
    <n v="0"/>
    <n v="24"/>
    <n v="0"/>
    <n v="0"/>
    <n v="75"/>
  </r>
  <r>
    <x v="6"/>
    <x v="0"/>
    <x v="1"/>
    <s v="S12000046"/>
    <n v="515"/>
    <n v="0"/>
    <n v="0"/>
    <n v="0"/>
    <n v="0"/>
    <n v="0"/>
    <n v="515"/>
  </r>
  <r>
    <x v="5"/>
    <x v="0"/>
    <x v="30"/>
    <s v="S40000004"/>
    <n v="145"/>
    <n v="0"/>
    <n v="0"/>
    <n v="57"/>
    <n v="0"/>
    <n v="0"/>
    <n v="88"/>
  </r>
  <r>
    <x v="5"/>
    <x v="0"/>
    <x v="48"/>
    <s v="S40000004"/>
    <n v="123"/>
    <n v="0"/>
    <n v="0"/>
    <n v="65"/>
    <n v="0"/>
    <n v="0"/>
    <n v="58"/>
  </r>
  <r>
    <x v="7"/>
    <x v="0"/>
    <x v="19"/>
    <s v="S12000045"/>
    <n v="72"/>
    <m/>
    <m/>
    <n v="0"/>
    <m/>
    <n v="0"/>
    <n v="72"/>
  </r>
  <r>
    <x v="7"/>
    <x v="0"/>
    <x v="34"/>
    <s v="S12000028"/>
    <n v="114"/>
    <m/>
    <m/>
    <n v="54"/>
    <m/>
    <n v="0"/>
    <n v="60"/>
  </r>
  <r>
    <x v="8"/>
    <x v="0"/>
    <x v="32"/>
    <s v="S12000026"/>
    <n v="209"/>
    <m/>
    <m/>
    <n v="134"/>
    <m/>
    <n v="0"/>
    <n v="75"/>
  </r>
  <r>
    <x v="8"/>
    <x v="0"/>
    <x v="38"/>
    <s v="S12000011"/>
    <n v="59"/>
    <m/>
    <m/>
    <n v="0"/>
    <m/>
    <n v="0"/>
    <n v="59"/>
  </r>
  <r>
    <x v="9"/>
    <x v="0"/>
    <x v="23"/>
    <s v="S12000006"/>
    <n v="260"/>
    <m/>
    <m/>
    <n v="190"/>
    <m/>
    <n v="5"/>
    <n v="65"/>
  </r>
  <r>
    <x v="9"/>
    <x v="0"/>
    <x v="5"/>
    <s v="S12000036"/>
    <n v="327"/>
    <m/>
    <m/>
    <n v="12"/>
    <m/>
    <n v="0"/>
    <n v="315"/>
  </r>
  <r>
    <x v="9"/>
    <x v="0"/>
    <x v="6"/>
    <s v="S12000041"/>
    <n v="134"/>
    <m/>
    <m/>
    <n v="98"/>
    <m/>
    <n v="0"/>
    <n v="36"/>
  </r>
  <r>
    <x v="7"/>
    <x v="0"/>
    <x v="23"/>
    <s v="S12000006"/>
    <n v="278"/>
    <m/>
    <m/>
    <n v="206"/>
    <m/>
    <n v="3"/>
    <n v="69"/>
  </r>
  <r>
    <x v="9"/>
    <x v="0"/>
    <x v="37"/>
    <s v="S12000023"/>
    <n v="98"/>
    <m/>
    <m/>
    <n v="98"/>
    <m/>
    <n v="0"/>
    <n v="0"/>
  </r>
  <r>
    <x v="7"/>
    <x v="1"/>
    <x v="23"/>
    <s v="S39000004"/>
    <n v="18"/>
    <m/>
    <m/>
    <m/>
    <m/>
    <m/>
    <n v="18"/>
  </r>
  <r>
    <x v="10"/>
    <x v="0"/>
    <x v="6"/>
    <s v="S12000041"/>
    <n v="121"/>
    <m/>
    <m/>
    <n v="93"/>
    <m/>
    <m/>
    <n v="28"/>
  </r>
  <r>
    <x v="11"/>
    <x v="4"/>
    <x v="49"/>
    <m/>
    <m/>
    <m/>
    <m/>
    <m/>
    <m/>
    <m/>
    <m/>
  </r>
  <r>
    <x v="9"/>
    <x v="0"/>
    <x v="38"/>
    <s v="S12000011"/>
    <n v="55"/>
    <m/>
    <m/>
    <n v="2"/>
    <m/>
    <n v="0"/>
    <n v="53"/>
  </r>
  <r>
    <x v="10"/>
    <x v="0"/>
    <x v="11"/>
    <s v="S12000030"/>
    <n v="122"/>
    <m/>
    <m/>
    <n v="74"/>
    <m/>
    <m/>
    <n v="48"/>
  </r>
  <r>
    <x v="12"/>
    <x v="0"/>
    <x v="6"/>
    <s v="S12000041"/>
    <n v="119"/>
    <m/>
    <m/>
    <n v="94"/>
    <m/>
    <n v="0"/>
    <n v="25"/>
  </r>
  <r>
    <x v="9"/>
    <x v="0"/>
    <x v="32"/>
    <s v="S12000026"/>
    <n v="218"/>
    <m/>
    <m/>
    <n v="147"/>
    <m/>
    <n v="0"/>
    <n v="71"/>
  </r>
  <r>
    <x v="7"/>
    <x v="2"/>
    <x v="7"/>
    <s v="S92000003"/>
    <n v="518"/>
    <n v="230"/>
    <m/>
    <m/>
    <n v="238"/>
    <m/>
    <n v="50"/>
  </r>
  <r>
    <x v="7"/>
    <x v="0"/>
    <x v="3"/>
    <s v="S12000035"/>
    <n v="454"/>
    <m/>
    <m/>
    <n v="175"/>
    <m/>
    <n v="225"/>
    <n v="54"/>
  </r>
  <r>
    <x v="8"/>
    <x v="3"/>
    <x v="44"/>
    <s v="S40000005"/>
    <n v="210"/>
    <m/>
    <m/>
    <m/>
    <n v="133"/>
    <m/>
    <n v="77"/>
  </r>
  <r>
    <x v="9"/>
    <x v="0"/>
    <x v="3"/>
    <s v="S12000035"/>
    <n v="438"/>
    <m/>
    <m/>
    <n v="182"/>
    <m/>
    <n v="201"/>
    <n v="55"/>
  </r>
  <r>
    <x v="12"/>
    <x v="0"/>
    <x v="50"/>
    <s v="S12000017"/>
    <n v="659"/>
    <m/>
    <m/>
    <n v="525"/>
    <m/>
    <n v="67"/>
    <n v="67"/>
  </r>
  <r>
    <x v="9"/>
    <x v="0"/>
    <x v="20"/>
    <s v="S12000019"/>
    <n v="34"/>
    <m/>
    <m/>
    <n v="11"/>
    <m/>
    <n v="0"/>
    <n v="23"/>
  </r>
  <r>
    <x v="8"/>
    <x v="1"/>
    <x v="18"/>
    <s v="S39000009"/>
    <n v="26"/>
    <m/>
    <m/>
    <m/>
    <m/>
    <m/>
    <n v="26"/>
  </r>
  <r>
    <x v="8"/>
    <x v="0"/>
    <x v="50"/>
    <s v="S12000017"/>
    <n v="717"/>
    <m/>
    <m/>
    <n v="564"/>
    <m/>
    <n v="72"/>
    <n v="81"/>
  </r>
  <r>
    <x v="7"/>
    <x v="0"/>
    <x v="12"/>
    <s v="S12000044"/>
    <n v="217"/>
    <m/>
    <m/>
    <n v="30"/>
    <m/>
    <n v="0"/>
    <n v="187"/>
  </r>
  <r>
    <x v="9"/>
    <x v="3"/>
    <x v="44"/>
    <s v="S40000005"/>
    <n v="165"/>
    <m/>
    <m/>
    <m/>
    <n v="121"/>
    <m/>
    <n v="44"/>
  </r>
  <r>
    <x v="9"/>
    <x v="0"/>
    <x v="43"/>
    <s v="S12000013"/>
    <n v="140"/>
    <m/>
    <m/>
    <n v="140"/>
    <m/>
    <n v="0"/>
    <n v="0"/>
  </r>
  <r>
    <x v="7"/>
    <x v="1"/>
    <x v="45"/>
    <s v="S39000016"/>
    <n v="5"/>
    <m/>
    <m/>
    <m/>
    <m/>
    <m/>
    <n v="5"/>
  </r>
  <r>
    <x v="10"/>
    <x v="0"/>
    <x v="1"/>
    <s v="S12000046"/>
    <n v="489"/>
    <m/>
    <m/>
    <m/>
    <m/>
    <m/>
    <n v="489"/>
  </r>
  <r>
    <x v="8"/>
    <x v="1"/>
    <x v="12"/>
    <s v="S39000014"/>
    <n v="14"/>
    <m/>
    <m/>
    <m/>
    <m/>
    <m/>
    <n v="14"/>
  </r>
  <r>
    <x v="10"/>
    <x v="3"/>
    <x v="44"/>
    <s v="S40000005"/>
    <n v="187"/>
    <m/>
    <m/>
    <m/>
    <n v="141"/>
    <m/>
    <n v="46"/>
  </r>
  <r>
    <x v="7"/>
    <x v="1"/>
    <x v="42"/>
    <s v="S39000006"/>
    <n v="20"/>
    <m/>
    <m/>
    <m/>
    <m/>
    <m/>
    <n v="20"/>
  </r>
  <r>
    <x v="7"/>
    <x v="0"/>
    <x v="50"/>
    <s v="S12000017"/>
    <n v="698"/>
    <m/>
    <m/>
    <n v="548"/>
    <m/>
    <n v="69"/>
    <n v="81"/>
  </r>
  <r>
    <x v="12"/>
    <x v="0"/>
    <x v="19"/>
    <s v="S12000045"/>
    <n v="68"/>
    <m/>
    <m/>
    <n v="0"/>
    <m/>
    <n v="0"/>
    <n v="68"/>
  </r>
  <r>
    <x v="10"/>
    <x v="0"/>
    <x v="9"/>
    <s v="S12000047"/>
    <n v="369"/>
    <m/>
    <m/>
    <n v="115"/>
    <m/>
    <m/>
    <n v="254"/>
  </r>
  <r>
    <x v="10"/>
    <x v="1"/>
    <x v="42"/>
    <s v="S39000006"/>
    <n v="27"/>
    <m/>
    <m/>
    <m/>
    <m/>
    <m/>
    <n v="27"/>
  </r>
  <r>
    <x v="9"/>
    <x v="1"/>
    <x v="45"/>
    <s v="S39000016"/>
    <n v="13"/>
    <m/>
    <m/>
    <m/>
    <m/>
    <m/>
    <n v="13"/>
  </r>
  <r>
    <x v="12"/>
    <x v="0"/>
    <x v="0"/>
    <s v="S12000034"/>
    <n v="307"/>
    <m/>
    <m/>
    <n v="282"/>
    <m/>
    <n v="0"/>
    <n v="25"/>
  </r>
  <r>
    <x v="12"/>
    <x v="0"/>
    <x v="26"/>
    <s v="S12000010"/>
    <n v="82"/>
    <m/>
    <m/>
    <n v="55"/>
    <m/>
    <n v="0"/>
    <n v="27"/>
  </r>
  <r>
    <x v="8"/>
    <x v="0"/>
    <x v="48"/>
    <s v="S12000040"/>
    <n v="143"/>
    <m/>
    <m/>
    <n v="58"/>
    <m/>
    <n v="0"/>
    <n v="85"/>
  </r>
  <r>
    <x v="12"/>
    <x v="0"/>
    <x v="3"/>
    <s v="S12000035"/>
    <n v="428"/>
    <m/>
    <m/>
    <n v="185"/>
    <m/>
    <n v="200"/>
    <n v="43"/>
  </r>
  <r>
    <x v="6"/>
    <x v="0"/>
    <x v="43"/>
    <s v="S12000013"/>
    <n v="132"/>
    <n v="0"/>
    <n v="0"/>
    <n v="132"/>
    <n v="0"/>
    <n v="0"/>
    <n v="0"/>
  </r>
  <r>
    <x v="3"/>
    <x v="0"/>
    <x v="40"/>
    <m/>
    <n v="102"/>
    <n v="0"/>
    <n v="0"/>
    <n v="38"/>
    <n v="0"/>
    <n v="0"/>
    <n v="64"/>
  </r>
  <r>
    <x v="0"/>
    <x v="0"/>
    <x v="15"/>
    <m/>
    <n v="579"/>
    <n v="0"/>
    <n v="0"/>
    <n v="464"/>
    <n v="0"/>
    <n v="42"/>
    <n v="73"/>
  </r>
  <r>
    <x v="7"/>
    <x v="1"/>
    <x v="31"/>
    <s v="S39000008"/>
    <n v="12"/>
    <m/>
    <m/>
    <m/>
    <m/>
    <m/>
    <n v="12"/>
  </r>
  <r>
    <x v="10"/>
    <x v="0"/>
    <x v="3"/>
    <s v="S12000035"/>
    <n v="438"/>
    <m/>
    <m/>
    <n v="177"/>
    <m/>
    <n v="211"/>
    <n v="50"/>
  </r>
  <r>
    <x v="10"/>
    <x v="1"/>
    <x v="14"/>
    <s v="S39000017"/>
    <n v="19"/>
    <m/>
    <m/>
    <m/>
    <m/>
    <m/>
    <n v="19"/>
  </r>
  <r>
    <x v="10"/>
    <x v="0"/>
    <x v="30"/>
    <s v="S12000014"/>
    <n v="141"/>
    <m/>
    <m/>
    <n v="54"/>
    <m/>
    <m/>
    <n v="87"/>
  </r>
  <r>
    <x v="12"/>
    <x v="1"/>
    <x v="45"/>
    <s v="S39000016"/>
    <n v="15"/>
    <m/>
    <m/>
    <m/>
    <m/>
    <m/>
    <n v="15"/>
  </r>
  <r>
    <x v="9"/>
    <x v="0"/>
    <x v="17"/>
    <s v="S12000039"/>
    <n v="89"/>
    <m/>
    <m/>
    <n v="19"/>
    <m/>
    <n v="0"/>
    <n v="70"/>
  </r>
  <r>
    <x v="8"/>
    <x v="1"/>
    <x v="42"/>
    <s v="S39000006"/>
    <n v="23"/>
    <m/>
    <m/>
    <m/>
    <m/>
    <m/>
    <n v="23"/>
  </r>
  <r>
    <x v="8"/>
    <x v="0"/>
    <x v="34"/>
    <s v="S12000028"/>
    <n v="119"/>
    <m/>
    <m/>
    <n v="54"/>
    <m/>
    <n v="0"/>
    <n v="65"/>
  </r>
  <r>
    <x v="8"/>
    <x v="1"/>
    <x v="24"/>
    <s v="S39000018"/>
    <n v="11"/>
    <m/>
    <m/>
    <m/>
    <m/>
    <m/>
    <n v="11"/>
  </r>
  <r>
    <x v="9"/>
    <x v="2"/>
    <x v="7"/>
    <s v="S92000003"/>
    <n v="695"/>
    <n v="203"/>
    <m/>
    <m/>
    <n v="297"/>
    <m/>
    <n v="195"/>
  </r>
  <r>
    <x v="12"/>
    <x v="0"/>
    <x v="37"/>
    <s v="S12000023"/>
    <n v="95"/>
    <m/>
    <m/>
    <n v="95"/>
    <m/>
    <n v="0"/>
    <n v="0"/>
  </r>
  <r>
    <x v="9"/>
    <x v="0"/>
    <x v="48"/>
    <s v="S12000040"/>
    <n v="116"/>
    <m/>
    <m/>
    <n v="55"/>
    <m/>
    <n v="0"/>
    <n v="61"/>
  </r>
  <r>
    <x v="9"/>
    <x v="0"/>
    <x v="30"/>
    <s v="S12000014"/>
    <n v="148"/>
    <m/>
    <m/>
    <n v="53"/>
    <m/>
    <n v="0"/>
    <n v="95"/>
  </r>
  <r>
    <x v="9"/>
    <x v="0"/>
    <x v="8"/>
    <s v="S12000038"/>
    <n v="105"/>
    <m/>
    <m/>
    <n v="13"/>
    <m/>
    <n v="0"/>
    <n v="92"/>
  </r>
  <r>
    <x v="12"/>
    <x v="0"/>
    <x v="48"/>
    <s v="S12000040"/>
    <n v="124"/>
    <m/>
    <m/>
    <n v="64"/>
    <m/>
    <n v="0"/>
    <n v="60"/>
  </r>
  <r>
    <x v="8"/>
    <x v="1"/>
    <x v="14"/>
    <s v="S39000017"/>
    <n v="9"/>
    <m/>
    <m/>
    <m/>
    <m/>
    <m/>
    <n v="9"/>
  </r>
  <r>
    <x v="10"/>
    <x v="1"/>
    <x v="23"/>
    <s v="S39000004"/>
    <n v="22"/>
    <m/>
    <m/>
    <m/>
    <m/>
    <m/>
    <n v="22"/>
  </r>
  <r>
    <x v="7"/>
    <x v="0"/>
    <x v="8"/>
    <s v="S12000038"/>
    <n v="129"/>
    <m/>
    <m/>
    <n v="14"/>
    <m/>
    <n v="0"/>
    <n v="115"/>
  </r>
  <r>
    <x v="9"/>
    <x v="0"/>
    <x v="25"/>
    <s v="S12000020"/>
    <n v="161"/>
    <m/>
    <m/>
    <n v="110"/>
    <m/>
    <n v="20"/>
    <n v="31"/>
  </r>
  <r>
    <x v="8"/>
    <x v="0"/>
    <x v="27"/>
    <s v="S12000005"/>
    <n v="64"/>
    <m/>
    <m/>
    <n v="21"/>
    <m/>
    <n v="0"/>
    <n v="43"/>
  </r>
  <r>
    <x v="9"/>
    <x v="0"/>
    <x v="12"/>
    <s v="S12000044"/>
    <n v="214"/>
    <m/>
    <m/>
    <n v="34"/>
    <m/>
    <n v="0"/>
    <n v="180"/>
  </r>
  <r>
    <x v="7"/>
    <x v="1"/>
    <x v="1"/>
    <s v="S39000012"/>
    <n v="25"/>
    <m/>
    <m/>
    <m/>
    <m/>
    <m/>
    <n v="25"/>
  </r>
  <r>
    <x v="12"/>
    <x v="1"/>
    <x v="31"/>
    <s v="S39000008"/>
    <n v="18"/>
    <m/>
    <m/>
    <m/>
    <m/>
    <m/>
    <n v="18"/>
  </r>
  <r>
    <x v="7"/>
    <x v="1"/>
    <x v="24"/>
    <s v="S39000018"/>
    <n v="12"/>
    <m/>
    <m/>
    <m/>
    <m/>
    <m/>
    <n v="12"/>
  </r>
  <r>
    <x v="9"/>
    <x v="0"/>
    <x v="10"/>
    <s v="S12000033"/>
    <n v="167"/>
    <m/>
    <m/>
    <n v="23"/>
    <m/>
    <n v="0"/>
    <n v="144"/>
  </r>
  <r>
    <x v="12"/>
    <x v="0"/>
    <x v="10"/>
    <s v="S12000033"/>
    <n v="163"/>
    <m/>
    <m/>
    <n v="8"/>
    <m/>
    <n v="0"/>
    <n v="155"/>
  </r>
  <r>
    <x v="7"/>
    <x v="0"/>
    <x v="38"/>
    <s v="S12000011"/>
    <n v="57"/>
    <m/>
    <m/>
    <n v="0"/>
    <m/>
    <n v="0"/>
    <n v="57"/>
  </r>
  <r>
    <x v="10"/>
    <x v="0"/>
    <x v="12"/>
    <s v="S12000044"/>
    <n v="200"/>
    <m/>
    <m/>
    <n v="37"/>
    <m/>
    <m/>
    <n v="163"/>
  </r>
  <r>
    <x v="8"/>
    <x v="1"/>
    <x v="21"/>
    <s v="S39000007"/>
    <n v="21"/>
    <m/>
    <m/>
    <m/>
    <m/>
    <m/>
    <n v="21"/>
  </r>
  <r>
    <x v="7"/>
    <x v="0"/>
    <x v="22"/>
    <s v="S12000042"/>
    <n v="221"/>
    <m/>
    <m/>
    <n v="14"/>
    <m/>
    <n v="0"/>
    <n v="207"/>
  </r>
  <r>
    <x v="12"/>
    <x v="0"/>
    <x v="36"/>
    <s v="S12000024"/>
    <n v="213"/>
    <m/>
    <m/>
    <n v="122"/>
    <m/>
    <n v="23"/>
    <n v="68"/>
  </r>
  <r>
    <x v="10"/>
    <x v="1"/>
    <x v="1"/>
    <s v="S39000012"/>
    <n v="22"/>
    <m/>
    <m/>
    <m/>
    <m/>
    <m/>
    <n v="22"/>
  </r>
  <r>
    <x v="8"/>
    <x v="1"/>
    <x v="13"/>
    <s v="S39000015"/>
    <n v="10"/>
    <m/>
    <m/>
    <m/>
    <m/>
    <m/>
    <n v="10"/>
  </r>
  <r>
    <x v="12"/>
    <x v="1"/>
    <x v="9"/>
    <s v="S39000019"/>
    <n v="24"/>
    <m/>
    <m/>
    <m/>
    <m/>
    <m/>
    <n v="24"/>
  </r>
  <r>
    <x v="8"/>
    <x v="0"/>
    <x v="25"/>
    <s v="S12000020"/>
    <n v="156"/>
    <m/>
    <m/>
    <n v="104"/>
    <m/>
    <n v="32"/>
    <n v="20"/>
  </r>
  <r>
    <x v="0"/>
    <x v="0"/>
    <x v="40"/>
    <m/>
    <n v="103"/>
    <n v="0"/>
    <n v="0"/>
    <n v="36"/>
    <n v="0"/>
    <n v="0"/>
    <n v="67"/>
  </r>
  <r>
    <x v="1"/>
    <x v="0"/>
    <x v="16"/>
    <m/>
    <n v="188"/>
    <n v="0"/>
    <n v="0"/>
    <n v="95"/>
    <n v="0"/>
    <n v="19"/>
    <n v="74"/>
  </r>
  <r>
    <x v="6"/>
    <x v="0"/>
    <x v="32"/>
    <s v="S12000026"/>
    <n v="199"/>
    <n v="0"/>
    <n v="0"/>
    <n v="143"/>
    <n v="0"/>
    <n v="0"/>
    <n v="56"/>
  </r>
  <r>
    <x v="2"/>
    <x v="1"/>
    <x v="42"/>
    <m/>
    <n v="25"/>
    <n v="0"/>
    <n v="4"/>
    <n v="0"/>
    <n v="0"/>
    <n v="0"/>
    <n v="25"/>
  </r>
  <r>
    <x v="4"/>
    <x v="0"/>
    <x v="9"/>
    <s v="S40000002"/>
    <n v="363"/>
    <n v="0"/>
    <n v="0"/>
    <n v="109"/>
    <n v="0"/>
    <n v="0"/>
    <n v="254"/>
  </r>
  <r>
    <x v="5"/>
    <x v="1"/>
    <x v="2"/>
    <s v="S40000004"/>
    <n v="19"/>
    <n v="0"/>
    <n v="1"/>
    <n v="0"/>
    <n v="0"/>
    <n v="0"/>
    <n v="19"/>
  </r>
  <r>
    <x v="1"/>
    <x v="1"/>
    <x v="23"/>
    <m/>
    <n v="22"/>
    <n v="0"/>
    <n v="4"/>
    <n v="0"/>
    <n v="0"/>
    <n v="0"/>
    <n v="22"/>
  </r>
  <r>
    <x v="6"/>
    <x v="0"/>
    <x v="8"/>
    <s v="S12000038"/>
    <n v="116"/>
    <n v="0"/>
    <n v="0"/>
    <n v="17"/>
    <n v="0"/>
    <n v="0"/>
    <n v="99"/>
  </r>
  <r>
    <x v="7"/>
    <x v="0"/>
    <x v="10"/>
    <s v="S12000033"/>
    <n v="181"/>
    <m/>
    <m/>
    <n v="8"/>
    <m/>
    <n v="0"/>
    <n v="173"/>
  </r>
  <r>
    <x v="12"/>
    <x v="0"/>
    <x v="11"/>
    <s v="S12000030"/>
    <n v="126"/>
    <m/>
    <m/>
    <n v="73"/>
    <m/>
    <n v="0"/>
    <n v="53"/>
  </r>
  <r>
    <x v="12"/>
    <x v="0"/>
    <x v="32"/>
    <s v="S12000026"/>
    <n v="199"/>
    <m/>
    <m/>
    <n v="143"/>
    <m/>
    <n v="0"/>
    <n v="56"/>
  </r>
  <r>
    <x v="12"/>
    <x v="0"/>
    <x v="27"/>
    <s v="S12000005"/>
    <n v="46"/>
    <m/>
    <m/>
    <n v="24"/>
    <m/>
    <n v="0"/>
    <n v="22"/>
  </r>
  <r>
    <x v="8"/>
    <x v="0"/>
    <x v="1"/>
    <s v="S12000046"/>
    <n v="562"/>
    <m/>
    <m/>
    <n v="2"/>
    <m/>
    <n v="0"/>
    <n v="560"/>
  </r>
  <r>
    <x v="9"/>
    <x v="0"/>
    <x v="27"/>
    <s v="S12000005"/>
    <n v="47"/>
    <m/>
    <m/>
    <n v="21"/>
    <m/>
    <n v="0"/>
    <n v="26"/>
  </r>
  <r>
    <x v="7"/>
    <x v="0"/>
    <x v="6"/>
    <s v="S12000041"/>
    <n v="122"/>
    <m/>
    <m/>
    <n v="95"/>
    <m/>
    <n v="0"/>
    <n v="27"/>
  </r>
  <r>
    <x v="10"/>
    <x v="1"/>
    <x v="10"/>
    <s v="S39000001"/>
    <n v="15"/>
    <m/>
    <m/>
    <m/>
    <m/>
    <m/>
    <n v="15"/>
  </r>
  <r>
    <x v="8"/>
    <x v="0"/>
    <x v="8"/>
    <s v="S12000038"/>
    <n v="130"/>
    <m/>
    <m/>
    <n v="14"/>
    <m/>
    <n v="0"/>
    <n v="116"/>
  </r>
  <r>
    <x v="9"/>
    <x v="1"/>
    <x v="15"/>
    <s v="S39000013"/>
    <n v="29"/>
    <m/>
    <m/>
    <m/>
    <m/>
    <m/>
    <n v="29"/>
  </r>
  <r>
    <x v="12"/>
    <x v="0"/>
    <x v="8"/>
    <s v="S12000038"/>
    <n v="110"/>
    <m/>
    <m/>
    <n v="13"/>
    <m/>
    <n v="0"/>
    <n v="97"/>
  </r>
  <r>
    <x v="8"/>
    <x v="3"/>
    <x v="41"/>
    <s v="S40000004"/>
    <n v="255"/>
    <m/>
    <m/>
    <m/>
    <n v="175"/>
    <m/>
    <n v="80"/>
  </r>
  <r>
    <x v="8"/>
    <x v="0"/>
    <x v="46"/>
    <s v="S12000008"/>
    <n v="136"/>
    <m/>
    <m/>
    <n v="77"/>
    <m/>
    <n v="0"/>
    <n v="59"/>
  </r>
  <r>
    <x v="10"/>
    <x v="0"/>
    <x v="10"/>
    <s v="S12000033"/>
    <n v="153"/>
    <m/>
    <m/>
    <n v="8"/>
    <m/>
    <m/>
    <n v="145"/>
  </r>
  <r>
    <x v="8"/>
    <x v="0"/>
    <x v="3"/>
    <s v="S12000035"/>
    <n v="448"/>
    <m/>
    <m/>
    <n v="187"/>
    <m/>
    <n v="203"/>
    <n v="58"/>
  </r>
  <r>
    <x v="12"/>
    <x v="0"/>
    <x v="17"/>
    <s v="S12000039"/>
    <n v="86"/>
    <m/>
    <m/>
    <n v="17"/>
    <m/>
    <n v="0"/>
    <n v="69"/>
  </r>
  <r>
    <x v="12"/>
    <x v="0"/>
    <x v="40"/>
    <s v="S12000018"/>
    <n v="107"/>
    <m/>
    <m/>
    <n v="39"/>
    <m/>
    <n v="0"/>
    <n v="68"/>
  </r>
  <r>
    <x v="7"/>
    <x v="3"/>
    <x v="28"/>
    <s v="S40000003"/>
    <n v="445"/>
    <m/>
    <m/>
    <m/>
    <n v="340"/>
    <m/>
    <n v="105"/>
  </r>
  <r>
    <x v="9"/>
    <x v="0"/>
    <x v="1"/>
    <s v="S12000046"/>
    <n v="505"/>
    <m/>
    <m/>
    <n v="6"/>
    <m/>
    <n v="0"/>
    <n v="499"/>
  </r>
  <r>
    <x v="12"/>
    <x v="0"/>
    <x v="25"/>
    <s v="S12000020"/>
    <n v="156"/>
    <m/>
    <m/>
    <n v="125"/>
    <m/>
    <n v="4"/>
    <n v="27"/>
  </r>
  <r>
    <x v="9"/>
    <x v="0"/>
    <x v="0"/>
    <s v="S12000034"/>
    <n v="303"/>
    <m/>
    <m/>
    <n v="271"/>
    <m/>
    <n v="0"/>
    <n v="32"/>
  </r>
  <r>
    <x v="10"/>
    <x v="0"/>
    <x v="38"/>
    <s v="S12000011"/>
    <n v="51"/>
    <m/>
    <m/>
    <m/>
    <m/>
    <m/>
    <n v="51"/>
  </r>
  <r>
    <x v="9"/>
    <x v="0"/>
    <x v="26"/>
    <s v="S12000010"/>
    <n v="82"/>
    <m/>
    <m/>
    <n v="55"/>
    <m/>
    <n v="0"/>
    <n v="27"/>
  </r>
  <r>
    <x v="10"/>
    <x v="0"/>
    <x v="13"/>
    <s v="S12000029"/>
    <n v="241"/>
    <m/>
    <m/>
    <n v="73"/>
    <m/>
    <n v="2"/>
    <n v="166"/>
  </r>
  <r>
    <x v="8"/>
    <x v="1"/>
    <x v="45"/>
    <s v="S39000016"/>
    <n v="8"/>
    <m/>
    <m/>
    <m/>
    <m/>
    <m/>
    <n v="8"/>
  </r>
  <r>
    <x v="7"/>
    <x v="0"/>
    <x v="11"/>
    <s v="S12000030"/>
    <n v="130"/>
    <m/>
    <m/>
    <n v="75"/>
    <m/>
    <n v="0"/>
    <n v="55"/>
  </r>
  <r>
    <x v="10"/>
    <x v="0"/>
    <x v="26"/>
    <s v="S12000010"/>
    <n v="79"/>
    <m/>
    <m/>
    <n v="56"/>
    <m/>
    <m/>
    <n v="23"/>
  </r>
  <r>
    <x v="7"/>
    <x v="1"/>
    <x v="14"/>
    <s v="S39000017"/>
    <n v="7"/>
    <m/>
    <m/>
    <m/>
    <m/>
    <m/>
    <n v="7"/>
  </r>
  <r>
    <x v="12"/>
    <x v="0"/>
    <x v="33"/>
    <s v="S12000027"/>
    <n v="122"/>
    <m/>
    <m/>
    <n v="122"/>
    <m/>
    <n v="0"/>
    <n v="0"/>
  </r>
  <r>
    <x v="10"/>
    <x v="1"/>
    <x v="15"/>
    <s v="S39000013"/>
    <n v="32"/>
    <m/>
    <m/>
    <m/>
    <m/>
    <m/>
    <n v="32"/>
  </r>
  <r>
    <x v="9"/>
    <x v="1"/>
    <x v="14"/>
    <s v="S39000017"/>
    <n v="11"/>
    <m/>
    <m/>
    <m/>
    <m/>
    <m/>
    <n v="11"/>
  </r>
  <r>
    <x v="10"/>
    <x v="0"/>
    <x v="0"/>
    <s v="S12000034"/>
    <n v="299"/>
    <m/>
    <m/>
    <n v="275"/>
    <m/>
    <m/>
    <n v="24"/>
  </r>
  <r>
    <x v="0"/>
    <x v="0"/>
    <x v="6"/>
    <m/>
    <n v="120"/>
    <n v="0"/>
    <n v="0"/>
    <n v="96"/>
    <n v="0"/>
    <n v="0"/>
    <n v="24"/>
  </r>
  <r>
    <x v="0"/>
    <x v="0"/>
    <x v="25"/>
    <m/>
    <n v="141"/>
    <n v="0"/>
    <n v="0"/>
    <n v="109"/>
    <n v="0"/>
    <n v="3"/>
    <n v="29"/>
  </r>
  <r>
    <x v="1"/>
    <x v="0"/>
    <x v="20"/>
    <m/>
    <n v="37"/>
    <n v="0"/>
    <n v="0"/>
    <n v="11"/>
    <n v="0"/>
    <n v="0"/>
    <n v="26"/>
  </r>
  <r>
    <x v="3"/>
    <x v="1"/>
    <x v="14"/>
    <m/>
    <n v="0"/>
    <n v="0"/>
    <n v="9"/>
    <n v="0"/>
    <n v="0"/>
    <n v="0"/>
    <n v="0"/>
  </r>
  <r>
    <x v="0"/>
    <x v="0"/>
    <x v="9"/>
    <m/>
    <n v="344"/>
    <n v="0"/>
    <n v="0"/>
    <n v="105"/>
    <n v="0"/>
    <n v="0"/>
    <n v="239"/>
  </r>
  <r>
    <x v="1"/>
    <x v="0"/>
    <x v="38"/>
    <m/>
    <n v="47"/>
    <n v="0"/>
    <n v="0"/>
    <n v="0"/>
    <n v="0"/>
    <n v="0"/>
    <n v="47"/>
  </r>
  <r>
    <x v="6"/>
    <x v="0"/>
    <x v="20"/>
    <s v="S12000019"/>
    <n v="39"/>
    <n v="0"/>
    <n v="0"/>
    <n v="13"/>
    <n v="0"/>
    <n v="0"/>
    <n v="26"/>
  </r>
  <r>
    <x v="6"/>
    <x v="1"/>
    <x v="10"/>
    <s v="S39000001"/>
    <n v="16"/>
    <n v="0"/>
    <n v="0"/>
    <n v="0"/>
    <n v="0"/>
    <n v="0"/>
    <n v="16"/>
  </r>
  <r>
    <x v="2"/>
    <x v="1"/>
    <x v="1"/>
    <m/>
    <n v="23"/>
    <n v="0"/>
    <n v="0"/>
    <n v="0"/>
    <n v="0"/>
    <n v="0"/>
    <n v="23"/>
  </r>
  <r>
    <x v="6"/>
    <x v="0"/>
    <x v="22"/>
    <s v="S12000042"/>
    <n v="189"/>
    <n v="0"/>
    <n v="0"/>
    <n v="12"/>
    <n v="0"/>
    <n v="0"/>
    <n v="177"/>
  </r>
  <r>
    <x v="6"/>
    <x v="2"/>
    <x v="7"/>
    <s v="S92000003"/>
    <n v="1148"/>
    <n v="207"/>
    <n v="0"/>
    <n v="0"/>
    <n v="792"/>
    <n v="0"/>
    <n v="149"/>
  </r>
  <r>
    <x v="0"/>
    <x v="0"/>
    <x v="8"/>
    <m/>
    <n v="109"/>
    <n v="0"/>
    <n v="0"/>
    <n v="14"/>
    <n v="0"/>
    <n v="0"/>
    <n v="95"/>
  </r>
  <r>
    <x v="3"/>
    <x v="1"/>
    <x v="24"/>
    <m/>
    <n v="25"/>
    <n v="0"/>
    <n v="3"/>
    <n v="0"/>
    <n v="0"/>
    <n v="0"/>
    <n v="25"/>
  </r>
  <r>
    <x v="0"/>
    <x v="1"/>
    <x v="24"/>
    <m/>
    <n v="0"/>
    <n v="0"/>
    <n v="1"/>
    <n v="0"/>
    <n v="0"/>
    <n v="0"/>
    <n v="0"/>
  </r>
  <r>
    <x v="4"/>
    <x v="0"/>
    <x v="6"/>
    <s v="S40000005"/>
    <n v="131"/>
    <n v="0"/>
    <n v="0"/>
    <n v="104"/>
    <n v="0"/>
    <n v="0"/>
    <n v="27"/>
  </r>
  <r>
    <x v="3"/>
    <x v="0"/>
    <x v="43"/>
    <m/>
    <n v="134"/>
    <n v="0"/>
    <n v="0"/>
    <n v="131"/>
    <n v="0"/>
    <n v="0"/>
    <n v="3"/>
  </r>
  <r>
    <x v="2"/>
    <x v="1"/>
    <x v="31"/>
    <m/>
    <n v="18"/>
    <n v="0"/>
    <n v="0"/>
    <n v="0"/>
    <n v="0"/>
    <n v="0"/>
    <n v="18"/>
  </r>
  <r>
    <x v="10"/>
    <x v="0"/>
    <x v="37"/>
    <s v="S12000023"/>
    <n v="100"/>
    <m/>
    <m/>
    <n v="100"/>
    <m/>
    <m/>
    <m/>
  </r>
  <r>
    <x v="7"/>
    <x v="0"/>
    <x v="0"/>
    <s v="S12000034"/>
    <n v="303"/>
    <m/>
    <m/>
    <n v="280"/>
    <m/>
    <n v="0"/>
    <n v="23"/>
  </r>
  <r>
    <x v="7"/>
    <x v="3"/>
    <x v="41"/>
    <s v="S40000004"/>
    <n v="242"/>
    <m/>
    <m/>
    <m/>
    <n v="163"/>
    <m/>
    <n v="79"/>
  </r>
  <r>
    <x v="9"/>
    <x v="1"/>
    <x v="35"/>
    <s v="S39000003"/>
    <n v="25"/>
    <m/>
    <m/>
    <m/>
    <m/>
    <m/>
    <n v="25"/>
  </r>
  <r>
    <x v="12"/>
    <x v="1"/>
    <x v="39"/>
    <s v="S39000002"/>
    <n v="25"/>
    <m/>
    <m/>
    <m/>
    <m/>
    <m/>
    <n v="25"/>
  </r>
  <r>
    <x v="10"/>
    <x v="0"/>
    <x v="46"/>
    <s v="S12000008"/>
    <n v="131"/>
    <m/>
    <m/>
    <n v="82"/>
    <m/>
    <m/>
    <n v="49"/>
  </r>
  <r>
    <x v="8"/>
    <x v="0"/>
    <x v="37"/>
    <s v="S12000023"/>
    <n v="113"/>
    <m/>
    <m/>
    <n v="113"/>
    <m/>
    <n v="0"/>
    <n v="0"/>
  </r>
  <r>
    <x v="7"/>
    <x v="0"/>
    <x v="48"/>
    <s v="S12000040"/>
    <n v="144"/>
    <m/>
    <m/>
    <n v="65"/>
    <m/>
    <n v="0"/>
    <n v="79"/>
  </r>
  <r>
    <x v="8"/>
    <x v="1"/>
    <x v="2"/>
    <s v="S39000010"/>
    <n v="13"/>
    <m/>
    <m/>
    <m/>
    <m/>
    <m/>
    <n v="13"/>
  </r>
  <r>
    <x v="12"/>
    <x v="0"/>
    <x v="16"/>
    <s v="S12000021"/>
    <n v="202"/>
    <m/>
    <m/>
    <n v="106"/>
    <m/>
    <n v="18"/>
    <n v="78"/>
  </r>
  <r>
    <x v="10"/>
    <x v="0"/>
    <x v="48"/>
    <s v="S12000040"/>
    <n v="123"/>
    <m/>
    <m/>
    <n v="65"/>
    <m/>
    <m/>
    <n v="58"/>
  </r>
  <r>
    <x v="8"/>
    <x v="0"/>
    <x v="12"/>
    <s v="S12000044"/>
    <n v="216"/>
    <m/>
    <m/>
    <n v="28"/>
    <m/>
    <n v="0"/>
    <n v="188"/>
  </r>
  <r>
    <x v="10"/>
    <x v="1"/>
    <x v="31"/>
    <s v="S39000008"/>
    <n v="16"/>
    <m/>
    <m/>
    <m/>
    <m/>
    <m/>
    <n v="16"/>
  </r>
  <r>
    <x v="7"/>
    <x v="3"/>
    <x v="44"/>
    <s v="S40000005"/>
    <n v="193"/>
    <m/>
    <m/>
    <m/>
    <n v="126"/>
    <m/>
    <n v="67"/>
  </r>
  <r>
    <x v="8"/>
    <x v="0"/>
    <x v="16"/>
    <s v="S12000021"/>
    <n v="191"/>
    <m/>
    <m/>
    <n v="94"/>
    <m/>
    <n v="21"/>
    <n v="76"/>
  </r>
  <r>
    <x v="7"/>
    <x v="0"/>
    <x v="43"/>
    <s v="S12000013"/>
    <n v="147"/>
    <m/>
    <m/>
    <n v="147"/>
    <m/>
    <n v="0"/>
    <n v="0"/>
  </r>
  <r>
    <x v="7"/>
    <x v="1"/>
    <x v="9"/>
    <s v="S39000019"/>
    <n v="21"/>
    <m/>
    <m/>
    <m/>
    <m/>
    <m/>
    <n v="21"/>
  </r>
  <r>
    <x v="10"/>
    <x v="0"/>
    <x v="40"/>
    <s v="S12000018"/>
    <n v="114"/>
    <m/>
    <m/>
    <n v="42"/>
    <m/>
    <m/>
    <n v="72"/>
  </r>
  <r>
    <x v="8"/>
    <x v="0"/>
    <x v="30"/>
    <s v="S12000014"/>
    <n v="161"/>
    <m/>
    <m/>
    <n v="65"/>
    <m/>
    <n v="0"/>
    <n v="96"/>
  </r>
  <r>
    <x v="8"/>
    <x v="0"/>
    <x v="23"/>
    <s v="S12000006"/>
    <n v="271"/>
    <m/>
    <m/>
    <n v="198"/>
    <m/>
    <n v="4"/>
    <n v="69"/>
  </r>
  <r>
    <x v="12"/>
    <x v="1"/>
    <x v="10"/>
    <s v="S39000001"/>
    <n v="14"/>
    <m/>
    <m/>
    <m/>
    <m/>
    <m/>
    <n v="14"/>
  </r>
  <r>
    <x v="8"/>
    <x v="1"/>
    <x v="1"/>
    <s v="S39000012"/>
    <n v="28"/>
    <m/>
    <m/>
    <m/>
    <m/>
    <m/>
    <n v="28"/>
  </r>
  <r>
    <x v="4"/>
    <x v="3"/>
    <x v="41"/>
    <s v="S40000004"/>
    <n v="66"/>
    <n v="0"/>
    <n v="0"/>
    <n v="0"/>
    <n v="0"/>
    <n v="0"/>
    <n v="66"/>
  </r>
  <r>
    <x v="0"/>
    <x v="1"/>
    <x v="4"/>
    <m/>
    <n v="27"/>
    <n v="0"/>
    <n v="2"/>
    <n v="0"/>
    <n v="0"/>
    <n v="0"/>
    <n v="27"/>
  </r>
  <r>
    <x v="3"/>
    <x v="0"/>
    <x v="19"/>
    <m/>
    <n v="75"/>
    <n v="0"/>
    <n v="0"/>
    <n v="0"/>
    <n v="0"/>
    <n v="0"/>
    <n v="75"/>
  </r>
  <r>
    <x v="4"/>
    <x v="0"/>
    <x v="22"/>
    <s v="S40000005"/>
    <n v="193"/>
    <n v="0"/>
    <n v="0"/>
    <n v="11"/>
    <n v="0"/>
    <n v="0"/>
    <n v="182"/>
  </r>
  <r>
    <x v="5"/>
    <x v="3"/>
    <x v="28"/>
    <s v="S40000003"/>
    <n v="103"/>
    <n v="0"/>
    <n v="0"/>
    <n v="0"/>
    <n v="0"/>
    <n v="0"/>
    <n v="103"/>
  </r>
  <r>
    <x v="4"/>
    <x v="0"/>
    <x v="34"/>
    <s v="S40000003"/>
    <n v="103"/>
    <n v="0"/>
    <n v="0"/>
    <n v="52"/>
    <n v="0"/>
    <n v="0"/>
    <n v="51"/>
  </r>
  <r>
    <x v="4"/>
    <x v="1"/>
    <x v="12"/>
    <s v="S40000003"/>
    <n v="15"/>
    <n v="0"/>
    <n v="0"/>
    <n v="0"/>
    <n v="0"/>
    <n v="0"/>
    <n v="15"/>
  </r>
  <r>
    <x v="4"/>
    <x v="1"/>
    <x v="31"/>
    <s v="S40000003"/>
    <n v="17"/>
    <n v="0"/>
    <n v="0"/>
    <n v="0"/>
    <n v="0"/>
    <n v="0"/>
    <n v="17"/>
  </r>
  <r>
    <x v="4"/>
    <x v="0"/>
    <x v="37"/>
    <s v="S40000005"/>
    <n v="112"/>
    <n v="0"/>
    <n v="0"/>
    <n v="112"/>
    <n v="0"/>
    <n v="0"/>
    <n v="0"/>
  </r>
  <r>
    <x v="0"/>
    <x v="1"/>
    <x v="24"/>
    <m/>
    <n v="23"/>
    <n v="0"/>
    <n v="2"/>
    <n v="0"/>
    <n v="0"/>
    <n v="0"/>
    <n v="23"/>
  </r>
  <r>
    <x v="6"/>
    <x v="0"/>
    <x v="38"/>
    <s v="S12000011"/>
    <n v="52"/>
    <n v="0"/>
    <n v="0"/>
    <n v="0"/>
    <n v="0"/>
    <n v="0"/>
    <n v="52"/>
  </r>
  <r>
    <x v="3"/>
    <x v="1"/>
    <x v="23"/>
    <m/>
    <n v="15"/>
    <n v="0"/>
    <n v="0"/>
    <n v="0"/>
    <n v="0"/>
    <n v="0"/>
    <n v="15"/>
  </r>
  <r>
    <x v="3"/>
    <x v="0"/>
    <x v="37"/>
    <m/>
    <n v="102"/>
    <n v="0"/>
    <n v="0"/>
    <n v="102"/>
    <n v="0"/>
    <n v="0"/>
    <n v="0"/>
  </r>
  <r>
    <x v="2"/>
    <x v="0"/>
    <x v="5"/>
    <m/>
    <n v="302"/>
    <n v="0"/>
    <n v="0"/>
    <n v="9"/>
    <n v="0"/>
    <n v="0"/>
    <n v="293"/>
  </r>
  <r>
    <x v="5"/>
    <x v="0"/>
    <x v="25"/>
    <s v="S40000005"/>
    <n v="155"/>
    <n v="0"/>
    <n v="0"/>
    <n v="121"/>
    <n v="0"/>
    <n v="4"/>
    <n v="30"/>
  </r>
  <r>
    <x v="6"/>
    <x v="1"/>
    <x v="35"/>
    <s v="S39000003"/>
    <n v="26"/>
    <n v="0"/>
    <n v="1"/>
    <n v="0"/>
    <n v="0"/>
    <n v="0"/>
    <n v="26"/>
  </r>
  <r>
    <x v="1"/>
    <x v="0"/>
    <x v="48"/>
    <m/>
    <n v="116"/>
    <n v="0"/>
    <n v="0"/>
    <n v="58"/>
    <n v="0"/>
    <n v="0"/>
    <n v="58"/>
  </r>
  <r>
    <x v="0"/>
    <x v="2"/>
    <x v="7"/>
    <s v="S92000003"/>
    <n v="1142"/>
    <n v="172"/>
    <n v="0"/>
    <n v="0"/>
    <n v="901"/>
    <n v="0"/>
    <n v="69"/>
  </r>
  <r>
    <x v="4"/>
    <x v="1"/>
    <x v="47"/>
    <m/>
    <n v="37"/>
    <n v="0"/>
    <n v="4"/>
    <n v="0"/>
    <n v="0"/>
    <n v="0"/>
    <n v="37"/>
  </r>
  <r>
    <x v="8"/>
    <x v="2"/>
    <x v="7"/>
    <s v="S92000003"/>
    <n v="516"/>
    <n v="223"/>
    <m/>
    <m/>
    <n v="237"/>
    <m/>
    <n v="56"/>
  </r>
  <r>
    <x v="10"/>
    <x v="0"/>
    <x v="34"/>
    <s v="S12000028"/>
    <n v="99"/>
    <m/>
    <m/>
    <n v="49"/>
    <m/>
    <m/>
    <n v="50"/>
  </r>
  <r>
    <x v="12"/>
    <x v="1"/>
    <x v="23"/>
    <s v="S39000004"/>
    <n v="22"/>
    <m/>
    <m/>
    <m/>
    <m/>
    <m/>
    <n v="22"/>
  </r>
  <r>
    <x v="7"/>
    <x v="0"/>
    <x v="30"/>
    <s v="S12000014"/>
    <n v="162"/>
    <m/>
    <m/>
    <n v="68"/>
    <m/>
    <n v="0"/>
    <n v="94"/>
  </r>
  <r>
    <x v="10"/>
    <x v="0"/>
    <x v="32"/>
    <s v="S12000026"/>
    <n v="194"/>
    <m/>
    <m/>
    <n v="143"/>
    <m/>
    <m/>
    <n v="51"/>
  </r>
  <r>
    <x v="12"/>
    <x v="0"/>
    <x v="30"/>
    <s v="S12000014"/>
    <n v="142"/>
    <m/>
    <m/>
    <n v="56"/>
    <m/>
    <n v="0"/>
    <n v="86"/>
  </r>
  <r>
    <x v="9"/>
    <x v="0"/>
    <x v="22"/>
    <s v="S12000042"/>
    <n v="187"/>
    <m/>
    <m/>
    <n v="11"/>
    <m/>
    <n v="0"/>
    <n v="176"/>
  </r>
  <r>
    <x v="12"/>
    <x v="1"/>
    <x v="2"/>
    <s v="S39000010"/>
    <n v="21"/>
    <m/>
    <m/>
    <m/>
    <m/>
    <m/>
    <n v="21"/>
  </r>
  <r>
    <x v="10"/>
    <x v="0"/>
    <x v="20"/>
    <s v="S12000019"/>
    <n v="40"/>
    <m/>
    <m/>
    <n v="12"/>
    <m/>
    <m/>
    <n v="28"/>
  </r>
  <r>
    <x v="8"/>
    <x v="0"/>
    <x v="13"/>
    <s v="S12000029"/>
    <n v="276"/>
    <m/>
    <m/>
    <n v="84"/>
    <m/>
    <n v="2"/>
    <n v="190"/>
  </r>
  <r>
    <x v="7"/>
    <x v="0"/>
    <x v="9"/>
    <s v="S12000047"/>
    <n v="400"/>
    <m/>
    <m/>
    <n v="112"/>
    <m/>
    <n v="0"/>
    <n v="288"/>
  </r>
  <r>
    <x v="8"/>
    <x v="0"/>
    <x v="5"/>
    <s v="S12000036"/>
    <n v="382"/>
    <m/>
    <m/>
    <n v="12"/>
    <m/>
    <n v="0"/>
    <n v="370"/>
  </r>
  <r>
    <x v="12"/>
    <x v="0"/>
    <x v="5"/>
    <s v="S12000036"/>
    <n v="325"/>
    <m/>
    <m/>
    <n v="12"/>
    <m/>
    <n v="0"/>
    <n v="313"/>
  </r>
  <r>
    <x v="9"/>
    <x v="1"/>
    <x v="21"/>
    <s v="S39000007"/>
    <n v="38"/>
    <m/>
    <m/>
    <m/>
    <m/>
    <m/>
    <n v="38"/>
  </r>
  <r>
    <x v="7"/>
    <x v="0"/>
    <x v="25"/>
    <s v="S12000020"/>
    <n v="167"/>
    <m/>
    <m/>
    <n v="121"/>
    <m/>
    <n v="25"/>
    <n v="21"/>
  </r>
  <r>
    <x v="7"/>
    <x v="0"/>
    <x v="37"/>
    <s v="S12000023"/>
    <n v="110"/>
    <m/>
    <m/>
    <n v="109"/>
    <m/>
    <n v="1"/>
    <n v="0"/>
  </r>
  <r>
    <x v="9"/>
    <x v="0"/>
    <x v="33"/>
    <s v="S12000027"/>
    <n v="126"/>
    <m/>
    <m/>
    <n v="126"/>
    <m/>
    <n v="0"/>
    <n v="0"/>
  </r>
  <r>
    <x v="12"/>
    <x v="0"/>
    <x v="38"/>
    <s v="S12000011"/>
    <n v="50"/>
    <m/>
    <m/>
    <n v="0"/>
    <m/>
    <n v="0"/>
    <n v="50"/>
  </r>
  <r>
    <x v="8"/>
    <x v="0"/>
    <x v="33"/>
    <s v="S12000027"/>
    <n v="134"/>
    <m/>
    <m/>
    <n v="134"/>
    <m/>
    <n v="0"/>
    <n v="0"/>
  </r>
  <r>
    <x v="9"/>
    <x v="1"/>
    <x v="12"/>
    <s v="S39000014"/>
    <n v="20"/>
    <m/>
    <m/>
    <m/>
    <m/>
    <m/>
    <n v="20"/>
  </r>
  <r>
    <x v="6"/>
    <x v="0"/>
    <x v="46"/>
    <s v="S12000008"/>
    <n v="124"/>
    <n v="0"/>
    <n v="0"/>
    <n v="77"/>
    <n v="0"/>
    <n v="0"/>
    <n v="47"/>
  </r>
  <r>
    <x v="6"/>
    <x v="1"/>
    <x v="42"/>
    <s v="S39000006"/>
    <n v="25"/>
    <n v="0"/>
    <n v="1"/>
    <n v="0"/>
    <n v="0"/>
    <n v="0"/>
    <n v="25"/>
  </r>
  <r>
    <x v="5"/>
    <x v="0"/>
    <x v="0"/>
    <s v="S40000005"/>
    <n v="317"/>
    <n v="0"/>
    <n v="0"/>
    <n v="285"/>
    <n v="0"/>
    <n v="0"/>
    <n v="32"/>
  </r>
  <r>
    <x v="1"/>
    <x v="0"/>
    <x v="13"/>
    <m/>
    <n v="228"/>
    <n v="0"/>
    <n v="0"/>
    <n v="71"/>
    <n v="0"/>
    <n v="2"/>
    <n v="155"/>
  </r>
  <r>
    <x v="0"/>
    <x v="0"/>
    <x v="37"/>
    <m/>
    <n v="116"/>
    <n v="0"/>
    <n v="0"/>
    <n v="115"/>
    <n v="0"/>
    <n v="0"/>
    <n v="1"/>
  </r>
  <r>
    <x v="4"/>
    <x v="1"/>
    <x v="13"/>
    <s v="S40000003"/>
    <n v="16"/>
    <n v="0"/>
    <n v="2"/>
    <n v="0"/>
    <n v="0"/>
    <n v="0"/>
    <n v="16"/>
  </r>
  <r>
    <x v="5"/>
    <x v="0"/>
    <x v="10"/>
    <s v="S40000005"/>
    <n v="163"/>
    <n v="0"/>
    <n v="0"/>
    <n v="8"/>
    <n v="0"/>
    <n v="0"/>
    <n v="155"/>
  </r>
  <r>
    <x v="10"/>
    <x v="1"/>
    <x v="45"/>
    <s v="S39000016"/>
    <n v="18"/>
    <m/>
    <m/>
    <m/>
    <m/>
    <m/>
    <n v="18"/>
  </r>
  <r>
    <x v="7"/>
    <x v="0"/>
    <x v="26"/>
    <s v="S12000010"/>
    <n v="88"/>
    <m/>
    <m/>
    <n v="60"/>
    <m/>
    <n v="0"/>
    <n v="28"/>
  </r>
  <r>
    <x v="12"/>
    <x v="1"/>
    <x v="24"/>
    <s v="S39000018"/>
    <n v="28"/>
    <m/>
    <m/>
    <m/>
    <m/>
    <m/>
    <n v="28"/>
  </r>
  <r>
    <x v="9"/>
    <x v="0"/>
    <x v="34"/>
    <s v="S12000028"/>
    <n v="108"/>
    <m/>
    <m/>
    <n v="53"/>
    <m/>
    <n v="0"/>
    <n v="55"/>
  </r>
  <r>
    <x v="10"/>
    <x v="0"/>
    <x v="50"/>
    <s v="S12000017"/>
    <n v="670"/>
    <m/>
    <m/>
    <n v="538"/>
    <m/>
    <n v="64"/>
    <n v="68"/>
  </r>
  <r>
    <x v="8"/>
    <x v="1"/>
    <x v="39"/>
    <s v="S39000002"/>
    <n v="22"/>
    <m/>
    <m/>
    <m/>
    <m/>
    <m/>
    <n v="22"/>
  </r>
  <r>
    <x v="10"/>
    <x v="0"/>
    <x v="16"/>
    <s v="S12000021"/>
    <n v="205"/>
    <m/>
    <m/>
    <n v="106"/>
    <m/>
    <n v="23"/>
    <n v="76"/>
  </r>
  <r>
    <x v="8"/>
    <x v="0"/>
    <x v="43"/>
    <s v="S12000013"/>
    <n v="132"/>
    <m/>
    <m/>
    <n v="132"/>
    <m/>
    <n v="0"/>
    <n v="0"/>
  </r>
  <r>
    <x v="10"/>
    <x v="0"/>
    <x v="23"/>
    <s v="S12000006"/>
    <n v="247"/>
    <m/>
    <m/>
    <n v="189"/>
    <m/>
    <n v="4"/>
    <n v="54"/>
  </r>
  <r>
    <x v="8"/>
    <x v="0"/>
    <x v="11"/>
    <s v="S12000030"/>
    <n v="136"/>
    <m/>
    <m/>
    <n v="74"/>
    <m/>
    <n v="0"/>
    <n v="62"/>
  </r>
  <r>
    <x v="8"/>
    <x v="0"/>
    <x v="10"/>
    <s v="S12000033"/>
    <n v="182"/>
    <m/>
    <m/>
    <n v="8"/>
    <m/>
    <n v="0"/>
    <n v="174"/>
  </r>
  <r>
    <x v="8"/>
    <x v="0"/>
    <x v="9"/>
    <s v="S12000047"/>
    <n v="400"/>
    <m/>
    <m/>
    <n v="111"/>
    <m/>
    <n v="0"/>
    <n v="289"/>
  </r>
  <r>
    <x v="10"/>
    <x v="1"/>
    <x v="2"/>
    <s v="S39000010"/>
    <n v="19"/>
    <m/>
    <m/>
    <m/>
    <m/>
    <m/>
    <n v="19"/>
  </r>
  <r>
    <x v="9"/>
    <x v="1"/>
    <x v="2"/>
    <s v="S39000010"/>
    <n v="16"/>
    <m/>
    <m/>
    <m/>
    <m/>
    <m/>
    <n v="16"/>
  </r>
  <r>
    <x v="12"/>
    <x v="1"/>
    <x v="35"/>
    <s v="S39000003"/>
    <n v="26"/>
    <m/>
    <m/>
    <m/>
    <m/>
    <m/>
    <n v="26"/>
  </r>
  <r>
    <x v="12"/>
    <x v="3"/>
    <x v="44"/>
    <s v="S40000005"/>
    <n v="180"/>
    <m/>
    <m/>
    <m/>
    <n v="135"/>
    <m/>
    <n v="45"/>
  </r>
  <r>
    <x v="9"/>
    <x v="0"/>
    <x v="9"/>
    <s v="S12000047"/>
    <n v="390"/>
    <m/>
    <m/>
    <n v="112"/>
    <m/>
    <n v="0"/>
    <n v="278"/>
  </r>
  <r>
    <x v="7"/>
    <x v="1"/>
    <x v="10"/>
    <s v="S39000001"/>
    <n v="18"/>
    <m/>
    <m/>
    <m/>
    <m/>
    <m/>
    <n v="18"/>
  </r>
  <r>
    <x v="7"/>
    <x v="1"/>
    <x v="18"/>
    <s v="S39000009"/>
    <n v="24"/>
    <m/>
    <m/>
    <m/>
    <m/>
    <m/>
    <n v="24"/>
  </r>
  <r>
    <x v="10"/>
    <x v="1"/>
    <x v="39"/>
    <s v="S39000002"/>
    <n v="25"/>
    <m/>
    <m/>
    <m/>
    <m/>
    <m/>
    <n v="25"/>
  </r>
  <r>
    <x v="10"/>
    <x v="1"/>
    <x v="24"/>
    <s v="S39000018"/>
    <n v="28"/>
    <m/>
    <m/>
    <m/>
    <m/>
    <m/>
    <n v="28"/>
  </r>
  <r>
    <x v="10"/>
    <x v="0"/>
    <x v="33"/>
    <s v="S12000027"/>
    <n v="118"/>
    <m/>
    <m/>
    <n v="118"/>
    <m/>
    <m/>
    <m/>
  </r>
  <r>
    <x v="10"/>
    <x v="1"/>
    <x v="35"/>
    <s v="S39000003"/>
    <n v="26"/>
    <m/>
    <m/>
    <m/>
    <m/>
    <m/>
    <n v="26"/>
  </r>
  <r>
    <x v="10"/>
    <x v="0"/>
    <x v="43"/>
    <s v="S12000013"/>
    <n v="131"/>
    <m/>
    <m/>
    <n v="131"/>
    <m/>
    <m/>
    <m/>
  </r>
  <r>
    <x v="12"/>
    <x v="3"/>
    <x v="41"/>
    <s v="S40000004"/>
    <n v="202"/>
    <m/>
    <m/>
    <m/>
    <n v="164"/>
    <m/>
    <n v="38"/>
  </r>
  <r>
    <x v="7"/>
    <x v="0"/>
    <x v="20"/>
    <s v="S12000019"/>
    <n v="49"/>
    <m/>
    <m/>
    <n v="14"/>
    <m/>
    <n v="0"/>
    <n v="35"/>
  </r>
  <r>
    <x v="12"/>
    <x v="2"/>
    <x v="7"/>
    <s v="S92000003"/>
    <n v="614"/>
    <n v="165"/>
    <m/>
    <m/>
    <n v="267"/>
    <m/>
    <n v="182"/>
  </r>
  <r>
    <x v="7"/>
    <x v="0"/>
    <x v="33"/>
    <s v="S12000027"/>
    <n v="128"/>
    <m/>
    <m/>
    <n v="127"/>
    <m/>
    <n v="1"/>
    <n v="0"/>
  </r>
  <r>
    <x v="8"/>
    <x v="1"/>
    <x v="10"/>
    <s v="S39000001"/>
    <n v="15"/>
    <m/>
    <m/>
    <m/>
    <m/>
    <m/>
    <n v="15"/>
  </r>
  <r>
    <x v="8"/>
    <x v="0"/>
    <x v="6"/>
    <s v="S12000041"/>
    <n v="134"/>
    <m/>
    <m/>
    <n v="99"/>
    <m/>
    <n v="0"/>
    <n v="35"/>
  </r>
  <r>
    <x v="10"/>
    <x v="0"/>
    <x v="17"/>
    <s v="S12000039"/>
    <n v="86"/>
    <m/>
    <m/>
    <n v="18"/>
    <m/>
    <m/>
    <n v="68"/>
  </r>
  <r>
    <x v="9"/>
    <x v="1"/>
    <x v="13"/>
    <s v="S39000015"/>
    <n v="16"/>
    <m/>
    <m/>
    <m/>
    <m/>
    <m/>
    <n v="16"/>
  </r>
  <r>
    <x v="8"/>
    <x v="1"/>
    <x v="31"/>
    <s v="S39000008"/>
    <n v="12"/>
    <m/>
    <m/>
    <m/>
    <m/>
    <m/>
    <n v="12"/>
  </r>
  <r>
    <x v="2"/>
    <x v="0"/>
    <x v="32"/>
    <m/>
    <n v="194"/>
    <n v="0"/>
    <n v="0"/>
    <n v="137"/>
    <n v="0"/>
    <n v="0"/>
    <n v="57"/>
  </r>
  <r>
    <x v="2"/>
    <x v="0"/>
    <x v="1"/>
    <m/>
    <n v="463"/>
    <n v="0"/>
    <n v="0"/>
    <n v="0"/>
    <n v="0"/>
    <n v="0"/>
    <n v="463"/>
  </r>
  <r>
    <x v="2"/>
    <x v="1"/>
    <x v="24"/>
    <m/>
    <n v="23"/>
    <n v="0"/>
    <n v="3"/>
    <n v="0"/>
    <n v="0"/>
    <n v="0"/>
    <n v="23"/>
  </r>
  <r>
    <x v="0"/>
    <x v="3"/>
    <x v="28"/>
    <m/>
    <n v="119"/>
    <n v="0"/>
    <n v="0"/>
    <n v="0"/>
    <n v="0"/>
    <n v="0"/>
    <n v="119"/>
  </r>
  <r>
    <x v="2"/>
    <x v="0"/>
    <x v="15"/>
    <m/>
    <n v="591"/>
    <n v="0"/>
    <n v="0"/>
    <n v="464"/>
    <n v="0"/>
    <n v="47"/>
    <n v="80"/>
  </r>
  <r>
    <x v="10"/>
    <x v="2"/>
    <x v="7"/>
    <s v="S92000003"/>
    <n v="609"/>
    <n v="189"/>
    <m/>
    <m/>
    <n v="277"/>
    <m/>
    <n v="143"/>
  </r>
  <r>
    <x v="12"/>
    <x v="1"/>
    <x v="18"/>
    <s v="S39000009"/>
    <n v="27"/>
    <m/>
    <m/>
    <m/>
    <m/>
    <m/>
    <n v="27"/>
  </r>
  <r>
    <x v="10"/>
    <x v="3"/>
    <x v="41"/>
    <s v="S40000004"/>
    <n v="165"/>
    <m/>
    <m/>
    <m/>
    <n v="128"/>
    <m/>
    <n v="37"/>
  </r>
  <r>
    <x v="12"/>
    <x v="0"/>
    <x v="34"/>
    <s v="S12000028"/>
    <n v="102"/>
    <m/>
    <m/>
    <n v="48"/>
    <m/>
    <n v="0"/>
    <n v="54"/>
  </r>
  <r>
    <x v="8"/>
    <x v="0"/>
    <x v="36"/>
    <s v="S12000024"/>
    <n v="253"/>
    <m/>
    <m/>
    <n v="140"/>
    <m/>
    <n v="25"/>
    <n v="88"/>
  </r>
  <r>
    <x v="12"/>
    <x v="1"/>
    <x v="12"/>
    <s v="S39000014"/>
    <n v="15"/>
    <m/>
    <m/>
    <m/>
    <m/>
    <m/>
    <n v="15"/>
  </r>
  <r>
    <x v="10"/>
    <x v="0"/>
    <x v="19"/>
    <s v="S12000045"/>
    <n v="78"/>
    <m/>
    <m/>
    <m/>
    <m/>
    <m/>
    <n v="78"/>
  </r>
  <r>
    <x v="8"/>
    <x v="1"/>
    <x v="15"/>
    <s v="S39000013"/>
    <n v="13"/>
    <m/>
    <m/>
    <m/>
    <m/>
    <m/>
    <n v="13"/>
  </r>
  <r>
    <x v="7"/>
    <x v="0"/>
    <x v="36"/>
    <s v="S12000024"/>
    <n v="238"/>
    <m/>
    <m/>
    <n v="128"/>
    <m/>
    <n v="24"/>
    <n v="86"/>
  </r>
  <r>
    <x v="10"/>
    <x v="0"/>
    <x v="36"/>
    <s v="S12000024"/>
    <n v="223"/>
    <m/>
    <m/>
    <n v="126"/>
    <m/>
    <n v="28"/>
    <n v="69"/>
  </r>
  <r>
    <x v="10"/>
    <x v="0"/>
    <x v="5"/>
    <s v="S12000036"/>
    <n v="304"/>
    <m/>
    <m/>
    <n v="11"/>
    <m/>
    <m/>
    <n v="293"/>
  </r>
  <r>
    <x v="7"/>
    <x v="0"/>
    <x v="16"/>
    <s v="S12000021"/>
    <n v="194"/>
    <m/>
    <m/>
    <n v="90"/>
    <m/>
    <n v="26"/>
    <n v="78"/>
  </r>
  <r>
    <x v="12"/>
    <x v="1"/>
    <x v="14"/>
    <s v="S39000017"/>
    <n v="16"/>
    <m/>
    <m/>
    <m/>
    <m/>
    <m/>
    <n v="16"/>
  </r>
  <r>
    <x v="8"/>
    <x v="1"/>
    <x v="35"/>
    <s v="S39000003"/>
    <n v="23"/>
    <m/>
    <m/>
    <m/>
    <m/>
    <m/>
    <n v="23"/>
  </r>
  <r>
    <x v="9"/>
    <x v="1"/>
    <x v="42"/>
    <s v="S39000006"/>
    <n v="29"/>
    <m/>
    <m/>
    <m/>
    <m/>
    <m/>
    <n v="29"/>
  </r>
  <r>
    <x v="7"/>
    <x v="1"/>
    <x v="15"/>
    <s v="S39000013"/>
    <n v="13"/>
    <m/>
    <m/>
    <m/>
    <m/>
    <m/>
    <n v="13"/>
  </r>
  <r>
    <x v="7"/>
    <x v="1"/>
    <x v="35"/>
    <s v="S39000003"/>
    <n v="21"/>
    <m/>
    <m/>
    <m/>
    <m/>
    <m/>
    <n v="21"/>
  </r>
  <r>
    <x v="7"/>
    <x v="1"/>
    <x v="39"/>
    <s v="S39000002"/>
    <n v="18"/>
    <m/>
    <m/>
    <m/>
    <m/>
    <m/>
    <n v="18"/>
  </r>
  <r>
    <x v="12"/>
    <x v="0"/>
    <x v="12"/>
    <s v="S12000044"/>
    <n v="208"/>
    <m/>
    <m/>
    <n v="35"/>
    <m/>
    <n v="0"/>
    <n v="173"/>
  </r>
  <r>
    <x v="8"/>
    <x v="3"/>
    <x v="28"/>
    <s v="S40000003"/>
    <n v="527"/>
    <m/>
    <m/>
    <m/>
    <n v="416"/>
    <m/>
    <n v="111"/>
  </r>
  <r>
    <x v="8"/>
    <x v="0"/>
    <x v="40"/>
    <s v="S12000018"/>
    <n v="120"/>
    <m/>
    <m/>
    <n v="42"/>
    <m/>
    <n v="0"/>
    <n v="78"/>
  </r>
  <r>
    <x v="10"/>
    <x v="1"/>
    <x v="18"/>
    <s v="S39000009"/>
    <n v="31"/>
    <m/>
    <m/>
    <m/>
    <m/>
    <m/>
    <n v="31"/>
  </r>
  <r>
    <x v="7"/>
    <x v="0"/>
    <x v="17"/>
    <s v="S12000039"/>
    <n v="95"/>
    <m/>
    <m/>
    <n v="21"/>
    <m/>
    <n v="0"/>
    <n v="74"/>
  </r>
  <r>
    <x v="9"/>
    <x v="1"/>
    <x v="10"/>
    <s v="S39000001"/>
    <n v="16"/>
    <m/>
    <m/>
    <m/>
    <m/>
    <m/>
    <n v="16"/>
  </r>
  <r>
    <x v="9"/>
    <x v="3"/>
    <x v="28"/>
    <s v="S40000003"/>
    <n v="302"/>
    <m/>
    <m/>
    <m/>
    <n v="286"/>
    <m/>
    <n v="16"/>
  </r>
  <r>
    <x v="7"/>
    <x v="1"/>
    <x v="21"/>
    <s v="S39000007"/>
    <n v="17"/>
    <m/>
    <m/>
    <m/>
    <m/>
    <m/>
    <n v="17"/>
  </r>
  <r>
    <x v="9"/>
    <x v="1"/>
    <x v="31"/>
    <s v="S39000008"/>
    <n v="17"/>
    <m/>
    <m/>
    <m/>
    <m/>
    <m/>
    <n v="17"/>
  </r>
  <r>
    <x v="0"/>
    <x v="3"/>
    <x v="44"/>
    <m/>
    <n v="70"/>
    <n v="0"/>
    <n v="0"/>
    <n v="0"/>
    <n v="0"/>
    <n v="0"/>
    <n v="70"/>
  </r>
  <r>
    <x v="3"/>
    <x v="0"/>
    <x v="38"/>
    <m/>
    <n v="52"/>
    <n v="0"/>
    <n v="0"/>
    <n v="0"/>
    <n v="0"/>
    <n v="0"/>
    <n v="52"/>
  </r>
  <r>
    <x v="6"/>
    <x v="1"/>
    <x v="9"/>
    <s v="S39000019"/>
    <n v="18"/>
    <n v="0"/>
    <n v="1"/>
    <n v="0"/>
    <n v="0"/>
    <n v="0"/>
    <n v="18"/>
  </r>
  <r>
    <x v="5"/>
    <x v="0"/>
    <x v="9"/>
    <s v="S40000004"/>
    <n v="382"/>
    <n v="0"/>
    <n v="0"/>
    <n v="113"/>
    <n v="0"/>
    <n v="0"/>
    <n v="269"/>
  </r>
  <r>
    <x v="5"/>
    <x v="0"/>
    <x v="12"/>
    <s v="S40000003"/>
    <n v="200"/>
    <n v="0"/>
    <n v="0"/>
    <n v="37"/>
    <n v="0"/>
    <n v="0"/>
    <n v="163"/>
  </r>
  <r>
    <x v="5"/>
    <x v="1"/>
    <x v="21"/>
    <s v="S40000004"/>
    <n v="29"/>
    <n v="0"/>
    <n v="3"/>
    <n v="0"/>
    <n v="0"/>
    <n v="0"/>
    <n v="29"/>
  </r>
  <r>
    <x v="2"/>
    <x v="1"/>
    <x v="4"/>
    <m/>
    <n v="27"/>
    <n v="0"/>
    <n v="2"/>
    <n v="0"/>
    <n v="0"/>
    <n v="0"/>
    <n v="27"/>
  </r>
  <r>
    <x v="2"/>
    <x v="1"/>
    <x v="29"/>
    <m/>
    <n v="22"/>
    <n v="0"/>
    <n v="9"/>
    <n v="0"/>
    <n v="0"/>
    <n v="0"/>
    <n v="22"/>
  </r>
  <r>
    <x v="10"/>
    <x v="1"/>
    <x v="12"/>
    <s v="S39000014"/>
    <n v="17"/>
    <m/>
    <m/>
    <m/>
    <m/>
    <m/>
    <n v="17"/>
  </r>
  <r>
    <x v="9"/>
    <x v="0"/>
    <x v="13"/>
    <s v="S12000029"/>
    <n v="252"/>
    <m/>
    <m/>
    <n v="71"/>
    <m/>
    <n v="3"/>
    <n v="178"/>
  </r>
  <r>
    <x v="9"/>
    <x v="0"/>
    <x v="50"/>
    <s v="S12000017"/>
    <n v="661"/>
    <m/>
    <m/>
    <n v="525"/>
    <m/>
    <n v="68"/>
    <n v="68"/>
  </r>
  <r>
    <x v="7"/>
    <x v="1"/>
    <x v="12"/>
    <s v="S39000014"/>
    <n v="16"/>
    <m/>
    <m/>
    <m/>
    <m/>
    <m/>
    <n v="16"/>
  </r>
  <r>
    <x v="8"/>
    <x v="1"/>
    <x v="23"/>
    <s v="S39000004"/>
    <n v="16"/>
    <m/>
    <m/>
    <m/>
    <m/>
    <m/>
    <n v="16"/>
  </r>
  <r>
    <x v="7"/>
    <x v="0"/>
    <x v="46"/>
    <s v="S12000008"/>
    <n v="136"/>
    <m/>
    <m/>
    <n v="80"/>
    <m/>
    <n v="0"/>
    <n v="56"/>
  </r>
  <r>
    <x v="9"/>
    <x v="1"/>
    <x v="39"/>
    <s v="S39000002"/>
    <n v="27"/>
    <m/>
    <m/>
    <m/>
    <m/>
    <m/>
    <n v="27"/>
  </r>
  <r>
    <x v="7"/>
    <x v="1"/>
    <x v="13"/>
    <s v="S39000015"/>
    <n v="10"/>
    <m/>
    <m/>
    <m/>
    <m/>
    <m/>
    <n v="10"/>
  </r>
  <r>
    <x v="9"/>
    <x v="1"/>
    <x v="9"/>
    <s v="S39000019"/>
    <n v="26"/>
    <m/>
    <m/>
    <m/>
    <m/>
    <m/>
    <n v="26"/>
  </r>
  <r>
    <x v="8"/>
    <x v="0"/>
    <x v="22"/>
    <s v="S12000042"/>
    <n v="229"/>
    <m/>
    <m/>
    <n v="14"/>
    <m/>
    <n v="0"/>
    <n v="215"/>
  </r>
  <r>
    <x v="9"/>
    <x v="0"/>
    <x v="16"/>
    <s v="S12000021"/>
    <n v="208"/>
    <m/>
    <m/>
    <n v="108"/>
    <m/>
    <n v="22"/>
    <n v="78"/>
  </r>
  <r>
    <x v="10"/>
    <x v="0"/>
    <x v="8"/>
    <s v="S12000038"/>
    <n v="110"/>
    <m/>
    <m/>
    <n v="16"/>
    <m/>
    <m/>
    <n v="94"/>
  </r>
  <r>
    <x v="12"/>
    <x v="1"/>
    <x v="21"/>
    <s v="S39000007"/>
    <n v="31"/>
    <m/>
    <m/>
    <m/>
    <m/>
    <m/>
    <n v="31"/>
  </r>
  <r>
    <x v="12"/>
    <x v="0"/>
    <x v="9"/>
    <s v="S12000047"/>
    <n v="379"/>
    <m/>
    <m/>
    <n v="109"/>
    <m/>
    <n v="0"/>
    <n v="270"/>
  </r>
  <r>
    <x v="9"/>
    <x v="3"/>
    <x v="41"/>
    <s v="S40000004"/>
    <n v="149"/>
    <m/>
    <m/>
    <m/>
    <n v="124"/>
    <m/>
    <n v="25"/>
  </r>
  <r>
    <x v="9"/>
    <x v="1"/>
    <x v="1"/>
    <s v="S39000012"/>
    <n v="32"/>
    <m/>
    <m/>
    <m/>
    <m/>
    <m/>
    <n v="32"/>
  </r>
  <r>
    <x v="8"/>
    <x v="0"/>
    <x v="26"/>
    <s v="S12000010"/>
    <n v="81"/>
    <m/>
    <m/>
    <n v="52"/>
    <m/>
    <n v="0"/>
    <n v="29"/>
  </r>
  <r>
    <x v="7"/>
    <x v="0"/>
    <x v="40"/>
    <s v="S12000018"/>
    <n v="117"/>
    <m/>
    <m/>
    <n v="40"/>
    <m/>
    <n v="0"/>
    <n v="77"/>
  </r>
  <r>
    <x v="12"/>
    <x v="1"/>
    <x v="15"/>
    <s v="S39000013"/>
    <n v="37"/>
    <m/>
    <m/>
    <m/>
    <m/>
    <m/>
    <n v="37"/>
  </r>
  <r>
    <x v="9"/>
    <x v="0"/>
    <x v="11"/>
    <s v="S12000030"/>
    <n v="124"/>
    <m/>
    <m/>
    <n v="73"/>
    <m/>
    <n v="0"/>
    <n v="51"/>
  </r>
  <r>
    <x v="12"/>
    <x v="0"/>
    <x v="13"/>
    <s v="S12000029"/>
    <n v="248"/>
    <m/>
    <m/>
    <n v="74"/>
    <m/>
    <n v="3"/>
    <n v="171"/>
  </r>
  <r>
    <x v="12"/>
    <x v="0"/>
    <x v="1"/>
    <s v="S12000046"/>
    <n v="475"/>
    <m/>
    <m/>
    <n v="0"/>
    <m/>
    <n v="0"/>
    <n v="475"/>
  </r>
  <r>
    <x v="9"/>
    <x v="0"/>
    <x v="40"/>
    <s v="S12000018"/>
    <n v="111"/>
    <m/>
    <m/>
    <n v="41"/>
    <m/>
    <n v="0"/>
    <n v="70"/>
  </r>
  <r>
    <x v="12"/>
    <x v="0"/>
    <x v="22"/>
    <s v="S12000042"/>
    <n v="205"/>
    <m/>
    <m/>
    <n v="13"/>
    <m/>
    <n v="0"/>
    <n v="192"/>
  </r>
  <r>
    <x v="12"/>
    <x v="1"/>
    <x v="13"/>
    <s v="S39000015"/>
    <n v="15"/>
    <m/>
    <m/>
    <m/>
    <m/>
    <m/>
    <n v="15"/>
  </r>
  <r>
    <x v="10"/>
    <x v="3"/>
    <x v="28"/>
    <s v="S40000003"/>
    <n v="373"/>
    <m/>
    <m/>
    <m/>
    <n v="300"/>
    <m/>
    <n v="73"/>
  </r>
  <r>
    <x v="7"/>
    <x v="0"/>
    <x v="13"/>
    <s v="S12000029"/>
    <n v="273"/>
    <m/>
    <m/>
    <n v="82"/>
    <m/>
    <n v="4"/>
    <n v="187"/>
  </r>
  <r>
    <x v="9"/>
    <x v="0"/>
    <x v="46"/>
    <s v="S12000008"/>
    <n v="136"/>
    <m/>
    <m/>
    <n v="83"/>
    <m/>
    <n v="0"/>
    <n v="53"/>
  </r>
  <r>
    <x v="12"/>
    <x v="1"/>
    <x v="1"/>
    <s v="S39000012"/>
    <n v="25"/>
    <m/>
    <m/>
    <m/>
    <m/>
    <m/>
    <n v="25"/>
  </r>
  <r>
    <x v="12"/>
    <x v="0"/>
    <x v="43"/>
    <s v="S12000013"/>
    <n v="137"/>
    <m/>
    <m/>
    <n v="137"/>
    <m/>
    <n v="0"/>
    <n v="0"/>
  </r>
  <r>
    <x v="10"/>
    <x v="0"/>
    <x v="22"/>
    <s v="S12000042"/>
    <n v="191"/>
    <m/>
    <m/>
    <n v="13"/>
    <m/>
    <m/>
    <n v="178"/>
  </r>
  <r>
    <x v="10"/>
    <x v="1"/>
    <x v="21"/>
    <s v="S39000007"/>
    <n v="27"/>
    <m/>
    <m/>
    <m/>
    <m/>
    <m/>
    <n v="27"/>
  </r>
  <r>
    <x v="7"/>
    <x v="1"/>
    <x v="2"/>
    <s v="S39000010"/>
    <n v="13"/>
    <m/>
    <m/>
    <m/>
    <m/>
    <m/>
    <n v="13"/>
  </r>
  <r>
    <x v="12"/>
    <x v="3"/>
    <x v="28"/>
    <s v="S40000003"/>
    <n v="340"/>
    <m/>
    <m/>
    <m/>
    <n v="272"/>
    <m/>
    <n v="68"/>
  </r>
  <r>
    <x v="12"/>
    <x v="0"/>
    <x v="46"/>
    <s v="S12000008"/>
    <n v="127"/>
    <m/>
    <m/>
    <n v="81"/>
    <m/>
    <n v="0"/>
    <n v="46"/>
  </r>
  <r>
    <x v="8"/>
    <x v="1"/>
    <x v="9"/>
    <s v="S39000019"/>
    <n v="21"/>
    <m/>
    <m/>
    <m/>
    <m/>
    <m/>
    <n v="21"/>
  </r>
  <r>
    <x v="8"/>
    <x v="0"/>
    <x v="19"/>
    <s v="S12000045"/>
    <n v="74"/>
    <m/>
    <m/>
    <n v="0"/>
    <m/>
    <n v="0"/>
    <n v="74"/>
  </r>
  <r>
    <x v="9"/>
    <x v="0"/>
    <x v="19"/>
    <s v="S12000045"/>
    <n v="71"/>
    <m/>
    <m/>
    <n v="1"/>
    <m/>
    <n v="0"/>
    <n v="70"/>
  </r>
  <r>
    <x v="10"/>
    <x v="0"/>
    <x v="25"/>
    <s v="S12000020"/>
    <n v="149"/>
    <m/>
    <m/>
    <n v="120"/>
    <m/>
    <m/>
    <n v="29"/>
  </r>
  <r>
    <x v="10"/>
    <x v="0"/>
    <x v="27"/>
    <s v="S12000005"/>
    <n v="47"/>
    <m/>
    <m/>
    <n v="22"/>
    <m/>
    <m/>
    <n v="25"/>
  </r>
  <r>
    <x v="10"/>
    <x v="1"/>
    <x v="13"/>
    <s v="S39000015"/>
    <n v="16"/>
    <m/>
    <m/>
    <m/>
    <m/>
    <m/>
    <n v="16"/>
  </r>
  <r>
    <x v="12"/>
    <x v="0"/>
    <x v="20"/>
    <s v="S12000019"/>
    <n v="33"/>
    <m/>
    <m/>
    <n v="11"/>
    <m/>
    <n v="0"/>
    <n v="22"/>
  </r>
  <r>
    <x v="9"/>
    <x v="1"/>
    <x v="18"/>
    <s v="S39000009"/>
    <n v="27"/>
    <m/>
    <m/>
    <m/>
    <m/>
    <m/>
    <n v="27"/>
  </r>
  <r>
    <x v="8"/>
    <x v="0"/>
    <x v="17"/>
    <s v="S12000039"/>
    <n v="98"/>
    <m/>
    <m/>
    <n v="18"/>
    <m/>
    <n v="0"/>
    <n v="80"/>
  </r>
  <r>
    <x v="12"/>
    <x v="0"/>
    <x v="23"/>
    <s v="S12000006"/>
    <n v="270"/>
    <m/>
    <m/>
    <n v="202"/>
    <m/>
    <n v="5"/>
    <n v="63"/>
  </r>
  <r>
    <x v="10"/>
    <x v="1"/>
    <x v="9"/>
    <s v="S39000019"/>
    <n v="19"/>
    <m/>
    <m/>
    <m/>
    <m/>
    <m/>
    <n v="19"/>
  </r>
  <r>
    <x v="8"/>
    <x v="0"/>
    <x v="20"/>
    <s v="S12000019"/>
    <n v="45"/>
    <m/>
    <m/>
    <n v="10"/>
    <m/>
    <n v="0"/>
    <n v="35"/>
  </r>
  <r>
    <x v="9"/>
    <x v="1"/>
    <x v="23"/>
    <s v="S39000004"/>
    <n v="19"/>
    <m/>
    <m/>
    <m/>
    <m/>
    <m/>
    <n v="19"/>
  </r>
  <r>
    <x v="7"/>
    <x v="0"/>
    <x v="27"/>
    <s v="S12000005"/>
    <n v="60"/>
    <m/>
    <m/>
    <n v="23"/>
    <m/>
    <n v="0"/>
    <n v="37"/>
  </r>
  <r>
    <x v="7"/>
    <x v="0"/>
    <x v="1"/>
    <s v="S12000046"/>
    <n v="544"/>
    <m/>
    <m/>
    <n v="0"/>
    <m/>
    <n v="0"/>
    <n v="544"/>
  </r>
  <r>
    <x v="9"/>
    <x v="1"/>
    <x v="24"/>
    <s v="S39000018"/>
    <n v="24"/>
    <m/>
    <m/>
    <m/>
    <m/>
    <m/>
    <n v="24"/>
  </r>
  <r>
    <x v="7"/>
    <x v="0"/>
    <x v="5"/>
    <s v="S12000036"/>
    <n v="361"/>
    <m/>
    <m/>
    <n v="13"/>
    <m/>
    <n v="0"/>
    <n v="348"/>
  </r>
  <r>
    <x v="8"/>
    <x v="0"/>
    <x v="0"/>
    <s v="S12000034"/>
    <n v="320"/>
    <m/>
    <m/>
    <n v="297"/>
    <m/>
    <n v="0"/>
    <n v="23"/>
  </r>
  <r>
    <x v="7"/>
    <x v="0"/>
    <x v="32"/>
    <s v="S12000026"/>
    <n v="224"/>
    <m/>
    <m/>
    <n v="151"/>
    <m/>
    <n v="0"/>
    <n v="73"/>
  </r>
  <r>
    <x v="12"/>
    <x v="1"/>
    <x v="42"/>
    <s v="S39000006"/>
    <n v="30"/>
    <m/>
    <m/>
    <m/>
    <m/>
    <m/>
    <n v="30"/>
  </r>
  <r>
    <x v="9"/>
    <x v="0"/>
    <x v="36"/>
    <s v="S12000024"/>
    <n v="222"/>
    <m/>
    <m/>
    <n v="126"/>
    <m/>
    <n v="23"/>
    <n v="73"/>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x v="0"/>
    <n v="95"/>
  </r>
  <r>
    <x v="0"/>
    <x v="1"/>
    <n v="37"/>
  </r>
  <r>
    <x v="0"/>
    <x v="2"/>
    <n v="54"/>
  </r>
  <r>
    <x v="1"/>
    <x v="0"/>
    <n v="95"/>
  </r>
  <r>
    <x v="1"/>
    <x v="1"/>
    <n v="37"/>
  </r>
  <r>
    <x v="1"/>
    <x v="2"/>
    <n v="54"/>
  </r>
  <r>
    <x v="2"/>
    <x v="0"/>
    <n v="101"/>
  </r>
  <r>
    <x v="2"/>
    <x v="1"/>
    <n v="36"/>
  </r>
  <r>
    <x v="2"/>
    <x v="2"/>
    <n v="52"/>
  </r>
  <r>
    <x v="3"/>
    <x v="0"/>
    <n v="104"/>
  </r>
  <r>
    <x v="3"/>
    <x v="1"/>
    <n v="35"/>
  </r>
  <r>
    <x v="3"/>
    <x v="2"/>
    <n v="52"/>
  </r>
  <r>
    <x v="4"/>
    <x v="0"/>
    <n v="105"/>
  </r>
  <r>
    <x v="4"/>
    <x v="1"/>
    <n v="26"/>
  </r>
  <r>
    <x v="4"/>
    <x v="2"/>
    <n v="53"/>
  </r>
  <r>
    <x v="5"/>
    <x v="3"/>
    <n v="1"/>
  </r>
  <r>
    <x v="5"/>
    <x v="4"/>
    <n v="115"/>
  </r>
  <r>
    <x v="5"/>
    <x v="1"/>
    <n v="26"/>
  </r>
  <r>
    <x v="5"/>
    <x v="2"/>
    <n v="68"/>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1"/>
    <n v="0"/>
    <n v="4"/>
    <n v="5"/>
  </r>
  <r>
    <x v="0"/>
    <x v="1"/>
    <n v="0"/>
    <n v="0"/>
    <n v="7"/>
    <n v="7"/>
  </r>
  <r>
    <x v="0"/>
    <x v="2"/>
    <n v="0"/>
    <n v="0"/>
    <n v="1"/>
    <n v="1"/>
  </r>
  <r>
    <x v="0"/>
    <x v="3"/>
    <n v="0"/>
    <n v="0"/>
    <n v="2"/>
    <n v="2"/>
  </r>
  <r>
    <x v="0"/>
    <x v="4"/>
    <n v="0"/>
    <n v="0"/>
    <n v="1"/>
    <n v="1"/>
  </r>
  <r>
    <x v="0"/>
    <x v="5"/>
    <n v="1"/>
    <n v="0"/>
    <n v="0"/>
    <n v="1"/>
  </r>
  <r>
    <x v="0"/>
    <x v="6"/>
    <n v="0"/>
    <n v="0"/>
    <n v="0"/>
    <n v="0"/>
  </r>
  <r>
    <x v="0"/>
    <x v="7"/>
    <n v="0"/>
    <n v="2"/>
    <n v="0"/>
    <n v="2"/>
  </r>
  <r>
    <x v="0"/>
    <x v="8"/>
    <n v="0"/>
    <n v="0"/>
    <n v="1"/>
    <n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0"/>
    <n v="0"/>
    <n v="0"/>
    <n v="0"/>
  </r>
  <r>
    <x v="0"/>
    <x v="1"/>
    <n v="0"/>
    <n v="0"/>
    <n v="0"/>
    <n v="0"/>
  </r>
  <r>
    <x v="0"/>
    <x v="2"/>
    <n v="0"/>
    <n v="0"/>
    <n v="2"/>
    <n v="2"/>
  </r>
  <r>
    <x v="0"/>
    <x v="3"/>
    <n v="0"/>
    <n v="0"/>
    <n v="0"/>
    <n v="0"/>
  </r>
  <r>
    <x v="0"/>
    <x v="4"/>
    <n v="0"/>
    <n v="0"/>
    <n v="0"/>
    <n v="0"/>
  </r>
  <r>
    <x v="0"/>
    <x v="5"/>
    <n v="0"/>
    <n v="0"/>
    <n v="0"/>
    <n v="0"/>
  </r>
  <r>
    <x v="0"/>
    <x v="6"/>
    <n v="0"/>
    <n v="0"/>
    <n v="0"/>
    <n v="0"/>
  </r>
  <r>
    <x v="0"/>
    <x v="7"/>
    <n v="0"/>
    <n v="0"/>
    <n v="1"/>
    <n v="1"/>
  </r>
  <r>
    <x v="0"/>
    <x v="8"/>
    <n v="0"/>
    <n v="0"/>
    <n v="0"/>
    <n v="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x v="0"/>
    <m/>
    <m/>
    <m/>
    <m/>
    <m/>
    <n v="0"/>
    <n v="0"/>
    <n v="0"/>
    <n v="0"/>
  </r>
  <r>
    <x v="1"/>
    <x v="1"/>
    <n v="1"/>
    <n v="1"/>
    <n v="1"/>
    <m/>
    <n v="2"/>
    <n v="1"/>
    <n v="2"/>
    <n v="0"/>
    <n v="1"/>
  </r>
  <r>
    <x v="2"/>
    <x v="2"/>
    <n v="3"/>
    <n v="1"/>
    <n v="1"/>
    <n v="3"/>
    <n v="1"/>
    <n v="1"/>
    <n v="0"/>
    <n v="1"/>
    <n v="0"/>
  </r>
  <r>
    <x v="3"/>
    <x v="3"/>
    <n v="3"/>
    <m/>
    <n v="1"/>
    <m/>
    <m/>
    <n v="1"/>
    <n v="0"/>
    <n v="0"/>
    <n v="0"/>
  </r>
  <r>
    <x v="4"/>
    <x v="4"/>
    <n v="4"/>
    <n v="2"/>
    <n v="8"/>
    <n v="6"/>
    <n v="3"/>
    <n v="15"/>
    <n v="9"/>
    <n v="6"/>
    <n v="7"/>
  </r>
  <r>
    <x v="5"/>
    <x v="5"/>
    <m/>
    <m/>
    <m/>
    <m/>
    <m/>
    <n v="0"/>
    <n v="2"/>
    <n v="0"/>
    <n v="0"/>
  </r>
  <r>
    <x v="6"/>
    <x v="6"/>
    <n v="1"/>
    <m/>
    <m/>
    <n v="3"/>
    <n v="2"/>
    <n v="1"/>
    <n v="1"/>
    <n v="1"/>
    <n v="1"/>
  </r>
  <r>
    <x v="7"/>
    <x v="7"/>
    <n v="9"/>
    <n v="3"/>
    <n v="3"/>
    <n v="3"/>
    <n v="5"/>
    <n v="13"/>
    <n v="6"/>
    <n v="0"/>
    <n v="2"/>
  </r>
  <r>
    <x v="8"/>
    <x v="8"/>
    <n v="1"/>
    <n v="1"/>
    <n v="3"/>
    <m/>
    <n v="1"/>
    <n v="1"/>
    <n v="0"/>
    <n v="1"/>
    <n v="0"/>
  </r>
  <r>
    <x v="9"/>
    <x v="9"/>
    <n v="3"/>
    <m/>
    <n v="4"/>
    <m/>
    <n v="1"/>
    <n v="0"/>
    <n v="1"/>
    <n v="0"/>
    <n v="0"/>
  </r>
  <r>
    <x v="10"/>
    <x v="10"/>
    <n v="2"/>
    <m/>
    <m/>
    <m/>
    <n v="2"/>
    <n v="1"/>
    <n v="1"/>
    <n v="1"/>
    <n v="1"/>
  </r>
  <r>
    <x v="11"/>
    <x v="11"/>
    <m/>
    <m/>
    <m/>
    <m/>
    <m/>
    <n v="0"/>
    <n v="2"/>
    <n v="0"/>
    <n v="1"/>
  </r>
  <r>
    <x v="12"/>
    <x v="12"/>
    <n v="2"/>
    <m/>
    <m/>
    <m/>
    <n v="2"/>
    <n v="3"/>
    <n v="4"/>
    <n v="1"/>
    <n v="1"/>
  </r>
  <r>
    <x v="13"/>
    <x v="13"/>
    <m/>
    <n v="3"/>
    <n v="6"/>
    <n v="2"/>
    <n v="7"/>
    <n v="1"/>
    <n v="7"/>
    <n v="2"/>
    <n v="2"/>
  </r>
  <r>
    <x v="14"/>
    <x v="14"/>
    <n v="19"/>
    <n v="20"/>
    <n v="23"/>
    <n v="12"/>
    <n v="14"/>
    <n v="9"/>
    <n v="8"/>
    <n v="9"/>
    <n v="11"/>
  </r>
  <r>
    <x v="15"/>
    <x v="15"/>
    <n v="1"/>
    <m/>
    <m/>
    <m/>
    <m/>
    <n v="1"/>
    <n v="1"/>
    <n v="0"/>
    <n v="2"/>
  </r>
  <r>
    <x v="16"/>
    <x v="16"/>
    <n v="4"/>
    <n v="3"/>
    <n v="2"/>
    <n v="1"/>
    <n v="2"/>
    <n v="2"/>
    <n v="2"/>
    <n v="2"/>
    <n v="0"/>
  </r>
  <r>
    <x v="17"/>
    <x v="17"/>
    <n v="3"/>
    <n v="2"/>
    <n v="1"/>
    <n v="3"/>
    <n v="1"/>
    <n v="0"/>
    <n v="1"/>
    <n v="0"/>
    <n v="0"/>
  </r>
  <r>
    <x v="18"/>
    <x v="18"/>
    <m/>
    <m/>
    <n v="1"/>
    <n v="3"/>
    <m/>
    <n v="2"/>
    <n v="1"/>
    <n v="1"/>
    <n v="0"/>
  </r>
  <r>
    <x v="19"/>
    <x v="19"/>
    <n v="5"/>
    <n v="2"/>
    <n v="2"/>
    <n v="3"/>
    <n v="1"/>
    <n v="3"/>
    <n v="2"/>
    <n v="5"/>
    <n v="2"/>
  </r>
  <r>
    <x v="20"/>
    <x v="20"/>
    <n v="3"/>
    <n v="6"/>
    <n v="3"/>
    <n v="8"/>
    <n v="4"/>
    <n v="5"/>
    <n v="8"/>
    <n v="7"/>
    <n v="1"/>
  </r>
  <r>
    <x v="21"/>
    <x v="21"/>
    <m/>
    <m/>
    <m/>
    <m/>
    <m/>
    <n v="0"/>
    <n v="0"/>
    <n v="1"/>
    <n v="0"/>
  </r>
  <r>
    <x v="22"/>
    <x v="22"/>
    <n v="2"/>
    <n v="1"/>
    <n v="1"/>
    <n v="2"/>
    <n v="3"/>
    <n v="1"/>
    <n v="2"/>
    <n v="3"/>
    <n v="0"/>
  </r>
  <r>
    <x v="23"/>
    <x v="23"/>
    <n v="2"/>
    <n v="3"/>
    <n v="3"/>
    <n v="1"/>
    <n v="2"/>
    <n v="0"/>
    <n v="0"/>
    <n v="0"/>
    <n v="3"/>
  </r>
  <r>
    <x v="24"/>
    <x v="24"/>
    <m/>
    <n v="1"/>
    <m/>
    <m/>
    <n v="2"/>
    <n v="1"/>
    <n v="0"/>
    <n v="1"/>
    <n v="0"/>
  </r>
  <r>
    <x v="25"/>
    <x v="25"/>
    <n v="2"/>
    <m/>
    <n v="1"/>
    <n v="1"/>
    <n v="5"/>
    <n v="2"/>
    <n v="2"/>
    <n v="5"/>
    <n v="6"/>
  </r>
  <r>
    <x v="26"/>
    <x v="26"/>
    <n v="3"/>
    <m/>
    <n v="1"/>
    <m/>
    <n v="1"/>
    <n v="0"/>
    <n v="0"/>
    <n v="0"/>
    <n v="0"/>
  </r>
  <r>
    <x v="27"/>
    <x v="27"/>
    <n v="1"/>
    <m/>
    <n v="2"/>
    <m/>
    <m/>
    <n v="0"/>
    <n v="1"/>
    <n v="0"/>
    <n v="4"/>
  </r>
  <r>
    <x v="28"/>
    <x v="28"/>
    <n v="3"/>
    <n v="4"/>
    <n v="5"/>
    <n v="2"/>
    <n v="2"/>
    <n v="2"/>
    <n v="7"/>
    <n v="4"/>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374455-6B60-4CE9-A9E7-33593FEAC210}" name="PivotTable2" cacheId="2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36" firstHeaderRow="0" firstDataRow="1" firstDataCol="1" rowPageCount="1" colPageCount="1"/>
  <pivotFields count="8">
    <pivotField axis="axisPage" subtotalTop="0" showAll="0">
      <items count="8">
        <item x="0"/>
        <item x="1"/>
        <item x="2"/>
        <item x="3"/>
        <item x="4"/>
        <item x="5"/>
        <item x="6"/>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0" item="6" hier="-1"/>
  </pageFields>
  <dataFields count="6">
    <dataField name="Sum of Wholetime" fld="2" baseField="1" baseItem="0"/>
    <dataField name="Sum of Wholetime and Retained" fld="3" baseField="1" baseItem="0"/>
    <dataField name="Sum of Wholetime and Day" fld="4" baseField="1" baseItem="0"/>
    <dataField name="Sum of Retained" fld="6" baseField="1" baseItem="0"/>
    <dataField name="Sum of Volunteer" fld="5" baseField="1"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1" cacheId="3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E60" firstHeaderRow="0" firstDataRow="1" firstDataCol="1" rowPageCount="1" colPageCount="1"/>
  <pivotFields count="8">
    <pivotField axis="axisPage" subtotalTop="0" showAll="0">
      <items count="9">
        <item x="0"/>
        <item x="1"/>
        <item x="2"/>
        <item m="1" x="7"/>
        <item x="3"/>
        <item x="4"/>
        <item x="5"/>
        <item x="6"/>
        <item t="default"/>
      </items>
    </pivotField>
    <pivotField axis="axisRow" subtotalTop="0" showAll="0">
      <items count="7">
        <item x="0"/>
        <item x="1"/>
        <item x="3"/>
        <item x="2"/>
        <item m="1" x="4"/>
        <item m="1" x="5"/>
        <item t="default"/>
      </items>
    </pivotField>
    <pivotField axis="axisRow" subtotalTop="0" showAll="0" sortType="ascending">
      <items count="62">
        <item x="16"/>
        <item x="18"/>
        <item x="39"/>
        <item x="43"/>
        <item x="23"/>
        <item m="1" x="55"/>
        <item x="44"/>
        <item x="28"/>
        <item m="1" x="52"/>
        <item m="1" x="60"/>
        <item x="17"/>
        <item m="1" x="53"/>
        <item x="10"/>
        <item x="47"/>
        <item x="3"/>
        <item x="19"/>
        <item x="40"/>
        <item x="26"/>
        <item x="48"/>
        <item x="11"/>
        <item x="12"/>
        <item x="31"/>
        <item x="30"/>
        <item x="41"/>
        <item m="1" x="57"/>
        <item x="2"/>
        <item x="36"/>
        <item x="8"/>
        <item x="25"/>
        <item x="14"/>
        <item m="1" x="56"/>
        <item x="4"/>
        <item x="5"/>
        <item x="34"/>
        <item x="20"/>
        <item m="1" x="58"/>
        <item x="35"/>
        <item x="37"/>
        <item x="22"/>
        <item x="13"/>
        <item x="6"/>
        <item m="1" x="51"/>
        <item x="42"/>
        <item m="1" x="59"/>
        <item m="1" x="50"/>
        <item x="27"/>
        <item m="1" x="54"/>
        <item x="0"/>
        <item x="15"/>
        <item x="38"/>
        <item x="45"/>
        <item x="32"/>
        <item x="24"/>
        <item x="33"/>
        <item x="46"/>
        <item x="9"/>
        <item x="29"/>
        <item x="7"/>
        <item x="1"/>
        <item x="21"/>
        <item m="1" x="49"/>
        <item t="default"/>
      </items>
    </pivotField>
    <pivotField showAll="0"/>
    <pivotField dataField="1" subtotalTop="0" showAll="0"/>
    <pivotField dataField="1" subtotalTop="0" showAll="0"/>
    <pivotField dataField="1" subtotalTop="0" showAll="0"/>
    <pivotField dataField="1" subtotalTop="0" showAll="0"/>
  </pivotFields>
  <rowFields count="2">
    <field x="1"/>
    <field x="2"/>
  </rowFields>
  <rowItems count="57">
    <i>
      <x/>
    </i>
    <i r="1">
      <x/>
    </i>
    <i r="1">
      <x v="2"/>
    </i>
    <i r="1">
      <x v="4"/>
    </i>
    <i r="1">
      <x v="6"/>
    </i>
    <i r="1">
      <x v="10"/>
    </i>
    <i r="1">
      <x v="12"/>
    </i>
    <i r="1">
      <x v="14"/>
    </i>
    <i r="1">
      <x v="17"/>
    </i>
    <i r="1">
      <x v="19"/>
    </i>
    <i r="1">
      <x v="20"/>
    </i>
    <i r="1">
      <x v="22"/>
    </i>
    <i r="1">
      <x v="25"/>
    </i>
    <i r="1">
      <x v="26"/>
    </i>
    <i r="1">
      <x v="28"/>
    </i>
    <i r="1">
      <x v="29"/>
    </i>
    <i r="1">
      <x v="31"/>
    </i>
    <i r="1">
      <x v="32"/>
    </i>
    <i r="1">
      <x v="34"/>
    </i>
    <i r="1">
      <x v="36"/>
    </i>
    <i r="1">
      <x v="37"/>
    </i>
    <i r="1">
      <x v="39"/>
    </i>
    <i r="1">
      <x v="40"/>
    </i>
    <i r="1">
      <x v="45"/>
    </i>
    <i r="1">
      <x v="47"/>
    </i>
    <i r="1">
      <x v="49"/>
    </i>
    <i r="1">
      <x v="51"/>
    </i>
    <i r="1">
      <x v="52"/>
    </i>
    <i r="1">
      <x v="53"/>
    </i>
    <i r="1">
      <x v="57"/>
    </i>
    <i r="1">
      <x v="58"/>
    </i>
    <i t="default">
      <x/>
    </i>
    <i>
      <x v="1"/>
    </i>
    <i r="1">
      <x v="1"/>
    </i>
    <i r="1">
      <x v="7"/>
    </i>
    <i r="1">
      <x v="13"/>
    </i>
    <i r="1">
      <x v="15"/>
    </i>
    <i r="1">
      <x v="18"/>
    </i>
    <i r="1">
      <x v="21"/>
    </i>
    <i r="1">
      <x v="23"/>
    </i>
    <i r="1">
      <x v="25"/>
    </i>
    <i r="1">
      <x v="27"/>
    </i>
    <i r="1">
      <x v="29"/>
    </i>
    <i r="1">
      <x v="31"/>
    </i>
    <i r="1">
      <x v="33"/>
    </i>
    <i r="1">
      <x v="55"/>
    </i>
    <i r="1">
      <x v="59"/>
    </i>
    <i t="default">
      <x v="1"/>
    </i>
    <i>
      <x v="2"/>
    </i>
    <i r="1">
      <x v="16"/>
    </i>
    <i r="1">
      <x v="38"/>
    </i>
    <i r="1">
      <x v="56"/>
    </i>
    <i t="default">
      <x v="2"/>
    </i>
    <i>
      <x v="3"/>
    </i>
    <i r="1">
      <x v="48"/>
    </i>
    <i t="default">
      <x v="3"/>
    </i>
    <i t="grand">
      <x/>
    </i>
  </rowItems>
  <colFields count="1">
    <field x="-2"/>
  </colFields>
  <colItems count="4">
    <i>
      <x/>
    </i>
    <i i="1">
      <x v="1"/>
    </i>
    <i i="2">
      <x v="2"/>
    </i>
    <i i="3">
      <x v="3"/>
    </i>
  </colItems>
  <pageFields count="1">
    <pageField fld="0" item="7" hier="-1"/>
  </pageFields>
  <dataFields count="4">
    <dataField name="Sum of Operational Crewing" fld="4" baseField="0" baseItem="0"/>
    <dataField name="Sum of Incident Command Officers" fld="5" baseField="0" baseItem="0"/>
    <dataField name="Sum of Office Duties" fld="6" baseField="0" baseItem="0"/>
    <dataField name="Sum of Trainee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4" cacheId="4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8" firstHeaderRow="0" firstDataRow="1" firstDataCol="1" rowPageCount="1" colPageCount="1"/>
  <pivotFields count="8">
    <pivotField axis="axisPage" subtotalTop="0" showAll="0">
      <items count="13">
        <item x="0"/>
        <item x="9"/>
        <item x="6"/>
        <item x="7"/>
        <item x="1"/>
        <item x="2"/>
        <item x="10"/>
        <item x="3"/>
        <item x="8"/>
        <item x="4"/>
        <item x="11"/>
        <item x="5"/>
        <item t="default"/>
      </items>
    </pivotField>
    <pivotField axis="axisRow" subtotalTop="0" showAll="0">
      <items count="8">
        <item m="1" x="5"/>
        <item x="1"/>
        <item x="0"/>
        <item x="3"/>
        <item x="2"/>
        <item m="1" x="6"/>
        <item m="1" x="4"/>
        <item t="default"/>
      </items>
    </pivotField>
    <pivotField dataField="1" subtotalTop="0" showAll="0"/>
    <pivotField dataField="1" subtotalTop="0" showAll="0"/>
    <pivotField dataField="1" showAll="0"/>
    <pivotField dataField="1" subtotalTop="0" showAll="0"/>
    <pivotField dataField="1" subtotalTop="0" showAll="0"/>
    <pivotField dataField="1" subtotalTop="0" showAll="0"/>
  </pivotFields>
  <rowFields count="1">
    <field x="1"/>
  </rowFields>
  <rowItems count="5">
    <i>
      <x v="1"/>
    </i>
    <i>
      <x v="2"/>
    </i>
    <i>
      <x v="3"/>
    </i>
    <i>
      <x v="4"/>
    </i>
    <i t="grand">
      <x/>
    </i>
  </rowItems>
  <colFields count="1">
    <field x="-2"/>
  </colFields>
  <colItems count="6">
    <i>
      <x/>
    </i>
    <i i="1">
      <x v="1"/>
    </i>
    <i i="2">
      <x v="2"/>
    </i>
    <i i="3">
      <x v="3"/>
    </i>
    <i i="4">
      <x v="4"/>
    </i>
    <i i="5">
      <x v="5"/>
    </i>
  </colItems>
  <pageFields count="1">
    <pageField fld="0" item="11" hier="-1"/>
  </pageFields>
  <dataFields count="6">
    <dataField name="Sum of Wholetime Operational" fld="2" baseField="1" baseItem="0"/>
    <dataField name="Sum of RDS" fld="3" baseField="1" baseItem="0"/>
    <dataField name="Sum of Control" fld="5" baseField="1" baseItem="0"/>
    <dataField name="Sum of Support" fld="6" baseField="1" baseItem="0"/>
    <dataField name="Sum of Volunteer" fld="7" baseField="1" baseItem="0"/>
    <dataField name="Sum of RDS Fulltim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5" cacheId="6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62" firstHeaderRow="0" firstDataRow="1" firstDataCol="1" rowPageCount="1" colPageCount="1"/>
  <pivotFields count="11">
    <pivotField axis="axisPage" subtotalTop="0" showAll="0">
      <items count="14">
        <item x="8"/>
        <item x="7"/>
        <item x="9"/>
        <item x="12"/>
        <item x="10"/>
        <item x="6"/>
        <item x="5"/>
        <item x="4"/>
        <item x="11"/>
        <item x="1"/>
        <item x="0"/>
        <item x="2"/>
        <item x="3"/>
        <item t="default"/>
      </items>
    </pivotField>
    <pivotField axis="axisRow" subtotalTop="0" showAll="0">
      <items count="7">
        <item m="1" x="5"/>
        <item x="0"/>
        <item x="1"/>
        <item x="3"/>
        <item x="2"/>
        <item x="4"/>
        <item t="default"/>
      </items>
    </pivotField>
    <pivotField axis="axisRow" subtotalTop="0" showAll="0">
      <items count="67">
        <item x="10"/>
        <item x="0"/>
        <item x="39"/>
        <item x="6"/>
        <item m="1" x="63"/>
        <item x="3"/>
        <item x="35"/>
        <item x="5"/>
        <item x="27"/>
        <item m="1" x="58"/>
        <item x="23"/>
        <item x="22"/>
        <item x="24"/>
        <item x="41"/>
        <item x="46"/>
        <item x="42"/>
        <item x="19"/>
        <item x="26"/>
        <item x="21"/>
        <item x="38"/>
        <item x="31"/>
        <item x="18"/>
        <item x="30"/>
        <item x="2"/>
        <item x="9"/>
        <item x="1"/>
        <item x="50"/>
        <item x="15"/>
        <item x="40"/>
        <item x="20"/>
        <item x="25"/>
        <item x="43"/>
        <item x="44"/>
        <item x="16"/>
        <item x="12"/>
        <item x="37"/>
        <item m="1" x="52"/>
        <item x="36"/>
        <item x="8"/>
        <item x="7"/>
        <item x="32"/>
        <item x="33"/>
        <item x="34"/>
        <item x="13"/>
        <item x="11"/>
        <item x="45"/>
        <item x="47"/>
        <item x="28"/>
        <item x="17"/>
        <item x="48"/>
        <item x="14"/>
        <item x="49"/>
        <item m="1" x="54"/>
        <item m="1" x="59"/>
        <item x="29"/>
        <item m="1" x="56"/>
        <item x="4"/>
        <item m="1" x="65"/>
        <item m="1" x="53"/>
        <item m="1" x="64"/>
        <item m="1" x="60"/>
        <item m="1" x="61"/>
        <item m="1" x="55"/>
        <item m="1" x="57"/>
        <item m="1" x="62"/>
        <item m="1" x="51"/>
        <item t="default"/>
      </items>
    </pivotField>
    <pivotField showAll="0"/>
    <pivotField subtotalTop="0" showAll="0"/>
    <pivotField dataField="1" subtotalTop="0" showAll="0"/>
    <pivotField dataField="1" showAll="0"/>
    <pivotField dataField="1" showAll="0"/>
    <pivotField dataField="1" subtotalTop="0" showAll="0"/>
    <pivotField dataField="1" showAll="0"/>
    <pivotField dataField="1" showAll="0"/>
  </pivotFields>
  <rowFields count="2">
    <field x="1"/>
    <field x="2"/>
  </rowFields>
  <rowItems count="59">
    <i>
      <x v="1"/>
    </i>
    <i r="1">
      <x/>
    </i>
    <i r="1">
      <x v="1"/>
    </i>
    <i r="1">
      <x v="3"/>
    </i>
    <i r="1">
      <x v="5"/>
    </i>
    <i r="1">
      <x v="7"/>
    </i>
    <i r="1">
      <x v="8"/>
    </i>
    <i r="1">
      <x v="10"/>
    </i>
    <i r="1">
      <x v="11"/>
    </i>
    <i r="1">
      <x v="14"/>
    </i>
    <i r="1">
      <x v="16"/>
    </i>
    <i r="1">
      <x v="17"/>
    </i>
    <i r="1">
      <x v="19"/>
    </i>
    <i r="1">
      <x v="22"/>
    </i>
    <i r="1">
      <x v="24"/>
    </i>
    <i r="1">
      <x v="25"/>
    </i>
    <i r="1">
      <x v="27"/>
    </i>
    <i r="1">
      <x v="28"/>
    </i>
    <i r="1">
      <x v="29"/>
    </i>
    <i r="1">
      <x v="30"/>
    </i>
    <i r="1">
      <x v="31"/>
    </i>
    <i r="1">
      <x v="33"/>
    </i>
    <i r="1">
      <x v="34"/>
    </i>
    <i r="1">
      <x v="35"/>
    </i>
    <i r="1">
      <x v="37"/>
    </i>
    <i r="1">
      <x v="38"/>
    </i>
    <i r="1">
      <x v="40"/>
    </i>
    <i r="1">
      <x v="41"/>
    </i>
    <i r="1">
      <x v="42"/>
    </i>
    <i r="1">
      <x v="43"/>
    </i>
    <i r="1">
      <x v="44"/>
    </i>
    <i r="1">
      <x v="48"/>
    </i>
    <i r="1">
      <x v="49"/>
    </i>
    <i t="default">
      <x v="1"/>
    </i>
    <i>
      <x v="2"/>
    </i>
    <i r="1">
      <x v="6"/>
    </i>
    <i r="1">
      <x v="10"/>
    </i>
    <i r="1">
      <x v="12"/>
    </i>
    <i r="1">
      <x v="15"/>
    </i>
    <i r="1">
      <x v="18"/>
    </i>
    <i r="1">
      <x v="20"/>
    </i>
    <i r="1">
      <x v="21"/>
    </i>
    <i r="1">
      <x v="23"/>
    </i>
    <i r="1">
      <x v="25"/>
    </i>
    <i r="1">
      <x v="27"/>
    </i>
    <i r="1">
      <x v="46"/>
    </i>
    <i r="1">
      <x v="50"/>
    </i>
    <i r="1">
      <x v="54"/>
    </i>
    <i r="1">
      <x v="56"/>
    </i>
    <i t="default">
      <x v="2"/>
    </i>
    <i>
      <x v="3"/>
    </i>
    <i r="1">
      <x v="13"/>
    </i>
    <i r="1">
      <x v="32"/>
    </i>
    <i r="1">
      <x v="47"/>
    </i>
    <i t="default">
      <x v="3"/>
    </i>
    <i>
      <x v="4"/>
    </i>
    <i r="1">
      <x v="39"/>
    </i>
    <i t="default">
      <x v="4"/>
    </i>
    <i t="grand">
      <x/>
    </i>
  </rowItems>
  <colFields count="1">
    <field x="-2"/>
  </colFields>
  <colItems count="6">
    <i>
      <x/>
    </i>
    <i i="1">
      <x v="1"/>
    </i>
    <i i="2">
      <x v="2"/>
    </i>
    <i i="3">
      <x v="3"/>
    </i>
    <i i="4">
      <x v="4"/>
    </i>
    <i i="5">
      <x v="5"/>
    </i>
  </colItems>
  <pageFields count="1">
    <pageField fld="0" item="12" hier="-1"/>
  </pageFields>
  <dataFields count="6">
    <dataField name="Sum of Control" fld="5" baseField="1" baseItem="0"/>
    <dataField name="Sum of Support" fld="8" baseField="1" baseItem="0"/>
    <dataField name="Sum of RDS Fulltime" fld="6" baseField="2" baseItem="17"/>
    <dataField name="Sum of Retained Duty System" fld="7" baseField="0" baseItem="0"/>
    <dataField name="Sum of Volunteer" fld="9" baseField="0" baseItem="0"/>
    <dataField name="Sum of Wholetime Operationa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6" cacheId="5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10" firstHeaderRow="0" firstDataRow="1" firstDataCol="1" rowPageCount="1" colPageCount="1"/>
  <pivotFields count="10">
    <pivotField axis="axisPage" subtotalTop="0" showAll="0">
      <items count="13">
        <item x="0"/>
        <item x="1"/>
        <item x="8"/>
        <item x="10"/>
        <item x="2"/>
        <item x="7"/>
        <item x="3"/>
        <item x="4"/>
        <item x="5"/>
        <item x="11"/>
        <item x="6"/>
        <item x="9"/>
        <item t="default"/>
      </items>
    </pivotField>
    <pivotField axis="axisRow" subtotalTop="0" showAll="0">
      <items count="7">
        <item x="1"/>
        <item x="0"/>
        <item x="5"/>
        <item x="3"/>
        <item x="4"/>
        <item x="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7">
    <i>
      <x/>
    </i>
    <i>
      <x v="1"/>
    </i>
    <i>
      <x v="2"/>
    </i>
    <i>
      <x v="3"/>
    </i>
    <i>
      <x v="4"/>
    </i>
    <i>
      <x v="5"/>
    </i>
    <i t="grand">
      <x/>
    </i>
  </rowItems>
  <colFields count="1">
    <field x="-2"/>
  </colFields>
  <colItems count="7">
    <i>
      <x/>
    </i>
    <i i="1">
      <x v="1"/>
    </i>
    <i i="2">
      <x v="2"/>
    </i>
    <i i="3">
      <x v="3"/>
    </i>
    <i i="4">
      <x v="4"/>
    </i>
    <i i="5">
      <x v="5"/>
    </i>
    <i i="6">
      <x v="6"/>
    </i>
  </colItems>
  <pageFields count="1">
    <pageField fld="0" item="11" hier="-1"/>
  </pageFields>
  <dataFields count="7">
    <dataField name="Sum of Brigade Manager" fld="3" baseField="1" baseItem="0"/>
    <dataField name="Sum of Area Manager" fld="4" baseField="1" baseItem="0"/>
    <dataField name="Sum of Group Manager" fld="5" baseField="1" baseItem="0"/>
    <dataField name="Sum of Station Manager" fld="6" baseField="1" baseItem="0"/>
    <dataField name="Sum of Watch Manager" fld="7" baseField="1" baseItem="0"/>
    <dataField name="Sum of Crew Manager" fld="8" baseField="1" baseItem="0"/>
    <dataField name="Sum of Firefighter"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7" cacheId="2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8" firstHeaderRow="0" firstDataRow="1" firstDataCol="1" rowPageCount="1" colPageCount="1"/>
  <pivotFields count="9">
    <pivotField axis="axisPage" subtotalTop="0" showAll="0">
      <items count="8">
        <item x="0"/>
        <item x="1"/>
        <item x="2"/>
        <item x="3"/>
        <item x="4"/>
        <item x="5"/>
        <item x="6"/>
        <item t="default"/>
      </items>
    </pivotField>
    <pivotField axis="axisRow" subtotalTop="0" showAll="0">
      <items count="5">
        <item x="0"/>
        <item x="1"/>
        <item x="2"/>
        <item x="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6" hier="-1"/>
  </pageFields>
  <dataFields count="7">
    <dataField name="Sum of Brigade Commander" fld="2" baseField="0" baseItem="0"/>
    <dataField name="Sum of Area Commander" fld="3" baseField="0" baseItem="0"/>
    <dataField name="Sum of Group Commander" fld="4" baseField="0" baseItem="0"/>
    <dataField name="Sum of Station Commander" fld="5" baseField="0" baseItem="0"/>
    <dataField name="Sum of Watch Commander" fld="6" baseField="0" baseItem="0"/>
    <dataField name="Sum of Crew Commander" fld="7" baseField="0" baseItem="0"/>
    <dataField name="Sum of Firefighter"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8" cacheId="3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8" firstHeaderRow="0" firstDataRow="1" firstDataCol="1" rowPageCount="1" colPageCount="1"/>
  <pivotFields count="10">
    <pivotField axis="axisPage" subtotalTop="0" showAll="0">
      <items count="13">
        <item x="0"/>
        <item x="11"/>
        <item x="1"/>
        <item x="7"/>
        <item x="8"/>
        <item x="4"/>
        <item x="9"/>
        <item x="5"/>
        <item x="2"/>
        <item x="3"/>
        <item x="10"/>
        <item x="6"/>
        <item t="default"/>
      </items>
    </pivotField>
    <pivotField axis="axisRow" subtotalTop="0" showAll="0">
      <items count="6">
        <item x="0"/>
        <item x="1"/>
        <item x="3"/>
        <item x="2"/>
        <item m="1" x="4"/>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11" hier="-1"/>
  </pageFields>
  <dataFields count="7">
    <dataField name="Sum of Brigade Manager" fld="2" baseField="1" baseItem="0"/>
    <dataField name="Sum of Area Manager" fld="3" baseField="1" baseItem="0"/>
    <dataField name="Sum of Group Manager" fld="4" baseField="1" baseItem="0"/>
    <dataField name="Sum of Station Manager" fld="5" baseField="1" baseItem="0"/>
    <dataField name="Sum of Watch Manager" fld="6" baseField="0"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PivotTable9" cacheId="3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60" firstHeaderRow="0" firstDataRow="1" firstDataCol="1" rowPageCount="1" colPageCount="1"/>
  <pivotFields count="11">
    <pivotField axis="axisPage" subtotalTop="0" showAll="0">
      <items count="14">
        <item x="0"/>
        <item x="1"/>
        <item x="2"/>
        <item x="3"/>
        <item x="4"/>
        <item x="5"/>
        <item x="6"/>
        <item x="7"/>
        <item x="8"/>
        <item m="1" x="12"/>
        <item x="9"/>
        <item x="10"/>
        <item x="11"/>
        <item t="default"/>
      </items>
    </pivotField>
    <pivotField axis="axisRow" subtotalTop="0" showAll="0">
      <items count="6">
        <item x="0"/>
        <item x="1"/>
        <item x="2"/>
        <item x="3"/>
        <item m="1" x="4"/>
        <item t="default"/>
      </items>
    </pivotField>
    <pivotField showAll="0"/>
    <pivotField axis="axisRow" subtotalTop="0" showAll="0">
      <items count="112">
        <item x="19"/>
        <item x="20"/>
        <item x="32"/>
        <item x="26"/>
        <item x="21"/>
        <item x="33"/>
        <item x="22"/>
        <item x="0"/>
        <item m="1" x="64"/>
        <item x="1"/>
        <item x="27"/>
        <item x="42"/>
        <item x="44"/>
        <item x="2"/>
        <item x="34"/>
        <item x="29"/>
        <item x="3"/>
        <item x="35"/>
        <item x="4"/>
        <item x="36"/>
        <item x="37"/>
        <item x="6"/>
        <item x="38"/>
        <item x="31"/>
        <item x="30"/>
        <item x="7"/>
        <item x="39"/>
        <item x="8"/>
        <item x="9"/>
        <item x="10"/>
        <item x="5"/>
        <item x="45"/>
        <item x="11"/>
        <item x="28"/>
        <item x="12"/>
        <item x="13"/>
        <item x="23"/>
        <item m="1" x="96"/>
        <item m="1" x="79"/>
        <item m="1" x="101"/>
        <item m="1" x="59"/>
        <item m="1" x="99"/>
        <item m="1" x="104"/>
        <item m="1" x="54"/>
        <item m="1" x="88"/>
        <item m="1" x="73"/>
        <item m="1" x="108"/>
        <item m="1" x="86"/>
        <item m="1" x="91"/>
        <item m="1" x="57"/>
        <item m="1" x="78"/>
        <item m="1" x="61"/>
        <item m="1" x="94"/>
        <item m="1" x="98"/>
        <item m="1" x="80"/>
        <item m="1" x="63"/>
        <item m="1" x="103"/>
        <item m="1" x="68"/>
        <item m="1" x="109"/>
        <item m="1" x="82"/>
        <item m="1" x="67"/>
        <item m="1" x="107"/>
        <item m="1" x="71"/>
        <item m="1" x="55"/>
        <item m="1" x="90"/>
        <item m="1" x="74"/>
        <item m="1" x="69"/>
        <item m="1" x="110"/>
        <item m="1" x="87"/>
        <item m="1" x="72"/>
        <item m="1" x="92"/>
        <item m="1" x="76"/>
        <item m="1" x="58"/>
        <item m="1" x="97"/>
        <item m="1" x="75"/>
        <item m="1" x="95"/>
        <item m="1" x="77"/>
        <item m="1" x="60"/>
        <item m="1" x="100"/>
        <item m="1" x="81"/>
        <item m="1" x="65"/>
        <item m="1" x="105"/>
        <item m="1" x="84"/>
        <item m="1" x="106"/>
        <item m="1" x="85"/>
        <item m="1" x="70"/>
        <item m="1" x="83"/>
        <item x="46"/>
        <item x="14"/>
        <item x="15"/>
        <item x="16"/>
        <item x="17"/>
        <item x="18"/>
        <item x="40"/>
        <item x="43"/>
        <item x="24"/>
        <item x="25"/>
        <item x="41"/>
        <item m="1" x="50"/>
        <item x="47"/>
        <item m="1" x="89"/>
        <item x="48"/>
        <item m="1" x="66"/>
        <item x="49"/>
        <item m="1" x="62"/>
        <item m="1" x="102"/>
        <item m="1" x="56"/>
        <item m="1" x="93"/>
        <item m="1" x="51"/>
        <item m="1" x="53"/>
        <item m="1" x="52"/>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57">
    <i>
      <x/>
    </i>
    <i r="1">
      <x/>
    </i>
    <i r="1">
      <x v="1"/>
    </i>
    <i r="1">
      <x v="3"/>
    </i>
    <i r="1">
      <x v="4"/>
    </i>
    <i r="1">
      <x v="6"/>
    </i>
    <i r="1">
      <x v="7"/>
    </i>
    <i r="1">
      <x v="9"/>
    </i>
    <i r="1">
      <x v="10"/>
    </i>
    <i r="1">
      <x v="13"/>
    </i>
    <i r="1">
      <x v="15"/>
    </i>
    <i r="1">
      <x v="16"/>
    </i>
    <i r="1">
      <x v="18"/>
    </i>
    <i r="1">
      <x v="21"/>
    </i>
    <i r="1">
      <x v="23"/>
    </i>
    <i r="1">
      <x v="24"/>
    </i>
    <i r="1">
      <x v="25"/>
    </i>
    <i r="1">
      <x v="27"/>
    </i>
    <i r="1">
      <x v="28"/>
    </i>
    <i r="1">
      <x v="29"/>
    </i>
    <i r="1">
      <x v="30"/>
    </i>
    <i r="1">
      <x v="32"/>
    </i>
    <i r="1">
      <x v="33"/>
    </i>
    <i r="1">
      <x v="35"/>
    </i>
    <i r="1">
      <x v="36"/>
    </i>
    <i r="1">
      <x v="88"/>
    </i>
    <i r="1">
      <x v="90"/>
    </i>
    <i r="1">
      <x v="91"/>
    </i>
    <i r="1">
      <x v="92"/>
    </i>
    <i r="1">
      <x v="95"/>
    </i>
    <i r="1">
      <x v="96"/>
    </i>
    <i t="default">
      <x/>
    </i>
    <i>
      <x v="1"/>
    </i>
    <i r="1">
      <x v="5"/>
    </i>
    <i r="1">
      <x v="9"/>
    </i>
    <i r="1">
      <x v="11"/>
    </i>
    <i r="1">
      <x v="14"/>
    </i>
    <i r="1">
      <x v="17"/>
    </i>
    <i r="1">
      <x v="19"/>
    </i>
    <i r="1">
      <x v="20"/>
    </i>
    <i r="1">
      <x v="22"/>
    </i>
    <i r="1">
      <x v="24"/>
    </i>
    <i r="1">
      <x v="26"/>
    </i>
    <i r="1">
      <x v="97"/>
    </i>
    <i r="1">
      <x v="99"/>
    </i>
    <i r="1">
      <x v="101"/>
    </i>
    <i r="1">
      <x v="103"/>
    </i>
    <i t="default">
      <x v="1"/>
    </i>
    <i>
      <x v="2"/>
    </i>
    <i r="1">
      <x v="12"/>
    </i>
    <i r="1">
      <x v="31"/>
    </i>
    <i r="1">
      <x v="94"/>
    </i>
    <i t="default">
      <x v="2"/>
    </i>
    <i>
      <x v="3"/>
    </i>
    <i r="1">
      <x v="87"/>
    </i>
    <i t="default">
      <x v="3"/>
    </i>
    <i t="grand">
      <x/>
    </i>
  </rowItems>
  <colFields count="1">
    <field x="-2"/>
  </colFields>
  <colItems count="7">
    <i>
      <x/>
    </i>
    <i i="1">
      <x v="1"/>
    </i>
    <i i="2">
      <x v="2"/>
    </i>
    <i i="3">
      <x v="3"/>
    </i>
    <i i="4">
      <x v="4"/>
    </i>
    <i i="5">
      <x v="5"/>
    </i>
    <i i="6">
      <x v="6"/>
    </i>
  </colItems>
  <pageFields count="1">
    <pageField fld="0" item="12" hier="-1"/>
  </pageFields>
  <dataFields count="7">
    <dataField name="Sum of Brigade Manager" fld="5" baseField="1" baseItem="0"/>
    <dataField name="Sum of Area Manager" fld="4" baseField="1" baseItem="0"/>
    <dataField name="Sum of Group Manager" fld="8" baseField="1" baseItem="0"/>
    <dataField name="Sum of Station Manager" fld="9" baseField="1" baseItem="0"/>
    <dataField name="Sum of Watch Manager" fld="10" baseField="0" baseItem="0"/>
    <dataField name="Sum of Crew Manager" fld="6" baseField="0"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3700-000000000000}" name="PivotTable11"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3" firstHeaderRow="0" firstDataRow="1" firstDataCol="1" rowPageCount="1" colPageCount="1"/>
  <pivotFields count="7">
    <pivotField axis="axisPage" subtotalTop="0" showAll="0">
      <items count="13">
        <item x="0"/>
        <item x="1"/>
        <item x="2"/>
        <item x="3"/>
        <item x="4"/>
        <item x="5"/>
        <item x="6"/>
        <item x="7"/>
        <item x="8"/>
        <item x="9"/>
        <item x="10"/>
        <item x="11"/>
        <item t="default"/>
      </items>
    </pivotField>
    <pivotField subtotalTop="0" showAll="0"/>
    <pivotField axis="axisRow" subtotalTop="0" showAll="0">
      <items count="39">
        <item x="0"/>
        <item x="1"/>
        <item x="2"/>
        <item x="3"/>
        <item x="4"/>
        <item x="5"/>
        <item m="1" x="36"/>
        <item x="6"/>
        <item x="7"/>
        <item x="8"/>
        <item x="9"/>
        <item x="10"/>
        <item x="11"/>
        <item x="12"/>
        <item x="13"/>
        <item x="14"/>
        <item x="15"/>
        <item x="16"/>
        <item x="17"/>
        <item x="18"/>
        <item x="19"/>
        <item x="20"/>
        <item x="21"/>
        <item x="22"/>
        <item x="23"/>
        <item x="24"/>
        <item x="25"/>
        <item x="26"/>
        <item x="27"/>
        <item x="28"/>
        <item x="29"/>
        <item x="30"/>
        <item x="31"/>
        <item m="1" x="37"/>
        <item m="1" x="34"/>
        <item m="1" x="32"/>
        <item m="1" x="33"/>
        <item m="1" x="35"/>
        <item t="default"/>
      </items>
    </pivotField>
    <pivotField subtotalTop="0" showAll="0"/>
    <pivotField dataField="1" subtotalTop="0" showAll="0"/>
    <pivotField dataField="1" subtotalTop="0" showAll="0"/>
    <pivotField dataField="1" subtotalTop="0" showAll="0"/>
  </pivotFields>
  <rowFields count="1">
    <field x="2"/>
  </rowFields>
  <rowItems count="30">
    <i>
      <x/>
    </i>
    <i>
      <x v="1"/>
    </i>
    <i>
      <x v="2"/>
    </i>
    <i>
      <x v="3"/>
    </i>
    <i>
      <x v="4"/>
    </i>
    <i>
      <x v="5"/>
    </i>
    <i>
      <x v="7"/>
    </i>
    <i>
      <x v="8"/>
    </i>
    <i>
      <x v="9"/>
    </i>
    <i>
      <x v="11"/>
    </i>
    <i>
      <x v="13"/>
    </i>
    <i>
      <x v="14"/>
    </i>
    <i>
      <x v="16"/>
    </i>
    <i>
      <x v="17"/>
    </i>
    <i>
      <x v="18"/>
    </i>
    <i>
      <x v="19"/>
    </i>
    <i>
      <x v="20"/>
    </i>
    <i>
      <x v="21"/>
    </i>
    <i>
      <x v="22"/>
    </i>
    <i>
      <x v="23"/>
    </i>
    <i>
      <x v="24"/>
    </i>
    <i>
      <x v="25"/>
    </i>
    <i>
      <x v="26"/>
    </i>
    <i>
      <x v="27"/>
    </i>
    <i>
      <x v="28"/>
    </i>
    <i>
      <x v="29"/>
    </i>
    <i>
      <x v="30"/>
    </i>
    <i>
      <x v="31"/>
    </i>
    <i>
      <x v="32"/>
    </i>
    <i t="grand">
      <x/>
    </i>
  </rowItems>
  <colFields count="1">
    <field x="-2"/>
  </colFields>
  <colItems count="3">
    <i>
      <x/>
    </i>
    <i i="1">
      <x v="1"/>
    </i>
    <i i="2">
      <x v="2"/>
    </i>
  </colItems>
  <pageFields count="1">
    <pageField fld="0" item="11" hier="-1"/>
  </pageFields>
  <dataFields count="3">
    <dataField name="Sum of Watch Manager" fld="4" baseField="0" baseItem="0"/>
    <dataField name="Sum of Crew Manager" fld="5" baseField="0" baseItem="0"/>
    <dataField name="Sum of Firefight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3A00-000000000000}" name="PivotTable2" cacheId="3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5" firstHeaderRow="0" firstDataRow="1" firstDataCol="1" rowPageCount="1" colPageCount="1"/>
  <pivotFields count="9">
    <pivotField axis="axisPage" subtotalTop="0" showAll="0">
      <items count="13">
        <item x="0"/>
        <item x="1"/>
        <item x="2"/>
        <item x="3"/>
        <item x="4"/>
        <item x="5"/>
        <item x="6"/>
        <item x="7"/>
        <item x="8"/>
        <item x="9"/>
        <item x="10"/>
        <item x="11"/>
        <item t="default"/>
      </items>
    </pivotField>
    <pivotField axis="axisRow" subtotalTop="0" showAll="0">
      <items count="2">
        <item x="0"/>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6">
    <i>
      <x/>
    </i>
    <i i="1">
      <x v="1"/>
    </i>
    <i i="2">
      <x v="2"/>
    </i>
    <i i="3">
      <x v="3"/>
    </i>
    <i i="4">
      <x v="4"/>
    </i>
    <i i="5">
      <x v="5"/>
    </i>
  </colItems>
  <pageFields count="1">
    <pageField fld="0" item="11" hier="-1"/>
  </pageFields>
  <dataFields count="6">
    <dataField name="Sum of Area Manager" fld="3" baseField="1" baseItem="0"/>
    <dataField name="Sum of Group Manager" fld="4" baseField="0" baseItem="0"/>
    <dataField name="Sum of Station Manager" fld="5" baseField="0" baseItem="0"/>
    <dataField name="Sum of Watch Manager" fld="6" baseField="0" baseItem="0"/>
    <dataField name="Sum of Crew Manager" fld="7" baseField="0" baseItem="0"/>
    <dataField name="Sum of Control Operator"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3C00-000000000000}" name="PivotTable11" cacheId="3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12" firstHeaderRow="0" firstDataRow="1" firstDataCol="1" rowPageCount="1" colPageCount="1"/>
  <pivotFields count="12">
    <pivotField axis="axisPage" subtotalTop="0" showAll="0">
      <items count="13">
        <item x="0"/>
        <item x="1"/>
        <item x="2"/>
        <item x="3"/>
        <item x="4"/>
        <item x="5"/>
        <item x="6"/>
        <item x="7"/>
        <item x="8"/>
        <item x="9"/>
        <item x="10"/>
        <item x="11"/>
        <item t="default"/>
      </items>
    </pivotField>
    <pivotField axis="axisRow" subtotalTop="0" showAll="0">
      <items count="3">
        <item x="1"/>
        <item x="0"/>
        <item t="default"/>
      </items>
    </pivotField>
    <pivotField subtotalTop="0" showAll="0"/>
    <pivotField axis="axisRow" subtotalTop="0" showAll="0">
      <items count="6">
        <item x="2"/>
        <item x="3"/>
        <item x="0"/>
        <item x="1"/>
        <item m="1" x="4"/>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9">
    <i>
      <x/>
    </i>
    <i r="1">
      <x/>
    </i>
    <i r="1">
      <x v="1"/>
    </i>
    <i r="1">
      <x v="3"/>
    </i>
    <i t="default">
      <x/>
    </i>
    <i>
      <x v="1"/>
    </i>
    <i r="1">
      <x v="2"/>
    </i>
    <i t="default">
      <x v="1"/>
    </i>
    <i t="grand">
      <x/>
    </i>
  </rowItems>
  <colFields count="1">
    <field x="-2"/>
  </colFields>
  <colItems count="8">
    <i>
      <x/>
    </i>
    <i i="1">
      <x v="1"/>
    </i>
    <i i="2">
      <x v="2"/>
    </i>
    <i i="3">
      <x v="3"/>
    </i>
    <i i="4">
      <x v="4"/>
    </i>
    <i i="5">
      <x v="5"/>
    </i>
    <i i="6">
      <x v="6"/>
    </i>
    <i i="7">
      <x v="7"/>
    </i>
  </colItems>
  <pageFields count="1">
    <pageField fld="0" item="11" hier="-1"/>
  </pageFields>
  <dataFields count="8">
    <dataField name="Sum of Director" fld="5" baseField="1" baseItem="0"/>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2F062B-7BD4-4B92-B693-298C01405327}" name="PivotTable4" cacheId="2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E36" firstHeaderRow="0" firstDataRow="1" firstDataCol="1" rowPageCount="1" colPageCount="1"/>
  <pivotFields count="6">
    <pivotField axis="axisPage" subtotalTop="0" showAll="0">
      <items count="12">
        <item x="6"/>
        <item x="5"/>
        <item x="4"/>
        <item x="3"/>
        <item x="0"/>
        <item x="1"/>
        <item x="2"/>
        <item x="7"/>
        <item x="8"/>
        <item x="9"/>
        <item x="10"/>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10" hier="-1"/>
  </pageFields>
  <dataFields count="4">
    <dataField name="Sum of Wholetime" fld="2" baseField="1" baseItem="0"/>
    <dataField name="Sum of Retained" fld="3" baseField="1" baseItem="0"/>
    <dataField name="Sum of Volunteer" fld="4" baseField="1"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3F00-000000000000}" name="PivotTable2" cacheId="4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12" firstHeaderRow="0" firstDataRow="1" firstDataCol="1" rowPageCount="1" colPageCount="1"/>
  <pivotFields count="8">
    <pivotField axis="axisPage" subtotalTop="0" showAll="0">
      <items count="14">
        <item x="0"/>
        <item x="1"/>
        <item x="2"/>
        <item x="3"/>
        <item x="4"/>
        <item x="5"/>
        <item x="6"/>
        <item x="7"/>
        <item m="1" x="12"/>
        <item x="8"/>
        <item x="9"/>
        <item x="10"/>
        <item x="11"/>
        <item t="default"/>
      </items>
    </pivotField>
    <pivotField axis="axisRow" subtotalTop="0" showAll="0">
      <items count="3">
        <item x="0"/>
        <item m="1" x="1"/>
        <item t="default"/>
      </items>
    </pivotField>
    <pivotField subtotalTop="0" showAll="0"/>
    <pivotField axis="axisRow" subtotalTop="0" showAll="0">
      <items count="37">
        <item x="19"/>
        <item x="20"/>
        <item x="26"/>
        <item x="21"/>
        <item x="22"/>
        <item x="0"/>
        <item m="1" x="33"/>
        <item x="1"/>
        <item x="27"/>
        <item x="2"/>
        <item x="29"/>
        <item x="3"/>
        <item x="4"/>
        <item x="6"/>
        <item x="31"/>
        <item x="30"/>
        <item x="7"/>
        <item x="8"/>
        <item x="9"/>
        <item x="10"/>
        <item x="5"/>
        <item x="11"/>
        <item x="28"/>
        <item x="12"/>
        <item x="13"/>
        <item x="23"/>
        <item x="14"/>
        <item x="15"/>
        <item x="16"/>
        <item x="17"/>
        <item x="18"/>
        <item x="24"/>
        <item x="25"/>
        <item m="1" x="32"/>
        <item m="1" x="34"/>
        <item m="1" x="35"/>
        <item t="default"/>
      </items>
    </pivotField>
    <pivotField subtotalTop="0" showAll="0"/>
    <pivotField dataField="1" subtotalTop="0" showAll="0"/>
    <pivotField dataField="1" subtotalTop="0" showAll="0"/>
    <pivotField dataField="1" subtotalTop="0" showAll="0"/>
  </pivotFields>
  <rowFields count="2">
    <field x="1"/>
    <field x="3"/>
  </rowFields>
  <rowItems count="9">
    <i>
      <x/>
    </i>
    <i r="1">
      <x v="3"/>
    </i>
    <i r="1">
      <x v="7"/>
    </i>
    <i r="1">
      <x v="16"/>
    </i>
    <i r="1">
      <x v="19"/>
    </i>
    <i r="1">
      <x v="21"/>
    </i>
    <i r="1">
      <x v="24"/>
    </i>
    <i t="default">
      <x/>
    </i>
    <i t="grand">
      <x/>
    </i>
  </rowItems>
  <colFields count="1">
    <field x="-2"/>
  </colFields>
  <colItems count="3">
    <i>
      <x/>
    </i>
    <i i="1">
      <x v="1"/>
    </i>
    <i i="2">
      <x v="2"/>
    </i>
  </colItems>
  <pageFields count="1">
    <pageField fld="0" item="12" hier="-1"/>
  </pageFields>
  <dataFields count="3">
    <dataField name="Sum of Watch Manager" fld="5" baseField="0" baseItem="0"/>
    <dataField name="Sum of Crew Manager" fld="6" baseField="0" baseItem="0"/>
    <dataField name="Sum of Firefighte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4400-000000000000}" name="PivotTable3" cacheId="4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60" firstHeaderRow="0" firstDataRow="1" firstDataCol="1" rowPageCount="1" colPageCount="1"/>
  <pivotFields count="12">
    <pivotField axis="axisPage" subtotalTop="0" showAll="0">
      <items count="14">
        <item x="0"/>
        <item x="1"/>
        <item x="2"/>
        <item x="3"/>
        <item x="4"/>
        <item x="5"/>
        <item x="6"/>
        <item x="7"/>
        <item x="8"/>
        <item m="1" x="12"/>
        <item x="9"/>
        <item x="10"/>
        <item x="11"/>
        <item t="default"/>
      </items>
    </pivotField>
    <pivotField axis="axisRow" subtotalTop="0" showAll="0">
      <items count="8">
        <item x="0"/>
        <item x="1"/>
        <item x="2"/>
        <item x="3"/>
        <item m="1" x="5"/>
        <item x="4"/>
        <item m="1" x="6"/>
        <item t="default"/>
      </items>
    </pivotField>
    <pivotField subtotalTop="0" showAll="0"/>
    <pivotField axis="axisRow" subtotalTop="0" showAll="0">
      <items count="62">
        <item x="19"/>
        <item x="20"/>
        <item x="32"/>
        <item m="1" x="50"/>
        <item x="26"/>
        <item x="21"/>
        <item x="33"/>
        <item x="22"/>
        <item x="0"/>
        <item m="1" x="55"/>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7"/>
        <item x="43"/>
        <item x="24"/>
        <item x="25"/>
        <item x="41"/>
        <item x="48"/>
        <item x="49"/>
        <item m="1" x="56"/>
        <item m="1" x="51"/>
        <item m="1" x="57"/>
        <item m="1" x="54"/>
        <item m="1" x="59"/>
        <item m="1" x="53"/>
        <item m="1" x="58"/>
        <item m="1" x="60"/>
        <item m="1" x="5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57">
    <i>
      <x/>
    </i>
    <i r="1">
      <x/>
    </i>
    <i r="1">
      <x v="1"/>
    </i>
    <i r="1">
      <x v="4"/>
    </i>
    <i r="1">
      <x v="5"/>
    </i>
    <i r="1">
      <x v="7"/>
    </i>
    <i r="1">
      <x v="8"/>
    </i>
    <i r="1">
      <x v="10"/>
    </i>
    <i r="1">
      <x v="11"/>
    </i>
    <i r="1">
      <x v="14"/>
    </i>
    <i r="1">
      <x v="16"/>
    </i>
    <i r="1">
      <x v="17"/>
    </i>
    <i r="1">
      <x v="19"/>
    </i>
    <i r="1">
      <x v="22"/>
    </i>
    <i r="1">
      <x v="24"/>
    </i>
    <i r="1">
      <x v="25"/>
    </i>
    <i r="1">
      <x v="26"/>
    </i>
    <i r="1">
      <x v="28"/>
    </i>
    <i r="1">
      <x v="29"/>
    </i>
    <i r="1">
      <x v="30"/>
    </i>
    <i r="1">
      <x v="31"/>
    </i>
    <i r="1">
      <x v="33"/>
    </i>
    <i r="1">
      <x v="34"/>
    </i>
    <i r="1">
      <x v="36"/>
    </i>
    <i r="1">
      <x v="37"/>
    </i>
    <i r="1">
      <x v="39"/>
    </i>
    <i r="1">
      <x v="41"/>
    </i>
    <i r="1">
      <x v="42"/>
    </i>
    <i r="1">
      <x v="43"/>
    </i>
    <i r="1">
      <x v="47"/>
    </i>
    <i r="1">
      <x v="48"/>
    </i>
    <i t="default">
      <x/>
    </i>
    <i>
      <x v="1"/>
    </i>
    <i r="1">
      <x v="6"/>
    </i>
    <i r="1">
      <x v="10"/>
    </i>
    <i r="1">
      <x v="12"/>
    </i>
    <i r="1">
      <x v="15"/>
    </i>
    <i r="1">
      <x v="18"/>
    </i>
    <i r="1">
      <x v="20"/>
    </i>
    <i r="1">
      <x v="21"/>
    </i>
    <i r="1">
      <x v="23"/>
    </i>
    <i r="1">
      <x v="25"/>
    </i>
    <i r="1">
      <x v="27"/>
    </i>
    <i r="1">
      <x v="45"/>
    </i>
    <i r="1">
      <x v="49"/>
    </i>
    <i r="1">
      <x v="50"/>
    </i>
    <i r="1">
      <x v="51"/>
    </i>
    <i t="default">
      <x v="1"/>
    </i>
    <i>
      <x v="2"/>
    </i>
    <i r="1">
      <x v="13"/>
    </i>
    <i r="1">
      <x v="32"/>
    </i>
    <i r="1">
      <x v="46"/>
    </i>
    <i t="default">
      <x v="2"/>
    </i>
    <i>
      <x v="3"/>
    </i>
    <i r="1">
      <x v="38"/>
    </i>
    <i t="default">
      <x v="3"/>
    </i>
    <i t="grand">
      <x/>
    </i>
  </rowItems>
  <colFields count="1">
    <field x="-2"/>
  </colFields>
  <colItems count="7">
    <i>
      <x/>
    </i>
    <i i="1">
      <x v="1"/>
    </i>
    <i i="2">
      <x v="2"/>
    </i>
    <i i="3">
      <x v="3"/>
    </i>
    <i i="4">
      <x v="4"/>
    </i>
    <i i="5">
      <x v="5"/>
    </i>
    <i i="6">
      <x v="6"/>
    </i>
  </colItems>
  <pageFields count="1">
    <pageField fld="0" item="12" hier="-1"/>
  </pageFields>
  <dataFields count="7">
    <dataField name="Sum of Brigade Manager" fld="6" baseField="3" baseItem="25"/>
    <dataField name="Sum of Area Manager" fld="5" baseField="3" baseItem="25"/>
    <dataField name="Sum of Group Manager" fld="9" baseField="3" baseItem="25"/>
    <dataField name="Sum of Station Manager" fld="10" baseField="3" baseItem="25"/>
    <dataField name="Sum of Watch Manager" fld="11" baseField="3" baseItem="25"/>
    <dataField name="Sum of Crew Manager" fld="7" baseField="3" baseItem="25"/>
    <dataField name="Sum of Firefighter" fld="8" baseField="3" baseItem="2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4800-000000000000}" name="PivotTable4" cacheId="4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6" firstHeaderRow="0" firstDataRow="1" firstDataCol="1" rowPageCount="1" colPageCount="1"/>
  <pivotFields count="8">
    <pivotField axis="axisPage" subtotalTop="0" showAll="0">
      <items count="14">
        <item x="1"/>
        <item x="2"/>
        <item x="3"/>
        <item x="4"/>
        <item x="5"/>
        <item x="6"/>
        <item x="7"/>
        <item x="8"/>
        <item x="0"/>
        <item x="9"/>
        <item x="10"/>
        <item x="11"/>
        <item x="12"/>
        <item t="default"/>
      </items>
    </pivotField>
    <pivotField axis="axisRow" subtotalTop="0" showAll="0">
      <items count="3">
        <item x="1"/>
        <item x="0"/>
        <item t="default"/>
      </items>
    </pivotField>
    <pivotField subtotalTop="0" showAll="0"/>
    <pivotField axis="axisRow" subtotalTop="0" showAll="0">
      <items count="38">
        <item x="21"/>
        <item x="22"/>
        <item x="1"/>
        <item x="28"/>
        <item x="23"/>
        <item x="24"/>
        <item x="2"/>
        <item m="1" x="34"/>
        <item x="3"/>
        <item x="29"/>
        <item x="4"/>
        <item x="31"/>
        <item x="5"/>
        <item x="6"/>
        <item x="8"/>
        <item x="33"/>
        <item x="32"/>
        <item x="9"/>
        <item x="10"/>
        <item x="11"/>
        <item x="12"/>
        <item x="7"/>
        <item x="13"/>
        <item x="30"/>
        <item x="14"/>
        <item x="15"/>
        <item x="25"/>
        <item x="16"/>
        <item x="17"/>
        <item x="18"/>
        <item x="19"/>
        <item x="20"/>
        <item x="26"/>
        <item x="27"/>
        <item x="0"/>
        <item m="1" x="35"/>
        <item m="1" x="36"/>
        <item t="default"/>
      </items>
    </pivotField>
    <pivotField subtotalTop="0" showAll="0"/>
    <pivotField dataField="1" subtotalTop="0" showAll="0"/>
    <pivotField dataField="1" subtotalTop="0" showAll="0"/>
    <pivotField dataField="1" subtotalTop="0" showAll="0"/>
  </pivotFields>
  <rowFields count="2">
    <field x="1"/>
    <field x="3"/>
  </rowFields>
  <rowItems count="33">
    <i>
      <x/>
    </i>
    <i r="1">
      <x/>
    </i>
    <i r="1">
      <x v="1"/>
    </i>
    <i r="1">
      <x v="2"/>
    </i>
    <i r="1">
      <x v="3"/>
    </i>
    <i r="1">
      <x v="4"/>
    </i>
    <i r="1">
      <x v="5"/>
    </i>
    <i r="1">
      <x v="6"/>
    </i>
    <i r="1">
      <x v="8"/>
    </i>
    <i r="1">
      <x v="9"/>
    </i>
    <i r="1">
      <x v="10"/>
    </i>
    <i r="1">
      <x v="12"/>
    </i>
    <i r="1">
      <x v="14"/>
    </i>
    <i r="1">
      <x v="15"/>
    </i>
    <i r="1">
      <x v="17"/>
    </i>
    <i r="1">
      <x v="18"/>
    </i>
    <i r="1">
      <x v="19"/>
    </i>
    <i r="1">
      <x v="20"/>
    </i>
    <i r="1">
      <x v="21"/>
    </i>
    <i r="1">
      <x v="22"/>
    </i>
    <i r="1">
      <x v="23"/>
    </i>
    <i r="1">
      <x v="24"/>
    </i>
    <i r="1">
      <x v="25"/>
    </i>
    <i r="1">
      <x v="26"/>
    </i>
    <i r="1">
      <x v="27"/>
    </i>
    <i r="1">
      <x v="28"/>
    </i>
    <i r="1">
      <x v="29"/>
    </i>
    <i r="1">
      <x v="30"/>
    </i>
    <i r="1">
      <x v="31"/>
    </i>
    <i r="1">
      <x v="32"/>
    </i>
    <i r="1">
      <x v="33"/>
    </i>
    <i t="default">
      <x/>
    </i>
    <i t="grand">
      <x/>
    </i>
  </rowItems>
  <colFields count="1">
    <field x="-2"/>
  </colFields>
  <colItems count="3">
    <i>
      <x/>
    </i>
    <i i="1">
      <x v="1"/>
    </i>
    <i i="2">
      <x v="2"/>
    </i>
  </colItems>
  <pageFields count="1">
    <pageField fld="0" item="12" hier="-1"/>
  </pageFields>
  <dataFields count="3">
    <dataField name="Sum of Watch Manager" fld="5" baseField="1" baseItem="0"/>
    <dataField name="Sum of Crew Manager" fld="6" baseField="1"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4B00-000000000000}" name="PivotTable5" cacheId="5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5" firstHeaderRow="0" firstDataRow="1" firstDataCol="1" rowPageCount="1" colPageCount="1"/>
  <pivotFields count="11">
    <pivotField axis="axisPage" subtotalTop="0" showAll="0">
      <items count="13">
        <item x="0"/>
        <item x="1"/>
        <item x="2"/>
        <item x="3"/>
        <item x="4"/>
        <item x="5"/>
        <item x="6"/>
        <item x="7"/>
        <item x="8"/>
        <item x="9"/>
        <item x="10"/>
        <item x="11"/>
        <item t="default"/>
      </items>
    </pivotField>
    <pivotField axis="axisRow" subtotalTop="0" showAll="0">
      <items count="3">
        <item x="0"/>
        <item m="1" x="1"/>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6">
    <i>
      <x/>
    </i>
    <i i="1">
      <x v="1"/>
    </i>
    <i i="2">
      <x v="2"/>
    </i>
    <i i="3">
      <x v="3"/>
    </i>
    <i i="4">
      <x v="4"/>
    </i>
    <i i="5">
      <x v="5"/>
    </i>
  </colItems>
  <pageFields count="1">
    <pageField fld="0" item="11" hier="-1"/>
  </pageFields>
  <dataFields count="6">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4D00-000000000000}" name="PivotTable6" cacheId="4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5" firstHeaderRow="0" firstDataRow="1" firstDataCol="1" rowPageCount="1" colPageCount="1"/>
  <pivotFields count="12">
    <pivotField axis="axisPage" subtotalTop="0" showAll="0">
      <items count="13">
        <item x="0"/>
        <item x="1"/>
        <item x="2"/>
        <item x="3"/>
        <item x="4"/>
        <item x="5"/>
        <item x="6"/>
        <item x="7"/>
        <item x="8"/>
        <item x="9"/>
        <item x="10"/>
        <item x="11"/>
        <item t="default"/>
      </items>
    </pivotField>
    <pivotField subtotalTop="0" showAll="0"/>
    <pivotField axis="axisRow" subtotalTop="0" showAll="0">
      <items count="5">
        <item m="1" x="2"/>
        <item m="1" x="3"/>
        <item x="0"/>
        <item m="1" x="1"/>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2">
    <i>
      <x v="2"/>
    </i>
    <i t="grand">
      <x/>
    </i>
  </rowItems>
  <colFields count="1">
    <field x="-2"/>
  </colFields>
  <colItems count="8">
    <i>
      <x/>
    </i>
    <i i="1">
      <x v="1"/>
    </i>
    <i i="2">
      <x v="2"/>
    </i>
    <i i="3">
      <x v="3"/>
    </i>
    <i i="4">
      <x v="4"/>
    </i>
    <i i="5">
      <x v="5"/>
    </i>
    <i i="6">
      <x v="6"/>
    </i>
    <i i="7">
      <x v="7"/>
    </i>
  </colItems>
  <pageFields count="1">
    <pageField fld="0" item="11" hier="-1"/>
  </pageFields>
  <dataFields count="8">
    <dataField name="Sum of Director" fld="4" baseField="2" baseItem="0"/>
    <dataField name="Sum of Service Manager" fld="5" baseField="2" baseItem="0"/>
    <dataField name="Sum of Team Leader" fld="6" baseField="2" baseItem="0"/>
    <dataField name="Sum of Professional" fld="7" baseField="2" baseItem="0"/>
    <dataField name="Sum of Specialist Technical" fld="8" baseField="2" baseItem="0"/>
    <dataField name="Sum of Tech Support" fld="9" baseField="2" baseItem="0"/>
    <dataField name="Sum of Administration" fld="10" baseField="2" baseItem="0"/>
    <dataField name="Sum of Tot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F93B760-F154-4B84-BD8B-80032FC68DAA}" name="PivotTable1" cacheId="2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5:N21" firstHeaderRow="0" firstDataRow="1" firstDataCol="1"/>
  <pivotFields count="13">
    <pivotField axis="axisRow" showAll="0">
      <items count="16">
        <item x="0"/>
        <item x="12"/>
        <item x="9"/>
        <item x="2"/>
        <item x="3"/>
        <item x="4"/>
        <item x="7"/>
        <item x="1"/>
        <item x="5"/>
        <item x="6"/>
        <item x="13"/>
        <item x="10"/>
        <item x="11"/>
        <item x="8"/>
        <item x="1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2"/>
  </colFields>
  <colItems count="12">
    <i>
      <x/>
    </i>
    <i i="1">
      <x v="1"/>
    </i>
    <i i="2">
      <x v="2"/>
    </i>
    <i i="3">
      <x v="3"/>
    </i>
    <i i="4">
      <x v="4"/>
    </i>
    <i i="5">
      <x v="5"/>
    </i>
    <i i="6">
      <x v="6"/>
    </i>
    <i i="7">
      <x v="7"/>
    </i>
    <i i="8">
      <x v="8"/>
    </i>
    <i i="9">
      <x v="9"/>
    </i>
    <i i="10">
      <x v="10"/>
    </i>
    <i i="11">
      <x v="11"/>
    </i>
  </colItems>
  <dataFields count="12">
    <dataField name="Sum of WTFemale" fld="1" baseField="0" baseItem="0"/>
    <dataField name="Sum of WTMale" fld="2" baseField="0" baseItem="0"/>
    <dataField name="Sum of RDSFemale" fld="3" baseField="0" baseItem="0"/>
    <dataField name="Sum of RDSMale" fld="4" baseField="0" baseItem="0"/>
    <dataField name="Sum of RDS FulltimeFemale" fld="5" baseField="0" baseItem="0"/>
    <dataField name="Sum of RDS FulltimeMale" fld="6" baseField="0" baseItem="0"/>
    <dataField name="Sum of ControlFemale" fld="7" baseField="0" baseItem="0"/>
    <dataField name="Sum of ControlMale" fld="8" baseField="0" baseItem="0"/>
    <dataField name="Sum of SupportFemale" fld="9" baseField="0" baseItem="0"/>
    <dataField name="Sum of SupportMale" fld="10" baseField="0" baseItem="0"/>
    <dataField name="Sum of VolFemale" fld="11" baseField="0" baseItem="0"/>
    <dataField name="Sum of VolMale"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5100-000000000000}" name="PivotTable7" cacheId="1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10" firstHeaderRow="0" firstDataRow="1" firstDataCol="1" rowPageCount="1" colPageCount="1"/>
  <pivotFields count="5">
    <pivotField axis="axisPage" subtotalTop="0" showAll="0">
      <items count="13">
        <item x="4"/>
        <item x="0"/>
        <item x="9"/>
        <item x="5"/>
        <item x="10"/>
        <item x="6"/>
        <item x="1"/>
        <item x="11"/>
        <item x="7"/>
        <item x="2"/>
        <item x="3"/>
        <item x="8"/>
        <item t="default"/>
      </items>
    </pivotField>
    <pivotField axis="axisRow" subtotalTop="0" showAll="0">
      <items count="7">
        <item x="5"/>
        <item x="1"/>
        <item x="2"/>
        <item x="3"/>
        <item x="0"/>
        <item x="4"/>
        <item t="default"/>
      </items>
    </pivotField>
    <pivotField dataField="1" subtotalTop="0" showAll="0"/>
    <pivotField dataField="1" subtotalTop="0" showAll="0"/>
    <pivotField dataField="1" subtotalTop="0" showAll="0"/>
  </pivotFields>
  <rowFields count="1">
    <field x="1"/>
  </rowFields>
  <rowItems count="7">
    <i>
      <x/>
    </i>
    <i>
      <x v="1"/>
    </i>
    <i>
      <x v="2"/>
    </i>
    <i>
      <x v="3"/>
    </i>
    <i>
      <x v="4"/>
    </i>
    <i>
      <x v="5"/>
    </i>
    <i t="grand">
      <x/>
    </i>
  </rowItems>
  <colFields count="1">
    <field x="-2"/>
  </colFields>
  <colItems count="3">
    <i>
      <x/>
    </i>
    <i i="1">
      <x v="1"/>
    </i>
    <i i="2">
      <x v="2"/>
    </i>
  </colItems>
  <pageFields count="1">
    <pageField fld="0" item="11" hier="-1"/>
  </pageFields>
  <dataFields count="3">
    <dataField name="Sum of Female" fld="3" baseField="0" baseItem="0"/>
    <dataField name="Sum of Male" fld="4"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5800-000000000000}" name="PivotTable1" cacheId="4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44" firstHeaderRow="0" firstDataRow="1" firstDataCol="1" rowPageCount="1" colPageCount="1"/>
  <pivotFields count="6">
    <pivotField axis="axisPage" subtotalTop="0" showAll="0">
      <items count="13">
        <item x="0"/>
        <item x="1"/>
        <item x="2"/>
        <item x="3"/>
        <item x="4"/>
        <item x="11"/>
        <item x="5"/>
        <item x="6"/>
        <item x="7"/>
        <item x="8"/>
        <item x="9"/>
        <item x="10"/>
        <item t="default"/>
      </items>
    </pivotField>
    <pivotField axis="axisRow" subtotalTop="0" showAll="0">
      <items count="7">
        <item x="0"/>
        <item x="4"/>
        <item x="5"/>
        <item x="1"/>
        <item x="2"/>
        <item x="3"/>
        <item t="default"/>
      </items>
    </pivotField>
    <pivotField axis="axisRow" subtotalTop="0" showAll="0" sortType="ascending">
      <items count="18">
        <item x="5"/>
        <item x="4"/>
        <item x="9"/>
        <item x="2"/>
        <item x="8"/>
        <item x="6"/>
        <item x="0"/>
        <item x="13"/>
        <item x="12"/>
        <item x="1"/>
        <item x="10"/>
        <item x="11"/>
        <item x="3"/>
        <item m="1" x="16"/>
        <item x="7"/>
        <item x="14"/>
        <item m="1" x="15"/>
        <item t="default"/>
      </items>
      <autoSortScope>
        <pivotArea dataOnly="0" outline="0" fieldPosition="0">
          <references count="1">
            <reference field="4294967294" count="1" selected="0">
              <x v="0"/>
            </reference>
          </references>
        </pivotArea>
      </autoSortScope>
    </pivotField>
    <pivotField dataField="1" subtotalTop="0" showAll="0"/>
    <pivotField dataField="1" subtotalTop="0" showAll="0"/>
    <pivotField dataField="1" subtotalTop="0" showAll="0"/>
  </pivotFields>
  <rowFields count="2">
    <field x="1"/>
    <field x="2"/>
  </rowFields>
  <rowItems count="41">
    <i>
      <x/>
    </i>
    <i r="1">
      <x v="1"/>
    </i>
    <i r="1">
      <x v="6"/>
    </i>
    <i r="1">
      <x v="10"/>
    </i>
    <i r="1">
      <x v="3"/>
    </i>
    <i r="1">
      <x v="14"/>
    </i>
    <i r="1">
      <x v="5"/>
    </i>
    <i t="default">
      <x/>
    </i>
    <i>
      <x v="1"/>
    </i>
    <i r="1">
      <x v="14"/>
    </i>
    <i r="1">
      <x v="3"/>
    </i>
    <i r="1">
      <x v="5"/>
    </i>
    <i t="default">
      <x v="1"/>
    </i>
    <i>
      <x v="2"/>
    </i>
    <i r="1">
      <x v="3"/>
    </i>
    <i r="1">
      <x v="14"/>
    </i>
    <i t="default">
      <x v="2"/>
    </i>
    <i>
      <x v="3"/>
    </i>
    <i r="1">
      <x v="4"/>
    </i>
    <i r="1">
      <x v="12"/>
    </i>
    <i r="1">
      <x v="11"/>
    </i>
    <i r="1">
      <x v="8"/>
    </i>
    <i r="1">
      <x v="7"/>
    </i>
    <i r="1">
      <x/>
    </i>
    <i r="1">
      <x v="9"/>
    </i>
    <i t="default">
      <x v="3"/>
    </i>
    <i>
      <x v="4"/>
    </i>
    <i r="1">
      <x v="14"/>
    </i>
    <i r="1">
      <x v="3"/>
    </i>
    <i r="1">
      <x v="5"/>
    </i>
    <i t="default">
      <x v="4"/>
    </i>
    <i>
      <x v="5"/>
    </i>
    <i r="1">
      <x v="2"/>
    </i>
    <i r="1">
      <x v="1"/>
    </i>
    <i r="1">
      <x v="10"/>
    </i>
    <i r="1">
      <x v="6"/>
    </i>
    <i r="1">
      <x v="14"/>
    </i>
    <i r="1">
      <x v="3"/>
    </i>
    <i r="1">
      <x v="5"/>
    </i>
    <i t="default">
      <x v="5"/>
    </i>
    <i t="grand">
      <x/>
    </i>
  </rowItems>
  <colFields count="1">
    <field x="-2"/>
  </colFields>
  <colItems count="3">
    <i>
      <x/>
    </i>
    <i i="1">
      <x v="1"/>
    </i>
    <i i="2">
      <x v="2"/>
    </i>
  </colItems>
  <pageFields count="1">
    <pageField fld="0" item="11" hier="-1"/>
  </pageFields>
  <dataFields count="3">
    <dataField name="Sum of Female" fld="4" baseField="0" baseItem="0"/>
    <dataField name="Sum of Male" fld="5"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5B00-000000000000}" name="PivotTable8" cacheId="4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9" firstHeaderRow="0" firstDataRow="1" firstDataCol="1" rowPageCount="1" colPageCount="1"/>
  <pivotFields count="6">
    <pivotField axis="axisPage" subtotalTop="0" showAll="0">
      <items count="13">
        <item x="0"/>
        <item x="1"/>
        <item x="2"/>
        <item x="4"/>
        <item x="5"/>
        <item x="6"/>
        <item x="7"/>
        <item x="3"/>
        <item x="8"/>
        <item x="9"/>
        <item x="10"/>
        <item x="11"/>
        <item t="default"/>
      </items>
    </pivotField>
    <pivotField axis="axisRow" subtotalTop="0" showAll="0">
      <items count="6">
        <item x="2"/>
        <item x="0"/>
        <item x="4"/>
        <item x="1"/>
        <item x="3"/>
        <item t="default"/>
      </items>
    </pivotField>
    <pivotField axis="axisRow" subtotalTop="0" showAll="0">
      <items count="17">
        <item x="3"/>
        <item x="7"/>
        <item x="9"/>
        <item x="2"/>
        <item x="4"/>
        <item x="0"/>
        <item x="11"/>
        <item x="10"/>
        <item x="13"/>
        <item x="12"/>
        <item x="8"/>
        <item x="5"/>
        <item x="1"/>
        <item x="6"/>
        <item x="14"/>
        <item m="1" x="15"/>
        <item t="default"/>
      </items>
    </pivotField>
    <pivotField dataField="1" subtotalTop="0" showAll="0"/>
    <pivotField dataField="1" subtotalTop="0" showAll="0"/>
    <pivotField dataField="1" subtotalTop="0" showAll="0"/>
  </pivotFields>
  <rowFields count="2">
    <field x="1"/>
    <field x="2"/>
  </rowFields>
  <rowItems count="36">
    <i>
      <x/>
    </i>
    <i r="1">
      <x v="1"/>
    </i>
    <i r="1">
      <x v="3"/>
    </i>
    <i r="1">
      <x v="5"/>
    </i>
    <i r="1">
      <x v="6"/>
    </i>
    <i r="1">
      <x v="10"/>
    </i>
    <i r="1">
      <x v="13"/>
    </i>
    <i t="default">
      <x/>
    </i>
    <i>
      <x v="1"/>
    </i>
    <i r="1">
      <x v="3"/>
    </i>
    <i r="1">
      <x v="5"/>
    </i>
    <i r="1">
      <x v="13"/>
    </i>
    <i t="default">
      <x v="1"/>
    </i>
    <i>
      <x v="2"/>
    </i>
    <i r="1">
      <x v="3"/>
    </i>
    <i r="1">
      <x v="13"/>
    </i>
    <i t="default">
      <x v="2"/>
    </i>
    <i>
      <x v="3"/>
    </i>
    <i r="1">
      <x/>
    </i>
    <i r="1">
      <x v="4"/>
    </i>
    <i r="1">
      <x v="7"/>
    </i>
    <i r="1">
      <x v="8"/>
    </i>
    <i r="1">
      <x v="9"/>
    </i>
    <i r="1">
      <x v="11"/>
    </i>
    <i r="1">
      <x v="12"/>
    </i>
    <i t="default">
      <x v="3"/>
    </i>
    <i>
      <x v="4"/>
    </i>
    <i r="1">
      <x v="1"/>
    </i>
    <i r="1">
      <x v="2"/>
    </i>
    <i r="1">
      <x v="3"/>
    </i>
    <i r="1">
      <x v="5"/>
    </i>
    <i r="1">
      <x v="6"/>
    </i>
    <i r="1">
      <x v="10"/>
    </i>
    <i r="1">
      <x v="13"/>
    </i>
    <i t="default">
      <x v="4"/>
    </i>
    <i t="grand">
      <x/>
    </i>
  </rowItems>
  <colFields count="1">
    <field x="-2"/>
  </colFields>
  <colItems count="3">
    <i>
      <x/>
    </i>
    <i i="1">
      <x v="1"/>
    </i>
    <i i="2">
      <x v="2"/>
    </i>
  </colItems>
  <pageFields count="1">
    <pageField fld="0" item="11" hier="-1"/>
  </pageFields>
  <dataFields count="3">
    <dataField name="Sum of Female" fld="4" baseField="1" baseItem="0"/>
    <dataField name="Sum of Male" fld="5"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5F00-000000000000}" name="PivotTable3" cacheId="1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17" firstHeaderRow="0" firstDataRow="1" firstDataCol="1" rowPageCount="1" colPageCount="1"/>
  <pivotFields count="8">
    <pivotField axis="axisPage" subtotalTop="0" showAll="0">
      <items count="13">
        <item x="11"/>
        <item x="0"/>
        <item x="1"/>
        <item x="2"/>
        <item x="9"/>
        <item x="3"/>
        <item x="4"/>
        <item x="10"/>
        <item x="5"/>
        <item x="6"/>
        <item x="7"/>
        <item x="8"/>
        <item t="default"/>
      </items>
    </pivotField>
    <pivotField axis="axisRow" showAll="0">
      <items count="19">
        <item x="3"/>
        <item x="15"/>
        <item x="7"/>
        <item x="5"/>
        <item x="14"/>
        <item x="8"/>
        <item x="4"/>
        <item x="10"/>
        <item x="1"/>
        <item x="9"/>
        <item x="16"/>
        <item x="0"/>
        <item x="6"/>
        <item x="13"/>
        <item x="11"/>
        <item x="17"/>
        <item x="12"/>
        <item x="2"/>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4">
    <i>
      <x/>
    </i>
    <i>
      <x v="2"/>
    </i>
    <i>
      <x v="3"/>
    </i>
    <i>
      <x v="5"/>
    </i>
    <i>
      <x v="6"/>
    </i>
    <i>
      <x v="7"/>
    </i>
    <i>
      <x v="8"/>
    </i>
    <i>
      <x v="9"/>
    </i>
    <i>
      <x v="11"/>
    </i>
    <i>
      <x v="12"/>
    </i>
    <i>
      <x v="14"/>
    </i>
    <i>
      <x v="16"/>
    </i>
    <i>
      <x v="17"/>
    </i>
    <i t="grand">
      <x/>
    </i>
  </rowItems>
  <colFields count="1">
    <field x="-2"/>
  </colFields>
  <colItems count="6">
    <i>
      <x/>
    </i>
    <i i="1">
      <x v="1"/>
    </i>
    <i i="2">
      <x v="2"/>
    </i>
    <i i="3">
      <x v="3"/>
    </i>
    <i i="4">
      <x v="4"/>
    </i>
    <i i="5">
      <x v="5"/>
    </i>
  </colItems>
  <pageFields count="1">
    <pageField fld="0" item="11" hier="-1"/>
  </pageFields>
  <dataFields count="6">
    <dataField name="Sum of Wholetime Operational" fld="2" baseField="7" baseItem="0"/>
    <dataField name="Sum of Retained Duty System" fld="3" baseField="7" baseItem="0"/>
    <dataField name="Sum of Retained Full-time" fld="4" baseField="7" baseItem="0"/>
    <dataField name="Sum of Control" fld="5" baseField="7" baseItem="0"/>
    <dataField name="Sum of Support Staff" fld="6" baseField="7" baseItem="0"/>
    <dataField name="Sum of Volunteer" fld="7"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AC30C2-D0C6-487C-8879-B9BB502DDB51}" name="PivotTable3" cacheId="6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AB9" firstHeaderRow="1" firstDataRow="2" firstDataCol="1"/>
  <pivotFields count="4">
    <pivotField axis="axisRow" showAll="0">
      <items count="7">
        <item x="0"/>
        <item x="1"/>
        <item x="2"/>
        <item x="3"/>
        <item x="4"/>
        <item x="5"/>
        <item t="default"/>
      </items>
    </pivotField>
    <pivotField showAll="0"/>
    <pivotField axis="axisCol" showAll="0">
      <items count="43">
        <item x="25"/>
        <item m="1" x="26"/>
        <item x="1"/>
        <item m="1" x="27"/>
        <item x="2"/>
        <item m="1" x="35"/>
        <item x="10"/>
        <item x="3"/>
        <item m="1" x="28"/>
        <item x="16"/>
        <item m="1" x="29"/>
        <item m="1" x="36"/>
        <item m="1" x="37"/>
        <item m="1" x="30"/>
        <item x="11"/>
        <item m="1" x="38"/>
        <item x="4"/>
        <item x="5"/>
        <item x="12"/>
        <item m="1" x="31"/>
        <item x="6"/>
        <item x="17"/>
        <item x="0"/>
        <item x="21"/>
        <item x="13"/>
        <item x="24"/>
        <item m="1" x="40"/>
        <item x="14"/>
        <item m="1" x="39"/>
        <item x="18"/>
        <item x="7"/>
        <item m="1" x="32"/>
        <item x="8"/>
        <item m="1" x="33"/>
        <item x="22"/>
        <item x="23"/>
        <item m="1" x="34"/>
        <item x="9"/>
        <item x="19"/>
        <item m="1" x="41"/>
        <item x="15"/>
        <item x="20"/>
        <item t="default"/>
      </items>
    </pivotField>
    <pivotField dataField="1" showAll="0"/>
  </pivotFields>
  <rowFields count="1">
    <field x="0"/>
  </rowFields>
  <rowItems count="7">
    <i>
      <x/>
    </i>
    <i>
      <x v="1"/>
    </i>
    <i>
      <x v="2"/>
    </i>
    <i>
      <x v="3"/>
    </i>
    <i>
      <x v="4"/>
    </i>
    <i>
      <x v="5"/>
    </i>
    <i t="grand">
      <x/>
    </i>
  </rowItems>
  <colFields count="1">
    <field x="2"/>
  </colFields>
  <colItems count="27">
    <i>
      <x/>
    </i>
    <i>
      <x v="2"/>
    </i>
    <i>
      <x v="4"/>
    </i>
    <i>
      <x v="6"/>
    </i>
    <i>
      <x v="7"/>
    </i>
    <i>
      <x v="9"/>
    </i>
    <i>
      <x v="14"/>
    </i>
    <i>
      <x v="16"/>
    </i>
    <i>
      <x v="17"/>
    </i>
    <i>
      <x v="18"/>
    </i>
    <i>
      <x v="20"/>
    </i>
    <i>
      <x v="21"/>
    </i>
    <i>
      <x v="22"/>
    </i>
    <i>
      <x v="23"/>
    </i>
    <i>
      <x v="24"/>
    </i>
    <i>
      <x v="25"/>
    </i>
    <i>
      <x v="27"/>
    </i>
    <i>
      <x v="29"/>
    </i>
    <i>
      <x v="30"/>
    </i>
    <i>
      <x v="32"/>
    </i>
    <i>
      <x v="34"/>
    </i>
    <i>
      <x v="35"/>
    </i>
    <i>
      <x v="37"/>
    </i>
    <i>
      <x v="38"/>
    </i>
    <i>
      <x v="40"/>
    </i>
    <i>
      <x v="41"/>
    </i>
    <i t="grand">
      <x/>
    </i>
  </colItems>
  <dataFields count="1">
    <dataField name="Sum of Valu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6300-000000000000}" name="PivotTable1" cacheId="2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F13" firstHeaderRow="0" firstDataRow="1" firstDataCol="1" rowPageCount="1" colPageCount="1"/>
  <pivotFields count="7">
    <pivotField axis="axisPage" subtotalTop="0" showAll="0">
      <items count="9">
        <item x="0"/>
        <item x="1"/>
        <item x="2"/>
        <item x="5"/>
        <item x="3"/>
        <item x="7"/>
        <item x="6"/>
        <item x="4"/>
        <item t="default"/>
      </items>
    </pivotField>
    <pivotField axis="axisRow" subtotalTop="0" showAll="0">
      <items count="12">
        <item x="0"/>
        <item x="8"/>
        <item x="1"/>
        <item x="7"/>
        <item x="4"/>
        <item x="3"/>
        <item x="2"/>
        <item x="5"/>
        <item x="6"/>
        <item m="1" x="9"/>
        <item m="1" x="10"/>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0">
    <i>
      <x/>
    </i>
    <i>
      <x v="1"/>
    </i>
    <i>
      <x v="2"/>
    </i>
    <i>
      <x v="3"/>
    </i>
    <i>
      <x v="4"/>
    </i>
    <i>
      <x v="5"/>
    </i>
    <i>
      <x v="6"/>
    </i>
    <i>
      <x v="7"/>
    </i>
    <i>
      <x v="8"/>
    </i>
    <i t="grand">
      <x/>
    </i>
  </rowItems>
  <colFields count="1">
    <field x="-2"/>
  </colFields>
  <colItems count="5">
    <i>
      <x/>
    </i>
    <i i="1">
      <x v="1"/>
    </i>
    <i i="2">
      <x v="2"/>
    </i>
    <i i="3">
      <x v="3"/>
    </i>
    <i i="4">
      <x v="4"/>
    </i>
  </colItems>
  <pageFields count="1">
    <pageField fld="0" item="7" hier="-1"/>
  </pageFields>
  <dataFields count="5">
    <dataField name="Sum of Wholetime Operational" fld="2" baseField="0" baseItem="0"/>
    <dataField name="Sum of Retained Duty System" fld="3" baseField="0" baseItem="0"/>
    <dataField name="Sum of Retained Full-time" fld="4" baseField="1" baseItem="6"/>
    <dataField name="Sum of Control" fld="5" baseField="0" baseItem="0"/>
    <dataField name="Sum of Volunte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539C9363-E354-40BD-AF1C-730C20592217}" name="PivotTable9" cacheId="5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AE21" firstHeaderRow="1" firstDataRow="3" firstDataCol="1"/>
  <pivotFields count="5">
    <pivotField axis="axisRow" showAll="0">
      <items count="16">
        <item x="0"/>
        <item x="1"/>
        <item x="2"/>
        <item x="3"/>
        <item x="4"/>
        <item x="5"/>
        <item x="6"/>
        <item x="7"/>
        <item x="8"/>
        <item x="9"/>
        <item x="10"/>
        <item x="11"/>
        <item x="12"/>
        <item x="13"/>
        <item x="14"/>
        <item t="default"/>
      </items>
    </pivotField>
    <pivotField axis="axisCol" showAll="0">
      <items count="10">
        <item x="0"/>
        <item x="1"/>
        <item x="7"/>
        <item x="2"/>
        <item x="3"/>
        <item x="4"/>
        <item x="5"/>
        <item x="6"/>
        <item x="8"/>
        <item t="default"/>
      </items>
    </pivotField>
    <pivotField dataField="1" showAll="0"/>
    <pivotField dataField="1" showAll="0"/>
    <pivotField dataField="1" showAll="0"/>
  </pivotFields>
  <rowFields count="1">
    <field x="0"/>
  </rowFields>
  <rowItems count="16">
    <i>
      <x/>
    </i>
    <i>
      <x v="1"/>
    </i>
    <i>
      <x v="2"/>
    </i>
    <i>
      <x v="3"/>
    </i>
    <i>
      <x v="4"/>
    </i>
    <i>
      <x v="5"/>
    </i>
    <i>
      <x v="6"/>
    </i>
    <i>
      <x v="7"/>
    </i>
    <i>
      <x v="8"/>
    </i>
    <i>
      <x v="9"/>
    </i>
    <i>
      <x v="10"/>
    </i>
    <i>
      <x v="11"/>
    </i>
    <i>
      <x v="12"/>
    </i>
    <i>
      <x v="13"/>
    </i>
    <i>
      <x v="14"/>
    </i>
    <i t="grand">
      <x/>
    </i>
  </rowItems>
  <colFields count="2">
    <field x="1"/>
    <field x="-2"/>
  </colFields>
  <colItems count="30">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t="grand">
      <x/>
    </i>
    <i t="grand" i="1">
      <x/>
    </i>
    <i t="grand" i="2">
      <x/>
    </i>
  </colItems>
  <dataFields count="3">
    <dataField name="Sum of White" fld="2" baseField="0" baseItem="0"/>
    <dataField name="Sum of Ethnic Minority" fld="3" baseField="0" baseItem="0"/>
    <dataField name="Sum of Not Sta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4C9A151-4C59-442A-9F0A-614497B77E41}" name="PivotTable1"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I16" firstHeaderRow="0" firstDataRow="1" firstDataCol="1"/>
  <pivotFields count="9">
    <pivotField axis="axisRow" showAll="0">
      <items count="15">
        <item x="0"/>
        <item x="1"/>
        <item x="2"/>
        <item x="3"/>
        <item x="4"/>
        <item x="5"/>
        <item x="6"/>
        <item x="7"/>
        <item x="8"/>
        <item x="9"/>
        <item x="10"/>
        <item x="11"/>
        <item x="12"/>
        <item x="13"/>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8">
    <i>
      <x/>
    </i>
    <i i="1">
      <x v="1"/>
    </i>
    <i i="2">
      <x v="2"/>
    </i>
    <i i="3">
      <x v="3"/>
    </i>
    <i i="4">
      <x v="4"/>
    </i>
    <i i="5">
      <x v="5"/>
    </i>
    <i i="6">
      <x v="6"/>
    </i>
    <i i="7">
      <x v="7"/>
    </i>
  </colItems>
  <dataFields count="8">
    <dataField name="Sum of Wholetime Operational" fld="1" baseField="0" baseItem="0"/>
    <dataField name="Sum of Retained Duty System" fld="2" baseField="0" baseItem="0"/>
    <dataField name="Sum of Retained Fulltime" fld="3" baseField="0" baseItem="0"/>
    <dataField name="Sum of Control" fld="4" baseField="0" baseItem="0"/>
    <dataField name="Sum of Support" fld="5" baseField="0" baseItem="0"/>
    <dataField name="Sum of Volunteer" fld="6" baseField="0" baseItem="0"/>
    <dataField name="Sum of Total" fld="7" baseField="0" baseItem="0"/>
    <dataField name="Sum of Total (excluding volunter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A73E3440-D7D4-4BA7-AF68-F98A6256E087}" name="PivotTable2" cacheId="5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7:I39" firstHeaderRow="0" firstDataRow="1" firstDataCol="1"/>
  <pivotFields count="9">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8">
    <i>
      <x/>
    </i>
    <i i="1">
      <x v="1"/>
    </i>
    <i i="2">
      <x v="2"/>
    </i>
    <i i="3">
      <x v="3"/>
    </i>
    <i i="4">
      <x v="4"/>
    </i>
    <i i="5">
      <x v="5"/>
    </i>
    <i i="6">
      <x v="6"/>
    </i>
    <i i="7">
      <x v="7"/>
    </i>
  </colItems>
  <dataFields count="8">
    <dataField name="Sum of Wholetime Operational" fld="1" baseField="0" baseItem="0"/>
    <dataField name="Sum of Retained Duty System" fld="2" baseField="0" baseItem="0"/>
    <dataField name="Sum of Retained Fulltime" fld="3" baseField="0" baseItem="0"/>
    <dataField name="Sum of Control" fld="4" baseField="0" baseItem="0"/>
    <dataField name="Sum of Support" fld="5" baseField="0" baseItem="0"/>
    <dataField name="Sum of Volunteer" fld="6" baseField="0" baseItem="0"/>
    <dataField name="Sum of Total" fld="7" baseField="0" baseItem="0"/>
    <dataField name="Sum of Total (excluding volunter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E8597E93-3B6D-42EE-ABB1-40E0E1F6AE78}" name="PivotTable2" cacheId="2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11" firstHeaderRow="0" firstDataRow="1" firstDataCol="1" rowPageCount="1" colPageCount="1"/>
  <pivotFields count="9">
    <pivotField axis="axisPage" subtotalTop="0" showAll="0">
      <items count="8">
        <item x="0"/>
        <item x="1"/>
        <item x="2"/>
        <item x="3"/>
        <item x="4"/>
        <item x="5"/>
        <item x="6"/>
        <item t="default"/>
      </items>
    </pivotField>
    <pivotField axis="axisRow" subtotalTop="0" showAll="0">
      <items count="13">
        <item x="0"/>
        <item x="1"/>
        <item x="2"/>
        <item x="3"/>
        <item x="4"/>
        <item x="5"/>
        <item x="6"/>
        <item x="7"/>
        <item x="8"/>
        <item x="9"/>
        <item x="10"/>
        <item x="11"/>
        <item t="default"/>
      </items>
    </pivotField>
    <pivotField dataField="1" subtotalTop="0" showAll="0"/>
    <pivotField dataField="1" subtotalTop="0" showAll="0"/>
    <pivotField dataField="1" showAll="0"/>
    <pivotField dataField="1" subtotalTop="0" showAll="0"/>
    <pivotField dataField="1" subtotalTop="0" showAll="0"/>
    <pivotField dataField="1" subtotalTop="0" showAll="0"/>
    <pivotField subtotalTop="0" showAll="0"/>
  </pivotFields>
  <rowFields count="1">
    <field x="1"/>
  </rowFields>
  <rowItems count="8">
    <i>
      <x/>
    </i>
    <i>
      <x v="1"/>
    </i>
    <i>
      <x v="2"/>
    </i>
    <i>
      <x v="3"/>
    </i>
    <i>
      <x v="4"/>
    </i>
    <i>
      <x v="5"/>
    </i>
    <i>
      <x v="7"/>
    </i>
    <i t="grand">
      <x/>
    </i>
  </rowItems>
  <colFields count="1">
    <field x="-2"/>
  </colFields>
  <colItems count="6">
    <i>
      <x/>
    </i>
    <i i="1">
      <x v="1"/>
    </i>
    <i i="2">
      <x v="2"/>
    </i>
    <i i="3">
      <x v="3"/>
    </i>
    <i i="4">
      <x v="4"/>
    </i>
    <i i="5">
      <x v="5"/>
    </i>
  </colItems>
  <pageFields count="1">
    <pageField fld="0" item="6" hier="-1"/>
  </pageFields>
  <dataFields count="6">
    <dataField name="Sum of Wholetime Operational" fld="2" baseField="0" baseItem="0"/>
    <dataField name="Sum of Retained Duty System" fld="3" baseField="0" baseItem="0"/>
    <dataField name="Sum of Retained Full-time" fld="4" baseField="0" baseItem="0"/>
    <dataField name="Sum of Control" fld="5" baseField="0" baseItem="0"/>
    <dataField name="Sum of Support" fld="6" baseField="0" baseItem="0"/>
    <dataField name="Sum of Volunteer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788A457-24AA-456B-ABE4-46588B38946F}" name="PivotTable11" cacheId="3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50:F52" firstHeaderRow="0" firstDataRow="1" firstDataCol="1" rowPageCount="1" colPageCount="1"/>
  <pivotFields count="7">
    <pivotField axis="axisPage" multipleItemSelectionAllowed="1" showAll="0">
      <items count="8">
        <item h="1" x="0"/>
        <item h="1" x="1"/>
        <item h="1" x="2"/>
        <item h="1" x="5"/>
        <item h="1" x="3"/>
        <item h="1" x="4"/>
        <item x="6"/>
        <item t="default"/>
      </items>
    </pivotField>
    <pivotField axis="axisRow" subtotalTop="0" showAll="0">
      <items count="4">
        <item x="0"/>
        <item x="1"/>
        <item x="2"/>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v="2"/>
    </i>
    <i t="grand">
      <x/>
    </i>
  </rowItems>
  <colFields count="1">
    <field x="-2"/>
  </colFields>
  <colItems count="5">
    <i>
      <x/>
    </i>
    <i i="1">
      <x v="1"/>
    </i>
    <i i="2">
      <x v="2"/>
    </i>
    <i i="3">
      <x v="3"/>
    </i>
    <i i="4">
      <x v="4"/>
    </i>
  </colItems>
  <pageFields count="1">
    <pageField fld="0" hier="-1"/>
  </pageFields>
  <dataFields count="5">
    <dataField name="Sum of Support" fld="5" baseField="0" baseItem="0"/>
    <dataField name="Sum of WT" fld="2" baseField="1" baseItem="0"/>
    <dataField name="Sum of RDS" fld="3" baseField="1" baseItem="0"/>
    <dataField name="Sum of Control" fld="4" baseField="1" baseItem="0"/>
    <dataField name="Sum of Vol"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25F4B9AF-ADCF-4F84-8F9C-A50F3EF002A7}" name="PivotTable10" cacheId="3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6:F38" firstHeaderRow="0" firstDataRow="1" firstDataCol="1" rowPageCount="1" colPageCount="1"/>
  <pivotFields count="7">
    <pivotField axis="axisPage" multipleItemSelectionAllowed="1" showAll="0">
      <items count="8">
        <item h="1" x="0"/>
        <item h="1" x="1"/>
        <item h="1" x="2"/>
        <item h="1" x="3"/>
        <item h="1" x="5"/>
        <item h="1" x="4"/>
        <item x="6"/>
        <item t="default"/>
      </items>
    </pivotField>
    <pivotField axis="axisRow" subtotalTop="0" showAll="0">
      <items count="4">
        <item x="0"/>
        <item x="1"/>
        <item x="2"/>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v="1"/>
    </i>
    <i t="grand">
      <x/>
    </i>
  </rowItems>
  <colFields count="1">
    <field x="-2"/>
  </colFields>
  <colItems count="5">
    <i>
      <x/>
    </i>
    <i i="1">
      <x v="1"/>
    </i>
    <i i="2">
      <x v="2"/>
    </i>
    <i i="3">
      <x v="3"/>
    </i>
    <i i="4">
      <x v="4"/>
    </i>
  </colItems>
  <pageFields count="1">
    <pageField fld="0" hier="-1"/>
  </pageFields>
  <dataFields count="5">
    <dataField name="Sum of RDS" fld="3" baseField="0" baseItem="0"/>
    <dataField name="Sum of WT" fld="2" baseField="1" baseItem="0"/>
    <dataField name="Sum of Control" fld="4" baseField="1" baseItem="0"/>
    <dataField name="Sum of Support" fld="5" baseField="1" baseItem="0"/>
    <dataField name="Sum of Vol"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6D00-000003000000}" name="PivotTable9"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7:G28" firstHeaderRow="0" firstDataRow="1" firstDataCol="1" rowPageCount="1" colPageCount="1"/>
  <pivotFields count="8">
    <pivotField axis="axisPage" subtotalTop="0" showAll="0">
      <items count="8">
        <item x="0"/>
        <item x="1"/>
        <item x="2"/>
        <item x="3"/>
        <item x="4"/>
        <item x="5"/>
        <item x="6"/>
        <item t="default"/>
      </items>
    </pivotField>
    <pivotField axis="axisRow" subtotalTop="0" showAll="0">
      <items count="13">
        <item x="0"/>
        <item x="1"/>
        <item x="2"/>
        <item x="3"/>
        <item x="4"/>
        <item x="5"/>
        <item x="6"/>
        <item x="7"/>
        <item x="8"/>
        <item x="9"/>
        <item x="10"/>
        <item x="1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1">
    <i>
      <x/>
    </i>
    <i>
      <x v="1"/>
    </i>
    <i>
      <x v="2"/>
    </i>
    <i>
      <x v="3"/>
    </i>
    <i>
      <x v="4"/>
    </i>
    <i>
      <x v="5"/>
    </i>
    <i>
      <x v="6"/>
    </i>
    <i>
      <x v="7"/>
    </i>
    <i>
      <x v="8"/>
    </i>
    <i>
      <x v="10"/>
    </i>
    <i t="grand">
      <x/>
    </i>
  </rowItems>
  <colFields count="1">
    <field x="-2"/>
  </colFields>
  <colItems count="6">
    <i>
      <x/>
    </i>
    <i i="1">
      <x v="1"/>
    </i>
    <i i="2">
      <x v="2"/>
    </i>
    <i i="3">
      <x v="3"/>
    </i>
    <i i="4">
      <x v="4"/>
    </i>
    <i i="5">
      <x v="5"/>
    </i>
  </colItems>
  <pageFields count="1">
    <pageField fld="0" item="6" hier="-1"/>
  </pageFields>
  <dataFields count="6">
    <dataField name="Sum of Wholetime Operational" fld="2" baseField="0" baseItem="0"/>
    <dataField name="Sum of Retained Duty System" fld="3" baseField="0" baseItem="0"/>
    <dataField name="Sum of Control" fld="4" baseField="0" baseItem="0"/>
    <dataField name="Sum of Support" fld="5" baseField="0" baseItem="0"/>
    <dataField name="Sum of Volunteers" fld="6" baseField="0"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6D00-000002000000}" name="PivotTable7" cacheId="3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6" firstHeaderRow="0" firstDataRow="1" firstDataCol="1" rowPageCount="1" colPageCount="1"/>
  <pivotFields count="8">
    <pivotField axis="axisPage" subtotalTop="0" showAll="0">
      <items count="8">
        <item x="0"/>
        <item x="1"/>
        <item x="2"/>
        <item x="3"/>
        <item x="4"/>
        <item x="5"/>
        <item x="6"/>
        <item t="default"/>
      </items>
    </pivotField>
    <pivotField axis="axisRow" subtotalTop="0" showAll="0">
      <items count="3">
        <item x="0"/>
        <item x="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
    <i>
      <x/>
    </i>
    <i>
      <x v="1"/>
    </i>
    <i t="grand">
      <x/>
    </i>
  </rowItems>
  <colFields count="1">
    <field x="-2"/>
  </colFields>
  <colItems count="6">
    <i>
      <x/>
    </i>
    <i i="1">
      <x v="1"/>
    </i>
    <i i="2">
      <x v="2"/>
    </i>
    <i i="3">
      <x v="3"/>
    </i>
    <i i="4">
      <x v="4"/>
    </i>
    <i i="5">
      <x v="5"/>
    </i>
  </colItems>
  <pageFields count="1">
    <pageField fld="0" item="6" hier="-1"/>
  </pageFields>
  <dataFields count="6">
    <dataField name="Sum of Wholetime Operational" fld="2" baseField="0" baseItem="0"/>
    <dataField name="Sum of Retained Duty System" fld="3" baseField="0" baseItem="0"/>
    <dataField name="Sum of Control" fld="4" baseField="0" baseItem="0"/>
    <dataField name="Sum of Support" fld="5" baseField="0" baseItem="0"/>
    <dataField name="Sum of Volunteers" fld="6" baseField="0"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720E4849-49DC-4535-AAA1-884163C4ECFA}" name="PivotTable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53:F64" firstHeaderRow="0" firstDataRow="1" firstDataCol="1"/>
  <pivotFields count="6">
    <pivotField axis="axisRow" showAll="0">
      <items count="2">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4">
    <i>
      <x/>
    </i>
    <i i="1">
      <x v="1"/>
    </i>
    <i i="2">
      <x v="2"/>
    </i>
    <i i="3">
      <x v="3"/>
    </i>
  </colItems>
  <dataFields count="4">
    <dataField name="Sum of Attack against property/equipment" fld="2" baseField="0" baseItem="0"/>
    <dataField name="Sum of Verbal assault" fld="3" baseField="0" baseItem="0"/>
    <dataField name="Sum of Physical assault" fld="4" baseField="0"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25CC0D1-817E-4DAD-AF20-3E829D982749}" name="PivotTable2" cacheId="6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D32:E58" firstHeaderRow="1" firstDataRow="1" firstDataCol="1"/>
  <pivotFields count="3">
    <pivotField axis="axisRow" showAll="0">
      <items count="7">
        <item x="2"/>
        <item x="0"/>
        <item x="1"/>
        <item x="3"/>
        <item x="4"/>
        <item x="5"/>
        <item t="default"/>
      </items>
    </pivotField>
    <pivotField axis="axisRow" showAll="0">
      <items count="6">
        <item x="0"/>
        <item x="1"/>
        <item x="2"/>
        <item x="3"/>
        <item x="4"/>
        <item t="default"/>
      </items>
    </pivotField>
    <pivotField dataField="1" showAll="0"/>
  </pivotFields>
  <rowFields count="2">
    <field x="0"/>
    <field x="1"/>
  </rowFields>
  <rowItems count="26">
    <i>
      <x/>
    </i>
    <i r="1">
      <x/>
    </i>
    <i r="1">
      <x v="1"/>
    </i>
    <i r="1">
      <x v="2"/>
    </i>
    <i>
      <x v="1"/>
    </i>
    <i r="1">
      <x/>
    </i>
    <i r="1">
      <x v="1"/>
    </i>
    <i r="1">
      <x v="2"/>
    </i>
    <i>
      <x v="2"/>
    </i>
    <i r="1">
      <x/>
    </i>
    <i r="1">
      <x v="1"/>
    </i>
    <i r="1">
      <x v="2"/>
    </i>
    <i>
      <x v="3"/>
    </i>
    <i r="1">
      <x/>
    </i>
    <i r="1">
      <x v="1"/>
    </i>
    <i r="1">
      <x v="2"/>
    </i>
    <i>
      <x v="4"/>
    </i>
    <i r="1">
      <x/>
    </i>
    <i r="1">
      <x v="1"/>
    </i>
    <i r="1">
      <x v="2"/>
    </i>
    <i>
      <x v="5"/>
    </i>
    <i r="1">
      <x v="1"/>
    </i>
    <i r="1">
      <x v="2"/>
    </i>
    <i r="1">
      <x v="3"/>
    </i>
    <i r="1">
      <x v="4"/>
    </i>
    <i t="grand">
      <x/>
    </i>
  </rowItems>
  <colItems count="1">
    <i/>
  </colItems>
  <dataFields count="1">
    <dataField name="Sum of Number of Stations with Capability"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4B9B802C-319C-495E-AB24-66CEC4AA805B}" name="PivotTable3"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6:F47" firstHeaderRow="0" firstDataRow="1" firstDataCol="1"/>
  <pivotFields count="6">
    <pivotField axis="axisRow" showAll="0">
      <items count="2">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4">
    <i>
      <x/>
    </i>
    <i i="1">
      <x v="1"/>
    </i>
    <i i="2">
      <x v="2"/>
    </i>
    <i i="3">
      <x v="3"/>
    </i>
  </colItems>
  <dataFields count="4">
    <dataField name="Sum of Attack against property/equipment" fld="2" baseField="0" baseItem="0"/>
    <dataField name="Sum of Verbal assault" fld="3" baseField="0" baseItem="0"/>
    <dataField name="Sum of Physical assault" fld="4" baseField="0"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5AD242E4-0655-46B6-BADD-C0AE342317A7}"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0:F31" firstHeaderRow="0" firstDataRow="1" firstDataCol="1"/>
  <pivotFields count="6">
    <pivotField axis="axisRow" showAll="0">
      <items count="2">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4">
    <i>
      <x/>
    </i>
    <i i="1">
      <x v="1"/>
    </i>
    <i i="2">
      <x v="2"/>
    </i>
    <i i="3">
      <x v="3"/>
    </i>
  </colItems>
  <dataFields count="4">
    <dataField name="Sum of Attack against property/equipment" fld="2" baseField="0" baseItem="0"/>
    <dataField name="Sum of Verbal assault" fld="3" baseField="0" baseItem="0"/>
    <dataField name="Sum of Physical assault" fld="4" baseField="0"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EAAA787A-C8A6-4701-B969-7379266A324B}"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F15" firstHeaderRow="0" firstDataRow="1" firstDataCol="1"/>
  <pivotFields count="6">
    <pivotField axis="axisRow" showAll="0">
      <items count="2">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4">
    <i>
      <x/>
    </i>
    <i i="1">
      <x v="1"/>
    </i>
    <i i="2">
      <x v="2"/>
    </i>
    <i i="3">
      <x v="3"/>
    </i>
  </colItems>
  <dataFields count="4">
    <dataField name="Sum of Attack against property/equipment" fld="2" baseField="0" baseItem="0"/>
    <dataField name="Sum of Verbal assault" fld="3" baseField="0" baseItem="0"/>
    <dataField name="Sum of Physical assault" fld="4" baseField="0"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847BE813-0259-4066-98F8-33CA45A15AD6}" name="PivotTable5"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K34" firstHeaderRow="0" firstDataRow="1" firstDataCol="1"/>
  <pivotFields count="11">
    <pivotField axis="axisRow" showAll="0">
      <items count="30">
        <item x="1"/>
        <item x="2"/>
        <item x="3"/>
        <item x="4"/>
        <item x="5"/>
        <item x="6"/>
        <item x="7"/>
        <item x="8"/>
        <item x="9"/>
        <item x="10"/>
        <item x="11"/>
        <item x="12"/>
        <item x="13"/>
        <item x="14"/>
        <item x="15"/>
        <item x="16"/>
        <item x="17"/>
        <item x="18"/>
        <item x="19"/>
        <item x="20"/>
        <item x="21"/>
        <item x="22"/>
        <item x="23"/>
        <item x="24"/>
        <item x="25"/>
        <item x="26"/>
        <item x="27"/>
        <item x="28"/>
        <item x="0"/>
        <item t="default"/>
      </items>
    </pivotField>
    <pivotField showAll="0">
      <items count="30">
        <item x="5"/>
        <item x="6"/>
        <item x="8"/>
        <item x="10"/>
        <item x="11"/>
        <item x="12"/>
        <item x="15"/>
        <item x="16"/>
        <item x="17"/>
        <item x="18"/>
        <item x="19"/>
        <item x="23"/>
        <item x="24"/>
        <item x="25"/>
        <item x="26"/>
        <item x="1"/>
        <item x="2"/>
        <item x="3"/>
        <item x="4"/>
        <item x="22"/>
        <item x="27"/>
        <item x="28"/>
        <item x="7"/>
        <item x="9"/>
        <item x="13"/>
        <item x="21"/>
        <item x="14"/>
        <item x="20"/>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9">
    <i>
      <x/>
    </i>
    <i i="1">
      <x v="1"/>
    </i>
    <i i="2">
      <x v="2"/>
    </i>
    <i i="3">
      <x v="3"/>
    </i>
    <i i="4">
      <x v="4"/>
    </i>
    <i i="5">
      <x v="5"/>
    </i>
    <i i="6">
      <x v="6"/>
    </i>
    <i i="7">
      <x v="7"/>
    </i>
    <i i="8">
      <x v="8"/>
    </i>
  </colItems>
  <dataFields count="9">
    <dataField name="Sum of 2016-17" fld="2" baseField="0" baseItem="0"/>
    <dataField name="Sum of 2017-18" fld="3" baseField="0" baseItem="0"/>
    <dataField name="Sum of 2018-19" fld="4" baseField="0" baseItem="0"/>
    <dataField name="Sum of 2019-20" fld="5" baseField="0" baseItem="0"/>
    <dataField name="Sum of 2020-21" fld="6" baseField="0" baseItem="0"/>
    <dataField name="Sum of 2021-22" fld="7" baseField="0" baseItem="0"/>
    <dataField name="Sum of 2022-23" fld="8" baseField="0" baseItem="0"/>
    <dataField name="Sum of 2023-24" fld="9" baseField="0" baseItem="0"/>
    <dataField name="Sum of 2024-25"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DF5F8303-B730-4CF2-BD37-900D1C9701A0}" name="PivotTable1" cacheId="6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H19" firstHeaderRow="0" firstDataRow="1" firstDataCol="1"/>
  <pivotFields count="7">
    <pivotField axis="axisRow" showAll="0">
      <items count="16">
        <item x="10"/>
        <item x="12"/>
        <item x="5"/>
        <item x="8"/>
        <item x="11"/>
        <item x="13"/>
        <item x="0"/>
        <item x="3"/>
        <item x="1"/>
        <item x="4"/>
        <item x="2"/>
        <item x="9"/>
        <item x="6"/>
        <item x="14"/>
        <item x="7"/>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dataFields count="6">
    <dataField name="Sum of New" fld="5" baseField="0" baseItem="0"/>
    <dataField name="Sum of Replacement" fld="6" baseField="0" baseItem="0"/>
    <dataField name="Sum of Total_Alarms" fld="4" baseField="0" baseItem="0"/>
    <dataField name="Sum of Total_HFSV" fld="3" baseField="0" baseItem="0"/>
    <dataField name="Sum of HFSV_AdviceOnly" fld="2" baseField="0" baseItem="0"/>
    <dataField name="Sum of HFSV_AlarmsInstalle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FF309EE2-1AD3-42FE-82B0-3B53E0932E32}" name="PivotTable2" cacheId="4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K31" firstHeaderRow="1" firstDataRow="1" firstDataCol="1"/>
  <pivotFields count="3">
    <pivotField showAll="0"/>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dataField="1" showAll="0"/>
  </pivotFields>
  <rowFields count="1">
    <field x="1"/>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ousehold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1687E2C0-4A6F-42D7-ADC9-BAE54FDAFCAD}" name="PivotTable1" cacheId="5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F30" firstHeaderRow="0" firstDataRow="1" firstDataCol="1"/>
  <pivotFields count="12">
    <pivotField axis="axisRow" showAll="0">
      <items count="13">
        <item x="0"/>
        <item x="1"/>
        <item x="2"/>
        <item x="3"/>
        <item x="4"/>
        <item x="5"/>
        <item x="6"/>
        <item x="7"/>
        <item x="8"/>
        <item x="9"/>
        <item x="10"/>
        <item x="11"/>
        <item t="default"/>
      </items>
    </pivotField>
    <pivotField axis="axisRow" showAll="0">
      <items count="3">
        <item x="0"/>
        <item x="1"/>
        <item t="default"/>
      </items>
    </pivotField>
    <pivotField dataField="1" showAll="0"/>
    <pivotField dataField="1" showAll="0"/>
    <pivotField dataField="1" showAll="0"/>
    <pivotField dataField="1" showAll="0"/>
    <pivotField showAll="0"/>
    <pivotField showAll="0"/>
    <pivotField showAll="0"/>
    <pivotField showAll="0"/>
    <pivotField showAll="0"/>
    <pivotField showAll="0"/>
  </pivotFields>
  <rowFields count="2">
    <field x="1"/>
    <field x="0"/>
  </rowFields>
  <rowItems count="26">
    <i>
      <x/>
    </i>
    <i r="1">
      <x/>
    </i>
    <i r="1">
      <x v="1"/>
    </i>
    <i r="1">
      <x v="2"/>
    </i>
    <i r="1">
      <x v="3"/>
    </i>
    <i r="1">
      <x v="4"/>
    </i>
    <i r="1">
      <x v="5"/>
    </i>
    <i r="1">
      <x v="6"/>
    </i>
    <i r="1">
      <x v="7"/>
    </i>
    <i r="1">
      <x v="8"/>
    </i>
    <i r="1">
      <x v="9"/>
    </i>
    <i r="1">
      <x v="10"/>
    </i>
    <i r="1">
      <x v="11"/>
    </i>
    <i>
      <x v="1"/>
    </i>
    <i r="1">
      <x/>
    </i>
    <i r="1">
      <x v="1"/>
    </i>
    <i r="1">
      <x v="2"/>
    </i>
    <i r="1">
      <x v="3"/>
    </i>
    <i r="1">
      <x v="4"/>
    </i>
    <i r="1">
      <x v="5"/>
    </i>
    <i r="1">
      <x v="6"/>
    </i>
    <i r="1">
      <x v="7"/>
    </i>
    <i r="1">
      <x v="8"/>
    </i>
    <i r="1">
      <x v="10"/>
    </i>
    <i r="1">
      <x v="11"/>
    </i>
    <i t="grand">
      <x/>
    </i>
  </rowItems>
  <colFields count="1">
    <field x="-2"/>
  </colFields>
  <colItems count="4">
    <i>
      <x/>
    </i>
    <i i="1">
      <x v="1"/>
    </i>
    <i i="2">
      <x v="2"/>
    </i>
    <i i="3">
      <x v="3"/>
    </i>
  </colItems>
  <dataFields count="4">
    <dataField name="Sum of OneYrDistinct" fld="2" baseField="0" baseItem="0"/>
    <dataField name="Sum of ThreeYrDistinct" fld="3" baseField="0" baseItem="0"/>
    <dataField name="Sum of FiveYrDistinct" fld="4" baseField="0" baseItem="0"/>
    <dataField name="Sum of OneYrDistinctNew"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48A0046E-3952-423F-A20B-FCD92FB7CD95}" name="PivotTable2" cacheId="2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E17" firstHeaderRow="0" firstDataRow="1" firstDataCol="1"/>
  <pivotFields count="4">
    <pivotField axis="axisRow" showAll="0">
      <items count="13">
        <item x="0"/>
        <item x="1"/>
        <item x="2"/>
        <item x="3"/>
        <item x="4"/>
        <item x="5"/>
        <item x="6"/>
        <item x="7"/>
        <item x="8"/>
        <item x="9"/>
        <item x="10"/>
        <item x="11"/>
        <item t="default"/>
      </items>
    </pivotField>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Sum of In One Year" fld="1" baseField="0" baseItem="0"/>
    <dataField name="Sum of Over Three Years" fld="2" baseField="0" baseItem="0"/>
    <dataField name="Sum of Over Five Yea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A4DD3832-EE4E-478A-A99D-8432842B8B21}"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H14" firstHeaderRow="0" firstDataRow="1" firstDataCol="1"/>
  <pivotFields count="9">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7">
    <i>
      <x/>
    </i>
    <i i="1">
      <x v="1"/>
    </i>
    <i i="2">
      <x v="2"/>
    </i>
    <i i="3">
      <x v="3"/>
    </i>
    <i i="4">
      <x v="4"/>
    </i>
    <i i="5">
      <x v="5"/>
    </i>
    <i i="6">
      <x v="6"/>
    </i>
  </colItems>
  <dataFields count="7">
    <dataField name="Sum of Under 5s" fld="1" baseField="0" baseItem="0"/>
    <dataField name="Sum of 5 to 10" fld="2" baseField="0" baseItem="0"/>
    <dataField name="Sum of 11 to 16" fld="3" baseField="0" baseItem="0"/>
    <dataField name="Sum of 17 to 30" fld="4" baseField="0" baseItem="0"/>
    <dataField name="Sum of 31 to 60" fld="5" baseField="0" baseItem="0"/>
    <dataField name="Sum of Over 60" fld="6" baseField="0" baseItem="0"/>
    <dataField name="Sum of All Resident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F5405F8A-07C1-4D02-8534-B86EB59F25BE}" name="PivotTable3" cacheId="4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7" firstHeaderRow="0" firstDataRow="1" firstDataCol="1"/>
  <pivotFields count="8">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7">
    <i>
      <x/>
    </i>
    <i i="1">
      <x v="1"/>
    </i>
    <i i="2">
      <x v="2"/>
    </i>
    <i i="3">
      <x v="3"/>
    </i>
    <i i="4">
      <x v="4"/>
    </i>
    <i i="5">
      <x v="5"/>
    </i>
    <i i="6">
      <x v="6"/>
    </i>
  </colItems>
  <dataFields count="7">
    <dataField name="Sum of Under 5s" fld="1" baseField="0" baseItem="0"/>
    <dataField name="Sum of 5 to 10" fld="2" baseField="0" baseItem="0"/>
    <dataField name="Sum of 11 to 16" fld="3" baseField="0" baseItem="0"/>
    <dataField name="Sum of 17 to 30" fld="4" baseField="0" baseItem="0"/>
    <dataField name="Sum of 31 to 60" fld="5" baseField="0" baseItem="0"/>
    <dataField name="Sum of Over 60" fld="6" baseField="0" baseItem="0"/>
    <dataField name="Sum of All Resident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073DC20-EE1C-4766-A59B-A42383B847C4}"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17" firstHeaderRow="0" firstDataRow="1" firstDataCol="1"/>
  <pivotFields count="14">
    <pivotField axis="axisRow" showAll="0">
      <items count="14">
        <item x="0"/>
        <item x="1"/>
        <item x="2"/>
        <item x="3"/>
        <item x="4"/>
        <item x="5"/>
        <item x="6"/>
        <item x="7"/>
        <item x="8"/>
        <item x="9"/>
        <item x="10"/>
        <item x="11"/>
        <item x="1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4">
    <i>
      <x/>
    </i>
    <i>
      <x v="1"/>
    </i>
    <i>
      <x v="2"/>
    </i>
    <i>
      <x v="3"/>
    </i>
    <i>
      <x v="4"/>
    </i>
    <i>
      <x v="5"/>
    </i>
    <i>
      <x v="6"/>
    </i>
    <i>
      <x v="7"/>
    </i>
    <i>
      <x v="8"/>
    </i>
    <i>
      <x v="9"/>
    </i>
    <i>
      <x v="10"/>
    </i>
    <i>
      <x v="11"/>
    </i>
    <i>
      <x v="12"/>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Pumping Appliances" fld="1" baseField="0" baseItem="0"/>
    <dataField name="Sum of Aerial Appliances" fld="2" baseField="0" baseItem="0"/>
    <dataField name="Sum of Resilience Appliances" fld="3" baseField="0" baseItem="0"/>
    <dataField name="Sum of Fire Boats" fld="4" baseField="0" baseItem="0"/>
    <dataField name="Sum of Vehicles for Rescue Work" fld="5" baseField="0" baseItem="0"/>
    <dataField name="Sum of Small Firefighting Vehicles" fld="6" baseField="0" baseItem="0"/>
    <dataField name="Sum of Other" fld="7" baseField="0" baseItem="0"/>
    <dataField name="Sum of Total Appliances" fld="8" baseField="0" baseItem="0"/>
    <dataField name="Sum of Officer Response Vehicles" fld="9" baseField="0" baseItem="0"/>
    <dataField name="Sum of Reserve Appliances" fld="10" baseField="0" baseItem="0"/>
    <dataField name="Sum of Training Appliances" fld="11" baseField="0" baseItem="0"/>
    <dataField name="Sum of Other Fleet Vehicles (excl Officer Response Vehicles)" fld="12" baseField="0" baseItem="0"/>
    <dataField name="Sum of Total Vehicles (incl boa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20D2B479-82ED-47EB-ADC7-D547093F860C}" name="PivotTable1"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L11" firstHeaderRow="0" firstDataRow="1" firstDataCol="1"/>
  <pivotFields count="11">
    <pivotField axis="axisRow" showAll="0">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5"/>
    </i>
    <i t="grand">
      <x/>
    </i>
  </rowItems>
  <colFields count="1">
    <field x="-2"/>
  </colFields>
  <colItems count="10">
    <i>
      <x/>
    </i>
    <i i="1">
      <x v="1"/>
    </i>
    <i i="2">
      <x v="2"/>
    </i>
    <i i="3">
      <x v="3"/>
    </i>
    <i i="4">
      <x v="4"/>
    </i>
    <i i="5">
      <x v="5"/>
    </i>
    <i i="6">
      <x v="6"/>
    </i>
    <i i="7">
      <x v="7"/>
    </i>
    <i i="8">
      <x v="8"/>
    </i>
    <i i="9">
      <x v="9"/>
    </i>
  </colItems>
  <dataFields count="10">
    <dataField name="Sum of 2015-16" fld="1" baseField="0" baseItem="0"/>
    <dataField name="Sum of 2016-17" fld="2" baseField="0" baseItem="0"/>
    <dataField name="Sum of 2017-18" fld="3" baseField="0" baseItem="0"/>
    <dataField name="Sum of 2018-19" fld="4" baseField="0" baseItem="0"/>
    <dataField name="Sum of 2019-20" fld="5" baseField="0" baseItem="0"/>
    <dataField name="Sum of 2020-21" fld="6" baseField="0" baseItem="0"/>
    <dataField name="Sum of 2021-22" fld="7" baseField="0" baseItem="0"/>
    <dataField name="Sum of 2022-23" fld="8" baseField="0" baseItem="0"/>
    <dataField name="Sum of 2023-24" fld="9" baseField="0" baseItem="0"/>
    <dataField name="Sum of 2024-25"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373B566F-1AF7-4C02-92CD-4BF2DD3EB5E4}" name="PivotTable2" cacheId="2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20:I32" firstHeaderRow="0" firstDataRow="1" firstDataCol="1"/>
  <pivotFields count="7">
    <pivotField axis="axisRow" showAll="0">
      <items count="12">
        <item x="1"/>
        <item x="4"/>
        <item x="6"/>
        <item x="2"/>
        <item x="7"/>
        <item x="3"/>
        <item x="8"/>
        <item x="5"/>
        <item x="0"/>
        <item x="9"/>
        <item x="10"/>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E0FF3E6-60B8-4EBB-99FD-E8F5226F43E1}" name="PivotTable1" cacheId="2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6" firstHeaderRow="0" firstDataRow="1" firstDataCol="1"/>
  <pivotFields count="8">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items count="2">
        <item x="0"/>
        <item t="default"/>
      </items>
    </pivotField>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NotKnown"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13EFFCDE-977F-423B-9A3E-9FCF92FAFAC1}" name="PivotTable7"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5:H37" firstHeaderRow="0" firstDataRow="1" firstDataCol="1"/>
  <pivotFields count="7">
    <pivotField axis="axisRow" showAll="0">
      <items count="12">
        <item x="8"/>
        <item x="9"/>
        <item x="5"/>
        <item x="3"/>
        <item x="6"/>
        <item x="4"/>
        <item x="7"/>
        <item x="10"/>
        <item x="0"/>
        <item x="1"/>
        <item x="2"/>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60507500-49D3-40B6-AC48-B16858746B18}" name="PivotTable6" cacheId="4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H16" firstHeaderRow="0" firstDataRow="1" firstDataCol="1"/>
  <pivotFields count="7">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ED2397E-0AB5-49FB-B5FE-92D55AA79CC7}" name="PivotTable1"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8" firstHeaderRow="1" firstDataRow="2" firstDataCol="1"/>
  <pivotFields count="7">
    <pivotField axis="axisRow" showAll="0">
      <items count="14">
        <item x="1"/>
        <item x="2"/>
        <item x="3"/>
        <item x="4"/>
        <item x="5"/>
        <item x="6"/>
        <item x="7"/>
        <item x="8"/>
        <item x="9"/>
        <item x="10"/>
        <item m="1" x="12"/>
        <item x="0"/>
        <item x="11"/>
        <item t="default"/>
      </items>
    </pivotField>
    <pivotField axis="axisCol" showAll="0">
      <items count="7">
        <item x="1"/>
        <item x="2"/>
        <item x="3"/>
        <item x="4"/>
        <item x="5"/>
        <item x="0"/>
        <item t="default"/>
      </items>
    </pivotField>
    <pivotField showAll="0"/>
    <pivotField showAll="0"/>
    <pivotField dataField="1" showAll="0"/>
    <pivotField showAll="0"/>
    <pivotField showAll="0"/>
  </pivotFields>
  <rowFields count="1">
    <field x="0"/>
  </rowFields>
  <rowItems count="13">
    <i>
      <x/>
    </i>
    <i>
      <x v="1"/>
    </i>
    <i>
      <x v="2"/>
    </i>
    <i>
      <x v="3"/>
    </i>
    <i>
      <x v="4"/>
    </i>
    <i>
      <x v="5"/>
    </i>
    <i>
      <x v="6"/>
    </i>
    <i>
      <x v="7"/>
    </i>
    <i>
      <x v="8"/>
    </i>
    <i>
      <x v="9"/>
    </i>
    <i>
      <x v="11"/>
    </i>
    <i>
      <x v="12"/>
    </i>
    <i t="grand">
      <x/>
    </i>
  </rowItems>
  <colFields count="1">
    <field x="1"/>
  </colFields>
  <colItems count="7">
    <i>
      <x/>
    </i>
    <i>
      <x v="1"/>
    </i>
    <i>
      <x v="2"/>
    </i>
    <i>
      <x v="3"/>
    </i>
    <i>
      <x v="4"/>
    </i>
    <i>
      <x v="5"/>
    </i>
    <i t="grand">
      <x/>
    </i>
  </colItems>
  <dataFields count="1">
    <dataField name="Sum of pcAlarmsFit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2FCA0BB9-8173-4BC6-98F2-EE51B687B98D}" name="PivotTable1"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7" firstHeaderRow="0" firstDataRow="1" firstDataCol="1"/>
  <pivotFields count="8">
    <pivotField axis="axisRow" showAll="0">
      <items count="13">
        <item x="1"/>
        <item x="2"/>
        <item x="3"/>
        <item x="4"/>
        <item x="5"/>
        <item x="6"/>
        <item x="7"/>
        <item x="8"/>
        <item x="9"/>
        <item x="10"/>
        <item x="0"/>
        <item x="11"/>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7">
    <i>
      <x/>
    </i>
    <i i="1">
      <x v="1"/>
    </i>
    <i i="2">
      <x v="2"/>
    </i>
    <i i="3">
      <x v="3"/>
    </i>
    <i i="4">
      <x v="4"/>
    </i>
    <i i="5">
      <x v="5"/>
    </i>
    <i i="6">
      <x v="6"/>
    </i>
  </colItems>
  <dataFields count="7">
    <dataField name="Sum of 1 - Large Urban Areas" fld="1" baseField="0" baseItem="0"/>
    <dataField name="Sum of 2 - Other Urban Areas" fld="2" baseField="0" baseItem="0"/>
    <dataField name="Sum of 3 - Accessible Small Towns" fld="3" baseField="0" baseItem="0"/>
    <dataField name="Sum of 4 - Remote Small Towns" fld="4" baseField="0" baseItem="0"/>
    <dataField name="Sum of 5 - Accessible Rural" fld="5" baseField="0" baseItem="0"/>
    <dataField name="Sum of 6 - Remote Rural"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7ADBF825-F45E-4ABC-BA23-581C58341733}" name="PivotTable2" cacheId="5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5:I38" firstHeaderRow="0" firstDataRow="1" firstDataCol="1"/>
  <pivotFields count="8">
    <pivotField axis="axisRow" showAll="0">
      <items count="13">
        <item x="4"/>
        <item x="10"/>
        <item x="5"/>
        <item x="2"/>
        <item x="6"/>
        <item x="3"/>
        <item x="7"/>
        <item x="11"/>
        <item x="1"/>
        <item x="8"/>
        <item x="0"/>
        <item x="9"/>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7">
    <i>
      <x/>
    </i>
    <i i="1">
      <x v="1"/>
    </i>
    <i i="2">
      <x v="2"/>
    </i>
    <i i="3">
      <x v="3"/>
    </i>
    <i i="4">
      <x v="4"/>
    </i>
    <i i="5">
      <x v="5"/>
    </i>
    <i i="6">
      <x v="6"/>
    </i>
  </colItems>
  <dataFields count="7">
    <dataField name="Sum of 2 - Other Urban Areas" fld="2" baseField="0" baseItem="0"/>
    <dataField name="Sum of 1 - Large Urban Areas" fld="1" baseField="0" baseItem="0"/>
    <dataField name="Sum of 3 - Accessible Small Towns" fld="3" baseField="0" baseItem="0"/>
    <dataField name="Sum of 4 - Remote Small Towns" fld="4" baseField="0" baseItem="0"/>
    <dataField name="Sum of 5 - Accessible Rural" fld="5" baseField="0" baseItem="0"/>
    <dataField name="Sum of 6 - Remote Rural"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DA7AF991-2F5D-4194-B8B3-97DEC1614D76}" name="PivotTable1" cacheId="6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N36" firstHeaderRow="0" firstDataRow="1" firstDataCol="1" rowPageCount="1" colPageCount="1"/>
  <pivotFields count="15">
    <pivotField axis="axisPage" multipleItemSelectionAllowed="1" showAll="0">
      <items count="13">
        <item h="1" x="1"/>
        <item h="1" x="8"/>
        <item h="1" x="10"/>
        <item h="1" x="0"/>
        <item h="1" x="3"/>
        <item h="1" x="6"/>
        <item h="1" x="11"/>
        <item h="1" x="9"/>
        <item h="1" x="4"/>
        <item h="1" x="2"/>
        <item h="1" x="7"/>
        <item x="5"/>
        <item t="default"/>
      </items>
    </pivotField>
    <pivotField axis="axisRow" showAll="0">
      <items count="35">
        <item x="27"/>
        <item x="5"/>
        <item x="20"/>
        <item x="9"/>
        <item x="31"/>
        <item x="10"/>
        <item x="23"/>
        <item x="26"/>
        <item x="11"/>
        <item x="2"/>
        <item x="4"/>
        <item x="30"/>
        <item x="8"/>
        <item x="21"/>
        <item x="3"/>
        <item x="12"/>
        <item x="16"/>
        <item x="19"/>
        <item x="14"/>
        <item x="1"/>
        <item x="18"/>
        <item x="17"/>
        <item m="1" x="32"/>
        <item x="22"/>
        <item x="13"/>
        <item x="0"/>
        <item x="15"/>
        <item x="25"/>
        <item x="24"/>
        <item x="6"/>
        <item x="7"/>
        <item x="29"/>
        <item x="28"/>
        <item m="1" x="33"/>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3"/>
    </i>
    <i>
      <x v="24"/>
    </i>
    <i>
      <x v="25"/>
    </i>
    <i>
      <x v="26"/>
    </i>
    <i>
      <x v="27"/>
    </i>
    <i>
      <x v="28"/>
    </i>
    <i>
      <x v="29"/>
    </i>
    <i>
      <x v="30"/>
    </i>
    <i>
      <x v="31"/>
    </i>
    <i>
      <x v="32"/>
    </i>
    <i t="grand">
      <x/>
    </i>
  </rowItems>
  <colFields count="1">
    <field x="-2"/>
  </colFields>
  <colItems count="12">
    <i>
      <x/>
    </i>
    <i i="1">
      <x v="1"/>
    </i>
    <i i="2">
      <x v="2"/>
    </i>
    <i i="3">
      <x v="3"/>
    </i>
    <i i="4">
      <x v="4"/>
    </i>
    <i i="5">
      <x v="5"/>
    </i>
    <i i="6">
      <x v="6"/>
    </i>
    <i i="7">
      <x v="7"/>
    </i>
    <i i="8">
      <x v="8"/>
    </i>
    <i i="9">
      <x v="9"/>
    </i>
    <i i="10">
      <x v="10"/>
    </i>
    <i i="11">
      <x v="11"/>
    </i>
  </colItems>
  <pageFields count="1">
    <pageField fld="0" hier="-1"/>
  </pageFields>
  <dataFields count="12">
    <dataField name="Sum of HFSV - alarms installed" fld="3" baseField="0" baseItem="0"/>
    <dataField name="Sum of HFSV - advice only" fld="4" baseField="1" baseItem="0"/>
    <dataField name="Sum of Total HFSV" fld="5" baseField="1" baseItem="0"/>
    <dataField name="Sum of TotalNewAlarms" fld="6" baseField="1" baseItem="0"/>
    <dataField name="Sum of TotalReplacedAlarms" fld="7" baseField="1" baseItem="0"/>
    <dataField name="Sum of TotalAlarms" fld="8" baseField="1" baseItem="0"/>
    <dataField name="Sum of Dwellings" fld="9" baseField="0" baseItem="0"/>
    <dataField name="Sum of VisitsPer100Dwelling" fld="10" baseField="0" baseItem="0"/>
    <dataField name="Sum of AlarmsPer100Dwelling" fld="11" baseField="0" baseItem="0"/>
    <dataField name="Sum of Households" fld="12" baseField="0" baseItem="0"/>
    <dataField name="Sum of VisitsPer100Household" fld="13" baseField="0" baseItem="0"/>
    <dataField name="Sum of AlarmsPer100Househol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FA38D720-6CB8-4365-991E-E51CE2C5C18C}" name="PivotTable7"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4:J11" firstHeaderRow="1" firstDataRow="1" firstDataCol="1"/>
  <pivotFields count="2">
    <pivotField axis="axisRow" showAll="0">
      <items count="7">
        <item x="0"/>
        <item x="1"/>
        <item x="2"/>
        <item x="3"/>
        <item x="4"/>
        <item x="5"/>
        <item t="default"/>
      </items>
    </pivotField>
    <pivotField dataField="1" showAll="0"/>
  </pivotFields>
  <rowFields count="1">
    <field x="0"/>
  </rowFields>
  <rowItems count="7">
    <i>
      <x/>
    </i>
    <i>
      <x v="1"/>
    </i>
    <i>
      <x v="2"/>
    </i>
    <i>
      <x v="3"/>
    </i>
    <i>
      <x v="4"/>
    </i>
    <i>
      <x v="5"/>
    </i>
    <i t="grand">
      <x/>
    </i>
  </rowItems>
  <colItems count="1">
    <i/>
  </colItems>
  <dataFields count="1">
    <dataField name="Sum of Count"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7B591DB-6156-4735-91ED-3699CB0F672C}" name="PivotTable10"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36" firstHeaderRow="0" firstDataRow="1" firstDataCol="1" rowPageCount="1" colPageCount="1"/>
  <pivotFields count="10">
    <pivotField axis="axisPage" subtotalTop="0" showAll="0">
      <items count="8">
        <item x="2"/>
        <item x="0"/>
        <item x="4"/>
        <item x="3"/>
        <item x="1"/>
        <item x="6"/>
        <item x="5"/>
        <item t="default"/>
      </items>
    </pivotField>
    <pivotField subtotalTop="0" showAll="0"/>
    <pivotField axis="axisRow" subtotalTop="0" showAll="0">
      <items count="33">
        <item x="28"/>
        <item x="0"/>
        <item x="1"/>
        <item x="18"/>
        <item x="29"/>
        <item x="10"/>
        <item x="11"/>
        <item x="12"/>
        <item x="2"/>
        <item x="19"/>
        <item x="3"/>
        <item x="4"/>
        <item x="20"/>
        <item x="30"/>
        <item x="13"/>
        <item x="14"/>
        <item x="15"/>
        <item x="5"/>
        <item x="21"/>
        <item x="6"/>
        <item x="7"/>
        <item x="22"/>
        <item x="23"/>
        <item x="24"/>
        <item x="16"/>
        <item x="8"/>
        <item x="17"/>
        <item x="25"/>
        <item x="26"/>
        <item x="31"/>
        <item x="9"/>
        <item x="27"/>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7">
    <i>
      <x/>
    </i>
    <i i="1">
      <x v="1"/>
    </i>
    <i i="2">
      <x v="2"/>
    </i>
    <i i="3">
      <x v="3"/>
    </i>
    <i i="4">
      <x v="4"/>
    </i>
    <i i="5">
      <x v="5"/>
    </i>
    <i i="6">
      <x v="6"/>
    </i>
  </colItems>
  <pageFields count="1">
    <pageField fld="0" item="6" hier="-1"/>
  </pageFields>
  <dataFields count="7">
    <dataField name="Sum of Pumping Appliances" fld="3" baseField="0" baseItem="0"/>
    <dataField name="Sum of Aerial Appliances" fld="4" baseField="0" baseItem="0"/>
    <dataField name="Sum of Vehicles for Rescue Work" fld="6" baseField="0" baseItem="0"/>
    <dataField name="Sum of Small Firefighting Vehicles" fld="7" baseField="0" baseItem="0"/>
    <dataField name="Sum of Other Operational" fld="8" baseField="0" baseItem="0"/>
    <dataField name="Sum of Resilience Appliances" fld="5" baseField="0" baseItem="0"/>
    <dataField name="Sum of Total Appliance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5B2C1689-95DB-436E-89E9-DF24754D63A4}" name="PivotTable6" cacheId="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F16" firstHeaderRow="0" firstDataRow="1" firstDataCol="1"/>
  <pivotFields count="5">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Sum of Audits" fld="1" baseField="0" baseItem="0"/>
    <dataField name="Sum of Post Fire Short Audits" fld="2" baseField="0" baseItem="0"/>
    <dataField name="Sum of Site Visits" fld="3" baseField="0" baseItem="0"/>
    <dataField name="Sum of Consultation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177B7E06-B5AE-491D-9B93-BD67191823DC}" name="PivotTable8"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S20" firstHeaderRow="0" firstDataRow="1" firstDataCol="1"/>
  <pivotFields count="19">
    <pivotField showAll="0"/>
    <pivotField axis="axisRow" showAll="0">
      <items count="16">
        <item x="3"/>
        <item x="1"/>
        <item x="7"/>
        <item x="9"/>
        <item x="8"/>
        <item x="12"/>
        <item x="2"/>
        <item x="13"/>
        <item x="10"/>
        <item x="4"/>
        <item x="11"/>
        <item x="0"/>
        <item x="5"/>
        <item x="14"/>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17">
    <i>
      <x/>
    </i>
    <i i="1">
      <x v="1"/>
    </i>
    <i i="2">
      <x v="2"/>
    </i>
    <i i="3">
      <x v="3"/>
    </i>
    <i i="4">
      <x v="4"/>
    </i>
    <i i="5">
      <x v="5"/>
    </i>
    <i i="6">
      <x v="6"/>
    </i>
    <i i="7">
      <x v="7"/>
    </i>
    <i i="8">
      <x v="8"/>
    </i>
    <i i="9">
      <x v="9"/>
    </i>
    <i i="10">
      <x v="10"/>
    </i>
    <i i="11">
      <x v="11"/>
    </i>
    <i i="12">
      <x v="12"/>
    </i>
    <i i="13">
      <x v="13"/>
    </i>
    <i i="14">
      <x v="14"/>
    </i>
    <i i="15">
      <x v="15"/>
    </i>
    <i i="16">
      <x v="16"/>
    </i>
  </colItems>
  <dataFields count="17">
    <dataField name="Sum of 2009-10" fld="3" baseField="0" baseItem="0"/>
    <dataField name="Sum of 2010-11" fld="4" baseField="0" baseItem="0"/>
    <dataField name="Sum of 2011-12" fld="5" baseField="0" baseItem="0"/>
    <dataField name="Sum of 2012-13" fld="6" baseField="0" baseItem="0"/>
    <dataField name="Sum of 2013-14" fld="7" baseField="0" baseItem="0"/>
    <dataField name="Sum of 2014-15" fld="8" baseField="0" baseItem="0"/>
    <dataField name="Sum of 2015-16" fld="9" baseField="0" baseItem="0"/>
    <dataField name="Sum of 2016-17" fld="10" baseField="0" baseItem="0"/>
    <dataField name="Sum of 2017-18" fld="11" baseField="0" baseItem="0"/>
    <dataField name="Sum of 2018-19" fld="12" baseField="0" baseItem="0"/>
    <dataField name="Sum of 2019-20" fld="13" baseField="0" baseItem="0"/>
    <dataField name="Sum of 2020-21" fld="14" baseField="0" baseItem="0"/>
    <dataField name="Sum of 2021-22" fld="15" baseField="0" baseItem="0"/>
    <dataField name="Sum of 2022-23" fld="16" baseField="0" baseItem="0"/>
    <dataField name="Sum of 2023-24" fld="17" baseField="0" baseItem="0"/>
    <dataField name="Sum of 2024-25" fld="18"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F8754FA9-8C39-4F80-BB70-18B47152BB4D}" name="PivotTable9" cacheId="6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Q37" firstHeaderRow="0" firstDataRow="1" firstDataCol="1" rowPageCount="1" colPageCount="1"/>
  <pivotFields count="18">
    <pivotField axis="axisPage" showAll="0">
      <items count="12">
        <item x="0"/>
        <item x="1"/>
        <item x="2"/>
        <item x="3"/>
        <item x="4"/>
        <item x="5"/>
        <item x="6"/>
        <item x="7"/>
        <item x="8"/>
        <item x="9"/>
        <item x="10"/>
        <item t="default"/>
      </items>
    </pivotField>
    <pivotField axis="axisRow" showAll="0">
      <items count="34">
        <item x="5"/>
        <item x="6"/>
        <item x="19"/>
        <item x="14"/>
        <item x="22"/>
        <item x="30"/>
        <item x="20"/>
        <item x="15"/>
        <item x="23"/>
        <item x="0"/>
        <item x="7"/>
        <item x="8"/>
        <item x="31"/>
        <item x="26"/>
        <item x="25"/>
        <item x="9"/>
        <item x="10"/>
        <item x="1"/>
        <item x="16"/>
        <item x="24"/>
        <item x="2"/>
        <item x="11"/>
        <item x="17"/>
        <item x="28"/>
        <item x="3"/>
        <item x="4"/>
        <item x="12"/>
        <item x="29"/>
        <item x="21"/>
        <item x="27"/>
        <item x="18"/>
        <item x="13"/>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0" hier="-1"/>
  </pageFields>
  <dataFields count="15">
    <dataField name="Sum of Hospital / Prison" fld="3" baseField="0" baseItem="0"/>
    <dataField name="Sum of Care Home" fld="4" baseField="0" baseItem="0"/>
    <dataField name="Sum of HMO" fld="5" baseField="0" baseItem="0"/>
    <dataField name="Sum of Hostel" fld="6" baseField="0" baseItem="0"/>
    <dataField name="Sum of Hotel" fld="7" baseField="0" baseItem="0"/>
    <dataField name="Sum of Other Sleeping Accomm" fld="8" baseField="0" baseItem="0"/>
    <dataField name="Sum of Further Education" fld="9" baseField="0" baseItem="0"/>
    <dataField name="Sum of Public Building" fld="10" baseField="0" baseItem="0"/>
    <dataField name="Sum of Licensed Premises" fld="11" baseField="0" baseItem="0"/>
    <dataField name="Sum of School" fld="12" baseField="0" baseItem="0"/>
    <dataField name="Sum of Shop" fld="13" baseField="0" baseItem="0"/>
    <dataField name="Sum of Other Premises Open to Public" fld="14" baseField="0" baseItem="0"/>
    <dataField name="Sum of Factory or Warehouse" fld="15" baseField="0" baseItem="0"/>
    <dataField name="Sum of Office" fld="16" baseField="0" baseItem="0"/>
    <dataField name="Sum of Other Workplace"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CE041AE0-99D0-47D3-9C52-74313FF25241}" name="PivotTable11"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J20" firstHeaderRow="0" firstDataRow="1" firstDataCol="1" rowPageCount="1" colPageCount="1"/>
  <pivotFields count="11">
    <pivotField axis="axisPage" showAll="0">
      <items count="12">
        <item x="0"/>
        <item x="1"/>
        <item x="2"/>
        <item x="3"/>
        <item x="4"/>
        <item x="5"/>
        <item x="6"/>
        <item x="9"/>
        <item x="10"/>
        <item x="7"/>
        <item x="8"/>
        <item t="default"/>
      </items>
    </pivotField>
    <pivotField showAll="0">
      <items count="16">
        <item x="11"/>
        <item x="3"/>
        <item x="4"/>
        <item x="0"/>
        <item x="12"/>
        <item x="9"/>
        <item x="10"/>
        <item x="1"/>
        <item x="8"/>
        <item x="2"/>
        <item x="5"/>
        <item x="13"/>
        <item x="7"/>
        <item x="14"/>
        <item x="6"/>
        <item t="default"/>
      </items>
    </pivotField>
    <pivotField axis="axisRow" showAll="0">
      <items count="16">
        <item x="3"/>
        <item x="7"/>
        <item x="10"/>
        <item x="4"/>
        <item x="11"/>
        <item x="0"/>
        <item x="12"/>
        <item x="8"/>
        <item x="14"/>
        <item x="13"/>
        <item x="9"/>
        <item x="6"/>
        <item x="1"/>
        <item x="2"/>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6">
    <i>
      <x/>
    </i>
    <i>
      <x v="1"/>
    </i>
    <i>
      <x v="2"/>
    </i>
    <i>
      <x v="3"/>
    </i>
    <i>
      <x v="4"/>
    </i>
    <i>
      <x v="5"/>
    </i>
    <i>
      <x v="6"/>
    </i>
    <i>
      <x v="7"/>
    </i>
    <i>
      <x v="8"/>
    </i>
    <i>
      <x v="9"/>
    </i>
    <i>
      <x v="10"/>
    </i>
    <i>
      <x v="11"/>
    </i>
    <i>
      <x v="12"/>
    </i>
    <i>
      <x v="13"/>
    </i>
    <i>
      <x v="14"/>
    </i>
    <i t="grand">
      <x/>
    </i>
  </rowItems>
  <colFields count="1">
    <field x="-2"/>
  </colFields>
  <colItems count="8">
    <i>
      <x/>
    </i>
    <i i="1">
      <x v="1"/>
    </i>
    <i i="2">
      <x v="2"/>
    </i>
    <i i="3">
      <x v="3"/>
    </i>
    <i i="4">
      <x v="4"/>
    </i>
    <i i="5">
      <x v="5"/>
    </i>
    <i i="6">
      <x v="6"/>
    </i>
    <i i="7">
      <x v="7"/>
    </i>
  </colItems>
  <pageFields count="1">
    <pageField fld="0" item="10" hier="-1"/>
  </pageFields>
  <dataFields count="8">
    <dataField name="Sum of A_Tally" fld="3" baseField="0" baseItem="0"/>
    <dataField name="Sum of A_Hours" fld="4" baseField="0" baseItem="0"/>
    <dataField name="Sum of B_Tally" fld="5" baseField="0" baseItem="0"/>
    <dataField name="Sum of B_Hours" fld="6" baseField="0" baseItem="0"/>
    <dataField name="Sum of Enforcement_Tally" fld="7" baseField="0" baseItem="0"/>
    <dataField name="Sum of Enforcement_Hours" fld="8" baseField="0" baseItem="0"/>
    <dataField name="Sum of Prohibition_Tally" fld="9" baseField="0" baseItem="0"/>
    <dataField name="Sum of Prohibition_Hour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CCE30C21-04F7-4454-AFCA-B1551A8D569F}" name="PivotTable10"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J21" firstHeaderRow="0" firstDataRow="1" firstDataCol="1"/>
  <pivotFields count="9">
    <pivotField axis="axisRow" showAll="0">
      <items count="17">
        <item x="0"/>
        <item x="1"/>
        <item x="2"/>
        <item x="3"/>
        <item x="4"/>
        <item x="5"/>
        <item x="6"/>
        <item x="7"/>
        <item x="8"/>
        <item x="9"/>
        <item x="10"/>
        <item x="11"/>
        <item x="12"/>
        <item x="13"/>
        <item x="14"/>
        <item x="1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8">
    <i>
      <x/>
    </i>
    <i i="1">
      <x v="1"/>
    </i>
    <i i="2">
      <x v="2"/>
    </i>
    <i i="3">
      <x v="3"/>
    </i>
    <i i="4">
      <x v="4"/>
    </i>
    <i i="5">
      <x v="5"/>
    </i>
    <i i="6">
      <x v="6"/>
    </i>
    <i i="7">
      <x v="7"/>
    </i>
  </colItems>
  <dataFields count="8">
    <dataField name="Sum of A_Tally" fld="1" baseField="0" baseItem="0"/>
    <dataField name="Sum of A_Hours" fld="2" baseField="0" baseItem="0"/>
    <dataField name="Sum of B_Tally" fld="3" baseField="0" baseItem="0"/>
    <dataField name="Sum of B_Hours" fld="4" baseField="0" baseItem="0"/>
    <dataField name="Sum of Enforcement_Tally" fld="5" baseField="0" baseItem="0"/>
    <dataField name="Sum of Enforcement_Hours" fld="6" baseField="0" baseItem="0"/>
    <dataField name="Sum of Prohibition_Tally" fld="7" baseField="0" baseItem="0"/>
    <dataField name="Sum of Prohibition_Hour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AA00-000000000000}" name="PivotTable3" cacheId="6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36" firstHeaderRow="0" firstDataRow="1" firstDataCol="1" rowPageCount="1" colPageCount="1"/>
  <pivotFields count="11">
    <pivotField name="Year" axis="axisPage" subtotalTop="0" showAll="0">
      <items count="13">
        <item m="1" x="11"/>
        <item x="0"/>
        <item x="1"/>
        <item x="2"/>
        <item x="3"/>
        <item x="4"/>
        <item x="5"/>
        <item x="6"/>
        <item x="7"/>
        <item x="8"/>
        <item x="9"/>
        <item x="10"/>
        <item t="default"/>
      </items>
    </pivotField>
    <pivotField axis="axisRow" subtotalTop="0" showAll="0">
      <items count="36">
        <item m="1" x="34"/>
        <item x="17"/>
        <item x="24"/>
        <item x="11"/>
        <item x="12"/>
        <item x="25"/>
        <item x="9"/>
        <item x="22"/>
        <item x="21"/>
        <item x="13"/>
        <item x="5"/>
        <item x="19"/>
        <item x="0"/>
        <item x="20"/>
        <item x="26"/>
        <item x="14"/>
        <item x="1"/>
        <item x="2"/>
        <item x="30"/>
        <item x="6"/>
        <item x="18"/>
        <item x="3"/>
        <item x="27"/>
        <item x="23"/>
        <item x="28"/>
        <item x="7"/>
        <item x="15"/>
        <item x="10"/>
        <item x="8"/>
        <item x="4"/>
        <item x="16"/>
        <item x="31"/>
        <item x="29"/>
        <item x="33"/>
        <item x="3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8">
    <i>
      <x/>
    </i>
    <i i="1">
      <x v="1"/>
    </i>
    <i i="2">
      <x v="2"/>
    </i>
    <i i="3">
      <x v="3"/>
    </i>
    <i i="4">
      <x v="4"/>
    </i>
    <i i="5">
      <x v="5"/>
    </i>
    <i i="6">
      <x v="6"/>
    </i>
    <i i="7">
      <x v="7"/>
    </i>
  </colItems>
  <pageFields count="1">
    <pageField fld="0" item="11" hier="-1"/>
  </pageFields>
  <dataFields count="8">
    <dataField name="Sum of A_Tally" fld="3" baseField="1" baseItem="0"/>
    <dataField name="Sum of A_Hours" fld="4" baseField="1" baseItem="0"/>
    <dataField name="Sum of B_Tally" fld="5" baseField="1" baseItem="0"/>
    <dataField name="Sum of B_Hours" fld="6" baseField="1" baseItem="0"/>
    <dataField name="Sum of Enforcement_Tally" fld="7" baseField="1" baseItem="0"/>
    <dataField name="Sum of Enforcement_Hours" fld="8" baseField="1" baseItem="0"/>
    <dataField name="Sum of Prohibition_Tally" fld="9" baseField="1" baseItem="0"/>
    <dataField name="Sum of Prohibition_Hours"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FE0CB52B-EC7F-4427-85F9-F7F7453CE684}" name="PivotTable12"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E16" firstHeaderRow="0" firstDataRow="1" firstDataCol="1"/>
  <pivotFields count="4">
    <pivotField axis="axisRow" showAll="0">
      <items count="12">
        <item x="0"/>
        <item x="1"/>
        <item x="2"/>
        <item x="3"/>
        <item x="4"/>
        <item x="5"/>
        <item x="6"/>
        <item x="7"/>
        <item x="8"/>
        <item x="9"/>
        <item x="10"/>
        <item t="default"/>
      </items>
    </pivotField>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3">
    <i>
      <x/>
    </i>
    <i i="1">
      <x v="1"/>
    </i>
    <i i="2">
      <x v="2"/>
    </i>
  </colItems>
  <dataFields count="3">
    <dataField name="Sum of Enforcement Notice" fld="1" baseField="0" baseItem="0"/>
    <dataField name="Sum of Prohibition Notice" fld="2" baseField="0" baseItem="0"/>
    <dataField name="Sum of Alterations Notic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CE3BD521-9534-48FD-8124-E20C5CAB19B8}" name="PivotTable13"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20" firstHeaderRow="0" firstDataRow="1" firstDataCol="1" rowPageCount="1" colPageCount="1"/>
  <pivotFields count="10">
    <pivotField axis="axisPage" showAll="0">
      <items count="12">
        <item x="0"/>
        <item x="1"/>
        <item x="2"/>
        <item x="3"/>
        <item x="9"/>
        <item x="4"/>
        <item x="10"/>
        <item x="5"/>
        <item x="6"/>
        <item x="7"/>
        <item x="8"/>
        <item t="default"/>
      </items>
    </pivotField>
    <pivotField showAll="0"/>
    <pivotField axis="axisRow" showAll="0">
      <items count="16">
        <item x="3"/>
        <item x="11"/>
        <item x="2"/>
        <item x="12"/>
        <item x="1"/>
        <item x="13"/>
        <item x="14"/>
        <item x="5"/>
        <item x="10"/>
        <item x="6"/>
        <item x="0"/>
        <item x="8"/>
        <item x="9"/>
        <item x="7"/>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6">
    <i>
      <x/>
    </i>
    <i>
      <x v="1"/>
    </i>
    <i>
      <x v="2"/>
    </i>
    <i>
      <x v="3"/>
    </i>
    <i>
      <x v="4"/>
    </i>
    <i>
      <x v="5"/>
    </i>
    <i>
      <x v="6"/>
    </i>
    <i>
      <x v="7"/>
    </i>
    <i>
      <x v="8"/>
    </i>
    <i>
      <x v="9"/>
    </i>
    <i>
      <x v="10"/>
    </i>
    <i>
      <x v="11"/>
    </i>
    <i>
      <x v="12"/>
    </i>
    <i>
      <x v="13"/>
    </i>
    <i>
      <x v="14"/>
    </i>
    <i t="grand">
      <x/>
    </i>
  </rowItems>
  <colFields count="1">
    <field x="-2"/>
  </colFields>
  <colItems count="7">
    <i>
      <x/>
    </i>
    <i i="1">
      <x v="1"/>
    </i>
    <i i="2">
      <x v="2"/>
    </i>
    <i i="3">
      <x v="3"/>
    </i>
    <i i="4">
      <x v="4"/>
    </i>
    <i i="5">
      <x v="5"/>
    </i>
    <i i="6">
      <x v="6"/>
    </i>
  </colItems>
  <pageFields count="1">
    <pageField fld="0" item="10" hier="-1"/>
  </pageFields>
  <dataFields count="7">
    <dataField name="Sum of VL" fld="3" baseField="0" baseItem="0"/>
    <dataField name="Sum of L" fld="4" baseField="0" baseItem="0"/>
    <dataField name="Sum of M" fld="5" baseField="0" baseItem="0"/>
    <dataField name="Sum of H" fld="6" baseField="0" baseItem="0"/>
    <dataField name="Sum of VH" fld="7" baseField="0" baseItem="0"/>
    <dataField name="Sum of Not Known" fld="8" baseField="0" baseItem="0"/>
    <dataField name="Sum of Total"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7FEB00D-0AFC-4E81-84BA-A98CF15CDEA0}" name="PivotTable4"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2:F37" firstHeaderRow="0" firstDataRow="1" firstDataCol="1"/>
  <pivotFields count="6">
    <pivotField axis="axisRow" showAll="0">
      <items count="15">
        <item x="9"/>
        <item x="3"/>
        <item x="2"/>
        <item x="10"/>
        <item x="6"/>
        <item x="4"/>
        <item x="11"/>
        <item x="1"/>
        <item x="7"/>
        <item x="12"/>
        <item x="0"/>
        <item x="8"/>
        <item x="13"/>
        <item x="5"/>
        <item t="default"/>
      </items>
    </pivotField>
    <pivotField dataField="1" showAll="0"/>
    <pivotField dataField="1" showAll="0"/>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5">
    <i>
      <x/>
    </i>
    <i i="1">
      <x v="1"/>
    </i>
    <i i="2">
      <x v="2"/>
    </i>
    <i i="3">
      <x v="3"/>
    </i>
    <i i="4">
      <x v="4"/>
    </i>
  </colItems>
  <dataFields count="5">
    <dataField name="Sum of WholeTime Operational" fld="1" baseField="0" baseItem="0"/>
    <dataField name="Sum of Retained Duty System" fld="2" baseField="0" baseItem="0"/>
    <dataField name="Sum of RDS Fulltime" fld="3" baseField="0" baseItem="0"/>
    <dataField name="Sum of Control" fld="4" baseField="0" baseItem="0"/>
    <dataField name="Sum of Support"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5BB4054-144E-4605-8AFA-3CF9966EFA0C}" name="PivotTable2"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G17" firstHeaderRow="0" firstDataRow="1" firstDataCol="1"/>
  <pivotFields count="7">
    <pivotField axis="axisRow" showAll="0">
      <items count="16">
        <item x="6"/>
        <item x="2"/>
        <item x="12"/>
        <item x="0"/>
        <item x="13"/>
        <item x="9"/>
        <item x="10"/>
        <item x="1"/>
        <item x="4"/>
        <item x="5"/>
        <item x="11"/>
        <item x="7"/>
        <item x="14"/>
        <item x="3"/>
        <item x="8"/>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dataFields count="6">
    <dataField name="Sum of WholeTime Operational" fld="1" baseField="0" baseItem="0"/>
    <dataField name="Sum of Retained Duty System" fld="2" baseField="0" baseItem="0"/>
    <dataField name="Sum of RDS Fulltime" fld="3" baseField="0" baseItem="0"/>
    <dataField name="Sum of Control" fld="4" baseField="0" baseItem="0"/>
    <dataField name="Sum of Support" fld="5" baseField="0" baseItem="0"/>
    <dataField name="Sum of Volunte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736A1D6-0B1E-4868-ADFC-3D8E608660FB}" name="PivotTable3"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E9" firstHeaderRow="0" firstDataRow="1" firstDataCol="1"/>
  <pivotFields count="5">
    <pivotField axis="axisRow" showAll="0">
      <items count="8">
        <item x="0"/>
        <item x="1"/>
        <item x="2"/>
        <item x="3"/>
        <item x="4"/>
        <item x="5"/>
        <item x="6"/>
        <item t="default"/>
      </items>
    </pivotField>
    <pivotField dataField="1"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Sum of Operational Crewing" fld="1" baseField="0" baseItem="0"/>
    <dataField name="Sum of Incident Command Officers" fld="2" baseField="0" baseItem="0"/>
    <dataField name="Sum of Office Duties" fld="3" baseField="0" baseItem="0"/>
    <dataField name="Sum of Trainee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srs-v01_pds RAP HFSV_Outcome" connectionId="1" xr16:uid="{00000000-0016-0000-8000-00002A000000}" autoFormatId="16" applyNumberFormats="0" applyBorderFormats="0" applyFontFormats="0" applyPatternFormats="0" applyAlignmentFormats="0" applyWidthHeightFormats="0">
  <queryTableRefresh nextId="8">
    <queryTableFields count="7">
      <queryTableField id="1" name="Year" tableColumnId="1"/>
      <queryTableField id="2" name="HFSV - alarms installed" tableColumnId="2"/>
      <queryTableField id="3" name="HFSV - advice only" tableColumnId="3"/>
      <queryTableField id="4" name="Total HFSV" tableColumnId="4"/>
      <queryTableField id="5" name="Smoke alarms installed during HFSV" tableColumnId="5"/>
      <queryTableField id="6" name="New" tableColumnId="6"/>
      <queryTableField id="7" name="Replacement" tableColumnId="7"/>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19" xr10:uid="{00000000-0013-0000-FFFF-FFFF29000000}" sourceName="FisYr">
  <pivotTables>
    <pivotTable tabId="157" name="PivotTable3"/>
  </pivotTables>
  <data>
    <tabular pivotCacheId="125" sortOrder="descending">
      <items count="12">
        <i x="10" s="1"/>
        <i x="9"/>
        <i x="8"/>
        <i x="7"/>
        <i x="6"/>
        <i x="5"/>
        <i x="4"/>
        <i x="3"/>
        <i x="2"/>
        <i x="1"/>
        <i x="0"/>
        <i x="1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34000000}" sourceName="Year">
  <pivotTables>
    <pivotTable tabId="187" name="PivotTable8"/>
  </pivotTables>
  <data>
    <tabular pivotCacheId="136" sortOrder="descending">
      <items count="12">
        <i x="6" s="1"/>
        <i x="10"/>
        <i x="3"/>
        <i x="2"/>
        <i x="5"/>
        <i x="9"/>
        <i x="4"/>
        <i x="8"/>
        <i x="7"/>
        <i x="1"/>
        <i x="1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35000000}" sourceName="Year">
  <pivotTables>
    <pivotTable tabId="189" name="PivotTable9"/>
  </pivotTables>
  <data>
    <tabular pivotCacheId="137" sortOrder="descending">
      <items count="13">
        <i x="11" s="1"/>
        <i x="10"/>
        <i x="9"/>
        <i x="8"/>
        <i x="7"/>
        <i x="6"/>
        <i x="5"/>
        <i x="4"/>
        <i x="3"/>
        <i x="2"/>
        <i x="1"/>
        <i x="0"/>
        <i x="1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36000000}" sourceName="Year">
  <pivotTables>
    <pivotTable tabId="192" name="PivotTable11"/>
  </pivotTables>
  <data>
    <tabular pivotCacheId="138" sortOrder="descending">
      <items count="12">
        <i x="11" s="1"/>
        <i x="10"/>
        <i x="9"/>
        <i x="8"/>
        <i x="7"/>
        <i x="6"/>
        <i x="5"/>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37000000}" sourceName="Year">
  <pivotTables>
    <pivotTable tabId="197" name="PivotTable2"/>
  </pivotTables>
  <data>
    <tabular pivotCacheId="140" sortOrder="descending">
      <items count="13">
        <i x="11" s="1"/>
        <i x="10"/>
        <i x="9"/>
        <i x="8"/>
        <i x="7"/>
        <i x="6"/>
        <i x="5"/>
        <i x="4"/>
        <i x="3"/>
        <i x="2"/>
        <i x="1"/>
        <i x="0"/>
        <i x="12"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38000000}" sourceName="Year">
  <pivotTables>
    <pivotTable tabId="199" name="PivotTable3"/>
  </pivotTables>
  <data>
    <tabular pivotCacheId="141" sortOrder="descending">
      <items count="13">
        <i x="11" s="1"/>
        <i x="10"/>
        <i x="9"/>
        <i x="8"/>
        <i x="7"/>
        <i x="6"/>
        <i x="5"/>
        <i x="4"/>
        <i x="3"/>
        <i x="2"/>
        <i x="1"/>
        <i x="0"/>
        <i x="12"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39000000}" sourceName="Year">
  <pivotTables>
    <pivotTable tabId="201" name="PivotTable4"/>
  </pivotTables>
  <data>
    <tabular pivotCacheId="142" sortOrder="descending">
      <items count="13">
        <i x="12" s="1"/>
        <i x="11"/>
        <i x="10"/>
        <i x="9"/>
        <i x="8"/>
        <i x="7"/>
        <i x="6"/>
        <i x="5"/>
        <i x="4"/>
        <i x="3"/>
        <i x="2"/>
        <i x="1"/>
        <i x="0"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3A000000}" sourceName="Year">
  <pivotTables>
    <pivotTable tabId="203" name="PivotTable5"/>
  </pivotTables>
  <data>
    <tabular pivotCacheId="143" sortOrder="descending">
      <items count="12">
        <i x="11" s="1"/>
        <i x="10"/>
        <i x="9"/>
        <i x="8"/>
        <i x="7"/>
        <i x="6"/>
        <i x="5"/>
        <i x="4"/>
        <i x="3"/>
        <i x="2"/>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3B000000}" sourceName="Year">
  <pivotTables>
    <pivotTable tabId="207" name="PivotTable7"/>
  </pivotTables>
  <data>
    <tabular pivotCacheId="144" sortOrder="descending">
      <items count="12">
        <i x="8" s="1"/>
        <i x="3"/>
        <i x="2"/>
        <i x="7"/>
        <i x="11"/>
        <i x="1"/>
        <i x="6"/>
        <i x="10"/>
        <i x="5"/>
        <i x="9"/>
        <i x="0"/>
        <i x="4"/>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3C000000}" sourceName="Year">
  <pivotTables>
    <pivotTable tabId="209" name="PivotTable8"/>
  </pivotTables>
  <data>
    <tabular pivotCacheId="145" sortOrder="descending">
      <items count="12">
        <i x="11" s="1"/>
        <i x="10"/>
        <i x="9"/>
        <i x="8"/>
        <i x="7"/>
        <i x="6"/>
        <i x="5"/>
        <i x="4"/>
        <i x="3"/>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3D000000}" sourceName="Year">
  <pivotTables>
    <pivotTable tabId="215" name="PivotTable10"/>
  </pivotTables>
  <data>
    <tabular pivotCacheId="2080512633" sortOrder="descending">
      <items count="7">
        <i x="5" s="1"/>
        <i x="6"/>
        <i x="1"/>
        <i x="3"/>
        <i x="4"/>
        <i x="0"/>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2C000000}" sourceName="Year">
  <pivotTables>
    <pivotTable tabId="164" name="PivotTable1"/>
  </pivotTables>
  <data>
    <tabular pivotCacheId="128" sortOrder="descending">
      <items count="12">
        <i x="10" s="1"/>
        <i x="9"/>
        <i x="8"/>
        <i x="7"/>
        <i x="6"/>
        <i x="5"/>
        <i x="11"/>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3E000000}" sourceName="Year">
  <pivotTables>
    <pivotTable tabId="217" name="PivotTable11"/>
  </pivotTables>
  <data>
    <tabular pivotCacheId="147" sortOrder="descending">
      <items count="12">
        <i x="11" s="1"/>
        <i x="10"/>
        <i x="9"/>
        <i x="8"/>
        <i x="7"/>
        <i x="6"/>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4" xr10:uid="{00000000-0013-0000-FFFF-FFFF3F000000}" sourceName="Year">
  <pivotTables>
    <pivotTable tabId="223" name="PivotTable2"/>
  </pivotTables>
  <data>
    <tabular pivotCacheId="801988257" sortOrder="descending">
      <items count="7">
        <i x="6" s="1"/>
        <i x="5"/>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40000000}" sourceName="Year">
  <pivotTables>
    <pivotTable tabId="226" name="PivotTable4"/>
  </pivotTables>
  <data>
    <tabular pivotCacheId="2039611004" sortOrder="descending">
      <items count="11">
        <i x="10" s="1"/>
        <i x="9"/>
        <i x="8"/>
        <i x="7"/>
        <i x="2"/>
        <i x="1"/>
        <i x="0"/>
        <i x="3"/>
        <i x="4"/>
        <i x="5"/>
        <i x="6"/>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42000000}" sourceName="Year">
  <pivotTables>
    <pivotTable tabId="181" name="PivotTable5"/>
  </pivotTables>
  <data>
    <tabular pivotCacheId="155" sortOrder="descending">
      <items count="13">
        <i x="3" s="1"/>
        <i x="2"/>
        <i x="0"/>
        <i x="1"/>
        <i x="4"/>
        <i x="5"/>
        <i x="6"/>
        <i x="10"/>
        <i x="12"/>
        <i x="9"/>
        <i x="7"/>
        <i x="8"/>
        <i x="1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43000000}" sourceName="Year">
  <pivotTables>
    <pivotTable tabId="195" name="PivotTable2"/>
  </pivotTables>
  <data>
    <tabular pivotCacheId="156" sortOrder="descending">
      <items count="12">
        <i x="11" s="1"/>
        <i x="10"/>
        <i x="9"/>
        <i x="8"/>
        <i x="7"/>
        <i x="6"/>
        <i x="5"/>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6" xr10:uid="{00000000-0013-0000-FFFF-FFFF44000000}" sourceName="Year">
  <pivotTables>
    <pivotTable tabId="205" name="PivotTable6"/>
  </pivotTables>
  <data>
    <tabular pivotCacheId="157" sortOrder="descending">
      <items count="12">
        <i x="11" s="1"/>
        <i x="10"/>
        <i x="9"/>
        <i x="8"/>
        <i x="7"/>
        <i x="6"/>
        <i x="5"/>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45000000}" sourceName="Year">
  <pivotTables>
    <pivotTable tabId="228" name="PivotTable7"/>
  </pivotTables>
  <data>
    <tabular pivotCacheId="158" sortOrder="descending">
      <items count="7">
        <i x="6" s="1"/>
        <i x="5"/>
        <i x="4"/>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46000000}" sourceName="Year">
  <pivotTables>
    <pivotTable tabId="228" name="PivotTable9"/>
  </pivotTables>
  <data>
    <tabular pivotCacheId="159" sortOrder="descending">
      <items count="7">
        <i x="6" s="1"/>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Yr" xr10:uid="{A406BAC0-2424-4C29-BD4C-BD924EC74016}" sourceName="FiscalYr">
  <pivotTables>
    <pivotTable tabId="228" name="PivotTable10"/>
  </pivotTables>
  <data>
    <tabular pivotCacheId="1464648369" sortOrder="descending">
      <items count="7">
        <i x="6" s="1"/>
        <i x="4"/>
        <i x="5"/>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Yr1" xr10:uid="{6ED619F4-876F-4370-A423-5C3FA44A3962}" sourceName="FiscalYr">
  <pivotTables>
    <pivotTable tabId="228" name="PivotTable11"/>
  </pivotTables>
  <data>
    <tabular pivotCacheId="364994653" sortOrder="descending">
      <items count="7">
        <i x="6" s="1"/>
        <i x="4"/>
        <i x="3"/>
        <i x="5"/>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2D000000}" sourceName="Year">
  <pivotTables>
    <pivotTable tabId="168" name="PivotTable3"/>
  </pivotTables>
  <data>
    <tabular pivotCacheId="129" sortOrder="descending">
      <items count="12">
        <i x="8" s="1"/>
        <i x="7"/>
        <i x="6"/>
        <i x="5"/>
        <i x="10"/>
        <i x="4"/>
        <i x="3"/>
        <i x="9"/>
        <i x="2"/>
        <i x="1"/>
        <i x="0"/>
        <i x="1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7B4277D5-18BE-48B3-9B52-EBC1D95CA63A}" sourceName="Year">
  <pivotTables>
    <pivotTable tabId="154" name="PivotTable9"/>
  </pivotTables>
  <data>
    <tabular pivotCacheId="1364898279" sortOrder="descending">
      <items count="11">
        <i x="10" s="1"/>
        <i x="9"/>
        <i x="8"/>
        <i x="7"/>
        <i x="6"/>
        <i x="5"/>
        <i x="4"/>
        <i x="3"/>
        <i x="2"/>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1" xr10:uid="{7D9810E7-E3AE-44B2-9CAF-CDD56AA1DD26}" sourceName="FisYr">
  <pivotTables>
    <pivotTable tabId="159" name="PivotTable11"/>
  </pivotTables>
  <data>
    <tabular pivotCacheId="80784578" sortOrder="descending">
      <items count="11">
        <i x="8" s="1"/>
        <i x="7"/>
        <i x="10"/>
        <i x="9"/>
        <i x="6"/>
        <i x="5"/>
        <i x="4"/>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0" xr10:uid="{B8DBD909-F453-4F7E-98A2-96281C8AF1DB}" sourceName="Year">
  <pivotTables>
    <pivotTable tabId="161" name="PivotTable13"/>
  </pivotTables>
  <data>
    <tabular pivotCacheId="1512634001" sortOrder="descending">
      <items count="11">
        <i x="8" s="1"/>
        <i x="7"/>
        <i x="6"/>
        <i x="5"/>
        <i x="10"/>
        <i x="4"/>
        <i x="9"/>
        <i x="3"/>
        <i x="2"/>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087AD7CF-1F93-4553-95FC-1C6F57092177}" sourceName="Year">
  <pivotTables>
    <pivotTable tabId="150" name="PivotTable1"/>
  </pivotTables>
  <data>
    <tabular pivotCacheId="1414526592" sortOrder="descending">
      <items count="12">
        <i x="5" s="1"/>
        <i x="7"/>
        <i x="2"/>
        <i x="4"/>
        <i x="9"/>
        <i x="11"/>
        <i x="6"/>
        <i x="3"/>
        <i x="0"/>
        <i x="10"/>
        <i x="8"/>
        <i x="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24" xr10:uid="{00000000-0013-0000-FFFF-FFFF4A000000}" sourceName="Year">
  <extLst>
    <x:ext xmlns:x15="http://schemas.microsoft.com/office/spreadsheetml/2010/11/main" uri="{2F2917AC-EB37-4324-AD4E-5DD8C200BD13}">
      <x15:tableSlicerCache tableId="17" column="9" sortOrder="descending"/>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7C67D5AB-5B55-4D78-A87E-3585E0C897B1}" sourceName="Year">
  <extLst>
    <x:ext xmlns:x15="http://schemas.microsoft.com/office/spreadsheetml/2010/11/main" uri="{2F2917AC-EB37-4324-AD4E-5DD8C200BD13}">
      <x15:tableSlicerCache tableId="25" column="1" sortOrder="descending"/>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700A790-C0DB-4A12-B836-2047D5B0262C}" sourceName="Year">
  <extLst>
    <x:ext xmlns:x15="http://schemas.microsoft.com/office/spreadsheetml/2010/11/main" uri="{2F2917AC-EB37-4324-AD4E-5DD8C200BD13}">
      <x15:tableSlicerCache tableId="32" column="1" sortOrder="descending"/>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2E000000}" sourceName="Year">
  <pivotTables>
    <pivotTable tabId="170" name="PivotTable1"/>
  </pivotTables>
  <data>
    <tabular pivotCacheId="130" sortOrder="descending">
      <items count="8">
        <i x="4" s="1"/>
        <i x="6"/>
        <i x="7"/>
        <i x="3"/>
        <i x="5"/>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2F000000}" sourceName="Year">
  <pivotTables>
    <pivotTable tabId="172" name="PivotTable2"/>
  </pivotTables>
  <data>
    <tabular pivotCacheId="1456221594" sortOrder="descending">
      <items count="7">
        <i x="6" s="1"/>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30000000}" sourceName="Year">
  <pivotTables>
    <pivotTable tabId="174" name="PivotTable1"/>
  </pivotTables>
  <data>
    <tabular pivotCacheId="132" sortOrder="descending">
      <items count="8">
        <i x="6" s="1"/>
        <i x="5"/>
        <i x="4"/>
        <i x="3"/>
        <i x="2"/>
        <i x="1"/>
        <i x="0"/>
        <i x="7"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31000000}" sourceName="Year">
  <pivotTables>
    <pivotTable tabId="179" name="PivotTable4"/>
  </pivotTables>
  <data>
    <tabular pivotCacheId="133" sortOrder="descending">
      <items count="12">
        <i x="5" s="1"/>
        <i x="11"/>
        <i x="4"/>
        <i x="8"/>
        <i x="3"/>
        <i x="10"/>
        <i x="2"/>
        <i x="1"/>
        <i x="7"/>
        <i x="6"/>
        <i x="9"/>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32000000}" sourceName="Year">
  <pivotTables>
    <pivotTable tabId="183" name="PivotTable6"/>
  </pivotTables>
  <data>
    <tabular pivotCacheId="134" sortOrder="descending">
      <items count="12">
        <i x="9" s="1"/>
        <i x="6"/>
        <i x="11"/>
        <i x="5"/>
        <i x="4"/>
        <i x="3"/>
        <i x="7"/>
        <i x="2"/>
        <i x="10"/>
        <i x="8"/>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33000000}" sourceName="Year">
  <pivotTables>
    <pivotTable tabId="185" name="PivotTable7"/>
  </pivotTables>
  <data>
    <tabular pivotCacheId="135" sortOrder="descending">
      <items count="7">
        <i x="6" s="1"/>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16" xr10:uid="{00000000-0014-0000-FFFF-FFFF01000000}" cache="Slicer_FisYr24" caption="Year" columnCount="7" showCaption="0"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1DE8BC-E23E-4CF6-90C3-989C409A73B2}" cache="Slicer_Year2" caption="Year" columnCount="7" showCaption="0" rowHeight="241300"/>
  <slicer name="Year 13" xr10:uid="{39D6BFBB-3A7D-4B8B-B8EF-95359684AA3B}" cache="Slicer_Year7" caption="Year" columnCount="7" showCaption="0"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7" xr10:uid="{00000000-0014-0000-FFFF-FFFF16000000}" cache="Slicer_Year9" caption="Year" columnCount="8"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7000000}" cache="Slicer_Year9" caption="Year" columnCount="12" showCaption="0"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19000000}" cache="Slicer_Year" caption="Year"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1A000000}" cache="Slicer_Year" caption="Year" columnCount="12" showCaption="0"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1B000000}" cache="Slicer_Year10" caption="Year" columnCount="8"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9" xr10:uid="{00000000-0014-0000-FFFF-FFFF1C000000}" cache="Slicer_Year10" caption="Year" columnCount="12" showCaption="0"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0" xr10:uid="{00000000-0014-0000-FFFF-FFFF1D000000}" cache="Slicer_Year11" caption="Year" columnCount="3"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1" xr10:uid="{00000000-0014-0000-FFFF-FFFF1E000000}" cache="Slicer_Year11" caption="Year" columnCount="7" showCaption="0"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2" xr10:uid="{00000000-0014-0000-FFFF-FFFF20000000}" cache="Slicer_Year12" caption="Year" columnCount="8"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9" xr10:uid="{00000000-0014-0000-FFFF-FFFF03000000}" cache="Slicer_Year24" caption="Year" columnCount="7" showCaption="0"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3" xr10:uid="{00000000-0014-0000-FFFF-FFFF21000000}" cache="Slicer_Year12" caption="Year" columnCount="12" showCaption="0"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24000000}" cache="Slicer_Year13" caption="Year" columnCount="8" rowHeight="241300"/>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5" xr10:uid="{00000000-0014-0000-FFFF-FFFF25000000}" cache="Slicer_Year13" caption="Year" columnCount="12" showCaption="0" rowHeight="241300"/>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6" xr10:uid="{00000000-0014-0000-FFFF-FFFF26000000}" cache="Slicer_Year14" caption="Year" columnCount="8" rowHeight="241300"/>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7" xr10:uid="{00000000-0014-0000-FFFF-FFFF27000000}" cache="Slicer_Year14" caption="Year" columnCount="12" showCaption="0" rowHeight="241300"/>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28000000}" cache="Slicer_Year15" caption="Year" columnCount="9" showCaption="0" rowHeight="241300"/>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6" xr10:uid="{00000000-0014-0000-FFFF-FFFF29000000}" cache="Slicer_Year23" caption="Year" columnCount="8" rowHeight="241300"/>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7" xr10:uid="{00000000-0014-0000-FFFF-FFFF2A000000}" cache="Slicer_Year23" caption="Year" columnCount="12" showCaption="0" rowHeight="241300"/>
  <slicer name="Year 5" xr10:uid="{00000000-0014-0000-FFFF-FFFF2B000000}" cache="Slicer_Year15" caption="Year" columnCount="12" showCaption="0" rowHeight="241300"/>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1" xr10:uid="{00000000-0014-0000-FFFF-FFFF2C000000}" cache="Slicer_Year16" caption="Year" columnCount="9" showCaption="0" rowHeight="241300"/>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2" xr10:uid="{00000000-0014-0000-FFFF-FFFF2D000000}" cache="Slicer_Year16" caption="Year" columnCount="11" showCaption="0"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8" xr10:uid="{00000000-0014-0000-FFFF-FFFF04000000}" cache="Slicer_Year24" caption="Year" columnCount="3" rowHeight="241300"/>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3" xr10:uid="{00000000-0014-0000-FFFF-FFFF35000000}" cache="Slicer_Year17" caption="Year" columnCount="8" rowHeight="241300"/>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5" xr10:uid="{00000000-0014-0000-FFFF-FFFF36000000}" cache="Slicer_Year17" caption="Year" columnCount="12" showCaption="0" rowHeight="241300"/>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6" xr10:uid="{00000000-0014-0000-FFFF-FFFF39000000}" cache="Slicer_Year18" caption="Year" columnCount="9" showCaption="0" rowHeight="241300"/>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7" xr10:uid="{00000000-0014-0000-FFFF-FFFF3A000000}" cache="Slicer_Year18" caption="Year" columnCount="11" showCaption="0" rowHeight="241300"/>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8" xr10:uid="{00000000-0014-0000-FFFF-FFFF3B000000}" cache="Slicer_Year19" caption="Year" columnCount="9" showCaption="0" rowHeight="241300"/>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9" xr10:uid="{00000000-0014-0000-FFFF-FFFF3C000000}" cache="Slicer_Year26" caption="Year" columnCount="9" showCaption="0" rowHeight="241300"/>
</slicers>
</file>

<file path=xl/slicers/slicer3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9" xr10:uid="{00000000-0014-0000-FFFF-FFFF3D000000}" cache="Slicer_Year19" caption="Year" columnCount="12" showCaption="0" rowHeight="241300"/>
  <slicer name="Year 40" xr10:uid="{00000000-0014-0000-FFFF-FFFF3E000000}" cache="Slicer_Year26" caption="Year" columnCount="12" showCaption="0" rowHeight="241300"/>
</slicers>
</file>

<file path=xl/slicers/slicer3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0" xr10:uid="{00000000-0014-0000-FFFF-FFFF3F000000}" cache="Slicer_Year20" caption="Year" columnCount="8" rowHeight="241300"/>
</slicers>
</file>

<file path=xl/slicers/slicer3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1" xr10:uid="{00000000-0014-0000-FFFF-FFFF40000000}" cache="Slicer_Year20" caption="Year" columnCount="12" showCaption="0" rowHeight="241300"/>
</slicers>
</file>

<file path=xl/slicers/slicer3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46000000}" cache="Slicer_Year3" caption="Year" columnCount="8"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0" xr10:uid="{00000000-0014-0000-FFFF-FFFF07000000}" cache="Slicer_Year25" caption="Year" columnCount="7" rowHeight="241300"/>
</slicers>
</file>

<file path=xl/slicers/slicer4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5" xr10:uid="{00000000-0014-0000-FFFF-FFFF47000000}" cache="Slicer_Year3" caption="Year" columnCount="12" showCaption="0" rowHeight="241300"/>
</slicers>
</file>

<file path=xl/slicers/slicer4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2" xr10:uid="{00000000-0014-0000-FFFF-FFFF48000000}" cache="Slicer_Year21" caption="Year" columnCount="7" rowHeight="241300"/>
</slicers>
</file>

<file path=xl/slicers/slicer4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3" xr10:uid="{00000000-0014-0000-FFFF-FFFF49000000}" cache="Slicer_Year21" caption="Year" columnCount="12" showCaption="0" rowHeight="241300"/>
</slicers>
</file>

<file path=xl/slicers/slicer4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4B000000}" cache="Slicer_Year5" caption="Year" columnCount="9" rowHeight="241300"/>
</slicers>
</file>

<file path=xl/slicers/slicer4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9" xr10:uid="{00000000-0014-0000-FFFF-FFFF4C000000}" cache="Slicer_Year5" caption="Year" columnCount="12" showCaption="0" rowHeight="241300"/>
  <slicer name="Year 20" xr10:uid="{00000000-0014-0000-FFFF-FFFF4D000000}" cache="Slicer_Year5" caption="Year" columnCount="11" showCaption="0" rowHeight="241300"/>
</slicers>
</file>

<file path=xl/slicers/slicer4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4F000000}" cache="Slicer_Year4" caption="Year" columnCount="4" rowHeight="241300"/>
</slicers>
</file>

<file path=xl/slicers/slicer4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50000000}" cache="Slicer_Year4" caption="Year" columnCount="8" showCaption="0" rowHeight="241300"/>
  <slicer name="Year 21" xr10:uid="{00000000-0014-0000-FFFF-FFFF51000000}" cache="Slicer_Year4" caption="Year" columnCount="8" showCaption="0" rowHeight="241300"/>
</slicers>
</file>

<file path=xl/slicers/slicer4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2" xr10:uid="{00000000-0014-0000-FFFF-FFFF5F000000}" cache="Slicer_Year6" caption="Year" columnCount="3" rowHeight="241300"/>
</slicers>
</file>

<file path=xl/slicers/slicer4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61000000}" cache="Slicer_Year6" caption="Year" columnCount="7" showCaption="0" rowHeight="241300"/>
</slicers>
</file>

<file path=xl/slicers/slicer4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5" xr10:uid="{00000000-0014-0000-FFFF-FFFF57000000}" cache="Slicer_Year28" caption="Year" rowHeight="241300"/>
  <slicer name="Year 64" xr10:uid="{00000000-0014-0000-FFFF-FFFF58000000}" cache="Slicer_Year29" caption="Year" rowHeight="241300"/>
  <slicer name="FiscalYr" xr10:uid="{0D911CC0-340D-4C11-99B1-E2E9F6432BF4}" cache="Slicer_FiscalYr" caption="FiscalYr" columnCount="5" showCaption="0" rowHeight="241300"/>
  <slicer name="FiscalYr 2" xr10:uid="{8C8DB7D8-A132-465B-8007-C03E7EA3B89D}" cache="Slicer_FiscalYr1" caption="FiscalYr" columnCount="5" showCaption="0"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1" xr10:uid="{00000000-0014-0000-FFFF-FFFF08000000}" cache="Slicer_Year25" caption="Year" columnCount="11" showCaption="0" rowHeight="241300"/>
</slicers>
</file>

<file path=xl/slicers/slicer5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3" xr10:uid="{00000000-0014-0000-FFFF-FFFF53000000}" cache="Slicer_Year28" caption="Year" columnCount="7" showCaption="0" rowHeight="241300"/>
  <slicer name="Year 65" xr10:uid="{00000000-0014-0000-FFFF-FFFF54000000}" cache="Slicer_Year29" caption="Year" columnCount="7" showCaption="0" rowHeight="241300"/>
  <slicer name="FiscalYr 1" xr10:uid="{201342B7-0BB9-4C7B-A98F-3C91DFD43459}" cache="Slicer_FiscalYr" caption="FiscalYr" columnCount="7" showCaption="0" rowHeight="241300"/>
  <slicer name="FiscalYr 3" xr10:uid="{97C04DE8-8F93-4C89-9788-4C68B994A40B}" cache="Slicer_FiscalYr1" caption="FiscalYr" columnCount="7" showCaption="0" rowHeight="241300"/>
</slicers>
</file>

<file path=xl/slicers/slicer5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3" xr10:uid="{09C8F3B6-2FB1-4A12-855B-A3BEE71FFFCA}" cache="Slicer_Year27" caption="Year" columnCount="12" showCaption="0" rowHeight="241300"/>
</slicers>
</file>

<file path=xl/slicers/slicer5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8" xr10:uid="{09E96E74-7CDF-4E73-A7B9-887B55E53178}" cache="Slicer_Year27" caption="Year" columnCount="12" showCaption="0" rowHeight="241300"/>
</slicers>
</file>

<file path=xl/slicers/slicer5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4" xr10:uid="{9FDBA316-BBFE-49A0-9927-01E1E45757C4}" cache="Slicer_Year27" caption="Year" columnCount="12" showCaption="0" rowHeight="241300"/>
</slicers>
</file>

<file path=xl/slicers/slicer5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6" xr10:uid="{D3CE6161-6E3D-4A06-B055-8D63B4527EFD}" cache="Slicer_Year27" caption="Year" columnCount="12" showCaption="0" rowHeight="241300"/>
</slicers>
</file>

<file path=xl/slicers/slicer5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76337780-2217-4654-8629-2633398CAA46}" cache="Slicer_Year1" caption="Year" columnCount="11" showCaption="0" rowHeight="241300"/>
</slicers>
</file>

<file path=xl/slicers/slicer5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 xr10:uid="{866FA633-A70F-4FC6-9C1F-6A85A60FF032}" cache="Slicer_Year1" caption="Year" columnCount="11" showCaption="0" rowHeight="241300"/>
</slicers>
</file>

<file path=xl/slicers/slicer5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4" xr10:uid="{E6B5118B-F0AA-4F2F-B603-8D3A92086521}" cache="Slicer_FisYr1" caption="FisYr" columnCount="11" showCaption="0" rowHeight="241300"/>
</slicers>
</file>

<file path=xl/slicers/slicer5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5" xr10:uid="{CD7A058C-14F1-431D-B824-24FD1D25DE22}" cache="Slicer_FisYr1" caption="FisYr" columnCount="11" showCaption="0" rowHeight="241300"/>
</slicers>
</file>

<file path=xl/slicers/slicer5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6E000000}" cache="Slicer_FisYr19" caption="Year" columnCount="7"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4" xr10:uid="{00000000-0014-0000-FFFF-FFFF0C000000}" cache="Slicer_Year22" caption="Year" columnCount="4" rowHeight="241300"/>
</slicers>
</file>

<file path=xl/slicers/slicer6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9" xr10:uid="{00000000-0014-0000-FFFF-FFFF6F000000}" cache="Slicer_FisYr19" caption="Year" columnCount="11" showCaption="0" rowHeight="241300"/>
</slicers>
</file>

<file path=xl/slicers/slicer6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3D64B85F-6CF9-4704-B6E5-9834D7FDE3F2}" cache="Slicer_Year30" caption="Year" columnCount="11" showCaption="0" rowHeight="241300"/>
</slicers>
</file>

<file path=xl/slicers/slicer6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FE067A22-BE85-4EC1-8B5B-11B48CE30A10}" cache="Slicer_Year30" caption="Year" columnCount="11" showCaption="0" rowHeight="241300"/>
  <slicer name="Year 12" xr10:uid="{9E0F6C94-ECAF-4E9C-9F2D-ECB8866A3F6A}" cache="Slicer_Year30" caption="Year" columnCount="11" showCaption="0"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2" xr10:uid="{00000000-0014-0000-FFFF-FFFF0D000000}" cache="Slicer_Year22" caption="Year" columnCount="7" showCaption="0"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5" xr10:uid="{00000000-0014-0000-FFFF-FFFF0E000000}" cache="Slicer_Year8" caption="Year" columnCount="3"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6" xr10:uid="{00000000-0014-0000-FFFF-FFFF0F000000}" cache="Slicer_Year8" caption="Year" columnCount="7" showCaption="0" rowHeight="241300"/>
</slicers>
</file>

<file path=xl/tables/_rels/table5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0000000}" name="Structure" displayName="Structure" ref="A8:H232" totalsRowShown="0" headerRowDxfId="247" headerRowBorderDxfId="246">
  <autoFilter ref="A8:H232" xr:uid="{00000000-0009-0000-0100-000011000000}">
    <filterColumn colId="0">
      <filters>
        <filter val="2024-25"/>
      </filters>
    </filterColumn>
  </autoFilter>
  <tableColumns count="8">
    <tableColumn id="9" xr3:uid="{00000000-0010-0000-0000-000009000000}" name="Year" dataDxfId="245"/>
    <tableColumn id="3" xr3:uid="{00000000-0010-0000-0000-000003000000}" name="LA Code" dataDxfId="244"/>
    <tableColumn id="2" xr3:uid="{00000000-0010-0000-0000-000002000000}" name="Local Authority" dataDxfId="243"/>
    <tableColumn id="6" xr3:uid="{00000000-0010-0000-0000-000006000000}" name="LSO Code" dataDxfId="242"/>
    <tableColumn id="4" xr3:uid="{00000000-0010-0000-0000-000004000000}" name="Formal Local Senior Officer Area" dataDxfId="241"/>
    <tableColumn id="5" xr3:uid="{00000000-0010-0000-0000-000005000000}" name="SFRS Local Senior Officer Area" dataDxfId="240"/>
    <tableColumn id="8" xr3:uid="{00000000-0010-0000-0000-000008000000}" name="SDA Code" dataDxfId="239"/>
    <tableColumn id="7" xr3:uid="{00000000-0010-0000-0000-000007000000}" name="Service Delivery Area" dataDxfId="23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EAB7D47-16CC-405A-B7EA-A8EA328F64A4}" name="hrod_HR_DutySystem_1" displayName="hrod_HR_DutySystem_1" ref="A1:E8" totalsRowShown="0">
  <autoFilter ref="A1:E8" xr:uid="{5EAB7D47-16CC-405A-B7EA-A8EA328F64A4}"/>
  <tableColumns count="5">
    <tableColumn id="1" xr3:uid="{687D4C5B-A88E-43A5-93B1-629A938D2305}" name="Year" dataDxfId="208"/>
    <tableColumn id="2" xr3:uid="{A44DD1AA-E234-433A-9E5D-6DBE7A224A41}" name="Operational Crewing"/>
    <tableColumn id="3" xr3:uid="{91D1AFA9-4941-4DC4-B35E-242800B5DAA4}" name="Incident Command Officers"/>
    <tableColumn id="4" xr3:uid="{C9FF274B-C326-4360-B25A-2E015FE42D37}" name="Office Duties"/>
    <tableColumn id="5" xr3:uid="{DF510054-C758-4258-8664-2EDD9B9D1138}" name="Trainees"/>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6000000}" name="hrod_HR_DutySystem" displayName="hrod_HR_DutySystem" ref="A9:E16" totalsRowShown="0" headerRowDxfId="207" headerRowBorderDxfId="206">
  <tableColumns count="5">
    <tableColumn id="6" xr3:uid="{00000000-0010-0000-0600-000006000000}" name="Year" dataDxfId="205"/>
    <tableColumn id="2" xr3:uid="{00000000-0010-0000-0600-000002000000}" name="Operational Crewing" dataDxfId="204">
      <calculatedColumnFormula>GETPIVOTDATA("Sum of Operational Crewing",DutySystemPivot!$A$1,"Year",A10)</calculatedColumnFormula>
    </tableColumn>
    <tableColumn id="3" xr3:uid="{00000000-0010-0000-0600-000003000000}" name="Incident Command Officers" dataDxfId="203">
      <calculatedColumnFormula>GETPIVOTDATA("Sum of Incident Command Officers",DutySystemPivot!$A$1,"Year",A10)</calculatedColumnFormula>
    </tableColumn>
    <tableColumn id="4" xr3:uid="{00000000-0010-0000-0600-000004000000}" name="Off Station" dataDxfId="202">
      <calculatedColumnFormula>GETPIVOTDATA("Sum of Office Duties",DutySystemPivot!$A$1,"Year",A10)</calculatedColumnFormula>
    </tableColumn>
    <tableColumn id="5" xr3:uid="{00000000-0010-0000-0600-000005000000}" name="Trainees" dataDxfId="201">
      <calculatedColumnFormula>GETPIVOTDATA("Sum of Trainees",DutySystemPivot!$A$1,"Year",A10)</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A0A46C6-C7A2-4B92-8877-7BB4DF8A00FB}" name="hrod_HR_DutySystem_LA" displayName="hrod_HR_DutySystem_LA" ref="A1:H363" totalsRowShown="0">
  <autoFilter ref="A1:H363" xr:uid="{BA0A46C6-C7A2-4B92-8877-7BB4DF8A00FB}"/>
  <tableColumns count="8">
    <tableColumn id="1" xr3:uid="{0B1B2C78-C38A-4CA4-AE2E-3199A2ED47E3}" name="Year" dataDxfId="200"/>
    <tableColumn id="2" xr3:uid="{CF747DBC-4521-417C-8DF3-96F5A03C2CF5}" name="ReportingLevel" dataDxfId="199"/>
    <tableColumn id="3" xr3:uid="{60FF2389-D5A0-4EE4-B278-35819B856AB4}" name="lvl" dataDxfId="198"/>
    <tableColumn id="4" xr3:uid="{2FDED176-420F-4C7D-86A7-B040B57FA1D1}" name="Code" dataDxfId="197"/>
    <tableColumn id="5" xr3:uid="{9A41FE2A-6D79-40BF-A6D6-7B8895F4E294}" name="Operational Crewing"/>
    <tableColumn id="6" xr3:uid="{174E6E98-ED2B-40B7-8AA5-10FEF9C25120}" name="Incident Command Officers"/>
    <tableColumn id="7" xr3:uid="{D87F17CB-638D-44DC-BE74-A568251AA4D4}" name="Office Duties"/>
    <tableColumn id="8" xr3:uid="{88C452BB-C527-46DD-8365-B68E2E6426D2}" name="Trainees"/>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7CD588-C6CA-471F-BD02-166298FD5119}" name="hrod_HR_Department_Headcount__5" displayName="hrod_HR_Department_Headcount__5" ref="A9:I126" totalsRowShown="0" headerRowDxfId="196" dataDxfId="194" headerRowBorderDxfId="195">
  <autoFilter ref="A9:I126" xr:uid="{FF7CD588-C6CA-471F-BD02-166298FD5119}">
    <filterColumn colId="0">
      <filters>
        <filter val="2024-25"/>
      </filters>
    </filterColumn>
  </autoFilter>
  <tableColumns count="9">
    <tableColumn id="1" xr3:uid="{24E749E1-8C82-4B7A-A1A2-8A561BA4414E}" name="Year" dataDxfId="193"/>
    <tableColumn id="2" xr3:uid="{B06AFD2D-721E-4115-AE96-57702B6C2AEC}" name="Directorate" dataDxfId="192"/>
    <tableColumn id="3" xr3:uid="{D64543D2-417D-48D2-B79F-03D0805E883F}" name="Unit" dataDxfId="191"/>
    <tableColumn id="4" xr3:uid="{5A8A0D8B-3368-4DE4-AF20-86B17CCFC890}" name="Wholetime Operational" dataDxfId="190"/>
    <tableColumn id="5" xr3:uid="{5BB16F17-D1A2-4192-A65D-ED7063011CC8}" name="Retained Duty System" dataDxfId="189"/>
    <tableColumn id="6" xr3:uid="{A9ECE47D-F50F-40F2-B912-D937DC5B3BBC}" name="Retained Full-time" dataDxfId="188"/>
    <tableColumn id="7" xr3:uid="{31D927A2-39E9-4C36-8CDF-202BA9670CD1}" name="Control" dataDxfId="187"/>
    <tableColumn id="8" xr3:uid="{F676B906-4EC7-4ABD-B61D-7753E024CF73}" name="Support" dataDxfId="186"/>
    <tableColumn id="9" xr3:uid="{6532D326-8DF7-465D-9C8B-AFCB7C047EEA}" name="Volunteer" dataDxfId="18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416FAD0-154F-41B8-A5A0-57E214333042}" name="hrod_HR_Department_FTE__5" displayName="hrod_HR_Department_FTE__5" ref="A138:H255" totalsRowShown="0" headerRowDxfId="184" dataDxfId="182" headerRowBorderDxfId="183">
  <autoFilter ref="A138:H255" xr:uid="{9416FAD0-154F-41B8-A5A0-57E214333042}">
    <filterColumn colId="0">
      <filters>
        <filter val="2024-25"/>
      </filters>
    </filterColumn>
  </autoFilter>
  <tableColumns count="8">
    <tableColumn id="1" xr3:uid="{2A73C164-DCB5-4324-9CFB-B15B7B66B0DC}" name="Year" dataDxfId="181"/>
    <tableColumn id="2" xr3:uid="{212CA316-987F-4B6C-BDA3-C6DDB1E43D90}" name="Directorate" dataDxfId="180"/>
    <tableColumn id="3" xr3:uid="{D7CA28CE-CE83-4F6E-AD71-5E8CF6172500}" name="Unit" dataDxfId="179"/>
    <tableColumn id="4" xr3:uid="{81507F52-496A-4BE2-BC1A-83C768A77BD8}" name="Wholetime Operational" dataDxfId="178"/>
    <tableColumn id="5" xr3:uid="{53E0936F-3791-4931-B783-5607C0A2806B}" name="Retained Duty System" dataDxfId="177"/>
    <tableColumn id="6" xr3:uid="{E2AB8CBF-56BA-48D7-82E7-1F0D813AB28E}" name="Retained Full-time" dataDxfId="176"/>
    <tableColumn id="7" xr3:uid="{F92D1F1C-DA23-4F51-BC25-DD1FBE81AFD8}" name="Control" dataDxfId="175"/>
    <tableColumn id="8" xr3:uid="{0A2049AC-CF05-4884-96B5-5A10EDC2B54E}" name="Support" dataDxfId="17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53A4FB7-99E9-4960-8629-C9012BFCFA7B}" name="hrod_HR_GeographicStructure" displayName="hrod_HR_GeographicStructure" ref="A1:H49" totalsRowShown="0">
  <autoFilter ref="A1:H49" xr:uid="{F53A4FB7-99E9-4960-8629-C9012BFCFA7B}"/>
  <tableColumns count="8">
    <tableColumn id="1" xr3:uid="{F5629868-6810-44F9-9EC1-4831E73FC71D}" name="Year" dataDxfId="173"/>
    <tableColumn id="2" xr3:uid="{83442BD5-9531-4DAA-9030-F1DFDA29E0B5}" name="ReportingLevel" dataDxfId="172"/>
    <tableColumn id="3" xr3:uid="{03EC7FF5-1F20-401F-B70E-F0B54E0515A2}" name="Wholetime Operational"/>
    <tableColumn id="4" xr3:uid="{689F05F4-A141-4491-A7BF-151B4DC786CA}" name="RDS"/>
    <tableColumn id="8" xr3:uid="{96CDDF6B-6786-4474-9ABD-F1F73DE336A8}" name="RDS Fulltime"/>
    <tableColumn id="5" xr3:uid="{37E31755-E340-4CCD-A810-EE81BD4B86A9}" name="Control"/>
    <tableColumn id="6" xr3:uid="{6D57B7CB-EF3B-4127-B285-33923B81E873}" name="Support"/>
    <tableColumn id="7" xr3:uid="{B47C1524-9A5B-41FF-9907-BC91A2B4D5C6}" name="Volunteer"/>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A534510-D335-476D-9EDE-7F07C570FAA7}" name="hrod_HR_StaffSmallArea" displayName="hrod_HR_StaffSmallArea" ref="A1:K631" totalsRowShown="0">
  <autoFilter ref="A1:K631" xr:uid="{FA534510-D335-476D-9EDE-7F07C570FAA7}">
    <filterColumn colId="0">
      <filters>
        <filter val="2018-19"/>
      </filters>
    </filterColumn>
    <filterColumn colId="1">
      <filters>
        <filter val="2:LSO"/>
      </filters>
    </filterColumn>
  </autoFilter>
  <tableColumns count="11">
    <tableColumn id="1" xr3:uid="{3A49FBC4-9A21-4D7A-A8C0-D3725BEB87CF}" name="Year" dataDxfId="171"/>
    <tableColumn id="2" xr3:uid="{54F04711-1990-403E-BC15-E8319FDEB7CB}" name="ReportingLevel" dataDxfId="170"/>
    <tableColumn id="3" xr3:uid="{1E81E5F2-7457-4378-BD7D-0457AA242A55}" name="lvl" dataDxfId="169"/>
    <tableColumn id="4" xr3:uid="{8931A6FB-4D21-4022-80EE-4AAD65450B79}" name="Code" dataDxfId="168"/>
    <tableColumn id="5" xr3:uid="{83B2DAD3-AA69-4211-8278-0BC516756CE3}" name="Total"/>
    <tableColumn id="6" xr3:uid="{02B87874-1B11-44FB-A8E0-ABBA069C84B1}" name="Control"/>
    <tableColumn id="7" xr3:uid="{B4068E87-AA86-42F4-A2B4-708E09126360}" name="RDS Fulltime"/>
    <tableColumn id="8" xr3:uid="{F784E422-F83E-4168-BF2A-43B8D81A95DD}" name="Retained Duty System"/>
    <tableColumn id="9" xr3:uid="{FF210472-D56D-4EE1-B3F9-1713423A29BF}" name="Support"/>
    <tableColumn id="10" xr3:uid="{88B1A572-9289-494A-9169-FBFFEAD22938}" name="Volunteer"/>
    <tableColumn id="12" xr3:uid="{41F87509-657F-4EA2-97E2-4045188B2CDB}" name="Wholetime Operational"/>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e2" displayName="Table2" ref="A11:I43" totalsRowShown="0" headerRowDxfId="167" dataDxfId="165" headerRowBorderDxfId="166">
  <tableColumns count="9">
    <tableColumn id="1" xr3:uid="{00000000-0010-0000-0C00-000001000000}" name="LA Code" dataDxfId="164" dataCellStyle="Normal_Sheet1"/>
    <tableColumn id="2" xr3:uid="{00000000-0010-0000-0C00-000002000000}" name="Local Authority Area" dataDxfId="163" dataCellStyle="Normal_Sheet1"/>
    <tableColumn id="3" xr3:uid="{00000000-0010-0000-0C00-000003000000}" name="Wholetime Operational" dataDxfId="162" dataCellStyle="Normal 4">
      <calculatedColumnFormula>GETPIVOTDATA("Sum of Wholetime Operational",smallareapivot!$A$3,"ReportingLevel","1:LA","lvl","Aberdeen City")</calculatedColumnFormula>
    </tableColumn>
    <tableColumn id="4" xr3:uid="{00000000-0010-0000-0C00-000004000000}" name="Retained Duty System" dataDxfId="161" dataCellStyle="Normal 4"/>
    <tableColumn id="5" xr3:uid="{00000000-0010-0000-0C00-000005000000}" name="Retained Full-time" dataDxfId="160" dataCellStyle="Normal 4"/>
    <tableColumn id="6" xr3:uid="{00000000-0010-0000-0C00-000006000000}" name="Control" dataDxfId="159" dataCellStyle="Normal 4"/>
    <tableColumn id="7" xr3:uid="{00000000-0010-0000-0C00-000007000000}" name="Support" dataDxfId="158" dataCellStyle="Normal 4"/>
    <tableColumn id="8" xr3:uid="{00000000-0010-0000-0C00-000008000000}" name="Volunteer" dataDxfId="157" dataCellStyle="Normal 4"/>
    <tableColumn id="10" xr3:uid="{00000000-0010-0000-0C00-00000A000000}" name="All Staff Total" dataDxfId="156">
      <calculatedColumnFormula>SUM(C12:H12)</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D000000}" name="Table3" displayName="Table3" ref="A46:I63" totalsRowShown="0" headerRowDxfId="155">
  <tableColumns count="9">
    <tableColumn id="1" xr3:uid="{00000000-0010-0000-0D00-000001000000}" name="LSO Code" dataDxfId="154" dataCellStyle="Normal_Sheet1"/>
    <tableColumn id="2" xr3:uid="{00000000-0010-0000-0D00-000002000000}" name="Local Senior Officer Area" dataDxfId="153" dataCellStyle="Normal_Sheet1"/>
    <tableColumn id="3" xr3:uid="{00000000-0010-0000-0D00-000003000000}" name="Wholetime Operational" dataDxfId="152" dataCellStyle="Normal 4">
      <calculatedColumnFormula>IFERROR(GETPIVOTDATA("Sum of WT",#REF!,"ReportingLevel","2:LSO","lvl",Table3[[#This Row],[Local Senior Officer Area]]),0)</calculatedColumnFormula>
    </tableColumn>
    <tableColumn id="4" xr3:uid="{00000000-0010-0000-0D00-000004000000}" name="Retained Duty System" dataDxfId="151" dataCellStyle="Normal_Sheet1">
      <calculatedColumnFormula>IFERROR(GETPIVOTDATA("Sum of Retained Duty System",#REF!,"ReportingLevel","2:LSO","lvl",Table3[[#This Row],[LSO Code]]),0)</calculatedColumnFormula>
    </tableColumn>
    <tableColumn id="5" xr3:uid="{00000000-0010-0000-0D00-000005000000}" name="Retained Full-time" dataDxfId="150" dataCellStyle="Normal 4"/>
    <tableColumn id="6" xr3:uid="{00000000-0010-0000-0D00-000006000000}" name="Control" dataDxfId="149" dataCellStyle="Normal_Sheet1">
      <calculatedColumnFormula>IFERROR(GETPIVOTDATA("Sum of RDS Fulltime",#REF!,"ReportingLevel","2:LSO","lvl",Table3[[#This Row],[Wholetime Operational]]),0)</calculatedColumnFormula>
    </tableColumn>
    <tableColumn id="7" xr3:uid="{00000000-0010-0000-0D00-000007000000}" name="Support" dataDxfId="148" dataCellStyle="Normal 4">
      <calculatedColumnFormula>IFERROR(GETPIVOTDATA("Sum of RDS Fulltime",#REF!,"ReportingLevel","2:LSO","lvl",Table3[[#This Row],[Retained Duty System]]),0)</calculatedColumnFormula>
    </tableColumn>
    <tableColumn id="8" xr3:uid="{00000000-0010-0000-0D00-000008000000}" name="Volunteer" dataDxfId="147" dataCellStyle="Normal 4">
      <calculatedColumnFormula>IFERROR(GETPIVOTDATA("Sum of RDS Fulltime",#REF!,"ReportingLevel","2:LSO","lvl",Table3[[#This Row],[Retained Full-time]]),0)</calculatedColumnFormula>
    </tableColumn>
    <tableColumn id="9" xr3:uid="{00000000-0010-0000-0D00-000009000000}" name="All Staff Total" dataDxfId="146">
      <calculatedColumnFormula>SUM(C47:H47)</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4" displayName="Table4" ref="A66:I69" totalsRowShown="0" headerRowDxfId="145">
  <tableColumns count="9">
    <tableColumn id="1" xr3:uid="{00000000-0010-0000-0E00-000001000000}" name="SDA Code" dataDxfId="144" dataCellStyle="Normal_Sheet1"/>
    <tableColumn id="2" xr3:uid="{00000000-0010-0000-0E00-000002000000}" name="Service Delivery Area" dataDxfId="143" dataCellStyle="Normal_Sheet1"/>
    <tableColumn id="3" xr3:uid="{00000000-0010-0000-0E00-000003000000}" name="Wholetime Operational" dataDxfId="142" dataCellStyle="Normal 4">
      <calculatedColumnFormula>GETPIVOTDATA("Sum of Wholetime Operational",smallareapivot!$A$3,"ReportingLevel","3:SDA","lvl","East")</calculatedColumnFormula>
    </tableColumn>
    <tableColumn id="4" xr3:uid="{00000000-0010-0000-0E00-000004000000}" name="Retained Duty System" dataDxfId="141" dataCellStyle="Normal_Sheet1">
      <calculatedColumnFormula>GETPIVOTDATA("Sum of Retained Duty System",smallareapivot!$A$3,"ReportingLevel","3:SDA","lvl","East")</calculatedColumnFormula>
    </tableColumn>
    <tableColumn id="5" xr3:uid="{00000000-0010-0000-0E00-000005000000}" name="Retained Full-time" dataDxfId="140" dataCellStyle="Normal_Sheet1"/>
    <tableColumn id="6" xr3:uid="{00000000-0010-0000-0E00-000006000000}" name="Control" dataDxfId="139" dataCellStyle="Normal_Sheet1"/>
    <tableColumn id="7" xr3:uid="{00000000-0010-0000-0E00-000007000000}" name="Support" dataDxfId="138" dataCellStyle="Normal 4"/>
    <tableColumn id="8" xr3:uid="{00000000-0010-0000-0E00-000008000000}" name="Volunteer" dataDxfId="137" dataCellStyle="Normal 4"/>
    <tableColumn id="9" xr3:uid="{00000000-0010-0000-0E00-000009000000}" name="All Staff Total" dataDxfId="136">
      <calculatedColumnFormula>SUM(C67:H67)</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C122C1-8B39-4DFC-9501-4908B47D3DBD}" name="RR_vCapabilities_StationsTotals" displayName="RR_vCapabilities_StationsTotals" ref="I6:K25" totalsRowShown="0">
  <autoFilter ref="I6:K25" xr:uid="{D7C122C1-8B39-4DFC-9501-4908B47D3DBD}"/>
  <tableColumns count="3">
    <tableColumn id="1" xr3:uid="{D228F853-70B7-488E-9CDD-24BF2981D7E0}" name="Fiscal_Yr" dataDxfId="237"/>
    <tableColumn id="2" xr3:uid="{A09D5718-A2C3-4885-B291-99F50B5176B8}" name="CapabilityType" dataDxfId="236"/>
    <tableColumn id="3" xr3:uid="{7781F616-AE39-4BB1-8C31-18E680111DD5}" name="Number of Stations with Capability"/>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0B856B7-4126-44B4-8583-5A19F6E74A7A}" name="hrod_HR_Role" displayName="hrod_HR_Role" ref="A1:J63" totalsRowShown="0">
  <autoFilter ref="A1:J63" xr:uid="{40B856B7-4126-44B4-8583-5A19F6E74A7A}"/>
  <tableColumns count="10">
    <tableColumn id="1" xr3:uid="{1741089E-7BCC-4F53-9584-54136B2A73D0}" name="Year" dataDxfId="135"/>
    <tableColumn id="2" xr3:uid="{027C4E41-2335-48D2-B5BB-D2BC9DAA7F91}" name="Type" dataDxfId="134"/>
    <tableColumn id="3" xr3:uid="{57983250-3221-4B5E-81B9-CD5FF0D4D7DE}" name="Total"/>
    <tableColumn id="4" xr3:uid="{FA3A6805-B32E-4595-BBFA-1A8D26421ECE}" name="Brigade Manager"/>
    <tableColumn id="5" xr3:uid="{D6CF7A00-D80E-4C01-80BB-B387C3285684}" name="Area Manager"/>
    <tableColumn id="6" xr3:uid="{EB2E26E1-186D-4E32-84AF-74F2B1474E78}" name="Group Manager"/>
    <tableColumn id="7" xr3:uid="{A9217E20-A309-49A7-A3FE-7A85353417C9}" name="Station Manager"/>
    <tableColumn id="8" xr3:uid="{7D9429E7-2607-4D9A-9D08-171D429734A8}" name="Watch Manager"/>
    <tableColumn id="9" xr3:uid="{7D10A9F9-E9BD-4EF2-9E4A-3F33A4E5DF37}" name="Crew Manager"/>
    <tableColumn id="10" xr3:uid="{AFFCE349-D4FA-4A62-ACED-0629765F7DF2}" name="Firefighter"/>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D99EAF0-6139-4E4C-B2A9-AD61F7BDC595}" name="hrod_HR_Role_DutySystem" displayName="hrod_HR_Role_DutySystem" ref="A1:I29" totalsRowShown="0">
  <autoFilter ref="A1:I29" xr:uid="{AD99EAF0-6139-4E4C-B2A9-AD61F7BDC595}"/>
  <tableColumns count="9">
    <tableColumn id="1" xr3:uid="{D823C02E-C346-45AD-8F07-54272B912F89}" name="Year" dataDxfId="133"/>
    <tableColumn id="2" xr3:uid="{C47CCEDC-EC93-4727-9E61-BC4F11187684}" name="EmployeeGroup" dataDxfId="132"/>
    <tableColumn id="3" xr3:uid="{E98D87AE-1DB3-4409-9437-D50749A62ACB}" name="Brigade Commander"/>
    <tableColumn id="4" xr3:uid="{484DF5F1-6169-40A5-AAFE-ED84A2B15D3C}" name="Area Commander"/>
    <tableColumn id="5" xr3:uid="{273CF0BC-51FC-4698-A934-7E9404A3593B}" name="Group Commander"/>
    <tableColumn id="6" xr3:uid="{FE20775A-61BF-4C29-9AB1-96E4137ABD7A}" name="Station Commander"/>
    <tableColumn id="7" xr3:uid="{FF624E9A-7349-4E45-82E5-43DF51DED4F8}" name="Watch Commander"/>
    <tableColumn id="8" xr3:uid="{97B8EADF-5959-428C-AD1C-22DADD5E24AF}" name="Crew Commander"/>
    <tableColumn id="9" xr3:uid="{3B6DADF6-DD1B-4BAE-8CAE-63A147538B4B}" name="Firefighter"/>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F65A8E3-492A-4702-80EF-FCBF5E6ABD3D}" name="hrod_HR_Role_Area" displayName="hrod_HR_Role_Area" ref="A1:J49" totalsRowShown="0">
  <autoFilter ref="A1:J49" xr:uid="{FF65A8E3-492A-4702-80EF-FCBF5E6ABD3D}"/>
  <tableColumns count="10">
    <tableColumn id="1" xr3:uid="{09CFA946-A3B9-488A-9066-7E90EAE2DDE1}" name="Year" dataDxfId="131"/>
    <tableColumn id="2" xr3:uid="{19901A72-F614-4747-8F21-D7A686289221}" name="ReportingLevel" dataDxfId="130"/>
    <tableColumn id="3" xr3:uid="{57505710-EB9F-4C59-B66B-9C56269947CD}" name="Brigade Manager"/>
    <tableColumn id="4" xr3:uid="{0055D078-6845-4D46-8BA5-6FDBC6374F01}" name="Area Manager"/>
    <tableColumn id="5" xr3:uid="{A3FA3976-21C3-40FC-B7BF-4295AB7B38A3}" name="Group Manager"/>
    <tableColumn id="6" xr3:uid="{1FB4A3AC-0CCB-49E7-A70A-20FDDD76590B}" name="Station Manager"/>
    <tableColumn id="7" xr3:uid="{09751190-C5B3-4981-AAED-73AB4D6A1678}" name="Watch Manager"/>
    <tableColumn id="8" xr3:uid="{5FA9511F-DD52-4FD7-9619-A2DB579AF92D}" name="Crew Manager"/>
    <tableColumn id="9" xr3:uid="{E40DE378-37E1-4515-AD12-19327F4BDAAD}" name="Firefighter"/>
    <tableColumn id="10" xr3:uid="{0A9B73C9-79D6-4167-A407-257035EF6ABD}" name="Total"/>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F1646EB-AE3C-4C38-8A67-0E779E0A5BDF}" name="hrod_HR_WT_RoleArea" displayName="hrod_HR_WT_RoleArea" ref="A1:K612" totalsRowShown="0">
  <autoFilter ref="A1:K612" xr:uid="{DF1646EB-AE3C-4C38-8A67-0E779E0A5BDF}"/>
  <tableColumns count="11">
    <tableColumn id="1" xr3:uid="{2012A706-F7D5-4F89-89C6-EC016505B08A}" name="Year" dataDxfId="129"/>
    <tableColumn id="2" xr3:uid="{7C27CDAF-25AA-4B6D-B9B6-8D6C141F5635}" name="ReportingLevel" dataDxfId="128"/>
    <tableColumn id="3" xr3:uid="{74FFEDFE-4274-480D-8771-A62AB5D99625}" name="Code" dataDxfId="127"/>
    <tableColumn id="4" xr3:uid="{AC3A4674-FE7F-4280-B589-BE583FC61B91}" name="lvl" dataDxfId="126"/>
    <tableColumn id="5" xr3:uid="{35B74550-3AA7-40DF-A364-2BBA5DFFA718}" name="Area Manager"/>
    <tableColumn id="6" xr3:uid="{A4B4897E-F68A-4F60-9625-C48986D2CA84}" name="Brigade Manager"/>
    <tableColumn id="7" xr3:uid="{5FEC970D-7A6C-4A79-92B9-49FE85145991}" name="Crew Manager"/>
    <tableColumn id="8" xr3:uid="{A0238DB9-D9E5-4ED4-A4B0-2672F1B45777}" name="Firefighter"/>
    <tableColumn id="9" xr3:uid="{DF87781A-8058-47D2-B404-C23506756917}" name="Group Manager"/>
    <tableColumn id="10" xr3:uid="{BD915E87-FAE2-4C72-ADCC-3AA318B94EA7}" name="Station Manager"/>
    <tableColumn id="11" xr3:uid="{BA320013-E93E-41FF-A256-8795797BD6AF}" name="Watch Manager"/>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F7789BC-A6D8-49D2-8AFD-C7E41E765265}" name="hrod_HR_RDS_RoleArea" displayName="hrod_HR_RDS_RoleArea" ref="A1:G366" totalsRowShown="0">
  <autoFilter ref="A1:G366" xr:uid="{3F7789BC-A6D8-49D2-8AFD-C7E41E765265}"/>
  <tableColumns count="7">
    <tableColumn id="1" xr3:uid="{B019764F-B8A5-44CF-A68E-ECC89E6CAEA0}" name="Year" dataDxfId="125"/>
    <tableColumn id="2" xr3:uid="{E26B764D-1378-47C7-8E66-8413C5EC35F4}" name="ReportingLevel" dataDxfId="124"/>
    <tableColumn id="3" xr3:uid="{B9C657FD-CB1D-4C74-926C-9B48E2124EB6}" name="Area" dataDxfId="123"/>
    <tableColumn id="4" xr3:uid="{AC4811FF-E656-494D-960D-2028050C01FD}" name="GSS Code" dataDxfId="122"/>
    <tableColumn id="5" xr3:uid="{81B55904-9A4F-4C6A-B2E4-F0A645EBB34C}" name="Watch Manager"/>
    <tableColumn id="6" xr3:uid="{09021557-B948-463E-A82B-3F34E2EEC8FC}" name="Crew Manager"/>
    <tableColumn id="7" xr3:uid="{FC842116-5909-4D7A-B777-F19B7D6ADB7B}" name="Firefighter"/>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55083505-0A54-4454-8CC4-93AD904D8E2A}" name="hrod_HR_CS_RoleArea_Control" displayName="hrod_HR_CS_RoleArea_Control" ref="A1:I13" totalsRowShown="0">
  <autoFilter ref="A1:I13" xr:uid="{55083505-0A54-4454-8CC4-93AD904D8E2A}"/>
  <tableColumns count="9">
    <tableColumn id="1" xr3:uid="{159FB04F-84E9-400F-BB06-0B82029EBA68}" name="Year" dataDxfId="121"/>
    <tableColumn id="2" xr3:uid="{84634255-0367-46AA-ACCF-C06B7CBF70DC}" name="Area" dataDxfId="120"/>
    <tableColumn id="3" xr3:uid="{E8F871E0-51C2-4FE5-A3E1-174366AB06B6}" name="GSS Code" dataDxfId="119"/>
    <tableColumn id="4" xr3:uid="{C7A22214-69A6-4F1A-A358-B9BA1568AAAD}" name="Area Manager"/>
    <tableColumn id="5" xr3:uid="{4C3445BC-A568-49B4-BA9D-C99F228BB32E}" name="Group Manager"/>
    <tableColumn id="6" xr3:uid="{C25907FF-3172-4F0E-ACA5-9055896030F7}" name="Station Manager"/>
    <tableColumn id="7" xr3:uid="{285AA186-CDBE-4AA4-A3F3-6E4D5657BC9B}" name="Watch Manager"/>
    <tableColumn id="8" xr3:uid="{9D57CA00-D886-41B3-B094-7E0B3A3F20F5}" name="Crew Manager"/>
    <tableColumn id="9" xr3:uid="{9537DFD1-5DF6-4025-9B04-00D7969708B8}" name="Control Operator"/>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9283405-B0FE-42E2-9F8E-030D9FC6586B}" name="hrod_HR_CS_RoleArea_Support" displayName="hrod_HR_CS_RoleArea_Support" ref="A1:L49" totalsRowShown="0">
  <autoFilter ref="A1:L49" xr:uid="{39283405-B0FE-42E2-9F8E-030D9FC6586B}"/>
  <tableColumns count="12">
    <tableColumn id="1" xr3:uid="{C3F8B5A2-A872-4887-ADEB-F3287FA7A60D}" name="Year" dataDxfId="118"/>
    <tableColumn id="2" xr3:uid="{CB8412FA-1E25-42E7-8149-E39E7D9CB523}" name="ReportingLevel" dataDxfId="117"/>
    <tableColumn id="3" xr3:uid="{5472AA6B-3EC7-468D-A12A-FB92461171E5}" name="Code" dataDxfId="116"/>
    <tableColumn id="4" xr3:uid="{2319D77D-80A0-451A-A016-D417E5DE5399}" name="lvl" dataDxfId="115"/>
    <tableColumn id="5" xr3:uid="{0B652A1A-4EC9-4DFF-9ABA-58D51EA2E945}" name="Total"/>
    <tableColumn id="6" xr3:uid="{5F402DB7-BBC2-4981-A759-6AB810226B2F}" name="Director"/>
    <tableColumn id="7" xr3:uid="{2581FE4C-8B8D-473E-8024-A38EF2A61554}" name="Service Manager"/>
    <tableColumn id="8" xr3:uid="{4B08FDA5-1DFF-4456-918A-6A5C3935B304}" name="Team Leader"/>
    <tableColumn id="9" xr3:uid="{ED5F44A5-59A8-450C-8D38-25F22B4BF77A}" name="Professional"/>
    <tableColumn id="10" xr3:uid="{D586C174-245E-486F-A878-ED79AF9F0E58}" name="Specialist Technical"/>
    <tableColumn id="11" xr3:uid="{AC86E6CB-5529-405C-B2D8-85894F9FC0F3}" name="Tech Support"/>
    <tableColumn id="12" xr3:uid="{4CB83005-F9DB-44BF-A18F-1F8A66ACF99B}" name="Administration"/>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F7F40C8A-CE63-4BC3-B56E-2AD47C1D7868}" name="hrod_HR_Vol_RoleArea" displayName="hrod_HR_Vol_RoleArea" ref="A1:H182" totalsRowShown="0">
  <autoFilter ref="A1:H182" xr:uid="{F7F40C8A-CE63-4BC3-B56E-2AD47C1D7868}"/>
  <tableColumns count="8">
    <tableColumn id="1" xr3:uid="{4C598344-F2AA-4B25-99C4-BCA9ACBD1473}" name="Year" dataDxfId="114"/>
    <tableColumn id="2" xr3:uid="{20D70A48-6AE8-48D7-A74E-F098E0F8F84F}" name="ReportingLevel" dataDxfId="113"/>
    <tableColumn id="3" xr3:uid="{5EE54F2C-5102-4DFA-876F-89A69B9025A0}" name="Code" dataDxfId="112"/>
    <tableColumn id="4" xr3:uid="{6CFBBB8F-9231-40A1-8E1C-9E8980174B5B}" name="lvl" dataDxfId="111"/>
    <tableColumn id="5" xr3:uid="{73B6A981-3A22-4152-B847-8BB04315E2EE}" name="Total"/>
    <tableColumn id="6" xr3:uid="{04B0C2D6-72B7-429E-B78B-122B6764CFEB}" name="Watch Manager"/>
    <tableColumn id="7" xr3:uid="{7C5B31AD-AB98-4BB9-82E1-44522E4EB5E3}" name="Crew Manager"/>
    <tableColumn id="8" xr3:uid="{66DA8D59-A187-42B7-92C1-37F3FE04DA5B}" name="Firefighter"/>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DC3B867-8F6F-4BC4-9338-159ECC2C4BBC}" name="hrod_HR_WT_FTE_RoleArea" displayName="hrod_HR_WT_FTE_RoleArea" ref="A1:L614" totalsRowShown="0">
  <autoFilter ref="A1:L614" xr:uid="{8DC3B867-8F6F-4BC4-9338-159ECC2C4BBC}"/>
  <tableColumns count="12">
    <tableColumn id="1" xr3:uid="{77708B57-7478-4BA5-AD01-075B0BC7BAC8}" name="Year" dataDxfId="110"/>
    <tableColumn id="2" xr3:uid="{A81DD950-3722-4116-A66B-8F7FAF0BA8A2}" name="ReportingLevel" dataDxfId="109"/>
    <tableColumn id="3" xr3:uid="{BD071C85-4142-4D98-B664-5796BFA20228}" name="Code" dataDxfId="108"/>
    <tableColumn id="4" xr3:uid="{1CAEADA7-69AC-4A5A-8787-A9B65046ACD5}" name="lvl" dataDxfId="107"/>
    <tableColumn id="5" xr3:uid="{67ABA77C-8D3E-4EF8-8D52-0941F4B048EB}" name="Total"/>
    <tableColumn id="6" xr3:uid="{6AABBB89-4F31-4901-9A85-795B89E9F70C}" name="Area Manager"/>
    <tableColumn id="7" xr3:uid="{0D6193CA-7AB9-4ED2-B88F-186AE7A4E921}" name="Brigade Manager"/>
    <tableColumn id="8" xr3:uid="{3182F4E4-6736-438E-94B7-94E302D23AA7}" name="Crew Manager"/>
    <tableColumn id="9" xr3:uid="{FD5A953A-8184-4C63-AFF3-037503FDF3B7}" name="Firefighter"/>
    <tableColumn id="10" xr3:uid="{A8DC5EC0-E59F-4E98-9C7E-38748A0B33E6}" name="Group Manager"/>
    <tableColumn id="11" xr3:uid="{023FD608-A501-4E0C-AFA1-6342C1969C47}" name="Station Manager"/>
    <tableColumn id="12" xr3:uid="{881B65B1-B7F1-4AD6-91D8-037A7DFCBAC3}" name="Watch Manager"/>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6F1C5AE-2BE6-4DAB-98C5-2D8DA8415001}" name="hrod_HR_RDS_FTE_RoleArea" displayName="hrod_HR_RDS_FTE_RoleArea" ref="A1:H374" totalsRowShown="0">
  <autoFilter ref="A1:H374" xr:uid="{46F1C5AE-2BE6-4DAB-98C5-2D8DA8415001}"/>
  <tableColumns count="8">
    <tableColumn id="1" xr3:uid="{3F7A117E-6047-4DE4-B3AB-49FA6B6880A8}" name="Year" dataDxfId="106"/>
    <tableColumn id="2" xr3:uid="{3BE09136-0FC9-40D1-B64D-6DA48AB1E7A6}" name="ReportingLevel" dataDxfId="105"/>
    <tableColumn id="3" xr3:uid="{6D07AA2D-0B04-4C5D-B579-DC487C10DC2F}" name="Code" dataDxfId="104"/>
    <tableColumn id="4" xr3:uid="{84512358-8ACC-41EF-8454-957A99AD85F5}" name="lvl" dataDxfId="103"/>
    <tableColumn id="5" xr3:uid="{AEF290DC-83E2-49FF-BA6F-88C78D650864}" name="Total"/>
    <tableColumn id="6" xr3:uid="{9A72BAA2-A762-47BB-A039-B6220A15E2D3}" name="Watch Manager"/>
    <tableColumn id="7" xr3:uid="{0AA8E616-A33C-467B-B458-0F34B144B31D}" name="Crew Manager"/>
    <tableColumn id="8" xr3:uid="{23980FF7-7970-4758-9B6A-F3B191DDE4D6}" name="Firefighter"/>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B17F3C-3FCB-4C29-8BFA-615FD8AC351B}" name="RR_vCapabilities" displayName="RR_vCapabilities" ref="A1:D132" totalsRowShown="0">
  <autoFilter ref="A1:D132" xr:uid="{07B17F3C-3FCB-4C29-8BFA-615FD8AC351B}"/>
  <tableColumns count="4">
    <tableColumn id="5" xr3:uid="{BD7C1484-58D8-4A17-A8DF-C17A9AA16C67}" name="Fiscal_Yr" dataDxfId="235"/>
    <tableColumn id="2" xr3:uid="{796EE69C-0AD7-4B35-B1A9-F04BE5FC25B4}" name="CapabilityType" dataDxfId="234"/>
    <tableColumn id="3" xr3:uid="{E5932B70-DF17-475E-BBE7-32808B340210}" name="Capability" dataDxfId="233"/>
    <tableColumn id="4" xr3:uid="{09550DB0-8905-4A22-90AA-0DD5D985E838}" name="Value"/>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982464E-17A2-424B-981A-5808034CF9B2}" name="hrod_HR_CS_FTE_RoleArea_Control" displayName="hrod_HR_CS_FTE_RoleArea_Control" ref="A1:K13" totalsRowShown="0">
  <autoFilter ref="A1:K13" xr:uid="{1982464E-17A2-424B-981A-5808034CF9B2}"/>
  <tableColumns count="11">
    <tableColumn id="1" xr3:uid="{C5C4FC41-A86C-4C91-B419-77D55D0CF71F}" name="Year" dataDxfId="102"/>
    <tableColumn id="2" xr3:uid="{FAC0C06C-C1B5-4284-8735-A984A4BF7EC3}" name="ReportingLevel" dataDxfId="101"/>
    <tableColumn id="3" xr3:uid="{F6E1AE57-7AEB-4FDD-83C2-B7C6A80C4A22}" name="lvl" dataDxfId="100"/>
    <tableColumn id="4" xr3:uid="{EC454C1E-A67E-4C9E-AD24-C96B1C279F44}" name="Code" dataDxfId="99"/>
    <tableColumn id="5" xr3:uid="{8C9788DD-1538-4402-8CFF-FE0DF1378BBA}" name="Total"/>
    <tableColumn id="6" xr3:uid="{17320A7B-9730-4AB1-86ED-E8A155A9DBEF}" name="Area Manager"/>
    <tableColumn id="7" xr3:uid="{C03A28DF-B4C0-4557-8082-BA53C62E7F68}" name="Group Manager"/>
    <tableColumn id="8" xr3:uid="{D80A3C64-BC0D-4F4C-A06C-F06610B47ED8}" name="Station Manager"/>
    <tableColumn id="9" xr3:uid="{5BDFF775-787B-47CE-B7FB-9A10DC3B78F9}" name="Watch Manager"/>
    <tableColumn id="10" xr3:uid="{255936F8-0067-489D-94E8-997F83249F6D}" name="Crew Manager"/>
    <tableColumn id="11" xr3:uid="{7FCEA9D0-4AD9-4772-B126-162FA55DE021}" name="Control Operator"/>
  </tableColumns>
  <tableStyleInfo name="TableStyleMedium7"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9B175D80-1889-40D4-A7B1-1DDCE9FD927B}" name="hrod_HR_CS_FTE_RoleArea_Support" displayName="hrod_HR_CS_FTE_RoleArea_Support" ref="A1:L13" totalsRowShown="0">
  <autoFilter ref="A1:L13" xr:uid="{9B175D80-1889-40D4-A7B1-1DDCE9FD927B}"/>
  <tableColumns count="12">
    <tableColumn id="1" xr3:uid="{638A12AF-A161-4BA4-92A2-F3F85F9AF711}" name="Year" dataDxfId="98"/>
    <tableColumn id="2" xr3:uid="{89103708-5DFF-4CFB-9D18-E9FC0566705E}" name="Code" dataDxfId="97"/>
    <tableColumn id="3" xr3:uid="{040A427E-7FFF-4F64-B18A-85E12C5BA336}" name="ReportingLevel" dataDxfId="96"/>
    <tableColumn id="4" xr3:uid="{2366DE90-17E8-4328-99DF-AFACF9716BAF}" name="lvl" dataDxfId="95"/>
    <tableColumn id="5" xr3:uid="{03A8F032-D93F-470B-9640-6C34954107EF}" name="Director"/>
    <tableColumn id="6" xr3:uid="{C290AEC1-E8D2-4565-92BB-B6D452D2DAC9}" name="Service Manager"/>
    <tableColumn id="7" xr3:uid="{7BE056C7-AC71-436F-BBEF-954BDDD21219}" name="Team Leader"/>
    <tableColumn id="8" xr3:uid="{6784CBC1-0A39-4AFE-AEBE-5AB004713140}" name="Professional"/>
    <tableColumn id="9" xr3:uid="{8597ACF5-B5B5-46AB-AF4B-40347D1C0E02}" name="Specialist Technical"/>
    <tableColumn id="10" xr3:uid="{68896065-DC7E-4535-A890-FCB418526569}" name="Tech Support"/>
    <tableColumn id="11" xr3:uid="{504A6B89-BC6F-4EF9-A394-2D9E54803F1B}" name="Administration"/>
    <tableColumn id="12" xr3:uid="{309E8C75-A43F-4611-BD19-C15984FA1D86}" name="Total"/>
  </tableColumns>
  <tableStyleInfo name="TableStyleMedium7"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8AF73A8-B815-421B-927D-C601E6A97363}" name="hrod_HR_Gender_Timeseries_1" displayName="hrod_HR_Gender_Timeseries_1" ref="A1:M16" totalsRowShown="0">
  <autoFilter ref="A1:M16" xr:uid="{98AF73A8-B815-421B-927D-C601E6A97363}"/>
  <tableColumns count="13">
    <tableColumn id="1" xr3:uid="{E4370C63-747B-4DDB-8201-2D9A0353777E}" name="Year" dataDxfId="94"/>
    <tableColumn id="2" xr3:uid="{DF1DE518-9E89-4C6A-9423-76E2F6D59DEA}" name="WTFemale"/>
    <tableColumn id="3" xr3:uid="{23228D77-19EE-4D2C-A62F-E9505B789EAD}" name="WTMale"/>
    <tableColumn id="4" xr3:uid="{58E10DD5-4193-45D7-BDA0-3D5EA6232D53}" name="RDSFemale"/>
    <tableColumn id="5" xr3:uid="{6F5E7A67-448D-44AB-80B8-69C1960B5F91}" name="RDSMale"/>
    <tableColumn id="6" xr3:uid="{79EDB83C-E572-41E4-A017-18B00B70018D}" name="RDS FulltimeFemale"/>
    <tableColumn id="7" xr3:uid="{6D37B22C-6886-47BE-8DC0-0502FD21BFF8}" name="RDS FulltimeMale"/>
    <tableColumn id="8" xr3:uid="{7AF919E1-B213-4406-A55F-39C0E50CCFF3}" name="ControlFemale"/>
    <tableColumn id="9" xr3:uid="{3C87F518-A485-4B1F-9396-34FCB88E74B4}" name="ControlMale"/>
    <tableColumn id="10" xr3:uid="{B6FCA22E-D7AF-4E30-9F08-980B9E21FE76}" name="SupportFemale"/>
    <tableColumn id="11" xr3:uid="{CD96ABCE-CF8B-4641-8C89-6A72CDB942F4}" name="SupportMale"/>
    <tableColumn id="12" xr3:uid="{26517A5D-559C-4C42-AC72-8D39066D964A}" name="VolFemale"/>
    <tableColumn id="13" xr3:uid="{24C2A2E4-EE85-4935-804F-30AAEF8EDC8E}" name="VolMale"/>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B4867C4-35B7-44B2-A725-BEF56FF7BC91}" name="hrod_HR_Gender" displayName="hrod_HR_Gender" ref="A1:E68" totalsRowShown="0">
  <autoFilter ref="A1:E68" xr:uid="{6B4867C4-35B7-44B2-A725-BEF56FF7BC91}"/>
  <tableColumns count="5">
    <tableColumn id="1" xr3:uid="{35880438-05E8-4961-A648-CBDE894D12DE}" name="Year" dataDxfId="93"/>
    <tableColumn id="2" xr3:uid="{688A128C-C696-419D-A9D6-FED5FD2F2ACA}" name="Type" dataDxfId="92"/>
    <tableColumn id="3" xr3:uid="{C69CD400-5DF8-4412-85D6-19E54CAC307B}" name="Total"/>
    <tableColumn id="4" xr3:uid="{7D01F7F6-924B-47A1-8228-4113518AF8A3}" name="Female"/>
    <tableColumn id="5" xr3:uid="{98B85E24-F2C8-4925-8B0A-BBDC01DE3C62}" name="Male"/>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2FFB878-F63A-4992-B3C3-24EC7259ED51}" name="hrod_HR_Gender_Role" displayName="hrod_HR_Gender_Role" ref="A1:F318" totalsRowShown="0">
  <autoFilter ref="A1:F318" xr:uid="{B2FFB878-F63A-4992-B3C3-24EC7259ED51}"/>
  <tableColumns count="6">
    <tableColumn id="1" xr3:uid="{58F78C1B-0670-4C53-9EE8-7BB10F72C1B1}" name="Year" dataDxfId="91"/>
    <tableColumn id="2" xr3:uid="{B818DCE5-4A60-4464-80E8-1467CA53A6D6}" name="Type" dataDxfId="90"/>
    <tableColumn id="3" xr3:uid="{D979CD2C-10FD-48C7-909A-445232A69D8D}" name="PostConv" dataDxfId="89"/>
    <tableColumn id="4" xr3:uid="{72853211-44E9-4908-8F4E-5956E4B405C5}" name="Total"/>
    <tableColumn id="5" xr3:uid="{866BB4DE-D4DE-4065-A8B4-7D2694209FE7}" name="Female"/>
    <tableColumn id="6" xr3:uid="{4889F357-5597-4293-86EA-FF5AF8AA1B58}" name="Male"/>
  </tableColumns>
  <tableStyleInfo name="TableStyleMedium7"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6D95BE-E13C-44F8-AAD9-BCA9FC67B279}" name="hrod_HR_FTE_Gender_Role" displayName="hrod_HR_FTE_Gender_Role" ref="A1:F282" totalsRowShown="0">
  <tableColumns count="6">
    <tableColumn id="1" xr3:uid="{DD724336-7321-46B7-A70D-BB1B787B967F}" name="Year" dataDxfId="88"/>
    <tableColumn id="2" xr3:uid="{014F935F-3C40-4735-A573-9A21BC505AE4}" name="Type" dataDxfId="87"/>
    <tableColumn id="3" xr3:uid="{1F3496DA-4F71-4538-88C2-B17485FCC3B5}" name="PostConv" dataDxfId="86"/>
    <tableColumn id="4" xr3:uid="{F1C68362-6278-40DB-B742-3F4D6B3F00FD}" name="Total"/>
    <tableColumn id="5" xr3:uid="{978735C7-6A41-441D-97D3-31C787024B64}" name="Female"/>
    <tableColumn id="6" xr3:uid="{44A030A8-676F-4DEC-9BDA-AE698B963B0B}" name="Male"/>
  </tableColumns>
  <tableStyleInfo name="TableStyleMedium7"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11C69C7-3000-4C1C-9651-315FAE5C729E}" name="hrod_HR_Age__2" displayName="hrod_HR_Age__2" ref="A1:H146" totalsRowShown="0">
  <autoFilter ref="A1:H146" xr:uid="{B11C69C7-3000-4C1C-9651-315FAE5C729E}"/>
  <tableColumns count="8">
    <tableColumn id="1" xr3:uid="{983C35EE-E743-43D4-9BAF-054D572139EB}" name="Year" dataDxfId="85"/>
    <tableColumn id="2" xr3:uid="{0C3E9C4D-C088-427A-B395-04508BD056B3}" name="Age Range" dataDxfId="84"/>
    <tableColumn id="3" xr3:uid="{FDDD462F-9357-4F1C-8820-A28EA2619987}" name="Wholetime Operational"/>
    <tableColumn id="4" xr3:uid="{74E4CDDE-D65D-4513-BD3E-B53EE695F5A8}" name="Retained Duty System"/>
    <tableColumn id="5" xr3:uid="{43BAB8C0-7C4F-44B9-A022-A1AEDD797EE0}" name="Retained Full-time"/>
    <tableColumn id="6" xr3:uid="{684F829C-619A-48AE-8A64-66845D7A8D56}" name="Control"/>
    <tableColumn id="7" xr3:uid="{0603A3B8-686A-483B-BBFB-0EDA40A27A3B}" name="Support Staff"/>
    <tableColumn id="8" xr3:uid="{4C836020-0DBB-4301-937F-32A182C6A57B}" name="Volunteer"/>
  </tableColumns>
  <tableStyleInfo name="TableStyleMedium7"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9B2DF5-F8E7-48A7-9339-0CCD66008F56}" name="hrod_HR_Service" displayName="hrod_HR_Service" ref="A1:G73" totalsRowShown="0">
  <autoFilter ref="A1:G73" xr:uid="{469B2DF5-F8E7-48A7-9339-0CCD66008F56}"/>
  <tableColumns count="7">
    <tableColumn id="1" xr3:uid="{F6932FF3-FA9C-478F-9651-341C88ADD694}" name="Year" dataDxfId="83"/>
    <tableColumn id="2" xr3:uid="{B8CD8E9A-B2D7-4F50-84FA-476D58029C5A}" name="Service Length (Years)" dataDxfId="82"/>
    <tableColumn id="3" xr3:uid="{B3E51A1A-9562-4B53-ADAA-AF4C2AA10731}" name="Wholetime Operational"/>
    <tableColumn id="4" xr3:uid="{4EA5BCA3-8A56-4186-99A5-25AFE94DF1A9}" name="Retained Duty System"/>
    <tableColumn id="5" xr3:uid="{FE84DB32-17B8-43B4-AB29-032FABC3EFB7}" name="Retained Full-time"/>
    <tableColumn id="6" xr3:uid="{6B6AEBAD-A0FC-41DB-B679-671A3F6AACCB}" name="Control"/>
    <tableColumn id="7" xr3:uid="{AD226EFC-024B-434F-AC4C-EF0E60529875}" name="Volunteer"/>
  </tableColumns>
  <tableStyleInfo name="TableStyleMedium7"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3AF0CC5-CFEF-423D-B0DC-7FBCB9B6E473}" name="hrod_HR_Ethnicity" displayName="hrod_HR_Ethnicity" ref="A1:E116" totalsRowShown="0">
  <autoFilter ref="A1:E116" xr:uid="{F3AF0CC5-CFEF-423D-B0DC-7FBCB9B6E473}"/>
  <tableColumns count="5">
    <tableColumn id="1" xr3:uid="{2C037641-B18F-4161-9529-6EC52C82DFA3}" name="FisYr" dataDxfId="81"/>
    <tableColumn id="2" xr3:uid="{5F7B95B2-2FC8-40A9-AA1F-389BABD098C5}" name="Type" dataDxfId="80"/>
    <tableColumn id="3" xr3:uid="{7B503B1E-8A29-43A6-85A5-3E0854985EAE}" name="White"/>
    <tableColumn id="4" xr3:uid="{A41518E7-A6EF-48DF-9618-A94EC4386818}" name="Ethnic Minority"/>
    <tableColumn id="5" xr3:uid="{51C19495-71E2-49DD-9173-EC4635B2DAEE}" name="Not Stated"/>
  </tableColumns>
  <tableStyleInfo name="TableStyleMedium7"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8F9A7EC-2A89-4B48-9DCA-1A2E1ACB2136}" name="hrod_HR_Disability_Known" displayName="hrod_HR_Disability_Known" ref="A1:I15" totalsRowShown="0">
  <autoFilter ref="A1:I15" xr:uid="{98F9A7EC-2A89-4B48-9DCA-1A2E1ACB2136}"/>
  <tableColumns count="9">
    <tableColumn id="1" xr3:uid="{EB2D8186-A3DE-4453-B128-187204EACCC2}" name="Year" dataDxfId="79"/>
    <tableColumn id="2" xr3:uid="{DC9E076B-2C35-4E0C-8FD7-474373ED4298}" name="Wholetime Operational"/>
    <tableColumn id="3" xr3:uid="{44ABDC09-B9DC-46CD-8BEE-29150027F61C}" name="Retained Duty System"/>
    <tableColumn id="4" xr3:uid="{606BED5A-8A9F-480C-84DE-9DE237F5A9CE}" name="Retained Fulltime"/>
    <tableColumn id="5" xr3:uid="{917C32DB-CE65-4153-AD00-7FD3BD19C82A}" name="Control"/>
    <tableColumn id="6" xr3:uid="{1F3E3B37-0D63-4714-B54C-5A135C66C3FF}" name="Support"/>
    <tableColumn id="7" xr3:uid="{3ACCB9BD-0E7B-4286-B242-198E490E034F}" name="Volunteer"/>
    <tableColumn id="8" xr3:uid="{739537D6-4848-40B9-B5D7-B5A1E5C35929}" name="Total"/>
    <tableColumn id="9" xr3:uid="{E214DC34-FC57-4AB5-AE4E-3421552AB2F8}" name="Total (excluding volunters)"/>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1AAB337-9D67-4D9E-AA14-7A53AF6D7FA7}" name="fleet_National__2" displayName="fleet_National__2" ref="A1:N14" totalsRowShown="0">
  <autoFilter ref="A1:N14" xr:uid="{D1AAB337-9D67-4D9E-AA14-7A53AF6D7FA7}"/>
  <tableColumns count="14">
    <tableColumn id="1" xr3:uid="{60D2E384-3144-4A96-80AF-33A558C8656A}" name="Year" dataDxfId="232"/>
    <tableColumn id="2" xr3:uid="{23212AC9-E839-4D97-B2DC-9FB6B59CDCBE}" name="Pumping Appliances"/>
    <tableColumn id="3" xr3:uid="{71CB2F98-C0F2-4702-970D-D5F383F022E6}" name="Aerial Appliances"/>
    <tableColumn id="4" xr3:uid="{8D66DCE8-60E4-4E41-AE9E-70D753BCBDD3}" name="Resilience Appliances"/>
    <tableColumn id="5" xr3:uid="{421E2707-544B-45DE-9559-D7E93EA4D8A2}" name="Fire Boats"/>
    <tableColumn id="6" xr3:uid="{4EC38B19-FB7E-409E-B696-1E7123374AC7}" name="Vehicles for Rescue Work"/>
    <tableColumn id="7" xr3:uid="{F016C8F0-879E-4A82-B430-63328BF5C76E}" name="Small Firefighting Vehicles"/>
    <tableColumn id="8" xr3:uid="{23D13409-A7B4-45AB-B24A-F5B9304C8A67}" name="Other"/>
    <tableColumn id="9" xr3:uid="{B79BA0E4-69ED-4383-A663-593EEEE8B0E3}" name="Total Appliances"/>
    <tableColumn id="10" xr3:uid="{224E07EF-2A52-4A60-81B5-23C7BEFB8C9A}" name="Officer Response Vehicles"/>
    <tableColumn id="11" xr3:uid="{9A36100C-8196-4938-A4CB-11CD5040041A}" name="Reserve Appliances"/>
    <tableColumn id="12" xr3:uid="{862E18E5-FAC4-4A7F-9D39-59F12B29B9D3}" name="Training Appliances"/>
    <tableColumn id="13" xr3:uid="{B49535E6-BE6C-4981-B52E-A7DB64430AE4}" name="Other Fleet Vehicles (excl Officer Response Vehicles)"/>
    <tableColumn id="14" xr3:uid="{D72F9E58-F29A-45C5-9116-B363784664AC}" name="Total Vehicles (incl boats)"/>
  </tableColumns>
  <tableStyleInfo name="TableStyleMedium7"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18AA7BA-AC0B-46F6-BDBD-CE024CAE91EB}" name="hrod_HR_Disability_NotKnown__2" displayName="hrod_HR_Disability_NotKnown__2" ref="A26:I37" totalsRowShown="0">
  <autoFilter ref="A26:I37" xr:uid="{418AA7BA-AC0B-46F6-BDBD-CE024CAE91EB}"/>
  <tableColumns count="9">
    <tableColumn id="1" xr3:uid="{B72A2917-1124-472D-B228-2A7A0B5134CD}" name="Year" dataDxfId="78"/>
    <tableColumn id="2" xr3:uid="{576F2040-EE55-4F52-ABEB-6E6E3C16D7B9}" name="Wholetime Operational"/>
    <tableColumn id="3" xr3:uid="{BCDBF6BF-DF7A-42EF-9816-450CB0E9177F}" name="Retained Duty System"/>
    <tableColumn id="4" xr3:uid="{51CB949A-1625-4B64-83F9-C968892045E1}" name="Retained Fulltime"/>
    <tableColumn id="5" xr3:uid="{AE49993F-2551-401F-85A9-A1F5CF4B6EE4}" name="Control"/>
    <tableColumn id="6" xr3:uid="{35070EF8-E4A7-47F2-9175-A569938C0341}" name="Support"/>
    <tableColumn id="7" xr3:uid="{41019DBB-5DDB-41B3-83D8-3507AD94DD09}" name="Volunteer"/>
    <tableColumn id="8" xr3:uid="{3B2B719B-4CF7-4DE8-B6D9-9F8A2B485B02}" name="Total"/>
    <tableColumn id="9" xr3:uid="{BF509C44-B7A6-451F-A487-37F3B35855DA}" name="Total (excluding volunters)"/>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3000000}" name="hrod_HR_Disability_NotKnown" displayName="hrod_HR_Disability_NotKnown" ref="A34:I45" totalsRowShown="0" headerRowDxfId="77" headerRowBorderDxfId="76">
  <tableColumns count="9">
    <tableColumn id="10" xr3:uid="{00000000-0010-0000-2300-00000A000000}" name="Year" dataDxfId="75"/>
    <tableColumn id="2" xr3:uid="{00000000-0010-0000-2300-000002000000}" name="Wholetime Operational" dataDxfId="74">
      <calculatedColumnFormula>GETPIVOTDATA("Sum of Wholetime Operational",DisabilityPivot!$A$27,"Year",A35)</calculatedColumnFormula>
    </tableColumn>
    <tableColumn id="3" xr3:uid="{00000000-0010-0000-2300-000003000000}" name="Retained Duty System" dataDxfId="73">
      <calculatedColumnFormula>GETPIVOTDATA("Sum of Retained Duty System",DisabilityPivot!$A$27,"Year",A35)</calculatedColumnFormula>
    </tableColumn>
    <tableColumn id="4" xr3:uid="{00000000-0010-0000-2300-000004000000}" name="Retained Full-time" dataDxfId="72"/>
    <tableColumn id="5" xr3:uid="{00000000-0010-0000-2300-000005000000}" name="Control" dataDxfId="71">
      <calculatedColumnFormula>GETPIVOTDATA("Sum of Control",DisabilityPivot!$A$27,"Year",A35)</calculatedColumnFormula>
    </tableColumn>
    <tableColumn id="6" xr3:uid="{00000000-0010-0000-2300-000006000000}" name="Support" dataDxfId="70">
      <calculatedColumnFormula>GETPIVOTDATA("Sum of Control",DisabilityPivot!$A$27,"Year",A35)</calculatedColumnFormula>
    </tableColumn>
    <tableColumn id="7" xr3:uid="{00000000-0010-0000-2300-000007000000}" name="Volunteer" dataDxfId="69">
      <calculatedColumnFormula>GETPIVOTDATA("Sum of Volunteer",DisabilityPivot!$A$27,"Year",A35)</calculatedColumnFormula>
    </tableColumn>
    <tableColumn id="8" xr3:uid="{00000000-0010-0000-2300-000008000000}" name="Total" dataDxfId="68">
      <calculatedColumnFormula>GETPIVOTDATA("Sum of Total",DisabilityPivot!$A$27,"Year",A35)</calculatedColumnFormula>
    </tableColumn>
    <tableColumn id="9" xr3:uid="{00000000-0010-0000-2300-000009000000}" name="Total (excluding Volunteers)" dataDxfId="67">
      <calculatedColumnFormula>GETPIVOTDATA("Sum of Total (excluding volunters)",DisabilityPivot!$A$27,"Year",A35)</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F79F14E-37A1-4569-9F5D-041F2D40DE76}" name="hrod_HR_Leavers__2" displayName="hrod_HR_Leavers__2" ref="A1:I57" totalsRowShown="0">
  <autoFilter ref="A1:I57" xr:uid="{7F79F14E-37A1-4569-9F5D-041F2D40DE76}"/>
  <tableColumns count="9">
    <tableColumn id="1" xr3:uid="{15B9FD28-A6A9-4BAF-B3E7-6F687F398F0F}" name="Year" dataDxfId="66"/>
    <tableColumn id="2" xr3:uid="{62B22CF9-7631-4BB6-8004-F2F9742ABA4F}" name="Reason for Leaving" dataDxfId="65"/>
    <tableColumn id="3" xr3:uid="{695B87FC-53BC-4908-B325-22F3B2EC1B3E}" name="Wholetime Operational"/>
    <tableColumn id="4" xr3:uid="{6B5CA53E-DC5A-419E-A0AA-6C4AFD1715A6}" name="Retained Duty System"/>
    <tableColumn id="5" xr3:uid="{95C071AA-DDAD-48F7-B5F7-622AF611A181}" name="Retained Full-time"/>
    <tableColumn id="6" xr3:uid="{4E94138F-34B2-4DC3-9077-F2A5C8A3961C}" name="Control"/>
    <tableColumn id="7" xr3:uid="{50A934E4-A01A-410F-9335-A0834D7949A5}" name="Support"/>
    <tableColumn id="8" xr3:uid="{61ABD148-0274-452B-8955-466521A1816C}" name="Volunteers"/>
    <tableColumn id="9" xr3:uid="{7B982E0C-C739-4919-8E5F-D314069AC8C6}" name="Total"/>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446732C-6181-4C34-B474-4D5E39B63CF4}" name="hrod_HR_Entrants_Ethnicity__2" displayName="hrod_HR_Entrants_Ethnicity__2" ref="A1:G19" totalsRowShown="0">
  <autoFilter ref="A1:G19" xr:uid="{9446732C-6181-4C34-B474-4D5E39B63CF4}"/>
  <tableColumns count="7">
    <tableColumn id="1" xr3:uid="{6EA9CD1C-546B-4F34-8BDA-4C761AC2B75B}" name="FiscalYr" dataDxfId="64"/>
    <tableColumn id="2" xr3:uid="{8155BCC9-EAE4-4AF8-8739-8F644022C4F0}" name="EthStat" dataDxfId="63"/>
    <tableColumn id="3" xr3:uid="{021471DC-762D-4CAA-966D-9C9000B077AB}" name="WT"/>
    <tableColumn id="4" xr3:uid="{1F8977B8-4FD8-4DBA-8EBD-EC8E61F770A3}" name="RDS"/>
    <tableColumn id="5" xr3:uid="{AEB11DA6-9B72-441A-A883-FCA09BD63913}" name="Control"/>
    <tableColumn id="6" xr3:uid="{7011BA45-98CC-409B-B84E-C767354F0872}" name="Support"/>
    <tableColumn id="7" xr3:uid="{C9C321C7-4DA5-49B9-9B80-0244B396DED8}" name="Vol"/>
  </tableColumns>
  <tableStyleInfo name="TableStyleMedium7"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864638D-CE21-41E7-A7E2-9258F6BAE887}" name="hrod_HR_Entrants_Gender" displayName="hrod_HR_Entrants_Gender" ref="J1:Q15" totalsRowShown="0">
  <autoFilter ref="J1:Q15" xr:uid="{4864638D-CE21-41E7-A7E2-9258F6BAE887}"/>
  <tableColumns count="8">
    <tableColumn id="1" xr3:uid="{FC614FC6-B8A9-465E-AFD8-9213E8DE76A1}" name="Year" dataDxfId="62"/>
    <tableColumn id="2" xr3:uid="{9F527464-A9D0-4BA2-9F60-46DA51E3FEC3}" name="Gender" dataDxfId="61"/>
    <tableColumn id="3" xr3:uid="{CD31C54B-0019-4460-B3C5-AE7E9C336B02}" name="Wholetime Operational"/>
    <tableColumn id="4" xr3:uid="{002A657B-792F-4984-BCFC-99D7271AFA24}" name="Retained Duty System"/>
    <tableColumn id="5" xr3:uid="{B9A6A18D-C706-4C4F-A3F1-4AB2BCF3A525}" name="Control"/>
    <tableColumn id="6" xr3:uid="{066433EC-E8E8-4E0E-A5AC-F1BE9E8184A1}" name="Support"/>
    <tableColumn id="7" xr3:uid="{F0F05319-8BDD-4E88-A24C-5D182B35BB0A}" name="Volunteers"/>
    <tableColumn id="8" xr3:uid="{A101DC21-2BFA-4461-B777-549A1C25F385}" name="Total"/>
  </tableColumns>
  <tableStyleInfo name="TableStyleMedium7"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A1BB409A-2154-4C7F-86F1-4B0570815F8E}" name="hrod_HR_Entrants_Disability__2" displayName="hrod_HR_Entrants_Disability__2" ref="A25:G43" totalsRowShown="0">
  <autoFilter ref="A25:G43" xr:uid="{A1BB409A-2154-4C7F-86F1-4B0570815F8E}"/>
  <tableColumns count="7">
    <tableColumn id="1" xr3:uid="{6C7C2AAA-9E7E-41A7-A918-36E3CA60592A}" name="FiscalYr" dataDxfId="60"/>
    <tableColumn id="2" xr3:uid="{C8A2E386-527D-4EF4-92F1-54EB17AF3022}" name="DisStat" dataDxfId="59"/>
    <tableColumn id="3" xr3:uid="{525AC9AC-C30E-4E3E-991E-46AA730B6EAB}" name="WT"/>
    <tableColumn id="4" xr3:uid="{8D2437DB-747D-40A2-9F8E-2B04BE65F3D9}" name="RDS"/>
    <tableColumn id="5" xr3:uid="{CA84D5CD-61FC-42D0-8D3D-A1B7B95C491E}" name="Control"/>
    <tableColumn id="6" xr3:uid="{74CE0BB2-F6A0-4991-A32D-6347C34B32B9}" name="Support"/>
    <tableColumn id="7" xr3:uid="{2F16725C-E1D6-4C7B-A75B-21349A3C8840}" name="Vol"/>
  </tableColumns>
  <tableStyleInfo name="TableStyleMedium7"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87C88AC-827C-4ACB-ACE5-161819F9DB82}" name="hrod_HR_Entrants_Age" displayName="hrod_HR_Entrants_Age" ref="J24:Q99" totalsRowShown="0">
  <autoFilter ref="J24:Q99" xr:uid="{187C88AC-827C-4ACB-ACE5-161819F9DB82}"/>
  <tableColumns count="8">
    <tableColumn id="1" xr3:uid="{8335361A-D56E-4E9D-BF5C-60EFEFB21AC3}" name="Year" dataDxfId="58"/>
    <tableColumn id="2" xr3:uid="{E8CC4931-48ED-4CC9-B0F2-7215ACFA633E}" name="Age Range" dataDxfId="57"/>
    <tableColumn id="3" xr3:uid="{FDA2294B-2DCF-4A81-BAB1-0A56CFB0606B}" name="Wholetime Operational"/>
    <tableColumn id="4" xr3:uid="{606B6B3E-EB5C-461E-8882-FDFBDC5D2B38}" name="Retained Duty System"/>
    <tableColumn id="5" xr3:uid="{E237AB43-86A4-43D5-8F37-A72EA35B308E}" name="Control"/>
    <tableColumn id="6" xr3:uid="{C5594785-FE90-43E7-BC83-71FC513BBEC8}" name="Support"/>
    <tableColumn id="7" xr3:uid="{65C2FF2A-DDAB-4A9B-992D-6A0C03A31183}" name="Volunteers"/>
    <tableColumn id="8" xr3:uid="{694CC731-297F-4577-A9E3-F37A7476AF81}" name="Total"/>
  </tableColumns>
  <tableStyleInfo name="TableStyleMedium7"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3350888-C145-4EE5-ABAF-553132C0ED41}" name="hsw_Attacks_Operational_New" displayName="hsw_Attacks_Operational_New" ref="A1:F10" totalsRowShown="0">
  <autoFilter ref="A1:F10" xr:uid="{63350888-C145-4EE5-ABAF-553132C0ED41}"/>
  <tableColumns count="6">
    <tableColumn id="1" xr3:uid="{780F3E18-B59A-409B-B9BA-8869547FE767}" name="Op" dataDxfId="56"/>
    <tableColumn id="2" xr3:uid="{018CCB84-D283-4E8D-9482-4C3853E7D4E3}" name="FinYear" dataDxfId="55"/>
    <tableColumn id="3" xr3:uid="{27EC33CA-6BC7-42DD-B51C-9CCCFF7FD3FA}" name="Attack against property/equipment"/>
    <tableColumn id="4" xr3:uid="{6AEDD2FF-EA06-4CE0-AE3F-535AEA810712}" name="Verbal assault"/>
    <tableColumn id="5" xr3:uid="{EC533809-27AD-4317-9DE1-FE6D409A3EF3}" name="Physical assault"/>
    <tableColumn id="6" xr3:uid="{450E5686-B2A9-4B4A-B6AE-5B1AA5E355E0}" name="Total"/>
  </tableColumns>
  <tableStyleInfo name="TableStyleMedium7"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2EF94DD-D9BC-4E5A-B4AF-4BCAB5FC0EAA}" name="hsw_Attacks_Non_Operational_New" displayName="hsw_Attacks_Non_Operational_New" ref="A14:F23" totalsRowShown="0">
  <autoFilter ref="A14:F23" xr:uid="{E2EF94DD-D9BC-4E5A-B4AF-4BCAB5FC0EAA}"/>
  <tableColumns count="6">
    <tableColumn id="1" xr3:uid="{86229C3A-9764-4E2F-8C19-CDFD4332B486}" name="Op" dataDxfId="54"/>
    <tableColumn id="2" xr3:uid="{C029681F-561C-4697-BF05-2C3E5E8A5075}" name="FinYear" dataDxfId="53"/>
    <tableColumn id="3" xr3:uid="{8930843D-478A-4C4D-968A-D4D10EF90789}" name="Attack against property/equipment"/>
    <tableColumn id="4" xr3:uid="{52442E5C-FD02-4BE0-8250-BBF1A6F0856F}" name="Verbal assault"/>
    <tableColumn id="5" xr3:uid="{E7957733-A0A5-40DD-B856-23E799FC9CDB}" name="Physical assault"/>
    <tableColumn id="6" xr3:uid="{AF454FB5-15E5-4430-AFF7-7F7E2CA97F92}" name="Total"/>
  </tableColumns>
  <tableStyleInfo name="TableStyleMedium7"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E3810F6-C392-48E5-B98F-9C54FF48366B}" name="hsw_Injuries_Operational_New" displayName="hsw_Injuries_Operational_New" ref="A28:F37" totalsRowShown="0">
  <autoFilter ref="A28:F37" xr:uid="{6E3810F6-C392-48E5-B98F-9C54FF48366B}"/>
  <tableColumns count="6">
    <tableColumn id="1" xr3:uid="{2BD9FA98-77AB-488C-82D4-F874C40BB1E0}" name="Op" dataDxfId="52"/>
    <tableColumn id="2" xr3:uid="{FF2373A9-D2A4-4413-981F-3CE662134520}" name="FinYear" dataDxfId="51"/>
    <tableColumn id="3" xr3:uid="{24FABB5D-E463-4F6C-A37D-A1A7AF5BBCE3}" name="Attack against property/equipment"/>
    <tableColumn id="4" xr3:uid="{39C39DEA-8768-455D-9ADA-D6E88EF05157}" name="Verbal assault"/>
    <tableColumn id="5" xr3:uid="{1619C056-3F8A-4AED-9EB9-8653BE257C8C}" name="Physical assault"/>
    <tableColumn id="6" xr3:uid="{17EC3F9E-DD49-437B-8674-6712776854B4}" name="Total"/>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06FCEDD-0C1A-44D0-982D-97C103FC01B1}" name="fleet_LocalAuthority__2" displayName="fleet_LocalAuthority__2" ref="A1:J225" totalsRowShown="0">
  <autoFilter ref="A1:J225" xr:uid="{706FCEDD-0C1A-44D0-982D-97C103FC01B1}"/>
  <tableColumns count="10">
    <tableColumn id="1" xr3:uid="{4AF72D70-911F-48C2-86DC-2C38D1B85B74}" name="Year" dataDxfId="231"/>
    <tableColumn id="2" xr3:uid="{18CC4937-358A-4F0D-97D3-83F8589F62BB}" name="LA Code" dataDxfId="230"/>
    <tableColumn id="3" xr3:uid="{55A4E646-E044-4788-A7D5-CC63A3E939FA}" name="Local Authority Area" dataDxfId="229"/>
    <tableColumn id="4" xr3:uid="{21EE29F5-EA30-4164-BEA1-02C2D7547FAB}" name="Pumping Appliances"/>
    <tableColumn id="5" xr3:uid="{68F1D77C-9946-46F1-9186-5ADC92D4931E}" name="Aerial Appliances"/>
    <tableColumn id="6" xr3:uid="{42DABC3B-8C2E-406D-A2F9-D0B630C4DB8A}" name="Resilience Appliances"/>
    <tableColumn id="7" xr3:uid="{037EE45E-9227-4347-983C-BF923276A3E5}" name="Vehicles for Rescue Work"/>
    <tableColumn id="8" xr3:uid="{08C93330-C4BF-46AA-BB7B-123DFDF52B4A}" name="Small Firefighting Vehicles"/>
    <tableColumn id="9" xr3:uid="{3788031F-941B-42E6-A3EC-0244BB363CE3}" name="Other Operational"/>
    <tableColumn id="10" xr3:uid="{610EAEBD-E622-4C0D-9A73-676369CDDE46}" name="Total Appliances"/>
  </tableColumns>
  <tableStyleInfo name="TableStyleMedium7"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FBF1533-74E3-4977-A141-F1FD0DD59553}" name="hsw_Injuries_Non_Operational_New" displayName="hsw_Injuries_Non_Operational_New" ref="A42:F51" totalsRowShown="0">
  <autoFilter ref="A42:F51" xr:uid="{3FBF1533-74E3-4977-A141-F1FD0DD59553}"/>
  <tableColumns count="6">
    <tableColumn id="1" xr3:uid="{171AD9CD-FA2F-4520-96CF-D802D156DE9C}" name="Op" dataDxfId="50"/>
    <tableColumn id="2" xr3:uid="{F4928439-405B-4991-933D-D5557421390E}" name="FinYear" dataDxfId="49"/>
    <tableColumn id="3" xr3:uid="{124D6195-80A3-4DB7-932C-058EE4D31A60}" name="Attack against property/equipment"/>
    <tableColumn id="4" xr3:uid="{24E06370-7148-4017-9DCC-DBE6BB31D8D0}" name="Verbal assault"/>
    <tableColumn id="5" xr3:uid="{92B06309-A55C-4C60-B1D6-4880A9AE12C1}" name="Physical assault"/>
    <tableColumn id="6" xr3:uid="{5AFA760E-1A05-424B-AE02-1F439EBA723B}" name="Total"/>
  </tableColumns>
  <tableStyleInfo name="TableStyleMedium7"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A73DBDA-7151-455B-B15A-90E24CAE6086}" name="hsw_vAOV_LA_New" displayName="hsw_vAOV_LA_New" ref="A1:K30" totalsRowShown="0">
  <autoFilter ref="A1:K30" xr:uid="{9A73DBDA-7151-455B-B15A-90E24CAE6086}"/>
  <tableColumns count="11">
    <tableColumn id="1" xr3:uid="{C06D459C-F542-4C64-8B0F-FD9EF2D1C822}" name="LA" dataDxfId="48"/>
    <tableColumn id="2" xr3:uid="{CE4B03B6-8D10-4BA4-8F65-C16AC2F2C8E6}" name="GEOCode_LA" dataDxfId="47"/>
    <tableColumn id="3" xr3:uid="{6B79A7FF-D5B8-4222-8125-B46279E9D83F}" name="2016-17"/>
    <tableColumn id="4" xr3:uid="{1915BBF2-7CA0-4CD4-91BF-D5212B3C27F0}" name="2017-18"/>
    <tableColumn id="5" xr3:uid="{56C7F49E-B691-4C83-98D4-6C23629E0CBE}" name="2018-19"/>
    <tableColumn id="6" xr3:uid="{5EFF70F2-A090-4E0A-AB08-6CB7CBF3C920}" name="2019-20"/>
    <tableColumn id="7" xr3:uid="{56EA2934-CCC3-4496-8828-E9DF960A90BF}" name="2020-21"/>
    <tableColumn id="8" xr3:uid="{BAB538E8-1D55-4F5C-A029-896B6D401019}" name="2021-22"/>
    <tableColumn id="9" xr3:uid="{015423A1-8019-4DBD-BDA0-C89D29924CF7}" name="2022-23"/>
    <tableColumn id="10" xr3:uid="{FCFF5D3B-E0DB-4C40-ACF1-7FA99FEF07A5}" name="2023-24"/>
    <tableColumn id="11" xr3:uid="{78C68528-814B-4270-AFDF-1199756B29A2}" name="2024-25"/>
  </tableColumns>
  <tableStyleInfo name="TableStyleMedium7"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B65D71-F7A7-4143-B310-D6ADE2D79268}" name="cset_HFSV_Outcome_Final" displayName="cset_HFSV_Outcome_Final" ref="A1:G16" totalsRowShown="0">
  <autoFilter ref="A1:G16" xr:uid="{89B65D71-F7A7-4143-B310-D6ADE2D79268}"/>
  <tableColumns count="7">
    <tableColumn id="1" xr3:uid="{D49988B9-4471-40CB-A989-141E61594CC9}" name="Year" dataDxfId="46"/>
    <tableColumn id="2" xr3:uid="{3A3D64B7-58CC-463A-ACAE-9ED56852ED76}" name="HFSV_AlarmsInstalled"/>
    <tableColumn id="3" xr3:uid="{9FA34CF6-E542-4BC4-9FF8-B796E2AB1D7A}" name="HFSV_AdviceOnly"/>
    <tableColumn id="4" xr3:uid="{AD8D7EFD-A60E-4529-A1B3-3B58A86A1933}" name="Total_HFSV"/>
    <tableColumn id="5" xr3:uid="{3706BFCD-705E-44E3-83B3-DCDE11CD1948}" name="Total_Alarms"/>
    <tableColumn id="6" xr3:uid="{7A448598-CA0C-47B3-815D-B411BCB502AF}" name="New"/>
    <tableColumn id="7" xr3:uid="{30F7085A-F8C5-4F3B-B951-17A05B73F36A}" name="Replacement"/>
  </tableColumns>
  <tableStyleInfo name="TableStyleMedium7"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48A7EE6-144D-42B8-A307-004636B7B2F6}" name="NR_Households" displayName="NR_Households" ref="A1:C26" totalsRowShown="0">
  <autoFilter ref="A1:C26" xr:uid="{148A7EE6-144D-42B8-A307-004636B7B2F6}"/>
  <tableColumns count="3">
    <tableColumn id="1" xr3:uid="{860E22B3-06C4-47F7-AE14-11546DA7D657}" name="Council" dataDxfId="45"/>
    <tableColumn id="2" xr3:uid="{10A2DA82-52D5-447F-8B73-C8110894D6D6}" name="Year"/>
    <tableColumn id="3" xr3:uid="{F272AEC2-EFFD-47FE-A6A5-C5C0C98F32C5}" name="Households"/>
  </tableColumns>
  <tableStyleInfo name="TableStyleMedium7"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E000000}" name="Table_s_srs_v01_pds_RAP_HFSV_Outcome" displayName="Table_s_srs_v01_pds_RAP_HFSV_Outcome" ref="A9:G24" tableType="queryTable" totalsRowShown="0" headerRowDxfId="44" headerRowBorderDxfId="43" tableBorderDxfId="42">
  <tableColumns count="7">
    <tableColumn id="1" xr3:uid="{00000000-0010-0000-2E00-000001000000}" uniqueName="1" name="Year" queryTableFieldId="1" dataDxfId="41"/>
    <tableColumn id="2" xr3:uid="{00000000-0010-0000-2E00-000002000000}" uniqueName="2" name="HFSV - smoke and heat alarms installed" queryTableFieldId="2" dataDxfId="40"/>
    <tableColumn id="3" xr3:uid="{00000000-0010-0000-2E00-000003000000}" uniqueName="3" name="HFSV - advice only" queryTableFieldId="3" dataDxfId="39"/>
    <tableColumn id="4" xr3:uid="{00000000-0010-0000-2E00-000004000000}" uniqueName="4" name="Total HFSV" queryTableFieldId="4" dataDxfId="38"/>
    <tableColumn id="5" xr3:uid="{00000000-0010-0000-2E00-000005000000}" uniqueName="5" name="Smoke and heat alarms installed during HFSV" queryTableFieldId="5" dataDxfId="37"/>
    <tableColumn id="6" xr3:uid="{00000000-0010-0000-2E00-000006000000}" uniqueName="6" name="New" queryTableFieldId="6" dataDxfId="36"/>
    <tableColumn id="7" xr3:uid="{00000000-0010-0000-2E00-000007000000}" uniqueName="7" name="Replacement" queryTableFieldId="7" dataDxfId="3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20E0214-5F36-4A14-8279-DBA05661ED21}" name="cset_DistinctVisits_Final" displayName="cset_DistinctVisits_Final" ref="A1:L24" totalsRowShown="0">
  <autoFilter ref="A1:L24" xr:uid="{B20E0214-5F36-4A14-8279-DBA05661ED21}"/>
  <tableColumns count="12">
    <tableColumn id="1" xr3:uid="{E206F7BD-AE02-4DC4-99D3-2335448D9656}" name="FisYr" dataDxfId="34"/>
    <tableColumn id="2" xr3:uid="{F34166FB-D639-451C-8BE6-4B22DC18C70E}" name="Counted" dataDxfId="33"/>
    <tableColumn id="3" xr3:uid="{BD524A47-1ECB-4861-B675-560EF83FCFD5}" name="OneYrDistinct"/>
    <tableColumn id="4" xr3:uid="{6F4A0036-D4CF-471A-BA5C-069ED99041B9}" name="ThreeYrDistinct"/>
    <tableColumn id="5" xr3:uid="{C0E90DC4-BB35-4256-A3F9-DD6710F808CD}" name="FiveYrDistinct"/>
    <tableColumn id="6" xr3:uid="{0DD1371D-2A5F-40CD-8304-E7181F2964BB}" name="OneYrDistinctNew"/>
    <tableColumn id="7" xr3:uid="{BF3E4279-EFD7-43A8-B5BE-52A48610C04E}" name="HouseholdsinYr"/>
    <tableColumn id="8" xr3:uid="{DC0B5F55-0A2A-4920-9CFA-E1525B0DDFB0}" name="HouseholdsThreeYrAv"/>
    <tableColumn id="9" xr3:uid="{8351AD02-FB6C-4802-96CB-9D9D7272D5D3}" name="HouseholdsFiveYrAv"/>
    <tableColumn id="10" xr3:uid="{95F4E1CF-6065-42D5-BA49-62A6906FC086}" name="pcOYDH"/>
    <tableColumn id="11" xr3:uid="{596060B9-6E24-4EEA-8F79-D6754F37E51F}" name="pcTYDH"/>
    <tableColumn id="12" xr3:uid="{2D409C68-B895-4201-BCEB-081200DF3850}" name="pcFYDH"/>
  </tableColumns>
  <tableStyleInfo name="TableStyleMedium7"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8E8B5D2-AACE-4B08-A6E7-1340185F42AA}" name="cset_DistinctVisits_percent__2" displayName="cset_DistinctVisits_percent__2" ref="B4:E16" totalsRowShown="0">
  <autoFilter ref="B4:E16" xr:uid="{38E8B5D2-AACE-4B08-A6E7-1340185F42AA}"/>
  <tableColumns count="4">
    <tableColumn id="1" xr3:uid="{AD038608-DAB0-4737-B2F4-14D4BBB97F5B}" name="Year" dataDxfId="32"/>
    <tableColumn id="2" xr3:uid="{474F97AF-AC5A-4CF9-9204-2203422C9E6B}" name="In One Year"/>
    <tableColumn id="3" xr3:uid="{E5524CD5-4546-4921-B121-0C4E5EEA60BE}" name="Over Three Years"/>
    <tableColumn id="4" xr3:uid="{79B91C34-ED8D-4D5D-AFC5-B9044CA0448D}" name="Over Five Years"/>
  </tableColumns>
  <tableStyleInfo name="TableStyleMedium7"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8A8518-6555-485A-A505-A21F5749E080}" name="cset_AgeProfile_Residents_Final" displayName="cset_AgeProfile_Residents_Final" ref="A1:I13" totalsRowShown="0">
  <autoFilter ref="A1:I13" xr:uid="{2C8A8518-6555-485A-A505-A21F5749E080}"/>
  <tableColumns count="9">
    <tableColumn id="1" xr3:uid="{1C5504E5-7F31-41DF-A0C1-5D2543F41D6E}" name="Year" dataDxfId="31"/>
    <tableColumn id="2" xr3:uid="{12101CF9-25EA-44A5-9985-C9F4B87997ED}" name="Under 5s"/>
    <tableColumn id="3" xr3:uid="{326A8632-3F06-4BC5-97AA-613A79F4C4E7}" name="5 to 10"/>
    <tableColumn id="4" xr3:uid="{DF8ED929-0113-4BEA-B821-5D8FFC60E17F}" name="11 to 16"/>
    <tableColumn id="5" xr3:uid="{BCB3B2CD-D9B4-4050-B82D-02932F19309A}" name="17 to 30"/>
    <tableColumn id="6" xr3:uid="{92CD6DE7-2AB5-4754-9BCF-217552E35781}" name="31 to 60"/>
    <tableColumn id="7" xr3:uid="{3F0C100F-62DB-44F7-B7AE-82287BEDAFF7}" name="Over 60"/>
    <tableColumn id="8" xr3:uid="{95BDD616-9C85-4CED-A16E-ECD356888CDD}" name="Not Known"/>
    <tableColumn id="9" xr3:uid="{463150CB-C88E-4681-9AF1-F98A0C95A32E}" name="All Residents"/>
  </tableColumns>
  <tableStyleInfo name="TableStyleMedium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5A9908-F294-4A13-BEB4-2AEB588FFDE4}" name="cset_AgeProfile_Percent" displayName="cset_AgeProfile_Percent" ref="A1:H13" totalsRowShown="0">
  <autoFilter ref="A1:H13" xr:uid="{6F5A9908-F294-4A13-BEB4-2AEB588FFDE4}"/>
  <tableColumns count="8">
    <tableColumn id="1" xr3:uid="{642D2198-49B2-4607-9469-C781CE1975D8}" name="Year" dataDxfId="30"/>
    <tableColumn id="2" xr3:uid="{731751EB-34F3-4497-9297-40C6F2D0B0E3}" name="Under 5s"/>
    <tableColumn id="3" xr3:uid="{AE991517-B02D-4A66-A821-81C316A31A11}" name="5 to 10"/>
    <tableColumn id="4" xr3:uid="{27F2E5DB-FF34-4E36-86D3-9B4020E5BC4E}" name="11 to 16"/>
    <tableColumn id="5" xr3:uid="{820ED38D-864B-41F2-9706-EA379F308230}" name="17 to 30"/>
    <tableColumn id="6" xr3:uid="{B7B559D8-52E0-4AD0-9138-CD64DD0F120D}" name="31 to 60"/>
    <tableColumn id="7" xr3:uid="{3BDAB413-FC60-4D6B-AF2A-7312068AFFD9}" name="Over 60"/>
    <tableColumn id="8" xr3:uid="{414B3567-5ADA-41D5-A398-83B38A9AAADB}" name="All Residents"/>
  </tableColumns>
  <tableStyleInfo name="TableStyleMedium7"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F5DF93F-34FF-4FAB-A447-88BA961B5993}" name="cset_HFSV_Tenure_Outcome_Final" displayName="cset_HFSV_Tenure_Outcome_Final" ref="A1:K7" totalsRowShown="0">
  <autoFilter ref="A1:K7" xr:uid="{3F5DF93F-34FF-4FAB-A447-88BA961B5993}"/>
  <tableColumns count="11">
    <tableColumn id="1" xr3:uid="{14A3E3AD-20CA-4C99-888B-C29AC9F2C4AB}" name="Tenure" dataDxfId="29"/>
    <tableColumn id="2" xr3:uid="{E59334AE-D906-406D-9464-76099DFEBF5B}" name="2015-16"/>
    <tableColumn id="3" xr3:uid="{DA07B16B-A6CC-48E2-8523-EF7696BFD42F}" name="2016-17"/>
    <tableColumn id="4" xr3:uid="{46E7CA61-F512-4267-85B9-6DEB875AD609}" name="2017-18"/>
    <tableColumn id="5" xr3:uid="{ABC3BE99-A855-4C9C-B3FB-2A2A3C9DE16C}" name="2018-19"/>
    <tableColumn id="6" xr3:uid="{087EC467-CD82-4EB6-9778-1AAE7DFD1B3B}" name="2019-20"/>
    <tableColumn id="7" xr3:uid="{BF3E8314-4FE4-4C74-AA2A-BDBCF73C1711}" name="2020-21"/>
    <tableColumn id="8" xr3:uid="{B6D89153-0989-441D-B6C6-554B47E5C3C2}" name="2021-22"/>
    <tableColumn id="9" xr3:uid="{63B5F43F-92AB-487A-9E92-155ED090796C}" name="2022-23"/>
    <tableColumn id="10" xr3:uid="{D15D7FE9-E706-46FC-8BC0-FE1850475396}" name="2023-24"/>
    <tableColumn id="11" xr3:uid="{76F05DC5-74C8-4274-A30C-B4BA32951120}" name="2024-25"/>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46CA5A90-B94B-4517-97DF-A934A2DA66F1}" name="hrod_HR_StaffingHeadcount__4" displayName="hrod_HR_StaffingHeadcount__4" ref="A1:G16" totalsRowShown="0">
  <autoFilter ref="A1:G16" xr:uid="{46CA5A90-B94B-4517-97DF-A934A2DA66F1}"/>
  <tableColumns count="7">
    <tableColumn id="1" xr3:uid="{374D6E8C-141D-4816-AE6C-0871EDD53EB4}" name="Year" dataDxfId="228"/>
    <tableColumn id="2" xr3:uid="{74043A54-D6C3-4BE4-89A8-72373DA15554}" name="WholeTime Operational"/>
    <tableColumn id="3" xr3:uid="{37594431-AD00-41D3-9687-2113DB082C83}" name="Retained Duty System"/>
    <tableColumn id="4" xr3:uid="{5A41DA0B-65D7-4B03-A7BF-1E59BBED9382}" name="RDS Fulltime"/>
    <tableColumn id="5" xr3:uid="{F513921F-7970-4EED-AF68-54165D0E704A}" name="Control"/>
    <tableColumn id="6" xr3:uid="{9CBA8D5E-9A1C-4378-ADA4-35064009AAD3}" name="Support"/>
    <tableColumn id="7" xr3:uid="{F2111D32-E5BD-481E-9E99-53AAAA959E99}" name="Volunteer"/>
  </tableColumns>
  <tableStyleInfo name="TableStyleMedium7"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1311995-2FBF-422E-81BD-919F831CD3BD}" name="cset_SIMD_Visits__2" displayName="cset_SIMD_Visits__2" ref="A1:H12" totalsRowShown="0">
  <autoFilter ref="A1:H12" xr:uid="{91311995-2FBF-422E-81BD-919F831CD3BD}"/>
  <tableColumns count="8">
    <tableColumn id="1" xr3:uid="{A3B1D857-3777-417F-9909-6EE6BBD23766}" name="Year" dataDxfId="28"/>
    <tableColumn id="2" xr3:uid="{B9B8A5BD-AC8D-4909-8233-41C388A176E0}" name="1 - Most Deprived 20%"/>
    <tableColumn id="3" xr3:uid="{30300E23-74F1-4060-A805-B60A0EE70606}" name="2"/>
    <tableColumn id="4" xr3:uid="{776C06B6-BD53-415D-9C19-169F3E60C4C8}" name="3"/>
    <tableColumn id="5" xr3:uid="{639B4639-58E9-4829-8319-AEF52F440DB3}" name="4"/>
    <tableColumn id="6" xr3:uid="{CC11DDFA-FE04-467A-AD20-A22138E1BDC3}" name="5 - Least Deprived 20%"/>
    <tableColumn id="7" xr3:uid="{62D66D35-C35A-4DA7-9C8A-49B237BD021C}" name="NotKnown"/>
    <tableColumn id="8" xr3:uid="{D4155742-6FAA-40FA-99BD-109507587CE2}" name="All Scotland"/>
  </tableColumns>
  <tableStyleInfo name="TableStyleMedium7"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6CE739F-3DFE-49B5-8DC2-2E5005E02F29}" name="cset_SIMD_Visits_OccupiedDwellings__2" displayName="cset_SIMD_Visits_OccupiedDwellings__2" ref="A20:G31" totalsRowShown="0">
  <autoFilter ref="A20:G31" xr:uid="{36CE739F-3DFE-49B5-8DC2-2E5005E02F29}"/>
  <tableColumns count="7">
    <tableColumn id="1" xr3:uid="{F9F34EF3-D10B-4835-A289-010860F89AF2}" name="Year" dataDxfId="27"/>
    <tableColumn id="2" xr3:uid="{FFE52D4B-8A32-4EAB-8502-6622F7191CE3}" name="1 - Most Deprived 20%"/>
    <tableColumn id="3" xr3:uid="{405C5CD6-F1F2-4893-9F88-39EB2ED8D2C0}" name="2"/>
    <tableColumn id="4" xr3:uid="{EBFC29F4-7911-4C41-8CC3-C842A229FCE2}" name="3"/>
    <tableColumn id="5" xr3:uid="{5F3D0B0A-14D8-4A39-BEAC-E23CF5D1F832}" name="4"/>
    <tableColumn id="6" xr3:uid="{32238AB5-E651-4EDD-8640-C7C8F90F8AF6}" name="5 - Least Deprived 20%"/>
    <tableColumn id="7" xr3:uid="{119AFB90-BA69-4068-A46F-A1B48404A78A}" name="All Scotland"/>
  </tableColumns>
  <tableStyleInfo name="TableStyleMedium7"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44C789B-7074-40C9-935D-87CC3BE52121}" name="cset_SIMD_Alarms__2" displayName="cset_SIMD_Alarms__2" ref="A1:G12" totalsRowShown="0">
  <autoFilter ref="A1:G12" xr:uid="{944C789B-7074-40C9-935D-87CC3BE52121}"/>
  <tableColumns count="7">
    <tableColumn id="1" xr3:uid="{C124D563-D511-4F3D-B510-11E0A170BB46}" name="Year" dataDxfId="26"/>
    <tableColumn id="2" xr3:uid="{10251FAC-774D-4496-8480-684302AE5891}" name="1 - Most Deprived 20%"/>
    <tableColumn id="3" xr3:uid="{CA174603-6B84-4338-81F0-F2C7384E8B38}" name="2"/>
    <tableColumn id="4" xr3:uid="{67236860-85E4-479F-A956-326EA5EA7393}" name="3"/>
    <tableColumn id="5" xr3:uid="{F86E0A9B-6FD5-4EC0-9A8A-A80712801A8B}" name="4"/>
    <tableColumn id="6" xr3:uid="{71F3115B-42AA-4171-BCDF-2287A5EB1412}" name="5 - Least Deprived 20%"/>
    <tableColumn id="7" xr3:uid="{2C2722EA-6DC8-480F-BC86-A7877C8EA8DB}" name="All Scotland"/>
  </tableColumns>
  <tableStyleInfo name="TableStyleMedium7"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4E490D4-A740-448B-84EF-2F17AA04C944}" name="cset_SIMD_Alarms_OccupiedDwellings__2" displayName="cset_SIMD_Alarms_OccupiedDwellings__2" ref="A20:G31" totalsRowShown="0">
  <autoFilter ref="A20:G31" xr:uid="{54E490D4-A740-448B-84EF-2F17AA04C944}"/>
  <tableColumns count="7">
    <tableColumn id="1" xr3:uid="{FC417AC4-7273-46E9-AC75-F7FF276348C9}" name="Year" dataDxfId="25"/>
    <tableColumn id="2" xr3:uid="{7623F827-12D3-4BDA-BBA8-F3CEE023A7D7}" name="1 - Most Deprived 20%"/>
    <tableColumn id="3" xr3:uid="{BEA2B8B0-B479-44DF-B82C-B296BC1DABD5}" name="2"/>
    <tableColumn id="4" xr3:uid="{F8429348-9E9C-4898-B46C-6AA7B118680F}" name="3"/>
    <tableColumn id="5" xr3:uid="{343E11AC-AA8B-4B91-B47C-057EBD5F2A84}" name="4"/>
    <tableColumn id="6" xr3:uid="{5416FFD0-CE8F-4F6C-9DD0-58A28740925C}" name="5 - Least Deprived 20%"/>
    <tableColumn id="7" xr3:uid="{5515B526-9ACF-4F88-BF61-6CF3FAF3D531}" name="All Scotland"/>
  </tableColumns>
  <tableStyleInfo name="TableStyleMedium7"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7ECB837-FB87-4716-81F1-2179DC624C25}" name="cset_simd_ownerocc" displayName="cset_simd_ownerocc" ref="A1:G57" totalsRowShown="0">
  <autoFilter ref="A1:G57" xr:uid="{E7ECB837-FB87-4716-81F1-2179DC624C25}"/>
  <tableColumns count="7">
    <tableColumn id="1" xr3:uid="{E75E9AA6-C1D9-4CCC-BA85-18EA8446190E}" name="FisYr" dataDxfId="24"/>
    <tableColumn id="2" xr3:uid="{F0596EE0-AB7A-4951-A2DF-E52329DE2C44}" name="SIMD2020_Quintile"/>
    <tableColumn id="3" xr3:uid="{B0F1A09E-1596-4A7D-9D32-BA31064878BE}" name="Visits"/>
    <tableColumn id="4" xr3:uid="{3796A542-85A5-4347-AF5D-557446333A7B}" name="WithAlarmsFitted"/>
    <tableColumn id="5" xr3:uid="{234EA83D-9396-4286-808F-9BFA3936CBBC}" name="pcAlarmsFitted"/>
    <tableColumn id="6" xr3:uid="{0BB57122-80FE-45F6-900B-C7BEB0AE7BF2}" name="RateAlarmsFittedper100OccupiedDwellings"/>
    <tableColumn id="7" xr3:uid="{3DC7C1AA-1CF0-4617-984E-3812A46BB94B}" name="OccupiedDwellings"/>
  </tableColumns>
  <tableStyleInfo name="TableStyleMedium7"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2B0532-7604-49B3-B702-F3850988EF4C}" name="cset_UrbanRural__3" displayName="cset_UrbanRural__3" ref="A2:H14" totalsRowShown="0">
  <autoFilter ref="A2:H14" xr:uid="{472B0532-7604-49B3-B702-F3850988EF4C}"/>
  <tableColumns count="8">
    <tableColumn id="1" xr3:uid="{1931E5A6-3D2A-4E97-A219-543399AA9C5C}" name="Year" dataDxfId="23"/>
    <tableColumn id="2" xr3:uid="{4AF32F97-5D65-42C0-ADBE-BA55FFEC9A85}" name="1 - Large Urban Areas"/>
    <tableColumn id="3" xr3:uid="{A79988B6-D6B1-4D98-AC1A-F8D7F6AF1A0B}" name="2 - Other Urban Areas"/>
    <tableColumn id="4" xr3:uid="{F5CCC0E8-0C70-4BE0-86F0-D4C20CE83EC8}" name="3 - Accessible Small Towns"/>
    <tableColumn id="5" xr3:uid="{0D6BA62A-7B78-4B59-8E38-713E7993938B}" name="4 - Remote Small Towns"/>
    <tableColumn id="6" xr3:uid="{2F14F32B-F4C2-4A61-B11E-C5345D664F49}" name="5 - Accessible Rural"/>
    <tableColumn id="7" xr3:uid="{464D8D3B-1AB0-4642-AEF6-2153BC182D07}" name="6 - Remote Rural"/>
    <tableColumn id="8" xr3:uid="{DC653CA8-BDE2-4C40-BD00-53389FAF5C84}" name="All Scotland"/>
  </tableColumns>
  <tableStyleInfo name="TableStyleMedium7"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03ECC2F-7D80-4AB8-A893-2B1AD664F829}" name="cset_UrbanRural_OccupiedDwellings__3" displayName="cset_UrbanRural_OccupiedDwellings__3" ref="A24:H36" totalsRowShown="0">
  <autoFilter ref="A24:H36" xr:uid="{103ECC2F-7D80-4AB8-A893-2B1AD664F829}"/>
  <tableColumns count="8">
    <tableColumn id="1" xr3:uid="{EF67A75E-C506-4E9D-A966-9D94C47AF85F}" name="Year" dataDxfId="22"/>
    <tableColumn id="2" xr3:uid="{639FDB75-A29D-4D02-9C77-9222F059B32C}" name="1 - Large Urban Areas"/>
    <tableColumn id="3" xr3:uid="{AEA6D4B3-247B-4B36-99B8-81933E469AD1}" name="2 - Other Urban Areas"/>
    <tableColumn id="4" xr3:uid="{22E306DD-843B-44A9-AC43-7D5526D0D1FC}" name="3 - Accessible Small Towns"/>
    <tableColumn id="5" xr3:uid="{58FBF480-3BD9-4D57-BBBB-F73281608BFF}" name="4 - Remote Small Towns"/>
    <tableColumn id="6" xr3:uid="{C941C1DB-94C8-4031-94E1-5E8DC00DCACA}" name="5 - Accessible Rural"/>
    <tableColumn id="7" xr3:uid="{BA3FFF46-C7D7-4AF2-883D-5A42AD04EDCD}" name="6 - Remote Rural"/>
    <tableColumn id="8" xr3:uid="{E0B6B4C4-6CBF-46BF-8063-E2C74B9CB589}" name="All Scotland"/>
  </tableColumns>
  <tableStyleInfo name="TableStyleMedium7"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3E71BBC-CDC7-4F3B-A41D-FEBCD5B25E1D}" name="cset_HFSV_Rate_LA_All_Final" displayName="cset_HFSV_Rate_LA_All_Final" ref="A1:O385" totalsRowShown="0">
  <autoFilter ref="A1:O385" xr:uid="{93E71BBC-CDC7-4F3B-A41D-FEBCD5B25E1D}"/>
  <tableColumns count="15">
    <tableColumn id="1" xr3:uid="{D7EBF2C8-EA16-4A45-9D37-8CD14BD4E87C}" name="Year" dataDxfId="21"/>
    <tableColumn id="2" xr3:uid="{26CD0CE3-E812-4830-8FF6-D6CCE486346A}" name="Council" dataDxfId="20"/>
    <tableColumn id="3" xr3:uid="{C8CDAE98-0B1B-4D73-8600-8CBE7522E1CF}" name="GSSCode" dataDxfId="19"/>
    <tableColumn id="4" xr3:uid="{F68D4298-F817-41B4-A4D0-2C5A9F52DA86}" name="HFSV - alarms installed"/>
    <tableColumn id="5" xr3:uid="{1B339D7B-D4EF-49E0-B2E5-714CAC994511}" name="HFSV - advice only"/>
    <tableColumn id="6" xr3:uid="{5B0D39D6-C44F-41B8-8008-FB0AA533020B}" name="Total HFSV"/>
    <tableColumn id="7" xr3:uid="{D581C30A-948C-4DF3-90D1-83C96F6D31F3}" name="TotalNewAlarms"/>
    <tableColumn id="8" xr3:uid="{320CEDB0-1FCA-4F97-A126-CDC7172E2292}" name="TotalReplacedAlarms"/>
    <tableColumn id="9" xr3:uid="{8561B481-5E74-424E-8D46-095A46C3B99C}" name="TotalAlarms"/>
    <tableColumn id="10" xr3:uid="{B4A72DA3-3537-4FFF-909D-9D8CF48E29DF}" name="Dwellings"/>
    <tableColumn id="11" xr3:uid="{049D0E00-2051-4FA2-9F13-F148C38D1628}" name="VisitsPer100Dwelling"/>
    <tableColumn id="12" xr3:uid="{4BEDF988-9FE5-41E0-8097-F7ACCDFB52B2}" name="AlarmsPer100Dwelling"/>
    <tableColumn id="13" xr3:uid="{9C39E6AC-BA29-404E-BAC3-B97381A02916}" name="Households"/>
    <tableColumn id="14" xr3:uid="{0B41696C-30AD-4FCB-8C59-6B7EF1AE7093}" name="VisitsPer100Household"/>
    <tableColumn id="15" xr3:uid="{66BCC5D0-4A4E-4C6E-93E8-8F269D29C0C7}" name="AlarmsPer100Household"/>
  </tableColumns>
  <tableStyleInfo name="TableStyleMedium7"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0F5B5BA-0064-4739-BBC5-5E9051E70EA8}" name="pp_PPED_Workflows__3" displayName="pp_PPED_Workflows__3" ref="A3:E14" totalsRowShown="0">
  <autoFilter ref="A3:E14" xr:uid="{10F5B5BA-0064-4739-BBC5-5E9051E70EA8}"/>
  <tableColumns count="5">
    <tableColumn id="1" xr3:uid="{4FC329BE-E112-41A0-8925-0FB662A4272D}" name="Year" dataDxfId="18"/>
    <tableColumn id="2" xr3:uid="{B00A57F8-7702-4347-BF6C-8B5D90CCA790}" name="Audits"/>
    <tableColumn id="3" xr3:uid="{C5191DC2-8B8B-4016-A94B-6643ECB6B0D5}" name="Post Fire Short Audits"/>
    <tableColumn id="4" xr3:uid="{A41FBCAD-2B66-4A32-96AF-86A783AB9745}" name="Site Visits"/>
    <tableColumn id="5" xr3:uid="{7AA74D63-1676-49B8-AC5F-21B65A5D3119}" name="Consultations"/>
  </tableColumns>
  <tableStyleInfo name="TableStyleMedium7"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B91C6-B182-45A7-8BDC-29E25D4D254F}" name="pp_PPED_Workflow_FireEngineeringConsultations__2" displayName="pp_PPED_Workflow_FireEngineeringConsultations__2" ref="J3:K9" totalsRowShown="0">
  <autoFilter ref="J3:K9" xr:uid="{EB4B91C6-B182-45A7-8BDC-29E25D4D254F}"/>
  <tableColumns count="2">
    <tableColumn id="1" xr3:uid="{68316A08-794E-4B13-86FC-2B18DDB0F5AE}" name="Fiscal_Yr" dataDxfId="17"/>
    <tableColumn id="2" xr3:uid="{79817148-C0CA-41F5-A00C-08449AC35AE6}" name="Count"/>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64618B9D-A288-4BAA-84A2-29F516E5C56A}" name="hrod_HR_StaffingFTE__2_1" displayName="hrod_HR_StaffingFTE__2_1" ref="A25:F39" totalsRowShown="0">
  <autoFilter ref="A25:F39" xr:uid="{64618B9D-A288-4BAA-84A2-29F516E5C56A}"/>
  <tableColumns count="6">
    <tableColumn id="1" xr3:uid="{5B110E14-9E13-4753-9EF4-A60968AD3295}" name="Year" dataDxfId="227"/>
    <tableColumn id="2" xr3:uid="{0B7237E5-E823-4B31-B315-D9132880D280}" name="WholeTime Operational"/>
    <tableColumn id="3" xr3:uid="{E9FD0C5F-AA50-4E11-AF42-5641F5167586}" name="Retained Duty System"/>
    <tableColumn id="4" xr3:uid="{6F16C0A8-2FEF-47D4-8AB6-D626732593D5}" name="RDS Fulltime"/>
    <tableColumn id="5" xr3:uid="{A02EE740-6507-4283-87A8-0F321CF0D01D}" name="Control"/>
    <tableColumn id="6" xr3:uid="{F3C7CDD8-32CD-44EE-89CF-725B9B03F9B7}" name="Support"/>
  </tableColumns>
  <tableStyleInfo name="TableStyleMedium7"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A1A1DE4-A806-4C89-B800-36127869A43C}" name="pp_PPED_Audits__3" displayName="pp_PPED_Audits__3" ref="A1:S16" totalsRowShown="0">
  <autoFilter ref="A1:S16" xr:uid="{4A1A1DE4-A806-4C89-B800-36127869A43C}"/>
  <tableColumns count="19">
    <tableColumn id="1" xr3:uid="{1C92A3DB-AA4A-45C3-ADDA-852C933B1E12}" name="FSEC" dataDxfId="16"/>
    <tableColumn id="2" xr3:uid="{7C66F6CA-76D1-4118-AAAB-1A9A485DCEE1}" name="PremisesType" dataDxfId="15"/>
    <tableColumn id="3" xr3:uid="{415D9A17-934E-4503-809B-3153F41F13B3}" name="Total"/>
    <tableColumn id="4" xr3:uid="{6CEB7962-EBDF-4A57-9B12-7E320F41008C}" name="2009-10"/>
    <tableColumn id="5" xr3:uid="{681714CB-127F-4250-88DA-59CF2EBCE6FF}" name="2010-11"/>
    <tableColumn id="6" xr3:uid="{CBEBDBF9-0C80-4694-9888-3F987C6DAD2B}" name="2011-12"/>
    <tableColumn id="7" xr3:uid="{B100D348-A218-43B6-A12F-032CED8584FF}" name="2012-13"/>
    <tableColumn id="8" xr3:uid="{F192373C-C3DF-4EB8-8A3F-771A5B20DC22}" name="2013-14"/>
    <tableColumn id="9" xr3:uid="{316D5575-1BEE-4D3D-9B3C-2A29B08C4FE5}" name="2014-15"/>
    <tableColumn id="10" xr3:uid="{805EFB7B-C4F0-4547-A079-31AAE12ADD26}" name="2015-16"/>
    <tableColumn id="11" xr3:uid="{A173A30A-8E11-4970-8B6F-CA12081507F9}" name="2016-17"/>
    <tableColumn id="12" xr3:uid="{700B2B87-EF4A-4840-B76C-8386D5B0AEC6}" name="2017-18"/>
    <tableColumn id="13" xr3:uid="{20C465EC-F599-43E5-BFBB-F6340DEA0920}" name="2018-19"/>
    <tableColumn id="14" xr3:uid="{8BB9F511-BF0D-4938-97A3-4C6C50667791}" name="2019-20"/>
    <tableColumn id="15" xr3:uid="{76CD5FF8-D1EF-4965-B56B-10160130FA9C}" name="2020-21"/>
    <tableColumn id="16" xr3:uid="{802FC463-DCEB-494C-98AC-EE70D81CD3CD}" name="2021-22"/>
    <tableColumn id="17" xr3:uid="{2B8A8A8E-0147-41E4-8A35-5E909A303712}" name="2022-23"/>
    <tableColumn id="18" xr3:uid="{94C5879D-4234-45FB-AEA5-D36F86A3BD0B}" name="2023-24"/>
    <tableColumn id="19" xr3:uid="{9D2B322C-D078-4343-9E64-BC0408AAC5AF}" name="2024-25"/>
  </tableColumns>
  <tableStyleInfo name="TableStyleMedium7"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A3EA395-9317-4B4A-BAF5-9265061241FD}" name="pp_PPED_Audits_LA__2" displayName="pp_PPED_Audits_LA__2" ref="A1:R354" totalsRowShown="0">
  <autoFilter ref="A1:R354" xr:uid="{9A3EA395-9317-4B4A-BAF5-9265061241FD}"/>
  <tableColumns count="18">
    <tableColumn id="1" xr3:uid="{7EEE5608-562E-4EBC-8F26-27658B411FFD}" name="Year" dataDxfId="14"/>
    <tableColumn id="2" xr3:uid="{1AE5CB59-9A33-4A55-99AC-FA915FA56D49}" name="Local Authority" dataDxfId="13"/>
    <tableColumn id="3" xr3:uid="{8B652BC3-519C-42EE-B91D-EC4030A6AAD5}" name="LA Code" dataDxfId="12"/>
    <tableColumn id="4" xr3:uid="{00BE7885-46F9-4D54-B744-4BF4C60480C8}" name="Hospital / Prison"/>
    <tableColumn id="5" xr3:uid="{B38F5B4E-CCD2-4809-8D61-5F09D8431FFB}" name="Care Home"/>
    <tableColumn id="6" xr3:uid="{C6B1EEF6-CCBF-4D94-85EE-C662024DF2C8}" name="HMO"/>
    <tableColumn id="7" xr3:uid="{140CC973-D674-45F8-9CEA-5C0CF40E4848}" name="Hostel"/>
    <tableColumn id="8" xr3:uid="{11E4E03D-FFA8-4E5C-BE93-6CE64E665872}" name="Hotel"/>
    <tableColumn id="9" xr3:uid="{1774745F-EADB-456E-8CD4-2B81F6A63B05}" name="Other Sleeping Accomm"/>
    <tableColumn id="10" xr3:uid="{70D92D83-FF81-4EAA-931D-A99EAD4C896E}" name="Further Education"/>
    <tableColumn id="11" xr3:uid="{3BDD6BEE-3D7C-4529-80B6-39BC8572FC03}" name="Public Building"/>
    <tableColumn id="12" xr3:uid="{1306EE48-5C27-4AE2-9C68-47E15018F1E0}" name="Licensed Premises"/>
    <tableColumn id="13" xr3:uid="{09C56BBE-B018-4EBE-BB78-037DF1E1B61A}" name="School"/>
    <tableColumn id="14" xr3:uid="{0E94B193-5642-48EF-B91D-1B7EFF72E4E4}" name="Shop"/>
    <tableColumn id="15" xr3:uid="{7E5A5499-C2A4-4CE6-96D3-316238DCE8EF}" name="Other Premises Open to Public"/>
    <tableColumn id="16" xr3:uid="{26E6EB30-8F60-4254-BD23-5BF42D02ACB5}" name="Factory or Warehouse"/>
    <tableColumn id="17" xr3:uid="{6C69772A-2ADB-463E-8938-F2FCD2D8D644}" name="Office"/>
    <tableColumn id="18" xr3:uid="{BACC4895-8824-4E5C-AD3B-B4D15042F08C}" name="Other Workplace"/>
  </tableColumns>
  <tableStyleInfo name="TableStyleMedium7"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F34B224-5B2A-4F01-AB44-A71C06BB0D40}" name="pp_PPED_Audits_Outcome_Premises" displayName="pp_PPED_Audits_Outcome_Premises" ref="B4:L169" totalsRowShown="0">
  <autoFilter ref="B4:L169" xr:uid="{8F34B224-5B2A-4F01-AB44-A71C06BB0D40}"/>
  <tableColumns count="11">
    <tableColumn id="1" xr3:uid="{FBD984E3-954C-4D5B-BE53-9E1DAF9BC4CE}" name="FisYr" dataDxfId="11"/>
    <tableColumn id="2" xr3:uid="{240583FE-F8D5-4EA8-86FF-C6A09ADFDAC5}" name="FSEC" dataDxfId="10"/>
    <tableColumn id="3" xr3:uid="{A18BC7C3-40CD-46FC-93B3-C93FEF1616D4}" name="Type of Premises" dataDxfId="9"/>
    <tableColumn id="4" xr3:uid="{88323848-F3E5-44B6-960C-DD8D029C7C2C}" name="A_Tally"/>
    <tableColumn id="5" xr3:uid="{010631D4-1B36-4B61-AAE8-206E8E1A210A}" name="A_Hours"/>
    <tableColumn id="6" xr3:uid="{0FEB0375-30A6-45CB-BD1F-30495A5D0699}" name="B_Tally"/>
    <tableColumn id="7" xr3:uid="{A143DB98-1338-4A3D-9861-635E9856DA71}" name="B_Hours"/>
    <tableColumn id="8" xr3:uid="{DA1A892B-9154-4645-890C-FCEB7E3FD333}" name="Enforcement_Tally"/>
    <tableColumn id="9" xr3:uid="{A9488588-B2CB-4B0E-8251-B70DC39F8360}" name="Enforcement_Hours"/>
    <tableColumn id="10" xr3:uid="{4D15FC71-DA67-49CB-A499-2D84A2EEC502}" name="Prohibition_Tally"/>
    <tableColumn id="11" xr3:uid="{1DA16869-E59B-4F3E-AAF8-16D40455AED5}" name="Prohibition_Hours"/>
  </tableColumns>
  <tableStyleInfo name="TableStyleMedium7"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7414D4F-AC77-4391-A407-AEB959137087}" name="pp_PPED_Audits_Outcome__2" displayName="pp_PPED_Audits_Outcome__2" ref="B4:J20" totalsRowShown="0">
  <autoFilter ref="B4:J20" xr:uid="{27414D4F-AC77-4391-A407-AEB959137087}"/>
  <tableColumns count="9">
    <tableColumn id="1" xr3:uid="{712823FC-F8B9-4EA3-9D46-50C078D493BC}" name="FisYr" dataDxfId="8"/>
    <tableColumn id="2" xr3:uid="{D68BDD1C-6FEF-40F5-A163-E15AD95866D0}" name="A_Tally"/>
    <tableColumn id="3" xr3:uid="{9A7EEE87-34E4-4EF0-8A27-5244747911F4}" name="A_Hours"/>
    <tableColumn id="4" xr3:uid="{569FFD1F-E2A4-451B-B115-36ABFE4E3C21}" name="B_Tally"/>
    <tableColumn id="5" xr3:uid="{E40DDBAF-3D2A-4C1F-B9FE-72F03B35A9F6}" name="B_Hours"/>
    <tableColumn id="6" xr3:uid="{C179629D-AE01-4BE8-A3C2-4D8D72E6BE2D}" name="Enforcement_Tally"/>
    <tableColumn id="7" xr3:uid="{444923A6-704F-44D9-B26A-9D42465E0EA2}" name="Enforcement_Hours"/>
    <tableColumn id="8" xr3:uid="{0A4B60A2-9B83-4AF4-BB26-F406E03DAB02}" name="Prohibition_Tally"/>
    <tableColumn id="9" xr3:uid="{ADD2F825-CD1E-4ED6-BBA9-73F1E3C73812}" name="Prohibition_Hours"/>
  </tableColumns>
  <tableStyleInfo name="TableStyleMedium7"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33DAD9E-D0CA-4DB1-8227-F18379D4B1A3}" name="pp_PPED_Audits_Outcome_LA" displayName="pp_PPED_Audits_Outcome_LA" ref="A1:K353" totalsRowShown="0">
  <autoFilter ref="A1:K353" xr:uid="{533DAD9E-D0CA-4DB1-8227-F18379D4B1A3}"/>
  <tableColumns count="11">
    <tableColumn id="1" xr3:uid="{DCD5CD19-9BE3-4B02-923D-9F7E3F139F5B}" name="FisYr" dataDxfId="7"/>
    <tableColumn id="2" xr3:uid="{0A8E724A-5D9D-4306-A2C9-06B5D092B8D4}" name="Council" dataDxfId="6"/>
    <tableColumn id="3" xr3:uid="{396CA86B-8E9B-4D6F-9D48-45BAA5DF54E6}" name="GSSCode" dataDxfId="5"/>
    <tableColumn id="4" xr3:uid="{26E9748E-7821-48BD-9C05-2F2B06EAD47F}" name="A_Tally"/>
    <tableColumn id="5" xr3:uid="{BBF6AF9D-662E-4FF5-816D-B68985798C19}" name="A_Hours"/>
    <tableColumn id="6" xr3:uid="{D29F0974-56BF-421F-90AF-1C65559B065C}" name="B_Tally"/>
    <tableColumn id="7" xr3:uid="{7336A288-DE55-4BF5-9E2A-B8C0E66211F8}" name="B_Hours"/>
    <tableColumn id="8" xr3:uid="{927680E9-6E8B-407E-9F06-A8A96D0A4AEB}" name="Enforcement_Tally"/>
    <tableColumn id="9" xr3:uid="{098FC417-B899-4341-BC17-5CB57C6C365E}" name="Enforcement_Hours"/>
    <tableColumn id="10" xr3:uid="{868F2499-2454-4805-B7F6-66C565AB99BF}" name="Prohibition_Tally"/>
    <tableColumn id="11" xr3:uid="{89D10D1F-9142-488F-8AD4-98E24DC31D5A}" name="Prohibition_Hours"/>
  </tableColumns>
  <tableStyleInfo name="TableStyleMedium7"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6A62CBD-2523-4C1F-8974-26D26899C200}" name="pp_PPED_Notices__3" displayName="pp_PPED_Notices__3" ref="B4:E15" totalsRowShown="0">
  <autoFilter ref="B4:E15" xr:uid="{A6A62CBD-2523-4C1F-8974-26D26899C200}"/>
  <tableColumns count="4">
    <tableColumn id="1" xr3:uid="{EC476CDB-CE94-401E-A256-7D7E66481165}" name="Year" dataDxfId="4"/>
    <tableColumn id="2" xr3:uid="{E3549896-81C1-418F-A7F2-AC1521D603BD}" name="Enforcement Notice"/>
    <tableColumn id="3" xr3:uid="{52837D34-2820-47E9-83E4-13391CBF4C42}" name="Prohibition Notice"/>
    <tableColumn id="4" xr3:uid="{21E78BDA-944E-4820-811D-969A262484DD}" name="Alterations Notice"/>
  </tableColumns>
  <tableStyleInfo name="TableStyleMedium7"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C6BAF88-EDE0-45EE-A343-9C4881409986}" name="pp_PPED_Risk__2" displayName="pp_PPED_Risk__2" ref="B4:K169" totalsRowShown="0">
  <autoFilter ref="B4:K169" xr:uid="{CC6BAF88-EDE0-45EE-A343-9C4881409986}"/>
  <tableColumns count="10">
    <tableColumn id="1" xr3:uid="{6248829B-DB3B-4CEF-B439-C28555DDAEC2}" name="Year" dataDxfId="3"/>
    <tableColumn id="2" xr3:uid="{0399AAEB-3E3A-4346-A206-60AB89A37A88}" name="FSEC" dataDxfId="2"/>
    <tableColumn id="3" xr3:uid="{39803529-88EB-4387-9651-A6A23AFDD368}" name="PremisesType" dataDxfId="1"/>
    <tableColumn id="4" xr3:uid="{78A83F39-7864-4B92-BAB1-86D99C38FC8E}" name="VL"/>
    <tableColumn id="5" xr3:uid="{236768E2-3EB1-444E-B7E0-09B44DF7C5E4}" name="L"/>
    <tableColumn id="6" xr3:uid="{C1CD27D0-1579-42C9-A026-2DB6B7FCE50E}" name="M"/>
    <tableColumn id="7" xr3:uid="{43D301F5-9405-4574-B554-2D4224D4A4BC}" name="H"/>
    <tableColumn id="8" xr3:uid="{CED4860F-8DA1-4971-9645-193C3F5F4CCE}" name="VH"/>
    <tableColumn id="9" xr3:uid="{23222FA4-4DCB-46EE-B341-5F9015475249}" name="Not Known"/>
    <tableColumn id="10" xr3:uid="{0D966535-0BA7-4FC0-8D0F-5F102AC2E437}" name="Total"/>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hrod_HR_StaffingFTE__2" displayName="hrod_HR_StaffingFTE__2" ref="A42:G56" totalsRowShown="0" headerRowDxfId="226" headerRowBorderDxfId="225">
  <tableColumns count="7">
    <tableColumn id="7" xr3:uid="{00000000-0010-0000-0400-000007000000}" name="Year" dataDxfId="224"/>
    <tableColumn id="2" xr3:uid="{00000000-0010-0000-0400-000002000000}" name="Wholetime Operational" dataDxfId="223">
      <calculatedColumnFormula>GETPIVOTDATA("Sum of WholeTime Operational",StaffingPivot!$A$22,"Year",A43)</calculatedColumnFormula>
    </tableColumn>
    <tableColumn id="3" xr3:uid="{00000000-0010-0000-0400-000003000000}" name="Retained Duty System" dataDxfId="222">
      <calculatedColumnFormula>GETPIVOTDATA("Sum of Retained Duty System",StaffingPivot!$A$22,"Year",A43)</calculatedColumnFormula>
    </tableColumn>
    <tableColumn id="4" xr3:uid="{00000000-0010-0000-0400-000004000000}" name="Retained Full-time" dataDxfId="221"/>
    <tableColumn id="5" xr3:uid="{00000000-0010-0000-0400-000005000000}" name="Control" dataDxfId="220">
      <calculatedColumnFormula>GETPIVOTDATA("Sum of Control",StaffingPivot!$A$22,"Year",A43)</calculatedColumnFormula>
    </tableColumn>
    <tableColumn id="6" xr3:uid="{00000000-0010-0000-0400-000006000000}" name="Support" dataDxfId="219">
      <calculatedColumnFormula>GETPIVOTDATA("Sum of Support",StaffingPivot!$A$22,"Year",A43)</calculatedColumnFormula>
    </tableColumn>
    <tableColumn id="8" xr3:uid="{00000000-0010-0000-0400-000008000000}" name="All staff (excluding volunteers)" dataDxfId="218">
      <calculatedColumnFormula>SUM(B43:F43)</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5000000}" name="hrod_HR_StaffingHeadcount__3" displayName="hrod_HR_StaffingHeadcount__3" ref="A9:G22" totalsRowShown="0" headerRowDxfId="217" headerRowBorderDxfId="216">
  <tableColumns count="7">
    <tableColumn id="8" xr3:uid="{00000000-0010-0000-0500-000008000000}" name="Year" dataDxfId="215"/>
    <tableColumn id="2" xr3:uid="{00000000-0010-0000-0500-000002000000}" name="Wholetime Operational" dataDxfId="214"/>
    <tableColumn id="3" xr3:uid="{00000000-0010-0000-0500-000003000000}" name="Retained Duty System" dataDxfId="213"/>
    <tableColumn id="4" xr3:uid="{00000000-0010-0000-0500-000004000000}" name="Retained Full-time" dataDxfId="212"/>
    <tableColumn id="5" xr3:uid="{00000000-0010-0000-0500-000005000000}" name="Control" dataDxfId="211"/>
    <tableColumn id="6" xr3:uid="{00000000-0010-0000-0500-000006000000}" name="Support" dataDxfId="210"/>
    <tableColumn id="7" xr3:uid="{00000000-0010-0000-0500-000007000000}" name="Volunteer" dataDxfId="2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firescotland.gov.uk/about-us/fire-and-rescue-statistics.aspx"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3" Type="http://schemas.microsoft.com/office/2007/relationships/slicer" Target="../slicers/slicer47.xml"/><Relationship Id="rId2" Type="http://schemas.openxmlformats.org/officeDocument/2006/relationships/drawing" Target="../drawings/drawing50.xml"/><Relationship Id="rId1" Type="http://schemas.openxmlformats.org/officeDocument/2006/relationships/pivotTable" Target="../pivotTables/pivotTable34.xml"/></Relationships>
</file>

<file path=xl/worksheets/_rels/sheet101.xml.rels><?xml version="1.0" encoding="UTF-8" standalone="yes"?>
<Relationships xmlns="http://schemas.openxmlformats.org/package/2006/relationships"><Relationship Id="rId3" Type="http://schemas.microsoft.com/office/2007/relationships/slicer" Target="../slicers/slicer48.xml"/><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102.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6" Type="http://schemas.microsoft.com/office/2007/relationships/slicer" Target="../slicers/slicer49.xml"/><Relationship Id="rId5" Type="http://schemas.openxmlformats.org/officeDocument/2006/relationships/drawing" Target="../drawings/drawing52.xml"/><Relationship Id="rId4" Type="http://schemas.openxmlformats.org/officeDocument/2006/relationships/pivotTable" Target="../pivotTables/pivotTable38.xml"/></Relationships>
</file>

<file path=xl/worksheets/_rels/sheet10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table" Target="../tables/table44.xml"/><Relationship Id="rId1" Type="http://schemas.openxmlformats.org/officeDocument/2006/relationships/table" Target="../tables/table43.xml"/><Relationship Id="rId4" Type="http://schemas.openxmlformats.org/officeDocument/2006/relationships/table" Target="../tables/table46.xml"/></Relationships>
</file>

<file path=xl/worksheets/_rels/sheet104.xml.rels><?xml version="1.0" encoding="UTF-8" standalone="yes"?>
<Relationships xmlns="http://schemas.openxmlformats.org/package/2006/relationships"><Relationship Id="rId3" Type="http://schemas.microsoft.com/office/2007/relationships/slicer" Target="../slicers/slicer50.xml"/><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5.xml"/></Relationships>
</file>

<file path=xl/worksheets/_rels/sheet1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ivotTable" Target="../pivotTables/pivotTable42.xml"/></Relationships>
</file>

<file path=xl/worksheets/_rels/sheet11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table" Target="../tables/table47.xml"/><Relationship Id="rId4" Type="http://schemas.openxmlformats.org/officeDocument/2006/relationships/table" Target="../tables/table50.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9.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1.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ivotTable" Target="../pivotTables/pivotTable45.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4" Type="http://schemas.openxmlformats.org/officeDocument/2006/relationships/table" Target="../tables/table54.xml"/></Relationships>
</file>

<file path=xl/worksheets/_rels/sheet123.xml.rels><?xml version="1.0" encoding="UTF-8" standalone="yes"?>
<Relationships xmlns="http://schemas.openxmlformats.org/package/2006/relationships"><Relationship Id="rId1" Type="http://schemas.openxmlformats.org/officeDocument/2006/relationships/pivotTable" Target="../pivotTables/pivotTable46.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6.xml.rels><?xml version="1.0" encoding="UTF-8" standalone="yes"?>
<Relationships xmlns="http://schemas.openxmlformats.org/package/2006/relationships"><Relationship Id="rId1" Type="http://schemas.openxmlformats.org/officeDocument/2006/relationships/pivotTable" Target="../pivotTables/pivotTable47.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8.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 TargetMode="External"/></Relationships>
</file>

<file path=xl/worksheets/_rels/sheet129.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1.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4.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37.xml.rels><?xml version="1.0" encoding="UTF-8" standalone="yes"?>
<Relationships xmlns="http://schemas.openxmlformats.org/package/2006/relationships"><Relationship Id="rId2" Type="http://schemas.openxmlformats.org/officeDocument/2006/relationships/pivotTable" Target="../pivotTables/pivotTable52.xml"/><Relationship Id="rId1" Type="http://schemas.openxmlformats.org/officeDocument/2006/relationships/pivotTable" Target="../pivotTables/pivotTable51.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table" Target="../tables/table60.xml"/></Relationships>
</file>

<file path=xl/worksheets/_rels/sheet139.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4" Type="http://schemas.openxmlformats.org/officeDocument/2006/relationships/printerSettings" Target="../printerSettings/printerSettings47.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40.xml.rels><?xml version="1.0" encoding="UTF-8" standalone="yes"?>
<Relationships xmlns="http://schemas.openxmlformats.org/package/2006/relationships"><Relationship Id="rId2" Type="http://schemas.openxmlformats.org/officeDocument/2006/relationships/pivotTable" Target="../pivotTables/pivotTable54.xml"/><Relationship Id="rId1" Type="http://schemas.openxmlformats.org/officeDocument/2006/relationships/pivotTable" Target="../pivotTables/pivotTable53.xml"/></Relationships>
</file>

<file path=xl/worksheets/_rels/sheet141.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table" Target="../tables/table62.xml"/></Relationships>
</file>

<file path=xl/worksheets/_rels/sheet14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4" Type="http://schemas.openxmlformats.org/officeDocument/2006/relationships/printerSettings" Target="../printerSettings/printerSettings48.bin"/></Relationships>
</file>

<file path=xl/worksheets/_rels/sheet143.xml.rels><?xml version="1.0" encoding="UTF-8" standalone="yes"?>
<Relationships xmlns="http://schemas.openxmlformats.org/package/2006/relationships"><Relationship Id="rId1" Type="http://schemas.openxmlformats.org/officeDocument/2006/relationships/pivotTable" Target="../pivotTables/pivotTable55.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145.xml.rels><?xml version="1.0" encoding="UTF-8" standalone="yes"?>
<Relationships xmlns="http://schemas.openxmlformats.org/package/2006/relationships"><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146.xml.rels><?xml version="1.0" encoding="UTF-8" standalone="yes"?>
<Relationships xmlns="http://schemas.openxmlformats.org/package/2006/relationships"><Relationship Id="rId2" Type="http://schemas.openxmlformats.org/officeDocument/2006/relationships/pivotTable" Target="../pivotTables/pivotTable57.xml"/><Relationship Id="rId1" Type="http://schemas.openxmlformats.org/officeDocument/2006/relationships/pivotTable" Target="../pivotTables/pivotTable56.xml"/></Relationships>
</file>

<file path=xl/worksheets/_rels/sheet14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table" Target="../tables/table65.xml"/></Relationships>
</file>

<file path=xl/worksheets/_rels/sheet148.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About/Methodology/UrbanRuralClassification" TargetMode="External"/><Relationship Id="rId1" Type="http://schemas.openxmlformats.org/officeDocument/2006/relationships/hyperlink" Target="https://www2.gov.scot/Topics/Statistics/About/Methodology/UrbanRuralClassification" TargetMode="External"/><Relationship Id="rId4" Type="http://schemas.openxmlformats.org/officeDocument/2006/relationships/printerSettings" Target="../printerSettings/printerSettings49.bin"/></Relationships>
</file>

<file path=xl/worksheets/_rels/sheet149.xml.rels><?xml version="1.0" encoding="UTF-8" standalone="yes"?>
<Relationships xmlns="http://schemas.openxmlformats.org/package/2006/relationships"><Relationship Id="rId3" Type="http://schemas.microsoft.com/office/2007/relationships/slicer" Target="../slicers/slicer51.xml"/><Relationship Id="rId2" Type="http://schemas.openxmlformats.org/officeDocument/2006/relationships/drawing" Target="../drawings/drawing62.xml"/><Relationship Id="rId1" Type="http://schemas.openxmlformats.org/officeDocument/2006/relationships/pivotTable" Target="../pivotTables/pivotTable58.xml"/></Relationships>
</file>

<file path=xl/worksheets/_rels/sheet150.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50.bin"/></Relationships>
</file>

<file path=xl/worksheets/_rels/sheet151.xml.rels><?xml version="1.0" encoding="UTF-8" standalone="yes"?>
<Relationships xmlns="http://schemas.openxmlformats.org/package/2006/relationships"><Relationship Id="rId3" Type="http://schemas.microsoft.com/office/2007/relationships/slicer" Target="../slicers/slicer52.xml"/><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152.xml.rels><?xml version="1.0" encoding="UTF-8" standalone="yes"?>
<Relationships xmlns="http://schemas.openxmlformats.org/package/2006/relationships"><Relationship Id="rId3" Type="http://schemas.microsoft.com/office/2007/relationships/slicer" Target="../slicers/slicer53.xml"/><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5" Type="http://schemas.microsoft.com/office/2007/relationships/slicer" Target="../slicers/slicer54.xml"/><Relationship Id="rId4" Type="http://schemas.openxmlformats.org/officeDocument/2006/relationships/drawing" Target="../drawings/drawing65.xm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6.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68.xml.rels><?xml version="1.0" encoding="UTF-8" standalone="yes"?>
<Relationships xmlns="http://schemas.openxmlformats.org/package/2006/relationships"><Relationship Id="rId2" Type="http://schemas.openxmlformats.org/officeDocument/2006/relationships/pivotTable" Target="../pivotTables/pivotTable60.xml"/><Relationship Id="rId1" Type="http://schemas.openxmlformats.org/officeDocument/2006/relationships/pivotTable" Target="../pivotTables/pivotTable59.xml"/></Relationships>
</file>

<file path=xl/worksheets/_rels/sheet169.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table" Target="../tables/table6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0.xml.rels><?xml version="1.0" encoding="UTF-8" standalone="yes"?>
<Relationships xmlns="http://schemas.openxmlformats.org/package/2006/relationships"><Relationship Id="rId1" Type="http://schemas.openxmlformats.org/officeDocument/2006/relationships/pivotTable" Target="../pivotTables/pivotTable61.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73.xml.rels><?xml version="1.0" encoding="UTF-8" standalone="yes"?>
<Relationships xmlns="http://schemas.openxmlformats.org/package/2006/relationships"><Relationship Id="rId3" Type="http://schemas.microsoft.com/office/2007/relationships/slicer" Target="../slicers/slicer55.xml"/><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174.xml.rels><?xml version="1.0" encoding="UTF-8" standalone="yes"?>
<Relationships xmlns="http://schemas.openxmlformats.org/package/2006/relationships"><Relationship Id="rId3" Type="http://schemas.microsoft.com/office/2007/relationships/slicer" Target="../slicers/slicer56.xml"/><Relationship Id="rId2" Type="http://schemas.openxmlformats.org/officeDocument/2006/relationships/drawing" Target="../drawings/drawing80.xml"/><Relationship Id="rId1" Type="http://schemas.openxmlformats.org/officeDocument/2006/relationships/pivotTable" Target="../pivotTables/pivotTable6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76.xml.rels><?xml version="1.0" encoding="UTF-8" standalone="yes"?>
<Relationships xmlns="http://schemas.openxmlformats.org/package/2006/relationships"><Relationship Id="rId3" Type="http://schemas.microsoft.com/office/2007/relationships/slicer" Target="../slicers/slicer57.xml"/><Relationship Id="rId2" Type="http://schemas.openxmlformats.org/officeDocument/2006/relationships/drawing" Target="../drawings/drawing81.xml"/><Relationship Id="rId1" Type="http://schemas.openxmlformats.org/officeDocument/2006/relationships/pivotTable" Target="../pivotTables/pivotTable63.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79.xml.rels><?xml version="1.0" encoding="UTF-8" standalone="yes"?>
<Relationships xmlns="http://schemas.openxmlformats.org/package/2006/relationships"><Relationship Id="rId1" Type="http://schemas.openxmlformats.org/officeDocument/2006/relationships/pivotTable" Target="../pivotTables/pivotTable6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0.xml.rels><?xml version="1.0" encoding="UTF-8" standalone="yes"?>
<Relationships xmlns="http://schemas.openxmlformats.org/package/2006/relationships"><Relationship Id="rId3" Type="http://schemas.microsoft.com/office/2007/relationships/slicer" Target="../slicers/slicer58.xml"/><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181.xml.rels><?xml version="1.0" encoding="UTF-8" standalone="yes"?>
<Relationships xmlns="http://schemas.openxmlformats.org/package/2006/relationships"><Relationship Id="rId3" Type="http://schemas.microsoft.com/office/2007/relationships/slicer" Target="../slicers/slicer59.xml"/><Relationship Id="rId2" Type="http://schemas.openxmlformats.org/officeDocument/2006/relationships/drawing" Target="../drawings/drawing83.xml"/><Relationship Id="rId1" Type="http://schemas.openxmlformats.org/officeDocument/2006/relationships/pivotTable" Target="../pivotTables/pivotTable65.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83.xml.rels><?xml version="1.0" encoding="UTF-8" standalone="yes"?>
<Relationships xmlns="http://schemas.openxmlformats.org/package/2006/relationships"><Relationship Id="rId3" Type="http://schemas.microsoft.com/office/2007/relationships/slicer" Target="../slicers/slicer60.xml"/><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184.xml.rels><?xml version="1.0" encoding="UTF-8" standalone="yes"?>
<Relationships xmlns="http://schemas.openxmlformats.org/package/2006/relationships"><Relationship Id="rId1" Type="http://schemas.openxmlformats.org/officeDocument/2006/relationships/pivotTable" Target="../pivotTables/pivotTable66.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87.xml.rels><?xml version="1.0" encoding="UTF-8" standalone="yes"?>
<Relationships xmlns="http://schemas.openxmlformats.org/package/2006/relationships"><Relationship Id="rId3" Type="http://schemas.microsoft.com/office/2007/relationships/slicer" Target="../slicers/slicer61.xml"/><Relationship Id="rId2" Type="http://schemas.openxmlformats.org/officeDocument/2006/relationships/drawing" Target="../drawings/drawing85.xml"/><Relationship Id="rId1" Type="http://schemas.openxmlformats.org/officeDocument/2006/relationships/pivotTable" Target="../pivotTables/pivotTable67.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89.xml.rels><?xml version="1.0" encoding="UTF-8" standalone="yes"?>
<Relationships xmlns="http://schemas.openxmlformats.org/package/2006/relationships"><Relationship Id="rId2" Type="http://schemas.microsoft.com/office/2007/relationships/slicer" Target="../slicers/slicer62.xml"/><Relationship Id="rId1" Type="http://schemas.openxmlformats.org/officeDocument/2006/relationships/drawing" Target="../drawings/drawing86.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ivotTable" Target="../pivotTables/pivotTable1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3.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microsoft.com/office/2007/relationships/slicer" Target="../slicers/slicer10.xml"/><Relationship Id="rId4" Type="http://schemas.openxmlformats.org/officeDocument/2006/relationships/table" Target="../tables/table14.xml"/></Relationships>
</file>

<file path=xl/worksheets/_rels/sheet35.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16.xml"/><Relationship Id="rId1" Type="http://schemas.openxmlformats.org/officeDocument/2006/relationships/pivotTable" Target="../pivotTables/pivotTable1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microsoft.com/office/2007/relationships/slicer" Target="../slicers/slicer14.xml"/><Relationship Id="rId5" Type="http://schemas.openxmlformats.org/officeDocument/2006/relationships/table" Target="../tables/table19.xml"/><Relationship Id="rId4" Type="http://schemas.openxmlformats.org/officeDocument/2006/relationships/table" Target="../tables/table1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42.xml.rels><?xml version="1.0" encoding="UTF-8" standalone="yes"?>
<Relationships xmlns="http://schemas.openxmlformats.org/package/2006/relationships"><Relationship Id="rId3" Type="http://schemas.microsoft.com/office/2007/relationships/slicer" Target="../slicers/slicer15.xml"/><Relationship Id="rId2" Type="http://schemas.openxmlformats.org/officeDocument/2006/relationships/drawing" Target="../drawings/drawing18.xml"/><Relationship Id="rId1" Type="http://schemas.openxmlformats.org/officeDocument/2006/relationships/pivotTable" Target="../pivotTables/pivotTable13.xml"/></Relationships>
</file>

<file path=xl/worksheets/_rels/sheet43.xml.rels><?xml version="1.0" encoding="UTF-8" standalone="yes"?>
<Relationships xmlns="http://schemas.openxmlformats.org/package/2006/relationships"><Relationship Id="rId2" Type="http://schemas.microsoft.com/office/2007/relationships/slicer" Target="../slicers/slicer16.xml"/><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0.xml"/><Relationship Id="rId1" Type="http://schemas.openxmlformats.org/officeDocument/2006/relationships/pivotTable" Target="../pivotTables/pivotTable14.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46.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2.xml"/><Relationship Id="rId1" Type="http://schemas.openxmlformats.org/officeDocument/2006/relationships/pivotTable" Target="../pivotTables/pivotTable1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49.xml.rels><?xml version="1.0" encoding="UTF-8" standalone="yes"?>
<Relationships xmlns="http://schemas.openxmlformats.org/package/2006/relationships"><Relationship Id="rId2" Type="http://schemas.microsoft.com/office/2007/relationships/slicer" Target="../slicers/slicer20.xml"/><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24.xml"/><Relationship Id="rId1" Type="http://schemas.openxmlformats.org/officeDocument/2006/relationships/pivotTable" Target="../pivotTables/pivotTable16.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52.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26.xml"/><Relationship Id="rId1" Type="http://schemas.openxmlformats.org/officeDocument/2006/relationships/pivotTable" Target="../pivotTables/pivotTable17.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55.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28.xml"/><Relationship Id="rId1" Type="http://schemas.openxmlformats.org/officeDocument/2006/relationships/pivotTable" Target="../pivotTables/pivotTable18.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58.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29.xml"/><Relationship Id="rId1" Type="http://schemas.openxmlformats.org/officeDocument/2006/relationships/pivotTable" Target="../pivotTables/pivotTable19.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3" Type="http://schemas.microsoft.com/office/2007/relationships/slicer" Target="../slicers/slicer28.xml"/><Relationship Id="rId2" Type="http://schemas.openxmlformats.org/officeDocument/2006/relationships/drawing" Target="../drawings/drawing31.xml"/><Relationship Id="rId1" Type="http://schemas.openxmlformats.org/officeDocument/2006/relationships/pivotTable" Target="../pivotTables/pivotTable20.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63.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64.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33.xml"/><Relationship Id="rId1" Type="http://schemas.openxmlformats.org/officeDocument/2006/relationships/pivotTable" Target="../pivotTables/pivotTable21.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66.xml.rels><?xml version="1.0" encoding="UTF-8" standalone="yes"?>
<Relationships xmlns="http://schemas.openxmlformats.org/package/2006/relationships"><Relationship Id="rId3" Type="http://schemas.microsoft.com/office/2007/relationships/slicer" Target="../slicers/slicer31.xml"/><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35.xml"/><Relationship Id="rId1" Type="http://schemas.openxmlformats.org/officeDocument/2006/relationships/pivotTable" Target="../pivotTables/pivotTable22.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69.xml.rels><?xml version="1.0" encoding="UTF-8" standalone="yes"?>
<Relationships xmlns="http://schemas.openxmlformats.org/package/2006/relationships"><Relationship Id="rId3" Type="http://schemas.microsoft.com/office/2007/relationships/slicer" Target="../slicers/slicer33.xml"/><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microsoft.com/office/2007/relationships/slicer" Target="../slicers/slicer34.xml"/><Relationship Id="rId2" Type="http://schemas.openxmlformats.org/officeDocument/2006/relationships/drawing" Target="../drawings/drawing37.xml"/><Relationship Id="rId1" Type="http://schemas.openxmlformats.org/officeDocument/2006/relationships/pivotTable" Target="../pivotTables/pivotTable23.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2.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38.xml"/><Relationship Id="rId1" Type="http://schemas.openxmlformats.org/officeDocument/2006/relationships/pivotTable" Target="../pivotTables/pivotTable24.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74.xml.rels><?xml version="1.0" encoding="UTF-8" standalone="yes"?>
<Relationships xmlns="http://schemas.openxmlformats.org/package/2006/relationships"><Relationship Id="rId3" Type="http://schemas.microsoft.com/office/2007/relationships/slicer" Target="../slicers/slicer36.xml"/><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75.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8.xml.rels><?xml version="1.0" encoding="UTF-8" standalone="yes"?>
<Relationships xmlns="http://schemas.openxmlformats.org/package/2006/relationships"><Relationship Id="rId3" Type="http://schemas.microsoft.com/office/2007/relationships/slicer" Target="../slicers/slicer37.xml"/><Relationship Id="rId2" Type="http://schemas.openxmlformats.org/officeDocument/2006/relationships/drawing" Target="../drawings/drawing40.xml"/><Relationship Id="rId1" Type="http://schemas.openxmlformats.org/officeDocument/2006/relationships/pivotTable" Target="../pivotTables/pivotTable2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microsoft.com/office/2007/relationships/slicer" Target="../slicers/slicer38.xml"/><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81.xml.rels><?xml version="1.0" encoding="UTF-8" standalone="yes"?>
<Relationships xmlns="http://schemas.openxmlformats.org/package/2006/relationships"><Relationship Id="rId3" Type="http://schemas.microsoft.com/office/2007/relationships/slicer" Target="../slicers/slicer39.xml"/><Relationship Id="rId2" Type="http://schemas.openxmlformats.org/officeDocument/2006/relationships/drawing" Target="../drawings/drawing42.xml"/><Relationship Id="rId1" Type="http://schemas.openxmlformats.org/officeDocument/2006/relationships/pivotTable" Target="../pivotTables/pivotTable27.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3" Type="http://schemas.microsoft.com/office/2007/relationships/slicer" Target="../slicers/slicer40.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84.xml.rels><?xml version="1.0" encoding="UTF-8" standalone="yes"?>
<Relationships xmlns="http://schemas.openxmlformats.org/package/2006/relationships"><Relationship Id="rId3" Type="http://schemas.microsoft.com/office/2007/relationships/slicer" Target="../slicers/slicer41.xml"/><Relationship Id="rId2" Type="http://schemas.openxmlformats.org/officeDocument/2006/relationships/drawing" Target="../drawings/drawing44.xml"/><Relationship Id="rId1" Type="http://schemas.openxmlformats.org/officeDocument/2006/relationships/pivotTable" Target="../pivotTables/pivotTable28.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6.xml.rels><?xml version="1.0" encoding="UTF-8" standalone="yes"?>
<Relationships xmlns="http://schemas.openxmlformats.org/package/2006/relationships"><Relationship Id="rId3" Type="http://schemas.microsoft.com/office/2007/relationships/slicer" Target="../slicers/slicer42.xml"/><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87.xml.rels><?xml version="1.0" encoding="UTF-8" standalone="yes"?>
<Relationships xmlns="http://schemas.openxmlformats.org/package/2006/relationships"><Relationship Id="rId3" Type="http://schemas.microsoft.com/office/2007/relationships/slicer" Target="../slicers/slicer43.xml"/><Relationship Id="rId2" Type="http://schemas.openxmlformats.org/officeDocument/2006/relationships/drawing" Target="../drawings/drawing46.xml"/><Relationship Id="rId1" Type="http://schemas.openxmlformats.org/officeDocument/2006/relationships/pivotTable" Target="../pivotTables/pivotTable2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89.xml.rels><?xml version="1.0" encoding="UTF-8" standalone="yes"?>
<Relationships xmlns="http://schemas.openxmlformats.org/package/2006/relationships"><Relationship Id="rId3" Type="http://schemas.microsoft.com/office/2007/relationships/slicer" Target="../slicers/slicer44.xml"/><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90.xml.rels><?xml version="1.0" encoding="UTF-8" standalone="yes"?>
<Relationships xmlns="http://schemas.openxmlformats.org/package/2006/relationships"><Relationship Id="rId3" Type="http://schemas.microsoft.com/office/2007/relationships/slicer" Target="../slicers/slicer45.xml"/><Relationship Id="rId2" Type="http://schemas.openxmlformats.org/officeDocument/2006/relationships/drawing" Target="../drawings/drawing48.xml"/><Relationship Id="rId1" Type="http://schemas.openxmlformats.org/officeDocument/2006/relationships/pivotTable" Target="../pivotTables/pivotTable30.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92.xml.rels><?xml version="1.0" encoding="UTF-8" standalone="yes"?>
<Relationships xmlns="http://schemas.openxmlformats.org/package/2006/relationships"><Relationship Id="rId3" Type="http://schemas.microsoft.com/office/2007/relationships/slicer" Target="../slicers/slicer46.xml"/><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94.xml.rels><?xml version="1.0" encoding="UTF-8" standalone="yes"?>
<Relationships xmlns="http://schemas.openxmlformats.org/package/2006/relationships"><Relationship Id="rId1" Type="http://schemas.openxmlformats.org/officeDocument/2006/relationships/pivotTable" Target="../pivotTables/pivotTable31.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6.xml.rels><?xml version="1.0" encoding="UTF-8" standalone="yes"?>
<Relationships xmlns="http://schemas.openxmlformats.org/package/2006/relationships"><Relationship Id="rId2" Type="http://schemas.openxmlformats.org/officeDocument/2006/relationships/pivotTable" Target="../pivotTables/pivotTable33.xml"/><Relationship Id="rId1" Type="http://schemas.openxmlformats.org/officeDocument/2006/relationships/pivotTable" Target="../pivotTables/pivotTable32.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table" Target="../tables/table39.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1" Type="http://schemas.openxmlformats.org/officeDocument/2006/relationships/table" Target="../tables/table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30"/>
  <sheetViews>
    <sheetView showGridLines="0" tabSelected="1" zoomScaleNormal="100" workbookViewId="0"/>
  </sheetViews>
  <sheetFormatPr defaultColWidth="9.1796875" defaultRowHeight="14.5" x14ac:dyDescent="0.35"/>
  <cols>
    <col min="1" max="1" width="15" customWidth="1"/>
    <col min="2" max="2" width="7.7265625" customWidth="1"/>
    <col min="3" max="3" width="15" customWidth="1"/>
  </cols>
  <sheetData>
    <row r="1" spans="1:13" ht="23.5" x14ac:dyDescent="0.35">
      <c r="A1" s="385"/>
      <c r="B1" s="385"/>
      <c r="C1" s="385"/>
      <c r="D1" s="385"/>
      <c r="E1" s="385"/>
      <c r="F1" s="386" t="s">
        <v>0</v>
      </c>
      <c r="G1" s="385"/>
      <c r="H1" s="385"/>
      <c r="I1" s="385"/>
      <c r="J1" s="385"/>
      <c r="K1" s="385"/>
      <c r="L1" s="326"/>
      <c r="M1" s="326"/>
    </row>
    <row r="2" spans="1:13" ht="23.5" x14ac:dyDescent="0.35">
      <c r="A2" s="385"/>
      <c r="B2" s="385"/>
      <c r="C2" s="385"/>
      <c r="D2" s="385"/>
      <c r="E2" s="385"/>
      <c r="F2" s="386" t="s">
        <v>1</v>
      </c>
      <c r="G2" s="385"/>
      <c r="H2" s="385"/>
      <c r="I2" s="385"/>
      <c r="J2" s="385"/>
      <c r="K2" s="385"/>
      <c r="L2" s="326"/>
      <c r="M2" s="326"/>
    </row>
    <row r="3" spans="1:13" ht="15.75" customHeight="1" x14ac:dyDescent="0.35">
      <c r="A3" s="327"/>
      <c r="B3" s="327"/>
      <c r="C3" s="327"/>
      <c r="D3" s="260"/>
      <c r="E3" s="327"/>
      <c r="F3" s="328" t="s">
        <v>2</v>
      </c>
      <c r="G3" s="327"/>
      <c r="H3" s="260"/>
      <c r="I3" s="260"/>
      <c r="J3" s="260"/>
      <c r="K3" s="260"/>
      <c r="L3" s="260"/>
    </row>
    <row r="4" spans="1:13" ht="15.75" customHeight="1" x14ac:dyDescent="0.35">
      <c r="A4" s="329"/>
      <c r="B4" s="329"/>
      <c r="C4" s="329"/>
      <c r="D4" s="260"/>
      <c r="E4" s="329"/>
      <c r="F4" s="565" t="s">
        <v>1290</v>
      </c>
      <c r="G4" s="329"/>
      <c r="H4" s="260"/>
      <c r="I4" s="260"/>
      <c r="J4" s="260"/>
      <c r="K4" s="260"/>
    </row>
    <row r="5" spans="1:13" ht="15.75" customHeight="1" x14ac:dyDescent="0.35">
      <c r="A5" s="329"/>
      <c r="B5" s="329"/>
      <c r="C5" s="329"/>
      <c r="D5" s="260"/>
      <c r="E5" s="329"/>
      <c r="F5" s="565" t="s">
        <v>1293</v>
      </c>
      <c r="G5" s="329"/>
      <c r="H5" s="260"/>
      <c r="I5" s="260"/>
      <c r="J5" s="260"/>
      <c r="K5" s="260"/>
    </row>
    <row r="6" spans="1:13" ht="15.5" x14ac:dyDescent="0.35">
      <c r="A6" s="382"/>
      <c r="B6" s="382"/>
      <c r="C6" s="382"/>
      <c r="D6" s="260"/>
      <c r="E6" s="382"/>
      <c r="F6" s="383" t="s">
        <v>3</v>
      </c>
      <c r="G6" s="382"/>
      <c r="H6" s="260"/>
      <c r="I6" s="260"/>
      <c r="J6" s="260"/>
      <c r="K6" s="260"/>
      <c r="L6" s="260"/>
    </row>
    <row r="7" spans="1:13" ht="15.5" x14ac:dyDescent="0.35">
      <c r="A7" s="382"/>
      <c r="B7" s="382"/>
      <c r="C7" s="382"/>
      <c r="D7" s="260"/>
      <c r="E7" s="382"/>
      <c r="F7" s="383"/>
      <c r="G7" s="382"/>
      <c r="H7" s="260"/>
      <c r="I7" s="260"/>
      <c r="J7" s="260"/>
      <c r="K7" s="260"/>
      <c r="L7" s="260"/>
    </row>
    <row r="8" spans="1:13" ht="30.75" customHeight="1" x14ac:dyDescent="0.35">
      <c r="A8" s="382"/>
      <c r="B8" s="1009" t="s">
        <v>4</v>
      </c>
      <c r="C8" s="1009"/>
      <c r="D8" s="1009"/>
      <c r="E8" s="1009"/>
      <c r="F8" s="1009"/>
      <c r="G8" s="1009"/>
      <c r="H8" s="1009"/>
      <c r="I8" s="1009"/>
      <c r="J8" s="1009"/>
      <c r="K8" s="1009"/>
      <c r="L8" s="260"/>
    </row>
    <row r="9" spans="1:13" ht="15.5" x14ac:dyDescent="0.35">
      <c r="A9" s="382"/>
      <c r="B9" s="382"/>
      <c r="C9" s="382"/>
      <c r="D9" s="260"/>
      <c r="E9" s="382"/>
      <c r="F9" s="383"/>
      <c r="G9" s="382"/>
      <c r="H9" s="260"/>
      <c r="I9" s="260"/>
      <c r="J9" s="260"/>
      <c r="K9" s="260"/>
      <c r="L9" s="260"/>
    </row>
    <row r="10" spans="1:13" ht="15.5" x14ac:dyDescent="0.35">
      <c r="A10" s="330"/>
      <c r="B10" s="331" t="s">
        <v>5</v>
      </c>
      <c r="D10" s="260"/>
      <c r="E10" s="330"/>
      <c r="F10" s="260"/>
      <c r="G10" s="330"/>
      <c r="H10" s="260"/>
      <c r="I10" s="260"/>
      <c r="J10" s="260"/>
      <c r="K10" s="260"/>
      <c r="L10" s="260"/>
    </row>
    <row r="11" spans="1:13" ht="15.5" x14ac:dyDescent="0.35">
      <c r="A11" s="330"/>
      <c r="B11" s="331"/>
      <c r="C11" s="331" t="s">
        <v>6</v>
      </c>
      <c r="D11" s="260"/>
      <c r="E11" s="330"/>
      <c r="F11" s="260"/>
      <c r="G11" s="330"/>
      <c r="H11" s="260"/>
      <c r="I11" s="260"/>
      <c r="J11" s="260"/>
      <c r="K11" s="260"/>
      <c r="L11" s="260"/>
    </row>
    <row r="12" spans="1:13" ht="15.75" customHeight="1" x14ac:dyDescent="0.35">
      <c r="A12" s="327"/>
      <c r="B12" s="327"/>
      <c r="C12" s="331" t="s">
        <v>7</v>
      </c>
      <c r="D12" s="260"/>
      <c r="F12" s="327"/>
      <c r="G12" s="327"/>
      <c r="H12" s="260"/>
      <c r="I12" s="260"/>
      <c r="J12" s="260"/>
      <c r="K12" s="260"/>
      <c r="L12" s="260"/>
    </row>
    <row r="13" spans="1:13" ht="15.75" customHeight="1" x14ac:dyDescent="0.35">
      <c r="A13" s="327"/>
      <c r="B13" s="327"/>
      <c r="C13" s="331" t="s">
        <v>8</v>
      </c>
      <c r="D13" s="260"/>
      <c r="F13" s="327"/>
      <c r="G13" s="327"/>
      <c r="H13" s="260"/>
      <c r="I13" s="260"/>
      <c r="J13" s="260"/>
      <c r="K13" s="260"/>
      <c r="L13" s="260"/>
    </row>
    <row r="14" spans="1:13" ht="15.75" customHeight="1" x14ac:dyDescent="0.35">
      <c r="A14" s="327"/>
      <c r="B14" s="327"/>
      <c r="C14" s="331" t="s">
        <v>9</v>
      </c>
      <c r="D14" s="260"/>
      <c r="F14" s="327"/>
      <c r="G14" s="327"/>
      <c r="H14" s="260"/>
      <c r="I14" s="260"/>
      <c r="J14" s="260"/>
      <c r="K14" s="260"/>
      <c r="L14" s="260"/>
    </row>
    <row r="15" spans="1:13" ht="15.75" customHeight="1" x14ac:dyDescent="0.35">
      <c r="A15" s="327"/>
      <c r="B15" s="327"/>
      <c r="C15" s="331" t="s">
        <v>10</v>
      </c>
      <c r="D15" s="260"/>
      <c r="F15" s="327"/>
      <c r="G15" s="327"/>
      <c r="H15" s="260"/>
      <c r="I15" s="260"/>
      <c r="J15" s="260"/>
      <c r="K15" s="260"/>
      <c r="L15" s="260"/>
    </row>
    <row r="16" spans="1:13" ht="15.75" customHeight="1" x14ac:dyDescent="0.35">
      <c r="A16" s="327"/>
      <c r="B16" s="327"/>
      <c r="C16" s="331" t="s">
        <v>11</v>
      </c>
      <c r="D16" s="260"/>
      <c r="F16" s="327"/>
      <c r="G16" s="327"/>
      <c r="H16" s="260"/>
      <c r="I16" s="260"/>
      <c r="J16" s="260"/>
      <c r="K16" s="260"/>
      <c r="L16" s="260"/>
    </row>
    <row r="17" spans="1:12" ht="15.75" customHeight="1" x14ac:dyDescent="0.35">
      <c r="A17" s="327"/>
      <c r="B17" s="327"/>
      <c r="C17" s="331" t="s">
        <v>12</v>
      </c>
      <c r="D17" s="260"/>
      <c r="F17" s="327"/>
      <c r="G17" s="327"/>
      <c r="H17" s="260"/>
      <c r="I17" s="260"/>
      <c r="J17" s="260"/>
      <c r="K17" s="260"/>
      <c r="L17" s="260"/>
    </row>
    <row r="18" spans="1:12" ht="15.75" customHeight="1" x14ac:dyDescent="0.35">
      <c r="A18" s="327"/>
      <c r="B18" s="327"/>
      <c r="C18" s="331"/>
      <c r="D18" s="260"/>
      <c r="F18" s="327"/>
      <c r="G18" s="327"/>
      <c r="H18" s="260"/>
      <c r="I18" s="260"/>
      <c r="J18" s="260"/>
      <c r="K18" s="260"/>
      <c r="L18" s="260"/>
    </row>
    <row r="19" spans="1:12" ht="15" customHeight="1" x14ac:dyDescent="0.35">
      <c r="A19" s="327"/>
      <c r="B19" s="1007" t="s">
        <v>13</v>
      </c>
      <c r="C19" s="1007"/>
      <c r="D19" s="1007"/>
      <c r="E19" s="1007"/>
      <c r="F19" s="1007"/>
      <c r="G19" s="1007"/>
      <c r="H19" s="1007"/>
      <c r="I19" s="1007"/>
      <c r="J19" s="1007"/>
      <c r="K19" s="1007"/>
      <c r="L19" s="260"/>
    </row>
    <row r="20" spans="1:12" ht="15" customHeight="1" x14ac:dyDescent="0.35">
      <c r="A20" s="327"/>
      <c r="B20" s="560"/>
      <c r="C20" s="557"/>
      <c r="D20" s="557"/>
      <c r="E20" s="557"/>
      <c r="F20" s="557"/>
      <c r="G20" s="557"/>
      <c r="H20" s="557"/>
      <c r="I20" s="557"/>
      <c r="J20" s="557"/>
      <c r="K20" s="557"/>
      <c r="L20" s="260"/>
    </row>
    <row r="21" spans="1:12" ht="30" customHeight="1" x14ac:dyDescent="0.35">
      <c r="A21" s="327"/>
      <c r="B21" s="1007" t="s">
        <v>14</v>
      </c>
      <c r="C21" s="1007"/>
      <c r="D21" s="1007"/>
      <c r="E21" s="1007"/>
      <c r="F21" s="1007"/>
      <c r="G21" s="1007"/>
      <c r="H21" s="1007"/>
      <c r="I21" s="1007"/>
      <c r="J21" s="1007"/>
      <c r="K21" s="1007"/>
      <c r="L21" s="260"/>
    </row>
    <row r="22" spans="1:12" ht="30" customHeight="1" x14ac:dyDescent="0.35">
      <c r="A22" s="327"/>
      <c r="B22" s="1007" t="s">
        <v>15</v>
      </c>
      <c r="C22" s="1007"/>
      <c r="D22" s="1007"/>
      <c r="E22" s="1007"/>
      <c r="F22" s="1007"/>
      <c r="G22" s="1007"/>
      <c r="H22" s="1007"/>
      <c r="I22" s="1007"/>
      <c r="J22" s="1007"/>
      <c r="K22" s="1007"/>
      <c r="L22" s="260"/>
    </row>
    <row r="23" spans="1:12" ht="15.5" x14ac:dyDescent="0.35">
      <c r="A23" s="327"/>
      <c r="B23" s="260"/>
      <c r="C23" s="260"/>
      <c r="D23" s="260"/>
      <c r="E23" s="260"/>
      <c r="F23" s="260"/>
      <c r="G23" s="260"/>
      <c r="H23" s="260"/>
      <c r="I23" s="260"/>
      <c r="J23" s="260"/>
      <c r="K23" s="260"/>
      <c r="L23" s="260"/>
    </row>
    <row r="24" spans="1:12" ht="15.5" x14ac:dyDescent="0.35">
      <c r="A24" s="330"/>
      <c r="B24" s="1008" t="s">
        <v>16</v>
      </c>
      <c r="C24" s="1008"/>
      <c r="D24" s="1008"/>
      <c r="E24" s="1008"/>
      <c r="F24" s="384" t="s">
        <v>17</v>
      </c>
      <c r="G24" s="330"/>
      <c r="H24" s="260"/>
      <c r="I24" s="260"/>
      <c r="J24" s="260"/>
      <c r="K24" s="260"/>
      <c r="L24" s="260"/>
    </row>
    <row r="25" spans="1:12" ht="18" customHeight="1" x14ac:dyDescent="0.35">
      <c r="G25" s="332"/>
      <c r="H25" s="260"/>
      <c r="I25" s="260"/>
      <c r="J25" s="260"/>
      <c r="K25" s="260"/>
      <c r="L25" s="260"/>
    </row>
    <row r="26" spans="1:12" ht="15.5" x14ac:dyDescent="0.35">
      <c r="G26" s="260"/>
      <c r="H26" s="260"/>
      <c r="I26" s="260"/>
      <c r="J26" s="260"/>
      <c r="K26" s="260"/>
      <c r="L26" s="260"/>
    </row>
    <row r="27" spans="1:12" ht="15.5" x14ac:dyDescent="0.35">
      <c r="G27" s="260"/>
      <c r="H27" s="260"/>
      <c r="I27" s="260"/>
      <c r="J27" s="260"/>
      <c r="K27" s="260"/>
      <c r="L27" s="260"/>
    </row>
    <row r="28" spans="1:12" ht="15.5" x14ac:dyDescent="0.35">
      <c r="G28" s="260"/>
      <c r="H28" s="260"/>
      <c r="I28" s="260"/>
      <c r="J28" s="260"/>
      <c r="K28" s="260"/>
      <c r="L28" s="260"/>
    </row>
    <row r="29" spans="1:12" ht="15.5" x14ac:dyDescent="0.35">
      <c r="G29" s="260"/>
      <c r="H29" s="260"/>
      <c r="I29" s="260"/>
      <c r="J29" s="260"/>
      <c r="K29" s="260"/>
      <c r="L29" s="260"/>
    </row>
    <row r="30" spans="1:12" ht="15.5" x14ac:dyDescent="0.35">
      <c r="G30" s="260"/>
      <c r="H30" s="260"/>
      <c r="I30" s="260"/>
      <c r="J30" s="260"/>
      <c r="K30" s="260"/>
      <c r="L30" s="260"/>
    </row>
  </sheetData>
  <sheetProtection algorithmName="SHA-512" hashValue="pcivRfcafm9GbOFnsJe+g9sWLfQ9wlFlr++BZEpRtnVNOLUWFt5UdmCpqqt+l1LqsHIp4oyzkGFHdj1IgkAQDQ==" saltValue="naxq+/olHgpFsh+dG6XhcA==" spinCount="100000" sheet="1" scenarios="1" formatCells="0" sort="0" autoFilter="0" pivotTables="0"/>
  <mergeCells count="5">
    <mergeCell ref="B21:K21"/>
    <mergeCell ref="B24:E24"/>
    <mergeCell ref="B22:K22"/>
    <mergeCell ref="B19:K19"/>
    <mergeCell ref="B8:K8"/>
  </mergeCells>
  <hyperlinks>
    <hyperlink ref="F6" r:id="rId1" display="Scottish Fire and Rescue Service Fire Safety and Organisational Statistics, Scotland, 2015-16" xr:uid="{00000000-0004-0000-0000-000000000000}"/>
    <hyperlink ref="A6:G6" r:id="rId2" display="Scottish Fire and Rescue Service Fire Safety and Organisational Statistics, Scotland" xr:uid="{00000000-0004-0000-0000-000001000000}"/>
    <hyperlink ref="F24" r:id="rId3" xr:uid="{00000000-0004-0000-0000-000002000000}"/>
  </hyperlinks>
  <pageMargins left="0.7" right="0.7" top="0.75" bottom="0.75" header="0.3" footer="0.3"/>
  <pageSetup paperSize="9" scale="72"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F353"/>
  <sheetViews>
    <sheetView workbookViewId="0">
      <selection activeCell="D336" sqref="D336"/>
    </sheetView>
  </sheetViews>
  <sheetFormatPr defaultRowHeight="14.5" x14ac:dyDescent="0.35"/>
  <cols>
    <col min="2" max="2" width="20.453125" bestFit="1" customWidth="1"/>
    <col min="3" max="3" width="16.453125" bestFit="1" customWidth="1"/>
    <col min="4" max="4" width="14.54296875" bestFit="1" customWidth="1"/>
    <col min="5" max="5" width="15.54296875" bestFit="1" customWidth="1"/>
  </cols>
  <sheetData>
    <row r="1" spans="1:6" x14ac:dyDescent="0.35">
      <c r="A1" t="s">
        <v>207</v>
      </c>
      <c r="B1" t="s">
        <v>358</v>
      </c>
      <c r="C1" s="645" t="s">
        <v>335</v>
      </c>
      <c r="D1" s="645" t="s">
        <v>338</v>
      </c>
      <c r="E1" s="645" t="s">
        <v>339</v>
      </c>
      <c r="F1" s="646" t="s">
        <v>340</v>
      </c>
    </row>
    <row r="2" spans="1:6" x14ac:dyDescent="0.35">
      <c r="A2" t="s">
        <v>214</v>
      </c>
      <c r="B2" s="388" t="s">
        <v>216</v>
      </c>
      <c r="C2">
        <v>3</v>
      </c>
      <c r="D2">
        <v>1</v>
      </c>
      <c r="F2">
        <f>SUM(C2:E2)</f>
        <v>4</v>
      </c>
    </row>
    <row r="3" spans="1:6" x14ac:dyDescent="0.35">
      <c r="A3" t="s">
        <v>214</v>
      </c>
      <c r="B3" s="388" t="s">
        <v>221</v>
      </c>
      <c r="C3">
        <v>1</v>
      </c>
      <c r="D3">
        <v>23</v>
      </c>
      <c r="F3">
        <f t="shared" ref="F3:F33" si="0">SUM(C3:E3)</f>
        <v>24</v>
      </c>
    </row>
    <row r="4" spans="1:6" x14ac:dyDescent="0.35">
      <c r="A4" t="s">
        <v>214</v>
      </c>
      <c r="B4" s="388" t="s">
        <v>225</v>
      </c>
      <c r="C4">
        <v>1</v>
      </c>
      <c r="D4">
        <v>5</v>
      </c>
      <c r="F4">
        <f t="shared" si="0"/>
        <v>6</v>
      </c>
    </row>
    <row r="5" spans="1:6" x14ac:dyDescent="0.35">
      <c r="A5" t="s">
        <v>214</v>
      </c>
      <c r="B5" s="388" t="s">
        <v>229</v>
      </c>
      <c r="C5">
        <v>2</v>
      </c>
      <c r="D5">
        <v>12</v>
      </c>
      <c r="E5">
        <v>25</v>
      </c>
      <c r="F5">
        <f t="shared" si="0"/>
        <v>39</v>
      </c>
    </row>
    <row r="6" spans="1:6" x14ac:dyDescent="0.35">
      <c r="A6" t="s">
        <v>214</v>
      </c>
      <c r="B6" s="388" t="s">
        <v>235</v>
      </c>
      <c r="C6">
        <v>7</v>
      </c>
      <c r="D6">
        <v>1</v>
      </c>
      <c r="F6">
        <f t="shared" si="0"/>
        <v>8</v>
      </c>
    </row>
    <row r="7" spans="1:6" x14ac:dyDescent="0.35">
      <c r="A7" t="s">
        <v>214</v>
      </c>
      <c r="B7" s="388" t="s">
        <v>241</v>
      </c>
      <c r="C7">
        <v>1</v>
      </c>
      <c r="D7">
        <v>1</v>
      </c>
      <c r="F7">
        <f t="shared" si="0"/>
        <v>2</v>
      </c>
    </row>
    <row r="8" spans="1:6" x14ac:dyDescent="0.35">
      <c r="A8" t="s">
        <v>214</v>
      </c>
      <c r="B8" s="388" t="s">
        <v>245</v>
      </c>
      <c r="C8">
        <v>1</v>
      </c>
      <c r="D8">
        <v>15</v>
      </c>
      <c r="E8">
        <v>1</v>
      </c>
      <c r="F8">
        <f t="shared" si="0"/>
        <v>17</v>
      </c>
    </row>
    <row r="9" spans="1:6" x14ac:dyDescent="0.35">
      <c r="A9" t="s">
        <v>214</v>
      </c>
      <c r="B9" s="388" t="s">
        <v>248</v>
      </c>
      <c r="C9">
        <v>4</v>
      </c>
      <c r="F9">
        <f t="shared" si="0"/>
        <v>4</v>
      </c>
    </row>
    <row r="10" spans="1:6" x14ac:dyDescent="0.35">
      <c r="A10" t="s">
        <v>214</v>
      </c>
      <c r="B10" s="388" t="s">
        <v>250</v>
      </c>
      <c r="C10">
        <v>1</v>
      </c>
      <c r="D10">
        <v>7</v>
      </c>
      <c r="F10">
        <f t="shared" si="0"/>
        <v>8</v>
      </c>
    </row>
    <row r="11" spans="1:6" x14ac:dyDescent="0.35">
      <c r="A11" t="s">
        <v>214</v>
      </c>
      <c r="B11" s="388" t="s">
        <v>254</v>
      </c>
      <c r="C11">
        <v>3</v>
      </c>
      <c r="F11">
        <f t="shared" si="0"/>
        <v>3</v>
      </c>
    </row>
    <row r="12" spans="1:6" x14ac:dyDescent="0.35">
      <c r="A12" t="s">
        <v>214</v>
      </c>
      <c r="B12" s="388" t="s">
        <v>256</v>
      </c>
      <c r="C12">
        <v>1</v>
      </c>
      <c r="D12">
        <v>5</v>
      </c>
      <c r="F12">
        <f t="shared" si="0"/>
        <v>6</v>
      </c>
    </row>
    <row r="13" spans="1:6" x14ac:dyDescent="0.35">
      <c r="A13" t="s">
        <v>214</v>
      </c>
      <c r="B13" s="388" t="s">
        <v>260</v>
      </c>
      <c r="C13">
        <v>2</v>
      </c>
      <c r="F13">
        <f t="shared" si="0"/>
        <v>2</v>
      </c>
    </row>
    <row r="14" spans="1:6" x14ac:dyDescent="0.35">
      <c r="A14" t="s">
        <v>214</v>
      </c>
      <c r="B14" s="388" t="s">
        <v>264</v>
      </c>
      <c r="C14">
        <v>3</v>
      </c>
      <c r="D14">
        <v>2</v>
      </c>
      <c r="F14">
        <f t="shared" si="0"/>
        <v>5</v>
      </c>
    </row>
    <row r="15" spans="1:6" x14ac:dyDescent="0.35">
      <c r="A15" t="s">
        <v>214</v>
      </c>
      <c r="B15" s="388" t="s">
        <v>268</v>
      </c>
      <c r="C15">
        <v>5</v>
      </c>
      <c r="D15">
        <v>8</v>
      </c>
      <c r="F15">
        <f t="shared" si="0"/>
        <v>13</v>
      </c>
    </row>
    <row r="16" spans="1:6" x14ac:dyDescent="0.35">
      <c r="A16" t="s">
        <v>214</v>
      </c>
      <c r="B16" s="388" t="s">
        <v>271</v>
      </c>
      <c r="C16">
        <v>11</v>
      </c>
      <c r="F16">
        <f t="shared" si="0"/>
        <v>11</v>
      </c>
    </row>
    <row r="17" spans="1:6" x14ac:dyDescent="0.35">
      <c r="A17" t="s">
        <v>214</v>
      </c>
      <c r="B17" s="388" t="s">
        <v>274</v>
      </c>
      <c r="C17">
        <v>1</v>
      </c>
      <c r="D17">
        <v>51</v>
      </c>
      <c r="E17">
        <v>9</v>
      </c>
      <c r="F17">
        <f t="shared" si="0"/>
        <v>61</v>
      </c>
    </row>
    <row r="18" spans="1:6" x14ac:dyDescent="0.35">
      <c r="A18" t="s">
        <v>214</v>
      </c>
      <c r="B18" s="388" t="s">
        <v>278</v>
      </c>
      <c r="C18">
        <v>2</v>
      </c>
      <c r="D18">
        <v>1</v>
      </c>
      <c r="F18">
        <f t="shared" si="0"/>
        <v>3</v>
      </c>
    </row>
    <row r="19" spans="1:6" x14ac:dyDescent="0.35">
      <c r="A19" t="s">
        <v>214</v>
      </c>
      <c r="B19" s="388" t="s">
        <v>280</v>
      </c>
      <c r="C19">
        <v>1</v>
      </c>
      <c r="D19">
        <v>1</v>
      </c>
      <c r="F19">
        <f t="shared" si="0"/>
        <v>2</v>
      </c>
    </row>
    <row r="20" spans="1:6" x14ac:dyDescent="0.35">
      <c r="A20" t="s">
        <v>214</v>
      </c>
      <c r="B20" s="388" t="s">
        <v>282</v>
      </c>
      <c r="C20">
        <v>1</v>
      </c>
      <c r="D20">
        <v>10</v>
      </c>
      <c r="E20">
        <v>1</v>
      </c>
      <c r="F20">
        <f t="shared" si="0"/>
        <v>12</v>
      </c>
    </row>
    <row r="21" spans="1:6" x14ac:dyDescent="0.35">
      <c r="A21" t="s">
        <v>214</v>
      </c>
      <c r="B21" s="388" t="s">
        <v>284</v>
      </c>
      <c r="D21">
        <v>14</v>
      </c>
      <c r="F21">
        <f t="shared" si="0"/>
        <v>14</v>
      </c>
    </row>
    <row r="22" spans="1:6" x14ac:dyDescent="0.35">
      <c r="A22" t="s">
        <v>214</v>
      </c>
      <c r="B22" s="388" t="s">
        <v>288</v>
      </c>
      <c r="C22">
        <v>3</v>
      </c>
      <c r="D22">
        <v>8</v>
      </c>
      <c r="E22">
        <v>3</v>
      </c>
      <c r="F22">
        <f t="shared" si="0"/>
        <v>14</v>
      </c>
    </row>
    <row r="23" spans="1:6" x14ac:dyDescent="0.35">
      <c r="A23" t="s">
        <v>214</v>
      </c>
      <c r="B23" s="388" t="s">
        <v>290</v>
      </c>
      <c r="C23">
        <v>4</v>
      </c>
      <c r="D23">
        <v>3</v>
      </c>
      <c r="F23">
        <f t="shared" si="0"/>
        <v>7</v>
      </c>
    </row>
    <row r="24" spans="1:6" x14ac:dyDescent="0.35">
      <c r="A24" t="s">
        <v>214</v>
      </c>
      <c r="B24" s="388" t="s">
        <v>293</v>
      </c>
      <c r="D24">
        <v>12</v>
      </c>
      <c r="F24">
        <f t="shared" si="0"/>
        <v>12</v>
      </c>
    </row>
    <row r="25" spans="1:6" x14ac:dyDescent="0.35">
      <c r="A25" t="s">
        <v>214</v>
      </c>
      <c r="B25" s="388" t="s">
        <v>295</v>
      </c>
      <c r="C25">
        <v>1</v>
      </c>
      <c r="D25">
        <v>10</v>
      </c>
      <c r="E25">
        <v>3</v>
      </c>
      <c r="F25">
        <f t="shared" si="0"/>
        <v>14</v>
      </c>
    </row>
    <row r="26" spans="1:6" x14ac:dyDescent="0.35">
      <c r="A26" t="s">
        <v>214</v>
      </c>
      <c r="B26" s="388" t="s">
        <v>297</v>
      </c>
      <c r="C26">
        <v>3</v>
      </c>
      <c r="F26">
        <f t="shared" si="0"/>
        <v>3</v>
      </c>
    </row>
    <row r="27" spans="1:6" x14ac:dyDescent="0.35">
      <c r="A27" t="s">
        <v>214</v>
      </c>
      <c r="B27" s="388" t="s">
        <v>299</v>
      </c>
      <c r="C27">
        <v>2</v>
      </c>
      <c r="D27">
        <v>11</v>
      </c>
      <c r="F27">
        <f t="shared" si="0"/>
        <v>13</v>
      </c>
    </row>
    <row r="28" spans="1:6" x14ac:dyDescent="0.35">
      <c r="A28" t="s">
        <v>214</v>
      </c>
      <c r="B28" s="388" t="s">
        <v>301</v>
      </c>
      <c r="D28">
        <v>14</v>
      </c>
      <c r="F28">
        <f t="shared" si="0"/>
        <v>14</v>
      </c>
    </row>
    <row r="29" spans="1:6" x14ac:dyDescent="0.35">
      <c r="A29" t="s">
        <v>214</v>
      </c>
      <c r="B29" s="388" t="s">
        <v>303</v>
      </c>
      <c r="C29">
        <v>1</v>
      </c>
      <c r="D29">
        <v>4</v>
      </c>
      <c r="F29">
        <f t="shared" si="0"/>
        <v>5</v>
      </c>
    </row>
    <row r="30" spans="1:6" x14ac:dyDescent="0.35">
      <c r="A30" t="s">
        <v>214</v>
      </c>
      <c r="B30" s="388" t="s">
        <v>305</v>
      </c>
      <c r="C30">
        <v>4</v>
      </c>
      <c r="D30">
        <v>7</v>
      </c>
      <c r="E30">
        <v>1</v>
      </c>
      <c r="F30">
        <f t="shared" si="0"/>
        <v>12</v>
      </c>
    </row>
    <row r="31" spans="1:6" x14ac:dyDescent="0.35">
      <c r="A31" t="s">
        <v>214</v>
      </c>
      <c r="B31" s="388" t="s">
        <v>308</v>
      </c>
      <c r="C31">
        <v>1</v>
      </c>
      <c r="D31">
        <v>9</v>
      </c>
      <c r="F31">
        <f t="shared" si="0"/>
        <v>10</v>
      </c>
    </row>
    <row r="32" spans="1:6" x14ac:dyDescent="0.35">
      <c r="A32" t="s">
        <v>214</v>
      </c>
      <c r="B32" s="388" t="s">
        <v>310</v>
      </c>
      <c r="C32">
        <v>2</v>
      </c>
      <c r="D32">
        <v>1</v>
      </c>
      <c r="F32">
        <f t="shared" si="0"/>
        <v>3</v>
      </c>
    </row>
    <row r="33" spans="1:6" x14ac:dyDescent="0.35">
      <c r="A33" t="s">
        <v>214</v>
      </c>
      <c r="B33" s="388" t="s">
        <v>312</v>
      </c>
      <c r="C33">
        <v>2</v>
      </c>
      <c r="D33">
        <v>4</v>
      </c>
      <c r="F33">
        <f t="shared" si="0"/>
        <v>6</v>
      </c>
    </row>
    <row r="34" spans="1:6" x14ac:dyDescent="0.35">
      <c r="A34" t="s">
        <v>313</v>
      </c>
      <c r="B34" s="388" t="s">
        <v>216</v>
      </c>
      <c r="C34">
        <v>3</v>
      </c>
      <c r="D34">
        <v>1</v>
      </c>
      <c r="F34">
        <f>SUM(C34:E34)</f>
        <v>4</v>
      </c>
    </row>
    <row r="35" spans="1:6" x14ac:dyDescent="0.35">
      <c r="A35" t="s">
        <v>313</v>
      </c>
      <c r="B35" s="388" t="s">
        <v>221</v>
      </c>
      <c r="C35">
        <v>1</v>
      </c>
      <c r="D35">
        <v>23</v>
      </c>
      <c r="F35">
        <f t="shared" ref="F35:F65" si="1">SUM(C35:E35)</f>
        <v>24</v>
      </c>
    </row>
    <row r="36" spans="1:6" x14ac:dyDescent="0.35">
      <c r="A36" t="s">
        <v>313</v>
      </c>
      <c r="B36" s="388" t="s">
        <v>225</v>
      </c>
      <c r="C36">
        <v>1</v>
      </c>
      <c r="D36">
        <v>5</v>
      </c>
      <c r="F36">
        <f t="shared" si="1"/>
        <v>6</v>
      </c>
    </row>
    <row r="37" spans="1:6" x14ac:dyDescent="0.35">
      <c r="A37" t="s">
        <v>313</v>
      </c>
      <c r="B37" s="388" t="s">
        <v>229</v>
      </c>
      <c r="C37">
        <v>2</v>
      </c>
      <c r="D37">
        <v>12</v>
      </c>
      <c r="E37">
        <v>25</v>
      </c>
      <c r="F37">
        <f t="shared" si="1"/>
        <v>39</v>
      </c>
    </row>
    <row r="38" spans="1:6" x14ac:dyDescent="0.35">
      <c r="A38" t="s">
        <v>313</v>
      </c>
      <c r="B38" s="388" t="s">
        <v>235</v>
      </c>
      <c r="C38">
        <v>7</v>
      </c>
      <c r="D38">
        <v>1</v>
      </c>
      <c r="F38">
        <f t="shared" si="1"/>
        <v>8</v>
      </c>
    </row>
    <row r="39" spans="1:6" x14ac:dyDescent="0.35">
      <c r="A39" t="s">
        <v>313</v>
      </c>
      <c r="B39" s="388" t="s">
        <v>241</v>
      </c>
      <c r="C39">
        <v>1</v>
      </c>
      <c r="D39">
        <v>1</v>
      </c>
      <c r="F39">
        <f t="shared" si="1"/>
        <v>2</v>
      </c>
    </row>
    <row r="40" spans="1:6" x14ac:dyDescent="0.35">
      <c r="A40" t="s">
        <v>313</v>
      </c>
      <c r="B40" s="388" t="s">
        <v>245</v>
      </c>
      <c r="C40">
        <v>1</v>
      </c>
      <c r="D40">
        <v>15</v>
      </c>
      <c r="E40">
        <v>1</v>
      </c>
      <c r="F40">
        <f t="shared" si="1"/>
        <v>17</v>
      </c>
    </row>
    <row r="41" spans="1:6" x14ac:dyDescent="0.35">
      <c r="A41" t="s">
        <v>313</v>
      </c>
      <c r="B41" s="388" t="s">
        <v>248</v>
      </c>
      <c r="C41">
        <v>4</v>
      </c>
      <c r="F41">
        <f t="shared" si="1"/>
        <v>4</v>
      </c>
    </row>
    <row r="42" spans="1:6" x14ac:dyDescent="0.35">
      <c r="A42" t="s">
        <v>313</v>
      </c>
      <c r="B42" s="388" t="s">
        <v>250</v>
      </c>
      <c r="C42">
        <v>1</v>
      </c>
      <c r="D42">
        <v>7</v>
      </c>
      <c r="F42">
        <f t="shared" si="1"/>
        <v>8</v>
      </c>
    </row>
    <row r="43" spans="1:6" x14ac:dyDescent="0.35">
      <c r="A43" t="s">
        <v>313</v>
      </c>
      <c r="B43" s="388" t="s">
        <v>254</v>
      </c>
      <c r="C43">
        <v>3</v>
      </c>
      <c r="F43">
        <f t="shared" si="1"/>
        <v>3</v>
      </c>
    </row>
    <row r="44" spans="1:6" x14ac:dyDescent="0.35">
      <c r="A44" t="s">
        <v>313</v>
      </c>
      <c r="B44" s="388" t="s">
        <v>256</v>
      </c>
      <c r="C44">
        <v>1</v>
      </c>
      <c r="D44">
        <v>5</v>
      </c>
      <c r="F44">
        <f t="shared" si="1"/>
        <v>6</v>
      </c>
    </row>
    <row r="45" spans="1:6" x14ac:dyDescent="0.35">
      <c r="A45" t="s">
        <v>313</v>
      </c>
      <c r="B45" s="388" t="s">
        <v>260</v>
      </c>
      <c r="C45">
        <v>2</v>
      </c>
      <c r="F45">
        <f t="shared" si="1"/>
        <v>2</v>
      </c>
    </row>
    <row r="46" spans="1:6" x14ac:dyDescent="0.35">
      <c r="A46" t="s">
        <v>313</v>
      </c>
      <c r="B46" s="388" t="s">
        <v>264</v>
      </c>
      <c r="C46">
        <v>3</v>
      </c>
      <c r="D46">
        <v>2</v>
      </c>
      <c r="F46">
        <f t="shared" si="1"/>
        <v>5</v>
      </c>
    </row>
    <row r="47" spans="1:6" x14ac:dyDescent="0.35">
      <c r="A47" t="s">
        <v>313</v>
      </c>
      <c r="B47" s="388" t="s">
        <v>268</v>
      </c>
      <c r="C47">
        <v>5</v>
      </c>
      <c r="D47">
        <v>8</v>
      </c>
      <c r="F47">
        <f t="shared" si="1"/>
        <v>13</v>
      </c>
    </row>
    <row r="48" spans="1:6" x14ac:dyDescent="0.35">
      <c r="A48" t="s">
        <v>313</v>
      </c>
      <c r="B48" s="388" t="s">
        <v>271</v>
      </c>
      <c r="C48">
        <v>11</v>
      </c>
      <c r="F48">
        <f t="shared" si="1"/>
        <v>11</v>
      </c>
    </row>
    <row r="49" spans="1:6" x14ac:dyDescent="0.35">
      <c r="A49" t="s">
        <v>313</v>
      </c>
      <c r="B49" s="388" t="s">
        <v>274</v>
      </c>
      <c r="C49">
        <v>1</v>
      </c>
      <c r="D49">
        <v>51</v>
      </c>
      <c r="E49">
        <v>9</v>
      </c>
      <c r="F49">
        <f t="shared" si="1"/>
        <v>61</v>
      </c>
    </row>
    <row r="50" spans="1:6" x14ac:dyDescent="0.35">
      <c r="A50" t="s">
        <v>313</v>
      </c>
      <c r="B50" s="388" t="s">
        <v>278</v>
      </c>
      <c r="C50">
        <v>2</v>
      </c>
      <c r="D50">
        <v>1</v>
      </c>
      <c r="F50">
        <f t="shared" si="1"/>
        <v>3</v>
      </c>
    </row>
    <row r="51" spans="1:6" x14ac:dyDescent="0.35">
      <c r="A51" t="s">
        <v>313</v>
      </c>
      <c r="B51" s="388" t="s">
        <v>280</v>
      </c>
      <c r="C51">
        <v>1</v>
      </c>
      <c r="D51">
        <v>1</v>
      </c>
      <c r="F51">
        <f t="shared" si="1"/>
        <v>2</v>
      </c>
    </row>
    <row r="52" spans="1:6" x14ac:dyDescent="0.35">
      <c r="A52" t="s">
        <v>313</v>
      </c>
      <c r="B52" s="388" t="s">
        <v>282</v>
      </c>
      <c r="C52">
        <v>1</v>
      </c>
      <c r="D52">
        <v>10</v>
      </c>
      <c r="E52">
        <v>1</v>
      </c>
      <c r="F52">
        <f t="shared" si="1"/>
        <v>12</v>
      </c>
    </row>
    <row r="53" spans="1:6" x14ac:dyDescent="0.35">
      <c r="A53" t="s">
        <v>313</v>
      </c>
      <c r="B53" s="388" t="s">
        <v>284</v>
      </c>
      <c r="D53">
        <v>14</v>
      </c>
      <c r="F53">
        <f t="shared" si="1"/>
        <v>14</v>
      </c>
    </row>
    <row r="54" spans="1:6" x14ac:dyDescent="0.35">
      <c r="A54" t="s">
        <v>313</v>
      </c>
      <c r="B54" s="388" t="s">
        <v>288</v>
      </c>
      <c r="C54">
        <v>3</v>
      </c>
      <c r="D54">
        <v>8</v>
      </c>
      <c r="E54">
        <v>3</v>
      </c>
      <c r="F54">
        <f t="shared" si="1"/>
        <v>14</v>
      </c>
    </row>
    <row r="55" spans="1:6" x14ac:dyDescent="0.35">
      <c r="A55" t="s">
        <v>313</v>
      </c>
      <c r="B55" s="388" t="s">
        <v>290</v>
      </c>
      <c r="C55">
        <v>4</v>
      </c>
      <c r="D55">
        <v>3</v>
      </c>
      <c r="F55">
        <f t="shared" si="1"/>
        <v>7</v>
      </c>
    </row>
    <row r="56" spans="1:6" x14ac:dyDescent="0.35">
      <c r="A56" t="s">
        <v>313</v>
      </c>
      <c r="B56" s="388" t="s">
        <v>293</v>
      </c>
      <c r="D56">
        <v>12</v>
      </c>
      <c r="F56">
        <f t="shared" si="1"/>
        <v>12</v>
      </c>
    </row>
    <row r="57" spans="1:6" x14ac:dyDescent="0.35">
      <c r="A57" t="s">
        <v>313</v>
      </c>
      <c r="B57" s="388" t="s">
        <v>295</v>
      </c>
      <c r="C57">
        <v>1</v>
      </c>
      <c r="D57">
        <v>10</v>
      </c>
      <c r="E57">
        <v>3</v>
      </c>
      <c r="F57">
        <f t="shared" si="1"/>
        <v>14</v>
      </c>
    </row>
    <row r="58" spans="1:6" x14ac:dyDescent="0.35">
      <c r="A58" t="s">
        <v>313</v>
      </c>
      <c r="B58" s="388" t="s">
        <v>297</v>
      </c>
      <c r="C58">
        <v>3</v>
      </c>
      <c r="F58">
        <f t="shared" si="1"/>
        <v>3</v>
      </c>
    </row>
    <row r="59" spans="1:6" x14ac:dyDescent="0.35">
      <c r="A59" t="s">
        <v>313</v>
      </c>
      <c r="B59" s="388" t="s">
        <v>299</v>
      </c>
      <c r="C59">
        <v>2</v>
      </c>
      <c r="D59">
        <v>11</v>
      </c>
      <c r="F59">
        <f t="shared" si="1"/>
        <v>13</v>
      </c>
    </row>
    <row r="60" spans="1:6" x14ac:dyDescent="0.35">
      <c r="A60" t="s">
        <v>313</v>
      </c>
      <c r="B60" s="388" t="s">
        <v>301</v>
      </c>
      <c r="D60">
        <v>14</v>
      </c>
      <c r="F60">
        <f t="shared" si="1"/>
        <v>14</v>
      </c>
    </row>
    <row r="61" spans="1:6" x14ac:dyDescent="0.35">
      <c r="A61" t="s">
        <v>313</v>
      </c>
      <c r="B61" s="388" t="s">
        <v>303</v>
      </c>
      <c r="C61">
        <v>1</v>
      </c>
      <c r="D61">
        <v>4</v>
      </c>
      <c r="F61">
        <f t="shared" si="1"/>
        <v>5</v>
      </c>
    </row>
    <row r="62" spans="1:6" x14ac:dyDescent="0.35">
      <c r="A62" t="s">
        <v>313</v>
      </c>
      <c r="B62" s="388" t="s">
        <v>305</v>
      </c>
      <c r="C62">
        <v>4</v>
      </c>
      <c r="D62">
        <v>7</v>
      </c>
      <c r="E62">
        <v>1</v>
      </c>
      <c r="F62">
        <f t="shared" si="1"/>
        <v>12</v>
      </c>
    </row>
    <row r="63" spans="1:6" x14ac:dyDescent="0.35">
      <c r="A63" t="s">
        <v>313</v>
      </c>
      <c r="B63" s="388" t="s">
        <v>308</v>
      </c>
      <c r="C63">
        <v>1</v>
      </c>
      <c r="D63">
        <v>9</v>
      </c>
      <c r="F63">
        <f t="shared" si="1"/>
        <v>10</v>
      </c>
    </row>
    <row r="64" spans="1:6" x14ac:dyDescent="0.35">
      <c r="A64" t="s">
        <v>313</v>
      </c>
      <c r="B64" s="388" t="s">
        <v>310</v>
      </c>
      <c r="C64">
        <v>2</v>
      </c>
      <c r="D64">
        <v>1</v>
      </c>
      <c r="F64">
        <f t="shared" si="1"/>
        <v>3</v>
      </c>
    </row>
    <row r="65" spans="1:6" x14ac:dyDescent="0.35">
      <c r="A65" t="s">
        <v>313</v>
      </c>
      <c r="B65" s="388" t="s">
        <v>312</v>
      </c>
      <c r="C65">
        <v>2</v>
      </c>
      <c r="D65">
        <v>4</v>
      </c>
      <c r="F65">
        <f t="shared" si="1"/>
        <v>6</v>
      </c>
    </row>
    <row r="66" spans="1:6" x14ac:dyDescent="0.35">
      <c r="A66" t="s">
        <v>319</v>
      </c>
      <c r="B66" s="388" t="s">
        <v>216</v>
      </c>
      <c r="C66">
        <v>3</v>
      </c>
      <c r="D66">
        <v>1</v>
      </c>
      <c r="F66">
        <f>SUM(C66:E66)</f>
        <v>4</v>
      </c>
    </row>
    <row r="67" spans="1:6" x14ac:dyDescent="0.35">
      <c r="A67" t="s">
        <v>319</v>
      </c>
      <c r="B67" s="388" t="s">
        <v>221</v>
      </c>
      <c r="C67">
        <v>1</v>
      </c>
      <c r="D67">
        <v>23</v>
      </c>
      <c r="F67">
        <f t="shared" ref="F67:F97" si="2">SUM(C67:E67)</f>
        <v>24</v>
      </c>
    </row>
    <row r="68" spans="1:6" x14ac:dyDescent="0.35">
      <c r="A68" t="s">
        <v>319</v>
      </c>
      <c r="B68" s="388" t="s">
        <v>225</v>
      </c>
      <c r="C68">
        <v>1</v>
      </c>
      <c r="D68">
        <v>5</v>
      </c>
      <c r="F68">
        <f t="shared" si="2"/>
        <v>6</v>
      </c>
    </row>
    <row r="69" spans="1:6" x14ac:dyDescent="0.35">
      <c r="A69" t="s">
        <v>319</v>
      </c>
      <c r="B69" s="388" t="s">
        <v>229</v>
      </c>
      <c r="C69">
        <v>2</v>
      </c>
      <c r="D69">
        <v>12</v>
      </c>
      <c r="E69">
        <v>25</v>
      </c>
      <c r="F69">
        <f t="shared" si="2"/>
        <v>39</v>
      </c>
    </row>
    <row r="70" spans="1:6" x14ac:dyDescent="0.35">
      <c r="A70" t="s">
        <v>319</v>
      </c>
      <c r="B70" s="388" t="s">
        <v>235</v>
      </c>
      <c r="C70">
        <v>7</v>
      </c>
      <c r="D70">
        <v>1</v>
      </c>
      <c r="F70">
        <f t="shared" si="2"/>
        <v>8</v>
      </c>
    </row>
    <row r="71" spans="1:6" x14ac:dyDescent="0.35">
      <c r="A71" t="s">
        <v>319</v>
      </c>
      <c r="B71" s="388" t="s">
        <v>241</v>
      </c>
      <c r="C71">
        <v>1</v>
      </c>
      <c r="D71">
        <v>1</v>
      </c>
      <c r="F71">
        <f t="shared" si="2"/>
        <v>2</v>
      </c>
    </row>
    <row r="72" spans="1:6" x14ac:dyDescent="0.35">
      <c r="A72" t="s">
        <v>319</v>
      </c>
      <c r="B72" s="388" t="s">
        <v>245</v>
      </c>
      <c r="C72">
        <v>1</v>
      </c>
      <c r="D72">
        <v>15</v>
      </c>
      <c r="E72">
        <v>1</v>
      </c>
      <c r="F72">
        <f t="shared" si="2"/>
        <v>17</v>
      </c>
    </row>
    <row r="73" spans="1:6" x14ac:dyDescent="0.35">
      <c r="A73" t="s">
        <v>319</v>
      </c>
      <c r="B73" s="388" t="s">
        <v>248</v>
      </c>
      <c r="C73">
        <v>4</v>
      </c>
      <c r="F73">
        <f t="shared" si="2"/>
        <v>4</v>
      </c>
    </row>
    <row r="74" spans="1:6" x14ac:dyDescent="0.35">
      <c r="A74" t="s">
        <v>319</v>
      </c>
      <c r="B74" s="388" t="s">
        <v>250</v>
      </c>
      <c r="C74">
        <v>1</v>
      </c>
      <c r="D74">
        <v>7</v>
      </c>
      <c r="F74">
        <f t="shared" si="2"/>
        <v>8</v>
      </c>
    </row>
    <row r="75" spans="1:6" x14ac:dyDescent="0.35">
      <c r="A75" t="s">
        <v>319</v>
      </c>
      <c r="B75" s="388" t="s">
        <v>254</v>
      </c>
      <c r="C75">
        <v>3</v>
      </c>
      <c r="F75">
        <f t="shared" si="2"/>
        <v>3</v>
      </c>
    </row>
    <row r="76" spans="1:6" x14ac:dyDescent="0.35">
      <c r="A76" t="s">
        <v>319</v>
      </c>
      <c r="B76" s="388" t="s">
        <v>256</v>
      </c>
      <c r="C76">
        <v>1</v>
      </c>
      <c r="D76">
        <v>5</v>
      </c>
      <c r="F76">
        <f t="shared" si="2"/>
        <v>6</v>
      </c>
    </row>
    <row r="77" spans="1:6" x14ac:dyDescent="0.35">
      <c r="A77" t="s">
        <v>319</v>
      </c>
      <c r="B77" s="388" t="s">
        <v>260</v>
      </c>
      <c r="C77">
        <v>2</v>
      </c>
      <c r="F77">
        <f t="shared" si="2"/>
        <v>2</v>
      </c>
    </row>
    <row r="78" spans="1:6" x14ac:dyDescent="0.35">
      <c r="A78" t="s">
        <v>319</v>
      </c>
      <c r="B78" s="388" t="s">
        <v>264</v>
      </c>
      <c r="C78">
        <v>3</v>
      </c>
      <c r="D78">
        <v>2</v>
      </c>
      <c r="F78">
        <f t="shared" si="2"/>
        <v>5</v>
      </c>
    </row>
    <row r="79" spans="1:6" x14ac:dyDescent="0.35">
      <c r="A79" t="s">
        <v>319</v>
      </c>
      <c r="B79" s="388" t="s">
        <v>268</v>
      </c>
      <c r="C79">
        <v>5</v>
      </c>
      <c r="D79">
        <v>8</v>
      </c>
      <c r="F79">
        <f t="shared" si="2"/>
        <v>13</v>
      </c>
    </row>
    <row r="80" spans="1:6" x14ac:dyDescent="0.35">
      <c r="A80" t="s">
        <v>319</v>
      </c>
      <c r="B80" s="388" t="s">
        <v>271</v>
      </c>
      <c r="C80">
        <v>11</v>
      </c>
      <c r="F80">
        <f t="shared" si="2"/>
        <v>11</v>
      </c>
    </row>
    <row r="81" spans="1:6" x14ac:dyDescent="0.35">
      <c r="A81" t="s">
        <v>319</v>
      </c>
      <c r="B81" s="388" t="s">
        <v>274</v>
      </c>
      <c r="C81">
        <v>1</v>
      </c>
      <c r="D81">
        <v>51</v>
      </c>
      <c r="E81">
        <v>9</v>
      </c>
      <c r="F81">
        <f t="shared" si="2"/>
        <v>61</v>
      </c>
    </row>
    <row r="82" spans="1:6" x14ac:dyDescent="0.35">
      <c r="A82" t="s">
        <v>319</v>
      </c>
      <c r="B82" s="388" t="s">
        <v>278</v>
      </c>
      <c r="C82">
        <v>2</v>
      </c>
      <c r="D82">
        <v>1</v>
      </c>
      <c r="F82">
        <f t="shared" si="2"/>
        <v>3</v>
      </c>
    </row>
    <row r="83" spans="1:6" x14ac:dyDescent="0.35">
      <c r="A83" t="s">
        <v>319</v>
      </c>
      <c r="B83" s="388" t="s">
        <v>280</v>
      </c>
      <c r="C83">
        <v>1</v>
      </c>
      <c r="D83">
        <v>1</v>
      </c>
      <c r="F83">
        <f t="shared" si="2"/>
        <v>2</v>
      </c>
    </row>
    <row r="84" spans="1:6" x14ac:dyDescent="0.35">
      <c r="A84" t="s">
        <v>319</v>
      </c>
      <c r="B84" s="388" t="s">
        <v>282</v>
      </c>
      <c r="C84">
        <v>1</v>
      </c>
      <c r="D84">
        <v>10</v>
      </c>
      <c r="E84">
        <v>1</v>
      </c>
      <c r="F84">
        <f t="shared" si="2"/>
        <v>12</v>
      </c>
    </row>
    <row r="85" spans="1:6" x14ac:dyDescent="0.35">
      <c r="A85" t="s">
        <v>319</v>
      </c>
      <c r="B85" s="388" t="s">
        <v>284</v>
      </c>
      <c r="D85">
        <v>14</v>
      </c>
      <c r="F85">
        <f t="shared" si="2"/>
        <v>14</v>
      </c>
    </row>
    <row r="86" spans="1:6" x14ac:dyDescent="0.35">
      <c r="A86" t="s">
        <v>319</v>
      </c>
      <c r="B86" s="388" t="s">
        <v>288</v>
      </c>
      <c r="C86">
        <v>3</v>
      </c>
      <c r="D86">
        <v>8</v>
      </c>
      <c r="E86">
        <v>3</v>
      </c>
      <c r="F86">
        <f t="shared" si="2"/>
        <v>14</v>
      </c>
    </row>
    <row r="87" spans="1:6" x14ac:dyDescent="0.35">
      <c r="A87" t="s">
        <v>319</v>
      </c>
      <c r="B87" s="388" t="s">
        <v>290</v>
      </c>
      <c r="C87">
        <v>4</v>
      </c>
      <c r="D87">
        <v>3</v>
      </c>
      <c r="F87">
        <f t="shared" si="2"/>
        <v>7</v>
      </c>
    </row>
    <row r="88" spans="1:6" x14ac:dyDescent="0.35">
      <c r="A88" t="s">
        <v>319</v>
      </c>
      <c r="B88" s="388" t="s">
        <v>293</v>
      </c>
      <c r="D88">
        <v>12</v>
      </c>
      <c r="F88">
        <f t="shared" si="2"/>
        <v>12</v>
      </c>
    </row>
    <row r="89" spans="1:6" x14ac:dyDescent="0.35">
      <c r="A89" t="s">
        <v>319</v>
      </c>
      <c r="B89" s="388" t="s">
        <v>295</v>
      </c>
      <c r="C89">
        <v>1</v>
      </c>
      <c r="D89">
        <v>10</v>
      </c>
      <c r="E89">
        <v>3</v>
      </c>
      <c r="F89">
        <f t="shared" si="2"/>
        <v>14</v>
      </c>
    </row>
    <row r="90" spans="1:6" x14ac:dyDescent="0.35">
      <c r="A90" t="s">
        <v>319</v>
      </c>
      <c r="B90" s="388" t="s">
        <v>297</v>
      </c>
      <c r="C90">
        <v>3</v>
      </c>
      <c r="F90">
        <f t="shared" si="2"/>
        <v>3</v>
      </c>
    </row>
    <row r="91" spans="1:6" x14ac:dyDescent="0.35">
      <c r="A91" t="s">
        <v>319</v>
      </c>
      <c r="B91" s="388" t="s">
        <v>299</v>
      </c>
      <c r="C91">
        <v>2</v>
      </c>
      <c r="D91">
        <v>11</v>
      </c>
      <c r="F91">
        <f t="shared" si="2"/>
        <v>13</v>
      </c>
    </row>
    <row r="92" spans="1:6" x14ac:dyDescent="0.35">
      <c r="A92" t="s">
        <v>319</v>
      </c>
      <c r="B92" s="388" t="s">
        <v>301</v>
      </c>
      <c r="D92">
        <v>14</v>
      </c>
      <c r="F92">
        <f t="shared" si="2"/>
        <v>14</v>
      </c>
    </row>
    <row r="93" spans="1:6" x14ac:dyDescent="0.35">
      <c r="A93" t="s">
        <v>319</v>
      </c>
      <c r="B93" s="388" t="s">
        <v>303</v>
      </c>
      <c r="C93">
        <v>1</v>
      </c>
      <c r="D93">
        <v>4</v>
      </c>
      <c r="F93">
        <f t="shared" si="2"/>
        <v>5</v>
      </c>
    </row>
    <row r="94" spans="1:6" x14ac:dyDescent="0.35">
      <c r="A94" t="s">
        <v>319</v>
      </c>
      <c r="B94" s="388" t="s">
        <v>305</v>
      </c>
      <c r="C94">
        <v>4</v>
      </c>
      <c r="D94">
        <v>7</v>
      </c>
      <c r="E94">
        <v>1</v>
      </c>
      <c r="F94">
        <f t="shared" si="2"/>
        <v>12</v>
      </c>
    </row>
    <row r="95" spans="1:6" x14ac:dyDescent="0.35">
      <c r="A95" t="s">
        <v>319</v>
      </c>
      <c r="B95" s="388" t="s">
        <v>308</v>
      </c>
      <c r="C95">
        <v>1</v>
      </c>
      <c r="D95">
        <v>9</v>
      </c>
      <c r="F95">
        <f t="shared" si="2"/>
        <v>10</v>
      </c>
    </row>
    <row r="96" spans="1:6" x14ac:dyDescent="0.35">
      <c r="A96" t="s">
        <v>319</v>
      </c>
      <c r="B96" s="388" t="s">
        <v>310</v>
      </c>
      <c r="C96">
        <v>2</v>
      </c>
      <c r="D96">
        <v>1</v>
      </c>
      <c r="F96">
        <f t="shared" si="2"/>
        <v>3</v>
      </c>
    </row>
    <row r="97" spans="1:6" x14ac:dyDescent="0.35">
      <c r="A97" t="s">
        <v>319</v>
      </c>
      <c r="B97" s="388" t="s">
        <v>312</v>
      </c>
      <c r="C97">
        <v>2</v>
      </c>
      <c r="D97">
        <v>4</v>
      </c>
      <c r="F97">
        <f t="shared" si="2"/>
        <v>6</v>
      </c>
    </row>
    <row r="98" spans="1:6" x14ac:dyDescent="0.35">
      <c r="A98" t="s">
        <v>342</v>
      </c>
      <c r="B98" s="388" t="s">
        <v>216</v>
      </c>
      <c r="C98">
        <v>3</v>
      </c>
      <c r="D98">
        <v>1</v>
      </c>
      <c r="F98">
        <f>SUM(C98:E98)</f>
        <v>4</v>
      </c>
    </row>
    <row r="99" spans="1:6" x14ac:dyDescent="0.35">
      <c r="A99" t="s">
        <v>342</v>
      </c>
      <c r="B99" s="388" t="s">
        <v>221</v>
      </c>
      <c r="C99">
        <v>1</v>
      </c>
      <c r="D99">
        <v>23</v>
      </c>
      <c r="F99">
        <f t="shared" ref="F99:F129" si="3">SUM(C99:E99)</f>
        <v>24</v>
      </c>
    </row>
    <row r="100" spans="1:6" x14ac:dyDescent="0.35">
      <c r="A100" t="s">
        <v>342</v>
      </c>
      <c r="B100" s="388" t="s">
        <v>225</v>
      </c>
      <c r="C100">
        <v>1</v>
      </c>
      <c r="D100">
        <v>5</v>
      </c>
      <c r="F100">
        <f t="shared" si="3"/>
        <v>6</v>
      </c>
    </row>
    <row r="101" spans="1:6" x14ac:dyDescent="0.35">
      <c r="A101" t="s">
        <v>342</v>
      </c>
      <c r="B101" s="388" t="s">
        <v>229</v>
      </c>
      <c r="C101">
        <v>2</v>
      </c>
      <c r="D101">
        <v>12</v>
      </c>
      <c r="E101">
        <v>25</v>
      </c>
      <c r="F101">
        <f t="shared" si="3"/>
        <v>39</v>
      </c>
    </row>
    <row r="102" spans="1:6" x14ac:dyDescent="0.35">
      <c r="A102" t="s">
        <v>342</v>
      </c>
      <c r="B102" s="388" t="s">
        <v>235</v>
      </c>
      <c r="C102">
        <v>7</v>
      </c>
      <c r="D102">
        <v>1</v>
      </c>
      <c r="F102">
        <f t="shared" si="3"/>
        <v>8</v>
      </c>
    </row>
    <row r="103" spans="1:6" x14ac:dyDescent="0.35">
      <c r="A103" t="s">
        <v>342</v>
      </c>
      <c r="B103" s="388" t="s">
        <v>241</v>
      </c>
      <c r="C103">
        <v>1</v>
      </c>
      <c r="D103">
        <v>1</v>
      </c>
      <c r="F103">
        <f t="shared" si="3"/>
        <v>2</v>
      </c>
    </row>
    <row r="104" spans="1:6" x14ac:dyDescent="0.35">
      <c r="A104" t="s">
        <v>342</v>
      </c>
      <c r="B104" s="388" t="s">
        <v>245</v>
      </c>
      <c r="C104">
        <v>1</v>
      </c>
      <c r="D104">
        <v>15</v>
      </c>
      <c r="E104">
        <v>1</v>
      </c>
      <c r="F104">
        <f t="shared" si="3"/>
        <v>17</v>
      </c>
    </row>
    <row r="105" spans="1:6" x14ac:dyDescent="0.35">
      <c r="A105" t="s">
        <v>342</v>
      </c>
      <c r="B105" s="388" t="s">
        <v>248</v>
      </c>
      <c r="C105">
        <v>4</v>
      </c>
      <c r="F105">
        <f t="shared" si="3"/>
        <v>4</v>
      </c>
    </row>
    <row r="106" spans="1:6" x14ac:dyDescent="0.35">
      <c r="A106" t="s">
        <v>342</v>
      </c>
      <c r="B106" s="388" t="s">
        <v>250</v>
      </c>
      <c r="C106">
        <v>1</v>
      </c>
      <c r="D106">
        <v>7</v>
      </c>
      <c r="F106">
        <f t="shared" si="3"/>
        <v>8</v>
      </c>
    </row>
    <row r="107" spans="1:6" x14ac:dyDescent="0.35">
      <c r="A107" t="s">
        <v>342</v>
      </c>
      <c r="B107" s="388" t="s">
        <v>254</v>
      </c>
      <c r="C107">
        <v>3</v>
      </c>
      <c r="F107">
        <f t="shared" si="3"/>
        <v>3</v>
      </c>
    </row>
    <row r="108" spans="1:6" x14ac:dyDescent="0.35">
      <c r="A108" t="s">
        <v>342</v>
      </c>
      <c r="B108" s="388" t="s">
        <v>256</v>
      </c>
      <c r="C108">
        <v>1</v>
      </c>
      <c r="D108">
        <v>5</v>
      </c>
      <c r="F108">
        <f t="shared" si="3"/>
        <v>6</v>
      </c>
    </row>
    <row r="109" spans="1:6" x14ac:dyDescent="0.35">
      <c r="A109" t="s">
        <v>342</v>
      </c>
      <c r="B109" s="388" t="s">
        <v>260</v>
      </c>
      <c r="C109">
        <v>2</v>
      </c>
      <c r="F109">
        <f t="shared" si="3"/>
        <v>2</v>
      </c>
    </row>
    <row r="110" spans="1:6" x14ac:dyDescent="0.35">
      <c r="A110" t="s">
        <v>342</v>
      </c>
      <c r="B110" s="388" t="s">
        <v>264</v>
      </c>
      <c r="C110">
        <v>3</v>
      </c>
      <c r="D110">
        <v>2</v>
      </c>
      <c r="F110">
        <f t="shared" si="3"/>
        <v>5</v>
      </c>
    </row>
    <row r="111" spans="1:6" x14ac:dyDescent="0.35">
      <c r="A111" t="s">
        <v>342</v>
      </c>
      <c r="B111" s="388" t="s">
        <v>268</v>
      </c>
      <c r="C111">
        <v>5</v>
      </c>
      <c r="D111">
        <v>8</v>
      </c>
      <c r="F111">
        <f t="shared" si="3"/>
        <v>13</v>
      </c>
    </row>
    <row r="112" spans="1:6" x14ac:dyDescent="0.35">
      <c r="A112" t="s">
        <v>342</v>
      </c>
      <c r="B112" s="388" t="s">
        <v>271</v>
      </c>
      <c r="C112">
        <v>11</v>
      </c>
      <c r="F112">
        <f t="shared" si="3"/>
        <v>11</v>
      </c>
    </row>
    <row r="113" spans="1:6" x14ac:dyDescent="0.35">
      <c r="A113" t="s">
        <v>342</v>
      </c>
      <c r="B113" s="388" t="s">
        <v>274</v>
      </c>
      <c r="C113">
        <v>1</v>
      </c>
      <c r="D113">
        <v>51</v>
      </c>
      <c r="E113">
        <v>9</v>
      </c>
      <c r="F113">
        <f t="shared" si="3"/>
        <v>61</v>
      </c>
    </row>
    <row r="114" spans="1:6" x14ac:dyDescent="0.35">
      <c r="A114" t="s">
        <v>342</v>
      </c>
      <c r="B114" s="388" t="s">
        <v>278</v>
      </c>
      <c r="C114">
        <v>2</v>
      </c>
      <c r="D114">
        <v>1</v>
      </c>
      <c r="F114">
        <f t="shared" si="3"/>
        <v>3</v>
      </c>
    </row>
    <row r="115" spans="1:6" x14ac:dyDescent="0.35">
      <c r="A115" t="s">
        <v>342</v>
      </c>
      <c r="B115" s="388" t="s">
        <v>280</v>
      </c>
      <c r="C115">
        <v>1</v>
      </c>
      <c r="D115">
        <v>1</v>
      </c>
      <c r="F115">
        <f t="shared" si="3"/>
        <v>2</v>
      </c>
    </row>
    <row r="116" spans="1:6" x14ac:dyDescent="0.35">
      <c r="A116" t="s">
        <v>342</v>
      </c>
      <c r="B116" s="388" t="s">
        <v>282</v>
      </c>
      <c r="C116">
        <v>1</v>
      </c>
      <c r="D116">
        <v>10</v>
      </c>
      <c r="E116">
        <v>1</v>
      </c>
      <c r="F116">
        <f t="shared" si="3"/>
        <v>12</v>
      </c>
    </row>
    <row r="117" spans="1:6" x14ac:dyDescent="0.35">
      <c r="A117" t="s">
        <v>342</v>
      </c>
      <c r="B117" s="388" t="s">
        <v>284</v>
      </c>
      <c r="D117">
        <v>14</v>
      </c>
      <c r="F117">
        <f t="shared" si="3"/>
        <v>14</v>
      </c>
    </row>
    <row r="118" spans="1:6" x14ac:dyDescent="0.35">
      <c r="A118" t="s">
        <v>342</v>
      </c>
      <c r="B118" s="388" t="s">
        <v>288</v>
      </c>
      <c r="C118">
        <v>3</v>
      </c>
      <c r="D118">
        <v>8</v>
      </c>
      <c r="E118">
        <v>3</v>
      </c>
      <c r="F118">
        <f t="shared" si="3"/>
        <v>14</v>
      </c>
    </row>
    <row r="119" spans="1:6" x14ac:dyDescent="0.35">
      <c r="A119" t="s">
        <v>342</v>
      </c>
      <c r="B119" s="388" t="s">
        <v>290</v>
      </c>
      <c r="C119">
        <v>4</v>
      </c>
      <c r="D119">
        <v>3</v>
      </c>
      <c r="F119">
        <f t="shared" si="3"/>
        <v>7</v>
      </c>
    </row>
    <row r="120" spans="1:6" x14ac:dyDescent="0.35">
      <c r="A120" t="s">
        <v>342</v>
      </c>
      <c r="B120" s="388" t="s">
        <v>293</v>
      </c>
      <c r="D120">
        <v>12</v>
      </c>
      <c r="F120">
        <f t="shared" si="3"/>
        <v>12</v>
      </c>
    </row>
    <row r="121" spans="1:6" x14ac:dyDescent="0.35">
      <c r="A121" t="s">
        <v>342</v>
      </c>
      <c r="B121" s="388" t="s">
        <v>295</v>
      </c>
      <c r="C121">
        <v>1</v>
      </c>
      <c r="D121">
        <v>10</v>
      </c>
      <c r="E121">
        <v>3</v>
      </c>
      <c r="F121">
        <f t="shared" si="3"/>
        <v>14</v>
      </c>
    </row>
    <row r="122" spans="1:6" x14ac:dyDescent="0.35">
      <c r="A122" t="s">
        <v>342</v>
      </c>
      <c r="B122" s="388" t="s">
        <v>297</v>
      </c>
      <c r="C122">
        <v>3</v>
      </c>
      <c r="F122">
        <f t="shared" si="3"/>
        <v>3</v>
      </c>
    </row>
    <row r="123" spans="1:6" x14ac:dyDescent="0.35">
      <c r="A123" t="s">
        <v>342</v>
      </c>
      <c r="B123" s="388" t="s">
        <v>299</v>
      </c>
      <c r="C123">
        <v>2</v>
      </c>
      <c r="D123">
        <v>11</v>
      </c>
      <c r="F123">
        <f t="shared" si="3"/>
        <v>13</v>
      </c>
    </row>
    <row r="124" spans="1:6" x14ac:dyDescent="0.35">
      <c r="A124" t="s">
        <v>342</v>
      </c>
      <c r="B124" s="388" t="s">
        <v>301</v>
      </c>
      <c r="D124">
        <v>14</v>
      </c>
      <c r="F124">
        <f t="shared" si="3"/>
        <v>14</v>
      </c>
    </row>
    <row r="125" spans="1:6" x14ac:dyDescent="0.35">
      <c r="A125" t="s">
        <v>342</v>
      </c>
      <c r="B125" s="388" t="s">
        <v>303</v>
      </c>
      <c r="C125">
        <v>1</v>
      </c>
      <c r="D125">
        <v>4</v>
      </c>
      <c r="F125">
        <f t="shared" si="3"/>
        <v>5</v>
      </c>
    </row>
    <row r="126" spans="1:6" x14ac:dyDescent="0.35">
      <c r="A126" t="s">
        <v>342</v>
      </c>
      <c r="B126" s="388" t="s">
        <v>305</v>
      </c>
      <c r="C126">
        <v>4</v>
      </c>
      <c r="D126">
        <v>7</v>
      </c>
      <c r="E126">
        <v>1</v>
      </c>
      <c r="F126">
        <f t="shared" si="3"/>
        <v>12</v>
      </c>
    </row>
    <row r="127" spans="1:6" x14ac:dyDescent="0.35">
      <c r="A127" t="s">
        <v>342</v>
      </c>
      <c r="B127" s="388" t="s">
        <v>308</v>
      </c>
      <c r="C127">
        <v>1</v>
      </c>
      <c r="D127">
        <v>9</v>
      </c>
      <c r="F127">
        <f t="shared" si="3"/>
        <v>10</v>
      </c>
    </row>
    <row r="128" spans="1:6" x14ac:dyDescent="0.35">
      <c r="A128" t="s">
        <v>342</v>
      </c>
      <c r="B128" s="388" t="s">
        <v>310</v>
      </c>
      <c r="C128">
        <v>2</v>
      </c>
      <c r="D128">
        <v>1</v>
      </c>
      <c r="F128">
        <f t="shared" si="3"/>
        <v>3</v>
      </c>
    </row>
    <row r="129" spans="1:6" x14ac:dyDescent="0.35">
      <c r="A129" t="s">
        <v>342</v>
      </c>
      <c r="B129" s="388" t="s">
        <v>312</v>
      </c>
      <c r="C129">
        <v>2</v>
      </c>
      <c r="D129">
        <v>4</v>
      </c>
      <c r="F129">
        <f t="shared" si="3"/>
        <v>6</v>
      </c>
    </row>
    <row r="130" spans="1:6" x14ac:dyDescent="0.35">
      <c r="A130" t="s">
        <v>341</v>
      </c>
      <c r="B130" s="388" t="s">
        <v>216</v>
      </c>
      <c r="C130">
        <v>3</v>
      </c>
      <c r="D130">
        <v>1</v>
      </c>
      <c r="F130">
        <f>SUM(C130:E130)</f>
        <v>4</v>
      </c>
    </row>
    <row r="131" spans="1:6" x14ac:dyDescent="0.35">
      <c r="A131" t="s">
        <v>341</v>
      </c>
      <c r="B131" s="388" t="s">
        <v>221</v>
      </c>
      <c r="C131">
        <v>1</v>
      </c>
      <c r="D131">
        <v>23</v>
      </c>
      <c r="F131">
        <f t="shared" ref="F131:F161" si="4">SUM(C131:E131)</f>
        <v>24</v>
      </c>
    </row>
    <row r="132" spans="1:6" x14ac:dyDescent="0.35">
      <c r="A132" t="s">
        <v>341</v>
      </c>
      <c r="B132" s="388" t="s">
        <v>225</v>
      </c>
      <c r="C132">
        <v>1</v>
      </c>
      <c r="D132">
        <v>5</v>
      </c>
      <c r="F132">
        <f t="shared" si="4"/>
        <v>6</v>
      </c>
    </row>
    <row r="133" spans="1:6" x14ac:dyDescent="0.35">
      <c r="A133" t="s">
        <v>341</v>
      </c>
      <c r="B133" s="388" t="s">
        <v>229</v>
      </c>
      <c r="C133">
        <v>2</v>
      </c>
      <c r="D133">
        <v>12</v>
      </c>
      <c r="E133">
        <v>25</v>
      </c>
      <c r="F133">
        <f t="shared" si="4"/>
        <v>39</v>
      </c>
    </row>
    <row r="134" spans="1:6" x14ac:dyDescent="0.35">
      <c r="A134" t="s">
        <v>341</v>
      </c>
      <c r="B134" s="388" t="s">
        <v>235</v>
      </c>
      <c r="C134">
        <v>7</v>
      </c>
      <c r="D134">
        <v>1</v>
      </c>
      <c r="F134">
        <f t="shared" si="4"/>
        <v>8</v>
      </c>
    </row>
    <row r="135" spans="1:6" x14ac:dyDescent="0.35">
      <c r="A135" t="s">
        <v>341</v>
      </c>
      <c r="B135" s="388" t="s">
        <v>241</v>
      </c>
      <c r="C135">
        <v>1</v>
      </c>
      <c r="D135">
        <v>1</v>
      </c>
      <c r="F135">
        <f t="shared" si="4"/>
        <v>2</v>
      </c>
    </row>
    <row r="136" spans="1:6" x14ac:dyDescent="0.35">
      <c r="A136" t="s">
        <v>341</v>
      </c>
      <c r="B136" s="388" t="s">
        <v>245</v>
      </c>
      <c r="C136">
        <v>1</v>
      </c>
      <c r="D136">
        <v>15</v>
      </c>
      <c r="E136">
        <v>1</v>
      </c>
      <c r="F136">
        <f t="shared" si="4"/>
        <v>17</v>
      </c>
    </row>
    <row r="137" spans="1:6" x14ac:dyDescent="0.35">
      <c r="A137" t="s">
        <v>341</v>
      </c>
      <c r="B137" s="388" t="s">
        <v>248</v>
      </c>
      <c r="C137">
        <v>4</v>
      </c>
      <c r="F137">
        <f t="shared" si="4"/>
        <v>4</v>
      </c>
    </row>
    <row r="138" spans="1:6" x14ac:dyDescent="0.35">
      <c r="A138" t="s">
        <v>341</v>
      </c>
      <c r="B138" s="388" t="s">
        <v>250</v>
      </c>
      <c r="C138">
        <v>1</v>
      </c>
      <c r="D138">
        <v>7</v>
      </c>
      <c r="F138">
        <f t="shared" si="4"/>
        <v>8</v>
      </c>
    </row>
    <row r="139" spans="1:6" x14ac:dyDescent="0.35">
      <c r="A139" t="s">
        <v>341</v>
      </c>
      <c r="B139" s="388" t="s">
        <v>254</v>
      </c>
      <c r="C139">
        <v>3</v>
      </c>
      <c r="F139">
        <f t="shared" si="4"/>
        <v>3</v>
      </c>
    </row>
    <row r="140" spans="1:6" x14ac:dyDescent="0.35">
      <c r="A140" t="s">
        <v>341</v>
      </c>
      <c r="B140" s="388" t="s">
        <v>256</v>
      </c>
      <c r="C140">
        <v>1</v>
      </c>
      <c r="D140">
        <v>5</v>
      </c>
      <c r="F140">
        <f t="shared" si="4"/>
        <v>6</v>
      </c>
    </row>
    <row r="141" spans="1:6" x14ac:dyDescent="0.35">
      <c r="A141" t="s">
        <v>341</v>
      </c>
      <c r="B141" s="388" t="s">
        <v>260</v>
      </c>
      <c r="C141">
        <v>2</v>
      </c>
      <c r="F141">
        <f t="shared" si="4"/>
        <v>2</v>
      </c>
    </row>
    <row r="142" spans="1:6" x14ac:dyDescent="0.35">
      <c r="A142" t="s">
        <v>341</v>
      </c>
      <c r="B142" s="388" t="s">
        <v>264</v>
      </c>
      <c r="C142">
        <v>3</v>
      </c>
      <c r="D142">
        <v>2</v>
      </c>
      <c r="F142">
        <f t="shared" si="4"/>
        <v>5</v>
      </c>
    </row>
    <row r="143" spans="1:6" x14ac:dyDescent="0.35">
      <c r="A143" t="s">
        <v>341</v>
      </c>
      <c r="B143" s="388" t="s">
        <v>268</v>
      </c>
      <c r="C143">
        <v>5</v>
      </c>
      <c r="D143">
        <v>8</v>
      </c>
      <c r="F143">
        <f t="shared" si="4"/>
        <v>13</v>
      </c>
    </row>
    <row r="144" spans="1:6" x14ac:dyDescent="0.35">
      <c r="A144" t="s">
        <v>341</v>
      </c>
      <c r="B144" s="388" t="s">
        <v>271</v>
      </c>
      <c r="C144">
        <v>11</v>
      </c>
      <c r="F144">
        <f t="shared" si="4"/>
        <v>11</v>
      </c>
    </row>
    <row r="145" spans="1:6" x14ac:dyDescent="0.35">
      <c r="A145" t="s">
        <v>341</v>
      </c>
      <c r="B145" s="388" t="s">
        <v>274</v>
      </c>
      <c r="C145">
        <v>1</v>
      </c>
      <c r="D145">
        <v>51</v>
      </c>
      <c r="E145">
        <v>9</v>
      </c>
      <c r="F145">
        <f t="shared" si="4"/>
        <v>61</v>
      </c>
    </row>
    <row r="146" spans="1:6" x14ac:dyDescent="0.35">
      <c r="A146" t="s">
        <v>341</v>
      </c>
      <c r="B146" s="388" t="s">
        <v>278</v>
      </c>
      <c r="C146">
        <v>2</v>
      </c>
      <c r="D146">
        <v>1</v>
      </c>
      <c r="F146">
        <f t="shared" si="4"/>
        <v>3</v>
      </c>
    </row>
    <row r="147" spans="1:6" x14ac:dyDescent="0.35">
      <c r="A147" t="s">
        <v>341</v>
      </c>
      <c r="B147" s="388" t="s">
        <v>280</v>
      </c>
      <c r="C147">
        <v>1</v>
      </c>
      <c r="D147">
        <v>1</v>
      </c>
      <c r="F147">
        <f t="shared" si="4"/>
        <v>2</v>
      </c>
    </row>
    <row r="148" spans="1:6" x14ac:dyDescent="0.35">
      <c r="A148" t="s">
        <v>341</v>
      </c>
      <c r="B148" s="388" t="s">
        <v>282</v>
      </c>
      <c r="C148">
        <v>1</v>
      </c>
      <c r="D148">
        <v>10</v>
      </c>
      <c r="E148">
        <v>1</v>
      </c>
      <c r="F148">
        <f t="shared" si="4"/>
        <v>12</v>
      </c>
    </row>
    <row r="149" spans="1:6" x14ac:dyDescent="0.35">
      <c r="A149" t="s">
        <v>341</v>
      </c>
      <c r="B149" s="388" t="s">
        <v>284</v>
      </c>
      <c r="D149">
        <v>14</v>
      </c>
      <c r="F149">
        <f t="shared" si="4"/>
        <v>14</v>
      </c>
    </row>
    <row r="150" spans="1:6" x14ac:dyDescent="0.35">
      <c r="A150" t="s">
        <v>341</v>
      </c>
      <c r="B150" s="388" t="s">
        <v>288</v>
      </c>
      <c r="C150">
        <v>3</v>
      </c>
      <c r="D150">
        <v>8</v>
      </c>
      <c r="E150">
        <v>3</v>
      </c>
      <c r="F150">
        <f t="shared" si="4"/>
        <v>14</v>
      </c>
    </row>
    <row r="151" spans="1:6" x14ac:dyDescent="0.35">
      <c r="A151" t="s">
        <v>341</v>
      </c>
      <c r="B151" s="388" t="s">
        <v>290</v>
      </c>
      <c r="C151">
        <v>4</v>
      </c>
      <c r="D151">
        <v>3</v>
      </c>
      <c r="F151">
        <f t="shared" si="4"/>
        <v>7</v>
      </c>
    </row>
    <row r="152" spans="1:6" x14ac:dyDescent="0.35">
      <c r="A152" t="s">
        <v>341</v>
      </c>
      <c r="B152" s="388" t="s">
        <v>293</v>
      </c>
      <c r="D152">
        <v>12</v>
      </c>
      <c r="F152">
        <f t="shared" si="4"/>
        <v>12</v>
      </c>
    </row>
    <row r="153" spans="1:6" x14ac:dyDescent="0.35">
      <c r="A153" t="s">
        <v>341</v>
      </c>
      <c r="B153" s="388" t="s">
        <v>295</v>
      </c>
      <c r="C153">
        <v>1</v>
      </c>
      <c r="D153">
        <v>10</v>
      </c>
      <c r="E153">
        <v>3</v>
      </c>
      <c r="F153">
        <f t="shared" si="4"/>
        <v>14</v>
      </c>
    </row>
    <row r="154" spans="1:6" x14ac:dyDescent="0.35">
      <c r="A154" t="s">
        <v>341</v>
      </c>
      <c r="B154" s="388" t="s">
        <v>297</v>
      </c>
      <c r="C154">
        <v>3</v>
      </c>
      <c r="F154">
        <f t="shared" si="4"/>
        <v>3</v>
      </c>
    </row>
    <row r="155" spans="1:6" x14ac:dyDescent="0.35">
      <c r="A155" t="s">
        <v>341</v>
      </c>
      <c r="B155" s="388" t="s">
        <v>299</v>
      </c>
      <c r="C155">
        <v>2</v>
      </c>
      <c r="D155">
        <v>11</v>
      </c>
      <c r="F155">
        <f t="shared" si="4"/>
        <v>13</v>
      </c>
    </row>
    <row r="156" spans="1:6" x14ac:dyDescent="0.35">
      <c r="A156" t="s">
        <v>341</v>
      </c>
      <c r="B156" s="388" t="s">
        <v>301</v>
      </c>
      <c r="D156">
        <v>14</v>
      </c>
      <c r="F156">
        <f t="shared" si="4"/>
        <v>14</v>
      </c>
    </row>
    <row r="157" spans="1:6" x14ac:dyDescent="0.35">
      <c r="A157" t="s">
        <v>341</v>
      </c>
      <c r="B157" s="388" t="s">
        <v>303</v>
      </c>
      <c r="C157">
        <v>1</v>
      </c>
      <c r="D157">
        <v>4</v>
      </c>
      <c r="F157">
        <f t="shared" si="4"/>
        <v>5</v>
      </c>
    </row>
    <row r="158" spans="1:6" x14ac:dyDescent="0.35">
      <c r="A158" t="s">
        <v>341</v>
      </c>
      <c r="B158" s="388" t="s">
        <v>305</v>
      </c>
      <c r="C158">
        <v>4</v>
      </c>
      <c r="D158">
        <v>7</v>
      </c>
      <c r="E158">
        <v>1</v>
      </c>
      <c r="F158">
        <f t="shared" si="4"/>
        <v>12</v>
      </c>
    </row>
    <row r="159" spans="1:6" x14ac:dyDescent="0.35">
      <c r="A159" t="s">
        <v>341</v>
      </c>
      <c r="B159" s="388" t="s">
        <v>308</v>
      </c>
      <c r="C159">
        <v>1</v>
      </c>
      <c r="D159">
        <v>9</v>
      </c>
      <c r="F159">
        <f t="shared" si="4"/>
        <v>10</v>
      </c>
    </row>
    <row r="160" spans="1:6" x14ac:dyDescent="0.35">
      <c r="A160" t="s">
        <v>341</v>
      </c>
      <c r="B160" s="388" t="s">
        <v>310</v>
      </c>
      <c r="C160">
        <v>2</v>
      </c>
      <c r="D160">
        <v>1</v>
      </c>
      <c r="F160">
        <f t="shared" si="4"/>
        <v>3</v>
      </c>
    </row>
    <row r="161" spans="1:6" x14ac:dyDescent="0.35">
      <c r="A161" t="s">
        <v>341</v>
      </c>
      <c r="B161" s="388" t="s">
        <v>312</v>
      </c>
      <c r="C161">
        <v>2</v>
      </c>
      <c r="D161">
        <v>4</v>
      </c>
      <c r="F161">
        <f t="shared" si="4"/>
        <v>6</v>
      </c>
    </row>
    <row r="162" spans="1:6" x14ac:dyDescent="0.35">
      <c r="A162" t="s">
        <v>366</v>
      </c>
      <c r="B162" s="388" t="s">
        <v>216</v>
      </c>
      <c r="C162">
        <v>3</v>
      </c>
      <c r="D162">
        <v>1</v>
      </c>
      <c r="F162">
        <f>SUM(C162:E162)</f>
        <v>4</v>
      </c>
    </row>
    <row r="163" spans="1:6" x14ac:dyDescent="0.35">
      <c r="A163" t="s">
        <v>366</v>
      </c>
      <c r="B163" s="388" t="s">
        <v>221</v>
      </c>
      <c r="C163">
        <v>1</v>
      </c>
      <c r="D163">
        <v>23</v>
      </c>
      <c r="F163">
        <f t="shared" ref="F163:F193" si="5">SUM(C163:E163)</f>
        <v>24</v>
      </c>
    </row>
    <row r="164" spans="1:6" x14ac:dyDescent="0.35">
      <c r="A164" t="s">
        <v>366</v>
      </c>
      <c r="B164" s="388" t="s">
        <v>225</v>
      </c>
      <c r="C164">
        <v>1</v>
      </c>
      <c r="D164">
        <v>5</v>
      </c>
      <c r="F164">
        <f t="shared" si="5"/>
        <v>6</v>
      </c>
    </row>
    <row r="165" spans="1:6" x14ac:dyDescent="0.35">
      <c r="A165" t="s">
        <v>366</v>
      </c>
      <c r="B165" s="388" t="s">
        <v>229</v>
      </c>
      <c r="C165">
        <v>2</v>
      </c>
      <c r="D165">
        <v>12</v>
      </c>
      <c r="E165">
        <v>25</v>
      </c>
      <c r="F165">
        <f t="shared" si="5"/>
        <v>39</v>
      </c>
    </row>
    <row r="166" spans="1:6" x14ac:dyDescent="0.35">
      <c r="A166" t="s">
        <v>366</v>
      </c>
      <c r="B166" s="388" t="s">
        <v>235</v>
      </c>
      <c r="C166">
        <v>7</v>
      </c>
      <c r="D166">
        <v>1</v>
      </c>
      <c r="F166">
        <f t="shared" si="5"/>
        <v>8</v>
      </c>
    </row>
    <row r="167" spans="1:6" x14ac:dyDescent="0.35">
      <c r="A167" t="s">
        <v>366</v>
      </c>
      <c r="B167" s="388" t="s">
        <v>241</v>
      </c>
      <c r="C167">
        <v>1</v>
      </c>
      <c r="D167">
        <v>1</v>
      </c>
      <c r="F167">
        <f t="shared" si="5"/>
        <v>2</v>
      </c>
    </row>
    <row r="168" spans="1:6" x14ac:dyDescent="0.35">
      <c r="A168" t="s">
        <v>366</v>
      </c>
      <c r="B168" s="388" t="s">
        <v>245</v>
      </c>
      <c r="C168">
        <v>1</v>
      </c>
      <c r="D168">
        <v>15</v>
      </c>
      <c r="E168">
        <v>1</v>
      </c>
      <c r="F168">
        <f t="shared" si="5"/>
        <v>17</v>
      </c>
    </row>
    <row r="169" spans="1:6" x14ac:dyDescent="0.35">
      <c r="A169" t="s">
        <v>366</v>
      </c>
      <c r="B169" s="388" t="s">
        <v>248</v>
      </c>
      <c r="C169">
        <v>4</v>
      </c>
      <c r="F169">
        <f t="shared" si="5"/>
        <v>4</v>
      </c>
    </row>
    <row r="170" spans="1:6" x14ac:dyDescent="0.35">
      <c r="A170" t="s">
        <v>366</v>
      </c>
      <c r="B170" s="388" t="s">
        <v>250</v>
      </c>
      <c r="C170">
        <v>1</v>
      </c>
      <c r="D170">
        <v>7</v>
      </c>
      <c r="F170">
        <f t="shared" si="5"/>
        <v>8</v>
      </c>
    </row>
    <row r="171" spans="1:6" x14ac:dyDescent="0.35">
      <c r="A171" t="s">
        <v>366</v>
      </c>
      <c r="B171" s="388" t="s">
        <v>254</v>
      </c>
      <c r="C171">
        <v>3</v>
      </c>
      <c r="F171">
        <f t="shared" si="5"/>
        <v>3</v>
      </c>
    </row>
    <row r="172" spans="1:6" x14ac:dyDescent="0.35">
      <c r="A172" t="s">
        <v>366</v>
      </c>
      <c r="B172" s="388" t="s">
        <v>256</v>
      </c>
      <c r="C172">
        <v>1</v>
      </c>
      <c r="D172">
        <v>5</v>
      </c>
      <c r="F172">
        <f t="shared" si="5"/>
        <v>6</v>
      </c>
    </row>
    <row r="173" spans="1:6" x14ac:dyDescent="0.35">
      <c r="A173" t="s">
        <v>366</v>
      </c>
      <c r="B173" s="388" t="s">
        <v>260</v>
      </c>
      <c r="C173">
        <v>2</v>
      </c>
      <c r="F173">
        <f t="shared" si="5"/>
        <v>2</v>
      </c>
    </row>
    <row r="174" spans="1:6" x14ac:dyDescent="0.35">
      <c r="A174" t="s">
        <v>366</v>
      </c>
      <c r="B174" s="388" t="s">
        <v>264</v>
      </c>
      <c r="C174">
        <v>3</v>
      </c>
      <c r="D174">
        <v>2</v>
      </c>
      <c r="F174">
        <f t="shared" si="5"/>
        <v>5</v>
      </c>
    </row>
    <row r="175" spans="1:6" x14ac:dyDescent="0.35">
      <c r="A175" t="s">
        <v>366</v>
      </c>
      <c r="B175" s="388" t="s">
        <v>268</v>
      </c>
      <c r="C175">
        <v>5</v>
      </c>
      <c r="D175">
        <v>8</v>
      </c>
      <c r="F175">
        <f t="shared" si="5"/>
        <v>13</v>
      </c>
    </row>
    <row r="176" spans="1:6" x14ac:dyDescent="0.35">
      <c r="A176" t="s">
        <v>366</v>
      </c>
      <c r="B176" s="388" t="s">
        <v>271</v>
      </c>
      <c r="C176">
        <v>11</v>
      </c>
      <c r="F176">
        <f t="shared" si="5"/>
        <v>11</v>
      </c>
    </row>
    <row r="177" spans="1:6" x14ac:dyDescent="0.35">
      <c r="A177" t="s">
        <v>366</v>
      </c>
      <c r="B177" s="388" t="s">
        <v>274</v>
      </c>
      <c r="C177">
        <v>1</v>
      </c>
      <c r="D177">
        <v>51</v>
      </c>
      <c r="E177">
        <v>9</v>
      </c>
      <c r="F177">
        <f t="shared" si="5"/>
        <v>61</v>
      </c>
    </row>
    <row r="178" spans="1:6" x14ac:dyDescent="0.35">
      <c r="A178" t="s">
        <v>366</v>
      </c>
      <c r="B178" s="388" t="s">
        <v>278</v>
      </c>
      <c r="C178">
        <v>2</v>
      </c>
      <c r="D178">
        <v>1</v>
      </c>
      <c r="F178">
        <f t="shared" si="5"/>
        <v>3</v>
      </c>
    </row>
    <row r="179" spans="1:6" x14ac:dyDescent="0.35">
      <c r="A179" t="s">
        <v>366</v>
      </c>
      <c r="B179" s="388" t="s">
        <v>280</v>
      </c>
      <c r="C179">
        <v>1</v>
      </c>
      <c r="D179">
        <v>1</v>
      </c>
      <c r="F179">
        <f t="shared" si="5"/>
        <v>2</v>
      </c>
    </row>
    <row r="180" spans="1:6" x14ac:dyDescent="0.35">
      <c r="A180" t="s">
        <v>366</v>
      </c>
      <c r="B180" s="388" t="s">
        <v>282</v>
      </c>
      <c r="C180">
        <v>1</v>
      </c>
      <c r="D180">
        <v>10</v>
      </c>
      <c r="E180">
        <v>1</v>
      </c>
      <c r="F180">
        <f t="shared" si="5"/>
        <v>12</v>
      </c>
    </row>
    <row r="181" spans="1:6" x14ac:dyDescent="0.35">
      <c r="A181" t="s">
        <v>366</v>
      </c>
      <c r="B181" s="388" t="s">
        <v>284</v>
      </c>
      <c r="D181">
        <v>14</v>
      </c>
      <c r="F181">
        <f t="shared" si="5"/>
        <v>14</v>
      </c>
    </row>
    <row r="182" spans="1:6" x14ac:dyDescent="0.35">
      <c r="A182" t="s">
        <v>366</v>
      </c>
      <c r="B182" s="388" t="s">
        <v>288</v>
      </c>
      <c r="C182">
        <v>3</v>
      </c>
      <c r="D182">
        <v>8</v>
      </c>
      <c r="E182">
        <v>3</v>
      </c>
      <c r="F182">
        <f t="shared" si="5"/>
        <v>14</v>
      </c>
    </row>
    <row r="183" spans="1:6" x14ac:dyDescent="0.35">
      <c r="A183" t="s">
        <v>366</v>
      </c>
      <c r="B183" s="388" t="s">
        <v>290</v>
      </c>
      <c r="C183">
        <v>4</v>
      </c>
      <c r="D183">
        <v>3</v>
      </c>
      <c r="F183">
        <f t="shared" si="5"/>
        <v>7</v>
      </c>
    </row>
    <row r="184" spans="1:6" x14ac:dyDescent="0.35">
      <c r="A184" t="s">
        <v>366</v>
      </c>
      <c r="B184" s="388" t="s">
        <v>293</v>
      </c>
      <c r="D184">
        <v>12</v>
      </c>
      <c r="F184">
        <f t="shared" si="5"/>
        <v>12</v>
      </c>
    </row>
    <row r="185" spans="1:6" x14ac:dyDescent="0.35">
      <c r="A185" t="s">
        <v>366</v>
      </c>
      <c r="B185" s="388" t="s">
        <v>295</v>
      </c>
      <c r="C185">
        <v>1</v>
      </c>
      <c r="D185">
        <v>10</v>
      </c>
      <c r="E185">
        <v>3</v>
      </c>
      <c r="F185">
        <f t="shared" si="5"/>
        <v>14</v>
      </c>
    </row>
    <row r="186" spans="1:6" x14ac:dyDescent="0.35">
      <c r="A186" t="s">
        <v>366</v>
      </c>
      <c r="B186" s="388" t="s">
        <v>297</v>
      </c>
      <c r="C186">
        <v>3</v>
      </c>
      <c r="F186">
        <f t="shared" si="5"/>
        <v>3</v>
      </c>
    </row>
    <row r="187" spans="1:6" x14ac:dyDescent="0.35">
      <c r="A187" t="s">
        <v>366</v>
      </c>
      <c r="B187" s="388" t="s">
        <v>299</v>
      </c>
      <c r="C187">
        <v>2</v>
      </c>
      <c r="D187">
        <v>11</v>
      </c>
      <c r="F187">
        <f t="shared" si="5"/>
        <v>13</v>
      </c>
    </row>
    <row r="188" spans="1:6" x14ac:dyDescent="0.35">
      <c r="A188" t="s">
        <v>366</v>
      </c>
      <c r="B188" s="388" t="s">
        <v>301</v>
      </c>
      <c r="D188">
        <v>14</v>
      </c>
      <c r="F188">
        <f t="shared" si="5"/>
        <v>14</v>
      </c>
    </row>
    <row r="189" spans="1:6" x14ac:dyDescent="0.35">
      <c r="A189" t="s">
        <v>366</v>
      </c>
      <c r="B189" s="388" t="s">
        <v>303</v>
      </c>
      <c r="C189">
        <v>1</v>
      </c>
      <c r="D189">
        <v>4</v>
      </c>
      <c r="F189">
        <f t="shared" si="5"/>
        <v>5</v>
      </c>
    </row>
    <row r="190" spans="1:6" x14ac:dyDescent="0.35">
      <c r="A190" t="s">
        <v>366</v>
      </c>
      <c r="B190" s="388" t="s">
        <v>305</v>
      </c>
      <c r="C190">
        <v>4</v>
      </c>
      <c r="D190">
        <v>7</v>
      </c>
      <c r="E190">
        <v>1</v>
      </c>
      <c r="F190">
        <f t="shared" si="5"/>
        <v>12</v>
      </c>
    </row>
    <row r="191" spans="1:6" x14ac:dyDescent="0.35">
      <c r="A191" t="s">
        <v>366</v>
      </c>
      <c r="B191" s="388" t="s">
        <v>308</v>
      </c>
      <c r="C191">
        <v>1</v>
      </c>
      <c r="D191">
        <v>9</v>
      </c>
      <c r="F191">
        <f t="shared" si="5"/>
        <v>10</v>
      </c>
    </row>
    <row r="192" spans="1:6" x14ac:dyDescent="0.35">
      <c r="A192" t="s">
        <v>366</v>
      </c>
      <c r="B192" s="388" t="s">
        <v>310</v>
      </c>
      <c r="C192">
        <v>2</v>
      </c>
      <c r="D192">
        <v>1</v>
      </c>
      <c r="F192">
        <f t="shared" si="5"/>
        <v>3</v>
      </c>
    </row>
    <row r="193" spans="1:6" x14ac:dyDescent="0.35">
      <c r="A193" t="s">
        <v>366</v>
      </c>
      <c r="B193" s="388" t="s">
        <v>312</v>
      </c>
      <c r="C193">
        <v>2</v>
      </c>
      <c r="D193">
        <v>4</v>
      </c>
      <c r="F193">
        <f t="shared" si="5"/>
        <v>6</v>
      </c>
    </row>
    <row r="194" spans="1:6" x14ac:dyDescent="0.35">
      <c r="A194" t="s">
        <v>365</v>
      </c>
      <c r="B194" s="388" t="s">
        <v>216</v>
      </c>
      <c r="C194">
        <v>3</v>
      </c>
      <c r="D194">
        <v>1</v>
      </c>
      <c r="F194">
        <f>SUM(C194:E194)</f>
        <v>4</v>
      </c>
    </row>
    <row r="195" spans="1:6" x14ac:dyDescent="0.35">
      <c r="A195" t="s">
        <v>365</v>
      </c>
      <c r="B195" s="388" t="s">
        <v>221</v>
      </c>
      <c r="C195">
        <v>1</v>
      </c>
      <c r="D195">
        <v>23</v>
      </c>
      <c r="F195">
        <f t="shared" ref="F195:F225" si="6">SUM(C195:E195)</f>
        <v>24</v>
      </c>
    </row>
    <row r="196" spans="1:6" x14ac:dyDescent="0.35">
      <c r="A196" t="s">
        <v>365</v>
      </c>
      <c r="B196" s="388" t="s">
        <v>225</v>
      </c>
      <c r="C196">
        <v>1</v>
      </c>
      <c r="D196">
        <v>5</v>
      </c>
      <c r="F196">
        <f t="shared" si="6"/>
        <v>6</v>
      </c>
    </row>
    <row r="197" spans="1:6" x14ac:dyDescent="0.35">
      <c r="A197" t="s">
        <v>365</v>
      </c>
      <c r="B197" s="388" t="s">
        <v>229</v>
      </c>
      <c r="C197">
        <v>2</v>
      </c>
      <c r="D197">
        <v>12</v>
      </c>
      <c r="E197">
        <v>25</v>
      </c>
      <c r="F197">
        <f t="shared" si="6"/>
        <v>39</v>
      </c>
    </row>
    <row r="198" spans="1:6" x14ac:dyDescent="0.35">
      <c r="A198" t="s">
        <v>365</v>
      </c>
      <c r="B198" s="388" t="s">
        <v>235</v>
      </c>
      <c r="C198">
        <v>7</v>
      </c>
      <c r="D198">
        <v>1</v>
      </c>
      <c r="F198">
        <f t="shared" si="6"/>
        <v>8</v>
      </c>
    </row>
    <row r="199" spans="1:6" x14ac:dyDescent="0.35">
      <c r="A199" t="s">
        <v>365</v>
      </c>
      <c r="B199" s="388" t="s">
        <v>241</v>
      </c>
      <c r="C199">
        <v>1</v>
      </c>
      <c r="D199">
        <v>1</v>
      </c>
      <c r="F199">
        <f t="shared" si="6"/>
        <v>2</v>
      </c>
    </row>
    <row r="200" spans="1:6" x14ac:dyDescent="0.35">
      <c r="A200" t="s">
        <v>365</v>
      </c>
      <c r="B200" s="388" t="s">
        <v>245</v>
      </c>
      <c r="C200">
        <v>1</v>
      </c>
      <c r="D200">
        <v>15</v>
      </c>
      <c r="E200">
        <v>1</v>
      </c>
      <c r="F200">
        <f t="shared" si="6"/>
        <v>17</v>
      </c>
    </row>
    <row r="201" spans="1:6" x14ac:dyDescent="0.35">
      <c r="A201" t="s">
        <v>365</v>
      </c>
      <c r="B201" s="388" t="s">
        <v>248</v>
      </c>
      <c r="C201">
        <v>4</v>
      </c>
      <c r="F201">
        <f t="shared" si="6"/>
        <v>4</v>
      </c>
    </row>
    <row r="202" spans="1:6" x14ac:dyDescent="0.35">
      <c r="A202" t="s">
        <v>365</v>
      </c>
      <c r="B202" s="388" t="s">
        <v>250</v>
      </c>
      <c r="C202">
        <v>1</v>
      </c>
      <c r="D202">
        <v>7</v>
      </c>
      <c r="F202">
        <f t="shared" si="6"/>
        <v>8</v>
      </c>
    </row>
    <row r="203" spans="1:6" x14ac:dyDescent="0.35">
      <c r="A203" t="s">
        <v>365</v>
      </c>
      <c r="B203" s="388" t="s">
        <v>254</v>
      </c>
      <c r="C203">
        <v>3</v>
      </c>
      <c r="F203">
        <f t="shared" si="6"/>
        <v>3</v>
      </c>
    </row>
    <row r="204" spans="1:6" x14ac:dyDescent="0.35">
      <c r="A204" t="s">
        <v>365</v>
      </c>
      <c r="B204" s="388" t="s">
        <v>256</v>
      </c>
      <c r="C204">
        <v>1</v>
      </c>
      <c r="D204">
        <v>5</v>
      </c>
      <c r="F204">
        <f t="shared" si="6"/>
        <v>6</v>
      </c>
    </row>
    <row r="205" spans="1:6" x14ac:dyDescent="0.35">
      <c r="A205" t="s">
        <v>365</v>
      </c>
      <c r="B205" s="388" t="s">
        <v>260</v>
      </c>
      <c r="C205">
        <v>2</v>
      </c>
      <c r="F205">
        <f t="shared" si="6"/>
        <v>2</v>
      </c>
    </row>
    <row r="206" spans="1:6" x14ac:dyDescent="0.35">
      <c r="A206" t="s">
        <v>365</v>
      </c>
      <c r="B206" s="388" t="s">
        <v>264</v>
      </c>
      <c r="C206">
        <v>3</v>
      </c>
      <c r="D206">
        <v>2</v>
      </c>
      <c r="F206">
        <f t="shared" si="6"/>
        <v>5</v>
      </c>
    </row>
    <row r="207" spans="1:6" x14ac:dyDescent="0.35">
      <c r="A207" t="s">
        <v>365</v>
      </c>
      <c r="B207" s="388" t="s">
        <v>268</v>
      </c>
      <c r="C207">
        <v>5</v>
      </c>
      <c r="D207">
        <v>8</v>
      </c>
      <c r="F207">
        <f t="shared" si="6"/>
        <v>13</v>
      </c>
    </row>
    <row r="208" spans="1:6" x14ac:dyDescent="0.35">
      <c r="A208" t="s">
        <v>365</v>
      </c>
      <c r="B208" s="388" t="s">
        <v>271</v>
      </c>
      <c r="C208">
        <v>11</v>
      </c>
      <c r="F208">
        <f t="shared" si="6"/>
        <v>11</v>
      </c>
    </row>
    <row r="209" spans="1:6" x14ac:dyDescent="0.35">
      <c r="A209" t="s">
        <v>365</v>
      </c>
      <c r="B209" s="388" t="s">
        <v>274</v>
      </c>
      <c r="C209">
        <v>1</v>
      </c>
      <c r="D209">
        <v>51</v>
      </c>
      <c r="E209">
        <v>9</v>
      </c>
      <c r="F209">
        <f t="shared" si="6"/>
        <v>61</v>
      </c>
    </row>
    <row r="210" spans="1:6" x14ac:dyDescent="0.35">
      <c r="A210" t="s">
        <v>365</v>
      </c>
      <c r="B210" s="388" t="s">
        <v>278</v>
      </c>
      <c r="C210">
        <v>2</v>
      </c>
      <c r="D210">
        <v>1</v>
      </c>
      <c r="F210">
        <f t="shared" si="6"/>
        <v>3</v>
      </c>
    </row>
    <row r="211" spans="1:6" x14ac:dyDescent="0.35">
      <c r="A211" t="s">
        <v>365</v>
      </c>
      <c r="B211" s="388" t="s">
        <v>280</v>
      </c>
      <c r="C211">
        <v>1</v>
      </c>
      <c r="D211">
        <v>1</v>
      </c>
      <c r="F211">
        <f t="shared" si="6"/>
        <v>2</v>
      </c>
    </row>
    <row r="212" spans="1:6" x14ac:dyDescent="0.35">
      <c r="A212" t="s">
        <v>365</v>
      </c>
      <c r="B212" s="388" t="s">
        <v>282</v>
      </c>
      <c r="C212">
        <v>1</v>
      </c>
      <c r="D212">
        <v>10</v>
      </c>
      <c r="E212">
        <v>1</v>
      </c>
      <c r="F212">
        <f t="shared" si="6"/>
        <v>12</v>
      </c>
    </row>
    <row r="213" spans="1:6" x14ac:dyDescent="0.35">
      <c r="A213" t="s">
        <v>365</v>
      </c>
      <c r="B213" s="388" t="s">
        <v>284</v>
      </c>
      <c r="D213">
        <v>14</v>
      </c>
      <c r="F213">
        <f t="shared" si="6"/>
        <v>14</v>
      </c>
    </row>
    <row r="214" spans="1:6" x14ac:dyDescent="0.35">
      <c r="A214" t="s">
        <v>365</v>
      </c>
      <c r="B214" s="388" t="s">
        <v>288</v>
      </c>
      <c r="C214">
        <v>3</v>
      </c>
      <c r="D214">
        <v>8</v>
      </c>
      <c r="E214">
        <v>3</v>
      </c>
      <c r="F214">
        <f t="shared" si="6"/>
        <v>14</v>
      </c>
    </row>
    <row r="215" spans="1:6" x14ac:dyDescent="0.35">
      <c r="A215" t="s">
        <v>365</v>
      </c>
      <c r="B215" s="388" t="s">
        <v>290</v>
      </c>
      <c r="C215">
        <v>4</v>
      </c>
      <c r="D215">
        <v>3</v>
      </c>
      <c r="F215">
        <f t="shared" si="6"/>
        <v>7</v>
      </c>
    </row>
    <row r="216" spans="1:6" x14ac:dyDescent="0.35">
      <c r="A216" t="s">
        <v>365</v>
      </c>
      <c r="B216" s="388" t="s">
        <v>293</v>
      </c>
      <c r="D216">
        <v>12</v>
      </c>
      <c r="F216">
        <f t="shared" si="6"/>
        <v>12</v>
      </c>
    </row>
    <row r="217" spans="1:6" x14ac:dyDescent="0.35">
      <c r="A217" t="s">
        <v>365</v>
      </c>
      <c r="B217" s="388" t="s">
        <v>295</v>
      </c>
      <c r="C217">
        <v>1</v>
      </c>
      <c r="D217">
        <v>10</v>
      </c>
      <c r="E217">
        <v>3</v>
      </c>
      <c r="F217">
        <f t="shared" si="6"/>
        <v>14</v>
      </c>
    </row>
    <row r="218" spans="1:6" x14ac:dyDescent="0.35">
      <c r="A218" t="s">
        <v>365</v>
      </c>
      <c r="B218" s="388" t="s">
        <v>297</v>
      </c>
      <c r="C218">
        <v>3</v>
      </c>
      <c r="F218">
        <f t="shared" si="6"/>
        <v>3</v>
      </c>
    </row>
    <row r="219" spans="1:6" x14ac:dyDescent="0.35">
      <c r="A219" t="s">
        <v>365</v>
      </c>
      <c r="B219" s="388" t="s">
        <v>299</v>
      </c>
      <c r="C219">
        <v>2</v>
      </c>
      <c r="D219">
        <v>11</v>
      </c>
      <c r="F219">
        <f t="shared" si="6"/>
        <v>13</v>
      </c>
    </row>
    <row r="220" spans="1:6" x14ac:dyDescent="0.35">
      <c r="A220" t="s">
        <v>365</v>
      </c>
      <c r="B220" s="388" t="s">
        <v>301</v>
      </c>
      <c r="D220">
        <v>14</v>
      </c>
      <c r="F220">
        <f t="shared" si="6"/>
        <v>14</v>
      </c>
    </row>
    <row r="221" spans="1:6" x14ac:dyDescent="0.35">
      <c r="A221" t="s">
        <v>365</v>
      </c>
      <c r="B221" s="388" t="s">
        <v>303</v>
      </c>
      <c r="C221">
        <v>1</v>
      </c>
      <c r="D221">
        <v>4</v>
      </c>
      <c r="F221">
        <f t="shared" si="6"/>
        <v>5</v>
      </c>
    </row>
    <row r="222" spans="1:6" x14ac:dyDescent="0.35">
      <c r="A222" t="s">
        <v>365</v>
      </c>
      <c r="B222" s="388" t="s">
        <v>305</v>
      </c>
      <c r="C222">
        <v>4</v>
      </c>
      <c r="D222">
        <v>7</v>
      </c>
      <c r="E222">
        <v>1</v>
      </c>
      <c r="F222">
        <f t="shared" si="6"/>
        <v>12</v>
      </c>
    </row>
    <row r="223" spans="1:6" x14ac:dyDescent="0.35">
      <c r="A223" t="s">
        <v>365</v>
      </c>
      <c r="B223" s="388" t="s">
        <v>308</v>
      </c>
      <c r="C223">
        <v>1</v>
      </c>
      <c r="D223">
        <v>9</v>
      </c>
      <c r="F223">
        <f t="shared" si="6"/>
        <v>10</v>
      </c>
    </row>
    <row r="224" spans="1:6" x14ac:dyDescent="0.35">
      <c r="A224" t="s">
        <v>365</v>
      </c>
      <c r="B224" s="388" t="s">
        <v>310</v>
      </c>
      <c r="C224">
        <v>2</v>
      </c>
      <c r="D224">
        <v>1</v>
      </c>
      <c r="F224">
        <f t="shared" si="6"/>
        <v>3</v>
      </c>
    </row>
    <row r="225" spans="1:6" x14ac:dyDescent="0.35">
      <c r="A225" t="s">
        <v>365</v>
      </c>
      <c r="B225" s="388" t="s">
        <v>312</v>
      </c>
      <c r="C225">
        <v>2</v>
      </c>
      <c r="D225">
        <v>4</v>
      </c>
      <c r="F225">
        <f t="shared" si="6"/>
        <v>6</v>
      </c>
    </row>
    <row r="226" spans="1:6" x14ac:dyDescent="0.35">
      <c r="A226" t="s">
        <v>321</v>
      </c>
      <c r="B226" s="388" t="s">
        <v>216</v>
      </c>
      <c r="C226">
        <v>3</v>
      </c>
      <c r="D226">
        <v>1</v>
      </c>
      <c r="F226">
        <f>SUM(C226:E226)</f>
        <v>4</v>
      </c>
    </row>
    <row r="227" spans="1:6" x14ac:dyDescent="0.35">
      <c r="A227" t="s">
        <v>321</v>
      </c>
      <c r="B227" s="388" t="s">
        <v>221</v>
      </c>
      <c r="C227">
        <v>1</v>
      </c>
      <c r="D227">
        <v>23</v>
      </c>
      <c r="F227">
        <f t="shared" ref="F227:F257" si="7">SUM(C227:E227)</f>
        <v>24</v>
      </c>
    </row>
    <row r="228" spans="1:6" x14ac:dyDescent="0.35">
      <c r="A228" t="s">
        <v>321</v>
      </c>
      <c r="B228" s="388" t="s">
        <v>225</v>
      </c>
      <c r="C228">
        <v>1</v>
      </c>
      <c r="D228">
        <v>5</v>
      </c>
      <c r="F228">
        <f t="shared" si="7"/>
        <v>6</v>
      </c>
    </row>
    <row r="229" spans="1:6" x14ac:dyDescent="0.35">
      <c r="A229" t="s">
        <v>321</v>
      </c>
      <c r="B229" s="388" t="s">
        <v>229</v>
      </c>
      <c r="C229">
        <v>2</v>
      </c>
      <c r="D229">
        <v>12</v>
      </c>
      <c r="E229">
        <v>25</v>
      </c>
      <c r="F229">
        <f t="shared" si="7"/>
        <v>39</v>
      </c>
    </row>
    <row r="230" spans="1:6" x14ac:dyDescent="0.35">
      <c r="A230" t="s">
        <v>321</v>
      </c>
      <c r="B230" s="388" t="s">
        <v>235</v>
      </c>
      <c r="C230">
        <v>7</v>
      </c>
      <c r="D230">
        <v>1</v>
      </c>
      <c r="F230">
        <f t="shared" si="7"/>
        <v>8</v>
      </c>
    </row>
    <row r="231" spans="1:6" x14ac:dyDescent="0.35">
      <c r="A231" t="s">
        <v>321</v>
      </c>
      <c r="B231" s="388" t="s">
        <v>241</v>
      </c>
      <c r="C231">
        <v>1</v>
      </c>
      <c r="D231">
        <v>1</v>
      </c>
      <c r="F231">
        <f t="shared" si="7"/>
        <v>2</v>
      </c>
    </row>
    <row r="232" spans="1:6" x14ac:dyDescent="0.35">
      <c r="A232" t="s">
        <v>321</v>
      </c>
      <c r="B232" s="388" t="s">
        <v>245</v>
      </c>
      <c r="C232">
        <v>1</v>
      </c>
      <c r="D232">
        <v>15</v>
      </c>
      <c r="E232">
        <v>1</v>
      </c>
      <c r="F232">
        <f t="shared" si="7"/>
        <v>17</v>
      </c>
    </row>
    <row r="233" spans="1:6" x14ac:dyDescent="0.35">
      <c r="A233" t="s">
        <v>321</v>
      </c>
      <c r="B233" s="388" t="s">
        <v>248</v>
      </c>
      <c r="C233">
        <v>4</v>
      </c>
      <c r="F233">
        <f t="shared" si="7"/>
        <v>4</v>
      </c>
    </row>
    <row r="234" spans="1:6" x14ac:dyDescent="0.35">
      <c r="A234" t="s">
        <v>321</v>
      </c>
      <c r="B234" s="388" t="s">
        <v>250</v>
      </c>
      <c r="C234">
        <v>1</v>
      </c>
      <c r="D234">
        <v>7</v>
      </c>
      <c r="F234">
        <f t="shared" si="7"/>
        <v>8</v>
      </c>
    </row>
    <row r="235" spans="1:6" x14ac:dyDescent="0.35">
      <c r="A235" t="s">
        <v>321</v>
      </c>
      <c r="B235" s="388" t="s">
        <v>254</v>
      </c>
      <c r="C235">
        <v>3</v>
      </c>
      <c r="F235">
        <f t="shared" si="7"/>
        <v>3</v>
      </c>
    </row>
    <row r="236" spans="1:6" x14ac:dyDescent="0.35">
      <c r="A236" t="s">
        <v>321</v>
      </c>
      <c r="B236" s="388" t="s">
        <v>256</v>
      </c>
      <c r="C236">
        <v>1</v>
      </c>
      <c r="D236">
        <v>5</v>
      </c>
      <c r="F236">
        <f t="shared" si="7"/>
        <v>6</v>
      </c>
    </row>
    <row r="237" spans="1:6" x14ac:dyDescent="0.35">
      <c r="A237" t="s">
        <v>321</v>
      </c>
      <c r="B237" s="388" t="s">
        <v>260</v>
      </c>
      <c r="C237">
        <v>2</v>
      </c>
      <c r="F237">
        <f t="shared" si="7"/>
        <v>2</v>
      </c>
    </row>
    <row r="238" spans="1:6" x14ac:dyDescent="0.35">
      <c r="A238" t="s">
        <v>321</v>
      </c>
      <c r="B238" s="388" t="s">
        <v>264</v>
      </c>
      <c r="C238">
        <v>3</v>
      </c>
      <c r="D238">
        <v>2</v>
      </c>
      <c r="F238">
        <f t="shared" si="7"/>
        <v>5</v>
      </c>
    </row>
    <row r="239" spans="1:6" x14ac:dyDescent="0.35">
      <c r="A239" t="s">
        <v>321</v>
      </c>
      <c r="B239" s="388" t="s">
        <v>268</v>
      </c>
      <c r="C239">
        <v>5</v>
      </c>
      <c r="D239">
        <v>8</v>
      </c>
      <c r="F239">
        <f t="shared" si="7"/>
        <v>13</v>
      </c>
    </row>
    <row r="240" spans="1:6" x14ac:dyDescent="0.35">
      <c r="A240" t="s">
        <v>321</v>
      </c>
      <c r="B240" s="388" t="s">
        <v>271</v>
      </c>
      <c r="C240">
        <v>11</v>
      </c>
      <c r="F240">
        <f t="shared" si="7"/>
        <v>11</v>
      </c>
    </row>
    <row r="241" spans="1:6" x14ac:dyDescent="0.35">
      <c r="A241" t="s">
        <v>321</v>
      </c>
      <c r="B241" s="388" t="s">
        <v>274</v>
      </c>
      <c r="C241">
        <v>1</v>
      </c>
      <c r="D241">
        <v>51</v>
      </c>
      <c r="E241">
        <v>9</v>
      </c>
      <c r="F241">
        <f t="shared" si="7"/>
        <v>61</v>
      </c>
    </row>
    <row r="242" spans="1:6" x14ac:dyDescent="0.35">
      <c r="A242" t="s">
        <v>321</v>
      </c>
      <c r="B242" s="388" t="s">
        <v>278</v>
      </c>
      <c r="C242">
        <v>2</v>
      </c>
      <c r="D242">
        <v>1</v>
      </c>
      <c r="F242">
        <f t="shared" si="7"/>
        <v>3</v>
      </c>
    </row>
    <row r="243" spans="1:6" x14ac:dyDescent="0.35">
      <c r="A243" t="s">
        <v>321</v>
      </c>
      <c r="B243" s="388" t="s">
        <v>280</v>
      </c>
      <c r="C243">
        <v>1</v>
      </c>
      <c r="D243">
        <v>1</v>
      </c>
      <c r="F243">
        <f t="shared" si="7"/>
        <v>2</v>
      </c>
    </row>
    <row r="244" spans="1:6" x14ac:dyDescent="0.35">
      <c r="A244" t="s">
        <v>321</v>
      </c>
      <c r="B244" s="388" t="s">
        <v>282</v>
      </c>
      <c r="C244">
        <v>1</v>
      </c>
      <c r="D244">
        <v>10</v>
      </c>
      <c r="E244">
        <v>1</v>
      </c>
      <c r="F244">
        <f t="shared" si="7"/>
        <v>12</v>
      </c>
    </row>
    <row r="245" spans="1:6" x14ac:dyDescent="0.35">
      <c r="A245" t="s">
        <v>321</v>
      </c>
      <c r="B245" s="388" t="s">
        <v>284</v>
      </c>
      <c r="D245">
        <v>14</v>
      </c>
      <c r="F245">
        <f t="shared" si="7"/>
        <v>14</v>
      </c>
    </row>
    <row r="246" spans="1:6" x14ac:dyDescent="0.35">
      <c r="A246" t="s">
        <v>321</v>
      </c>
      <c r="B246" s="388" t="s">
        <v>288</v>
      </c>
      <c r="C246">
        <v>3</v>
      </c>
      <c r="D246">
        <v>8</v>
      </c>
      <c r="E246">
        <v>3</v>
      </c>
      <c r="F246">
        <f t="shared" si="7"/>
        <v>14</v>
      </c>
    </row>
    <row r="247" spans="1:6" x14ac:dyDescent="0.35">
      <c r="A247" t="s">
        <v>321</v>
      </c>
      <c r="B247" s="388" t="s">
        <v>290</v>
      </c>
      <c r="C247">
        <v>4</v>
      </c>
      <c r="D247">
        <v>3</v>
      </c>
      <c r="F247">
        <f t="shared" si="7"/>
        <v>7</v>
      </c>
    </row>
    <row r="248" spans="1:6" x14ac:dyDescent="0.35">
      <c r="A248" t="s">
        <v>321</v>
      </c>
      <c r="B248" s="388" t="s">
        <v>293</v>
      </c>
      <c r="D248">
        <v>12</v>
      </c>
      <c r="F248">
        <f t="shared" si="7"/>
        <v>12</v>
      </c>
    </row>
    <row r="249" spans="1:6" x14ac:dyDescent="0.35">
      <c r="A249" t="s">
        <v>321</v>
      </c>
      <c r="B249" s="388" t="s">
        <v>295</v>
      </c>
      <c r="C249">
        <v>1</v>
      </c>
      <c r="D249">
        <v>10</v>
      </c>
      <c r="E249">
        <v>3</v>
      </c>
      <c r="F249">
        <f t="shared" si="7"/>
        <v>14</v>
      </c>
    </row>
    <row r="250" spans="1:6" x14ac:dyDescent="0.35">
      <c r="A250" t="s">
        <v>321</v>
      </c>
      <c r="B250" s="388" t="s">
        <v>297</v>
      </c>
      <c r="C250">
        <v>3</v>
      </c>
      <c r="F250">
        <f t="shared" si="7"/>
        <v>3</v>
      </c>
    </row>
    <row r="251" spans="1:6" x14ac:dyDescent="0.35">
      <c r="A251" t="s">
        <v>321</v>
      </c>
      <c r="B251" s="388" t="s">
        <v>299</v>
      </c>
      <c r="C251">
        <v>2</v>
      </c>
      <c r="D251">
        <v>11</v>
      </c>
      <c r="F251">
        <f t="shared" si="7"/>
        <v>13</v>
      </c>
    </row>
    <row r="252" spans="1:6" x14ac:dyDescent="0.35">
      <c r="A252" t="s">
        <v>321</v>
      </c>
      <c r="B252" s="388" t="s">
        <v>301</v>
      </c>
      <c r="D252">
        <v>14</v>
      </c>
      <c r="F252">
        <f t="shared" si="7"/>
        <v>14</v>
      </c>
    </row>
    <row r="253" spans="1:6" x14ac:dyDescent="0.35">
      <c r="A253" t="s">
        <v>321</v>
      </c>
      <c r="B253" s="388" t="s">
        <v>303</v>
      </c>
      <c r="C253">
        <v>1</v>
      </c>
      <c r="D253">
        <v>4</v>
      </c>
      <c r="F253">
        <f t="shared" si="7"/>
        <v>5</v>
      </c>
    </row>
    <row r="254" spans="1:6" x14ac:dyDescent="0.35">
      <c r="A254" t="s">
        <v>321</v>
      </c>
      <c r="B254" s="388" t="s">
        <v>305</v>
      </c>
      <c r="C254">
        <v>4</v>
      </c>
      <c r="D254">
        <v>7</v>
      </c>
      <c r="E254">
        <v>1</v>
      </c>
      <c r="F254">
        <f t="shared" si="7"/>
        <v>12</v>
      </c>
    </row>
    <row r="255" spans="1:6" x14ac:dyDescent="0.35">
      <c r="A255" t="s">
        <v>321</v>
      </c>
      <c r="B255" s="388" t="s">
        <v>308</v>
      </c>
      <c r="C255">
        <v>1</v>
      </c>
      <c r="D255">
        <v>9</v>
      </c>
      <c r="F255">
        <f t="shared" si="7"/>
        <v>10</v>
      </c>
    </row>
    <row r="256" spans="1:6" x14ac:dyDescent="0.35">
      <c r="A256" t="s">
        <v>321</v>
      </c>
      <c r="B256" s="388" t="s">
        <v>310</v>
      </c>
      <c r="C256">
        <v>2</v>
      </c>
      <c r="D256">
        <v>1</v>
      </c>
      <c r="F256">
        <f t="shared" si="7"/>
        <v>3</v>
      </c>
    </row>
    <row r="257" spans="1:6" x14ac:dyDescent="0.35">
      <c r="A257" t="s">
        <v>321</v>
      </c>
      <c r="B257" s="388" t="s">
        <v>312</v>
      </c>
      <c r="C257">
        <v>2</v>
      </c>
      <c r="D257">
        <v>4</v>
      </c>
      <c r="F257">
        <f t="shared" si="7"/>
        <v>6</v>
      </c>
    </row>
    <row r="258" spans="1:6" x14ac:dyDescent="0.35">
      <c r="A258" t="s">
        <v>326</v>
      </c>
      <c r="B258" s="388" t="s">
        <v>216</v>
      </c>
      <c r="C258">
        <v>3</v>
      </c>
      <c r="D258">
        <v>1</v>
      </c>
      <c r="F258">
        <f>SUM(C258:E258)</f>
        <v>4</v>
      </c>
    </row>
    <row r="259" spans="1:6" x14ac:dyDescent="0.35">
      <c r="A259" t="s">
        <v>326</v>
      </c>
      <c r="B259" s="388" t="s">
        <v>221</v>
      </c>
      <c r="C259">
        <v>1</v>
      </c>
      <c r="D259">
        <v>23</v>
      </c>
      <c r="F259">
        <f t="shared" ref="F259:F289" si="8">SUM(C259:E259)</f>
        <v>24</v>
      </c>
    </row>
    <row r="260" spans="1:6" x14ac:dyDescent="0.35">
      <c r="A260" t="s">
        <v>326</v>
      </c>
      <c r="B260" s="388" t="s">
        <v>225</v>
      </c>
      <c r="C260">
        <v>1</v>
      </c>
      <c r="D260">
        <v>5</v>
      </c>
      <c r="F260">
        <f t="shared" si="8"/>
        <v>6</v>
      </c>
    </row>
    <row r="261" spans="1:6" x14ac:dyDescent="0.35">
      <c r="A261" t="s">
        <v>326</v>
      </c>
      <c r="B261" s="388" t="s">
        <v>229</v>
      </c>
      <c r="C261">
        <v>2</v>
      </c>
      <c r="D261">
        <v>12</v>
      </c>
      <c r="E261">
        <v>25</v>
      </c>
      <c r="F261">
        <f t="shared" si="8"/>
        <v>39</v>
      </c>
    </row>
    <row r="262" spans="1:6" x14ac:dyDescent="0.35">
      <c r="A262" t="s">
        <v>326</v>
      </c>
      <c r="B262" s="388" t="s">
        <v>235</v>
      </c>
      <c r="C262">
        <v>7</v>
      </c>
      <c r="D262">
        <v>1</v>
      </c>
      <c r="F262">
        <f t="shared" si="8"/>
        <v>8</v>
      </c>
    </row>
    <row r="263" spans="1:6" x14ac:dyDescent="0.35">
      <c r="A263" t="s">
        <v>326</v>
      </c>
      <c r="B263" s="388" t="s">
        <v>241</v>
      </c>
      <c r="C263">
        <v>1</v>
      </c>
      <c r="D263">
        <v>1</v>
      </c>
      <c r="F263">
        <f t="shared" si="8"/>
        <v>2</v>
      </c>
    </row>
    <row r="264" spans="1:6" x14ac:dyDescent="0.35">
      <c r="A264" t="s">
        <v>326</v>
      </c>
      <c r="B264" s="388" t="s">
        <v>245</v>
      </c>
      <c r="C264">
        <v>1</v>
      </c>
      <c r="D264">
        <v>15</v>
      </c>
      <c r="E264">
        <v>1</v>
      </c>
      <c r="F264">
        <f t="shared" si="8"/>
        <v>17</v>
      </c>
    </row>
    <row r="265" spans="1:6" x14ac:dyDescent="0.35">
      <c r="A265" t="s">
        <v>326</v>
      </c>
      <c r="B265" s="388" t="s">
        <v>248</v>
      </c>
      <c r="C265">
        <v>4</v>
      </c>
      <c r="F265">
        <f t="shared" si="8"/>
        <v>4</v>
      </c>
    </row>
    <row r="266" spans="1:6" x14ac:dyDescent="0.35">
      <c r="A266" t="s">
        <v>326</v>
      </c>
      <c r="B266" s="388" t="s">
        <v>250</v>
      </c>
      <c r="C266">
        <v>1</v>
      </c>
      <c r="D266">
        <v>7</v>
      </c>
      <c r="F266">
        <f t="shared" si="8"/>
        <v>8</v>
      </c>
    </row>
    <row r="267" spans="1:6" x14ac:dyDescent="0.35">
      <c r="A267" t="s">
        <v>326</v>
      </c>
      <c r="B267" s="388" t="s">
        <v>254</v>
      </c>
      <c r="C267">
        <v>3</v>
      </c>
      <c r="F267">
        <f t="shared" si="8"/>
        <v>3</v>
      </c>
    </row>
    <row r="268" spans="1:6" x14ac:dyDescent="0.35">
      <c r="A268" t="s">
        <v>326</v>
      </c>
      <c r="B268" s="388" t="s">
        <v>256</v>
      </c>
      <c r="C268">
        <v>1</v>
      </c>
      <c r="D268">
        <v>5</v>
      </c>
      <c r="F268">
        <f t="shared" si="8"/>
        <v>6</v>
      </c>
    </row>
    <row r="269" spans="1:6" x14ac:dyDescent="0.35">
      <c r="A269" t="s">
        <v>326</v>
      </c>
      <c r="B269" s="388" t="s">
        <v>260</v>
      </c>
      <c r="C269">
        <v>2</v>
      </c>
      <c r="F269">
        <f t="shared" si="8"/>
        <v>2</v>
      </c>
    </row>
    <row r="270" spans="1:6" x14ac:dyDescent="0.35">
      <c r="A270" t="s">
        <v>326</v>
      </c>
      <c r="B270" s="388" t="s">
        <v>264</v>
      </c>
      <c r="C270">
        <v>3</v>
      </c>
      <c r="D270">
        <v>2</v>
      </c>
      <c r="F270">
        <f t="shared" si="8"/>
        <v>5</v>
      </c>
    </row>
    <row r="271" spans="1:6" x14ac:dyDescent="0.35">
      <c r="A271" t="s">
        <v>326</v>
      </c>
      <c r="B271" s="388" t="s">
        <v>268</v>
      </c>
      <c r="C271">
        <v>5</v>
      </c>
      <c r="D271">
        <v>8</v>
      </c>
      <c r="F271">
        <f t="shared" si="8"/>
        <v>13</v>
      </c>
    </row>
    <row r="272" spans="1:6" x14ac:dyDescent="0.35">
      <c r="A272" t="s">
        <v>326</v>
      </c>
      <c r="B272" s="388" t="s">
        <v>271</v>
      </c>
      <c r="C272">
        <v>11</v>
      </c>
      <c r="F272">
        <f t="shared" si="8"/>
        <v>11</v>
      </c>
    </row>
    <row r="273" spans="1:6" x14ac:dyDescent="0.35">
      <c r="A273" t="s">
        <v>326</v>
      </c>
      <c r="B273" s="388" t="s">
        <v>274</v>
      </c>
      <c r="C273">
        <v>1</v>
      </c>
      <c r="D273">
        <v>51</v>
      </c>
      <c r="E273">
        <v>9</v>
      </c>
      <c r="F273">
        <f t="shared" si="8"/>
        <v>61</v>
      </c>
    </row>
    <row r="274" spans="1:6" x14ac:dyDescent="0.35">
      <c r="A274" t="s">
        <v>326</v>
      </c>
      <c r="B274" s="388" t="s">
        <v>278</v>
      </c>
      <c r="C274">
        <v>2</v>
      </c>
      <c r="D274">
        <v>1</v>
      </c>
      <c r="F274">
        <f t="shared" si="8"/>
        <v>3</v>
      </c>
    </row>
    <row r="275" spans="1:6" x14ac:dyDescent="0.35">
      <c r="A275" t="s">
        <v>326</v>
      </c>
      <c r="B275" s="388" t="s">
        <v>280</v>
      </c>
      <c r="C275">
        <v>1</v>
      </c>
      <c r="D275">
        <v>1</v>
      </c>
      <c r="F275">
        <f t="shared" si="8"/>
        <v>2</v>
      </c>
    </row>
    <row r="276" spans="1:6" x14ac:dyDescent="0.35">
      <c r="A276" t="s">
        <v>326</v>
      </c>
      <c r="B276" s="388" t="s">
        <v>282</v>
      </c>
      <c r="C276">
        <v>1</v>
      </c>
      <c r="D276">
        <v>10</v>
      </c>
      <c r="E276">
        <v>1</v>
      </c>
      <c r="F276">
        <f t="shared" si="8"/>
        <v>12</v>
      </c>
    </row>
    <row r="277" spans="1:6" x14ac:dyDescent="0.35">
      <c r="A277" t="s">
        <v>326</v>
      </c>
      <c r="B277" s="388" t="s">
        <v>284</v>
      </c>
      <c r="D277">
        <v>14</v>
      </c>
      <c r="F277">
        <f t="shared" si="8"/>
        <v>14</v>
      </c>
    </row>
    <row r="278" spans="1:6" x14ac:dyDescent="0.35">
      <c r="A278" t="s">
        <v>326</v>
      </c>
      <c r="B278" s="388" t="s">
        <v>288</v>
      </c>
      <c r="C278">
        <v>3</v>
      </c>
      <c r="D278">
        <v>8</v>
      </c>
      <c r="E278">
        <v>3</v>
      </c>
      <c r="F278">
        <f t="shared" si="8"/>
        <v>14</v>
      </c>
    </row>
    <row r="279" spans="1:6" x14ac:dyDescent="0.35">
      <c r="A279" t="s">
        <v>326</v>
      </c>
      <c r="B279" s="388" t="s">
        <v>290</v>
      </c>
      <c r="C279">
        <v>4</v>
      </c>
      <c r="D279">
        <v>3</v>
      </c>
      <c r="F279">
        <f t="shared" si="8"/>
        <v>7</v>
      </c>
    </row>
    <row r="280" spans="1:6" x14ac:dyDescent="0.35">
      <c r="A280" t="s">
        <v>326</v>
      </c>
      <c r="B280" s="388" t="s">
        <v>293</v>
      </c>
      <c r="D280">
        <v>12</v>
      </c>
      <c r="F280">
        <f t="shared" si="8"/>
        <v>12</v>
      </c>
    </row>
    <row r="281" spans="1:6" x14ac:dyDescent="0.35">
      <c r="A281" t="s">
        <v>326</v>
      </c>
      <c r="B281" s="388" t="s">
        <v>295</v>
      </c>
      <c r="C281">
        <v>1</v>
      </c>
      <c r="D281">
        <v>10</v>
      </c>
      <c r="E281">
        <v>3</v>
      </c>
      <c r="F281">
        <f t="shared" si="8"/>
        <v>14</v>
      </c>
    </row>
    <row r="282" spans="1:6" x14ac:dyDescent="0.35">
      <c r="A282" t="s">
        <v>326</v>
      </c>
      <c r="B282" s="388" t="s">
        <v>297</v>
      </c>
      <c r="C282">
        <v>3</v>
      </c>
      <c r="F282">
        <f t="shared" si="8"/>
        <v>3</v>
      </c>
    </row>
    <row r="283" spans="1:6" x14ac:dyDescent="0.35">
      <c r="A283" t="s">
        <v>326</v>
      </c>
      <c r="B283" s="388" t="s">
        <v>299</v>
      </c>
      <c r="C283">
        <v>2</v>
      </c>
      <c r="D283">
        <v>11</v>
      </c>
      <c r="F283">
        <f t="shared" si="8"/>
        <v>13</v>
      </c>
    </row>
    <row r="284" spans="1:6" x14ac:dyDescent="0.35">
      <c r="A284" t="s">
        <v>326</v>
      </c>
      <c r="B284" s="388" t="s">
        <v>301</v>
      </c>
      <c r="D284">
        <v>14</v>
      </c>
      <c r="F284">
        <f t="shared" si="8"/>
        <v>14</v>
      </c>
    </row>
    <row r="285" spans="1:6" x14ac:dyDescent="0.35">
      <c r="A285" t="s">
        <v>326</v>
      </c>
      <c r="B285" s="388" t="s">
        <v>303</v>
      </c>
      <c r="C285">
        <v>1</v>
      </c>
      <c r="D285">
        <v>4</v>
      </c>
      <c r="F285">
        <f t="shared" si="8"/>
        <v>5</v>
      </c>
    </row>
    <row r="286" spans="1:6" x14ac:dyDescent="0.35">
      <c r="A286" t="s">
        <v>326</v>
      </c>
      <c r="B286" s="388" t="s">
        <v>305</v>
      </c>
      <c r="C286">
        <v>4</v>
      </c>
      <c r="D286">
        <v>7</v>
      </c>
      <c r="E286">
        <v>1</v>
      </c>
      <c r="F286">
        <f t="shared" si="8"/>
        <v>12</v>
      </c>
    </row>
    <row r="287" spans="1:6" x14ac:dyDescent="0.35">
      <c r="A287" t="s">
        <v>326</v>
      </c>
      <c r="B287" s="388" t="s">
        <v>308</v>
      </c>
      <c r="C287">
        <v>1</v>
      </c>
      <c r="D287">
        <v>9</v>
      </c>
      <c r="F287">
        <f t="shared" si="8"/>
        <v>10</v>
      </c>
    </row>
    <row r="288" spans="1:6" x14ac:dyDescent="0.35">
      <c r="A288" t="s">
        <v>326</v>
      </c>
      <c r="B288" s="388" t="s">
        <v>310</v>
      </c>
      <c r="C288">
        <v>2</v>
      </c>
      <c r="D288">
        <v>1</v>
      </c>
      <c r="F288">
        <f t="shared" si="8"/>
        <v>3</v>
      </c>
    </row>
    <row r="289" spans="1:6" x14ac:dyDescent="0.35">
      <c r="A289" t="s">
        <v>326</v>
      </c>
      <c r="B289" s="388" t="s">
        <v>312</v>
      </c>
      <c r="C289">
        <v>2</v>
      </c>
      <c r="D289">
        <v>4</v>
      </c>
      <c r="F289">
        <f t="shared" si="8"/>
        <v>6</v>
      </c>
    </row>
    <row r="290" spans="1:6" x14ac:dyDescent="0.35">
      <c r="A290" t="s">
        <v>327</v>
      </c>
      <c r="B290" t="s">
        <v>216</v>
      </c>
      <c r="C290">
        <v>3</v>
      </c>
      <c r="D290">
        <v>1</v>
      </c>
      <c r="F290">
        <v>4</v>
      </c>
    </row>
    <row r="291" spans="1:6" x14ac:dyDescent="0.35">
      <c r="A291" t="s">
        <v>327</v>
      </c>
      <c r="B291" t="s">
        <v>221</v>
      </c>
      <c r="C291">
        <v>1</v>
      </c>
      <c r="D291">
        <v>23</v>
      </c>
      <c r="F291">
        <v>24</v>
      </c>
    </row>
    <row r="292" spans="1:6" x14ac:dyDescent="0.35">
      <c r="A292" t="s">
        <v>327</v>
      </c>
      <c r="B292" t="s">
        <v>225</v>
      </c>
      <c r="C292">
        <v>1</v>
      </c>
      <c r="D292">
        <v>5</v>
      </c>
      <c r="F292">
        <v>6</v>
      </c>
    </row>
    <row r="293" spans="1:6" x14ac:dyDescent="0.35">
      <c r="A293" t="s">
        <v>327</v>
      </c>
      <c r="B293" t="s">
        <v>229</v>
      </c>
      <c r="C293">
        <v>2</v>
      </c>
      <c r="D293">
        <v>12</v>
      </c>
      <c r="E293">
        <v>25</v>
      </c>
      <c r="F293">
        <v>39</v>
      </c>
    </row>
    <row r="294" spans="1:6" x14ac:dyDescent="0.35">
      <c r="A294" t="s">
        <v>327</v>
      </c>
      <c r="B294" t="s">
        <v>235</v>
      </c>
      <c r="C294">
        <v>7</v>
      </c>
      <c r="D294">
        <v>1</v>
      </c>
      <c r="F294">
        <v>8</v>
      </c>
    </row>
    <row r="295" spans="1:6" x14ac:dyDescent="0.35">
      <c r="A295" t="s">
        <v>327</v>
      </c>
      <c r="B295" t="s">
        <v>241</v>
      </c>
      <c r="C295">
        <v>1</v>
      </c>
      <c r="D295">
        <v>1</v>
      </c>
      <c r="F295">
        <v>2</v>
      </c>
    </row>
    <row r="296" spans="1:6" x14ac:dyDescent="0.35">
      <c r="A296" t="s">
        <v>327</v>
      </c>
      <c r="B296" t="s">
        <v>245</v>
      </c>
      <c r="C296">
        <v>1</v>
      </c>
      <c r="D296">
        <v>15</v>
      </c>
      <c r="E296">
        <v>1</v>
      </c>
      <c r="F296">
        <v>17</v>
      </c>
    </row>
    <row r="297" spans="1:6" x14ac:dyDescent="0.35">
      <c r="A297" t="s">
        <v>327</v>
      </c>
      <c r="B297" t="s">
        <v>248</v>
      </c>
      <c r="C297">
        <v>4</v>
      </c>
      <c r="F297">
        <v>4</v>
      </c>
    </row>
    <row r="298" spans="1:6" x14ac:dyDescent="0.35">
      <c r="A298" t="s">
        <v>327</v>
      </c>
      <c r="B298" t="s">
        <v>250</v>
      </c>
      <c r="C298">
        <v>1</v>
      </c>
      <c r="D298">
        <v>7</v>
      </c>
      <c r="F298">
        <v>8</v>
      </c>
    </row>
    <row r="299" spans="1:6" x14ac:dyDescent="0.35">
      <c r="A299" t="s">
        <v>327</v>
      </c>
      <c r="B299" t="s">
        <v>254</v>
      </c>
      <c r="C299">
        <v>3</v>
      </c>
      <c r="F299">
        <v>3</v>
      </c>
    </row>
    <row r="300" spans="1:6" x14ac:dyDescent="0.35">
      <c r="A300" t="s">
        <v>327</v>
      </c>
      <c r="B300" t="s">
        <v>256</v>
      </c>
      <c r="C300">
        <v>1</v>
      </c>
      <c r="D300">
        <v>5</v>
      </c>
      <c r="F300">
        <v>6</v>
      </c>
    </row>
    <row r="301" spans="1:6" x14ac:dyDescent="0.35">
      <c r="A301" t="s">
        <v>327</v>
      </c>
      <c r="B301" t="s">
        <v>260</v>
      </c>
      <c r="C301">
        <v>2</v>
      </c>
      <c r="F301">
        <v>2</v>
      </c>
    </row>
    <row r="302" spans="1:6" x14ac:dyDescent="0.35">
      <c r="A302" t="s">
        <v>327</v>
      </c>
      <c r="B302" t="s">
        <v>264</v>
      </c>
      <c r="C302">
        <v>3</v>
      </c>
      <c r="D302">
        <v>2</v>
      </c>
      <c r="F302">
        <v>5</v>
      </c>
    </row>
    <row r="303" spans="1:6" x14ac:dyDescent="0.35">
      <c r="A303" t="s">
        <v>327</v>
      </c>
      <c r="B303" t="s">
        <v>268</v>
      </c>
      <c r="C303">
        <v>5</v>
      </c>
      <c r="D303">
        <v>8</v>
      </c>
      <c r="F303">
        <v>13</v>
      </c>
    </row>
    <row r="304" spans="1:6" x14ac:dyDescent="0.35">
      <c r="A304" t="s">
        <v>327</v>
      </c>
      <c r="B304" t="s">
        <v>271</v>
      </c>
      <c r="C304">
        <v>11</v>
      </c>
      <c r="F304">
        <v>11</v>
      </c>
    </row>
    <row r="305" spans="1:6" x14ac:dyDescent="0.35">
      <c r="A305" t="s">
        <v>327</v>
      </c>
      <c r="B305" t="s">
        <v>274</v>
      </c>
      <c r="C305">
        <v>1</v>
      </c>
      <c r="D305">
        <v>51</v>
      </c>
      <c r="E305">
        <v>9</v>
      </c>
      <c r="F305">
        <v>61</v>
      </c>
    </row>
    <row r="306" spans="1:6" x14ac:dyDescent="0.35">
      <c r="A306" t="s">
        <v>327</v>
      </c>
      <c r="B306" t="s">
        <v>278</v>
      </c>
      <c r="C306">
        <v>2</v>
      </c>
      <c r="D306">
        <v>1</v>
      </c>
      <c r="F306">
        <v>3</v>
      </c>
    </row>
    <row r="307" spans="1:6" x14ac:dyDescent="0.35">
      <c r="A307" t="s">
        <v>327</v>
      </c>
      <c r="B307" t="s">
        <v>280</v>
      </c>
      <c r="C307">
        <v>1</v>
      </c>
      <c r="D307">
        <v>1</v>
      </c>
      <c r="F307">
        <v>2</v>
      </c>
    </row>
    <row r="308" spans="1:6" x14ac:dyDescent="0.35">
      <c r="A308" t="s">
        <v>327</v>
      </c>
      <c r="B308" t="s">
        <v>282</v>
      </c>
      <c r="C308">
        <v>1</v>
      </c>
      <c r="D308">
        <v>10</v>
      </c>
      <c r="E308">
        <v>1</v>
      </c>
      <c r="F308">
        <v>12</v>
      </c>
    </row>
    <row r="309" spans="1:6" x14ac:dyDescent="0.35">
      <c r="A309" t="s">
        <v>327</v>
      </c>
      <c r="B309" t="s">
        <v>284</v>
      </c>
      <c r="D309">
        <v>14</v>
      </c>
      <c r="F309">
        <v>14</v>
      </c>
    </row>
    <row r="310" spans="1:6" x14ac:dyDescent="0.35">
      <c r="A310" t="s">
        <v>327</v>
      </c>
      <c r="B310" t="s">
        <v>288</v>
      </c>
      <c r="C310">
        <v>3</v>
      </c>
      <c r="D310">
        <v>8</v>
      </c>
      <c r="E310">
        <v>3</v>
      </c>
      <c r="F310">
        <v>14</v>
      </c>
    </row>
    <row r="311" spans="1:6" x14ac:dyDescent="0.35">
      <c r="A311" t="s">
        <v>327</v>
      </c>
      <c r="B311" t="s">
        <v>290</v>
      </c>
      <c r="C311">
        <v>4</v>
      </c>
      <c r="D311">
        <v>3</v>
      </c>
      <c r="F311">
        <v>7</v>
      </c>
    </row>
    <row r="312" spans="1:6" x14ac:dyDescent="0.35">
      <c r="A312" t="s">
        <v>327</v>
      </c>
      <c r="B312" t="s">
        <v>293</v>
      </c>
      <c r="D312">
        <v>12</v>
      </c>
      <c r="F312">
        <v>12</v>
      </c>
    </row>
    <row r="313" spans="1:6" x14ac:dyDescent="0.35">
      <c r="A313" t="s">
        <v>327</v>
      </c>
      <c r="B313" t="s">
        <v>295</v>
      </c>
      <c r="C313">
        <v>1</v>
      </c>
      <c r="D313">
        <v>10</v>
      </c>
      <c r="E313">
        <v>3</v>
      </c>
      <c r="F313">
        <v>14</v>
      </c>
    </row>
    <row r="314" spans="1:6" x14ac:dyDescent="0.35">
      <c r="A314" t="s">
        <v>327</v>
      </c>
      <c r="B314" t="s">
        <v>297</v>
      </c>
      <c r="C314">
        <v>3</v>
      </c>
      <c r="F314">
        <v>3</v>
      </c>
    </row>
    <row r="315" spans="1:6" x14ac:dyDescent="0.35">
      <c r="A315" t="s">
        <v>327</v>
      </c>
      <c r="B315" t="s">
        <v>299</v>
      </c>
      <c r="C315">
        <v>2</v>
      </c>
      <c r="D315">
        <v>11</v>
      </c>
      <c r="F315">
        <v>13</v>
      </c>
    </row>
    <row r="316" spans="1:6" x14ac:dyDescent="0.35">
      <c r="A316" t="s">
        <v>327</v>
      </c>
      <c r="B316" t="s">
        <v>301</v>
      </c>
      <c r="D316">
        <v>14</v>
      </c>
      <c r="F316">
        <v>14</v>
      </c>
    </row>
    <row r="317" spans="1:6" x14ac:dyDescent="0.35">
      <c r="A317" t="s">
        <v>327</v>
      </c>
      <c r="B317" t="s">
        <v>303</v>
      </c>
      <c r="C317">
        <v>1</v>
      </c>
      <c r="D317">
        <v>4</v>
      </c>
      <c r="F317">
        <v>5</v>
      </c>
    </row>
    <row r="318" spans="1:6" x14ac:dyDescent="0.35">
      <c r="A318" t="s">
        <v>327</v>
      </c>
      <c r="B318" t="s">
        <v>305</v>
      </c>
      <c r="C318">
        <v>4</v>
      </c>
      <c r="D318">
        <v>7</v>
      </c>
      <c r="F318">
        <v>12</v>
      </c>
    </row>
    <row r="319" spans="1:6" x14ac:dyDescent="0.35">
      <c r="A319" t="s">
        <v>327</v>
      </c>
      <c r="B319" t="s">
        <v>308</v>
      </c>
      <c r="C319">
        <v>1</v>
      </c>
      <c r="D319">
        <v>9</v>
      </c>
      <c r="F319">
        <v>10</v>
      </c>
    </row>
    <row r="320" spans="1:6" x14ac:dyDescent="0.35">
      <c r="A320" t="s">
        <v>327</v>
      </c>
      <c r="B320" t="s">
        <v>310</v>
      </c>
      <c r="C320">
        <v>2</v>
      </c>
      <c r="D320">
        <v>1</v>
      </c>
      <c r="F320">
        <v>3</v>
      </c>
    </row>
    <row r="321" spans="1:6" x14ac:dyDescent="0.35">
      <c r="A321" t="s">
        <v>327</v>
      </c>
      <c r="B321" t="s">
        <v>312</v>
      </c>
      <c r="C321">
        <v>2</v>
      </c>
      <c r="D321">
        <v>4</v>
      </c>
      <c r="F321">
        <v>6</v>
      </c>
    </row>
    <row r="322" spans="1:6" x14ac:dyDescent="0.35">
      <c r="A322" t="s">
        <v>466</v>
      </c>
      <c r="B322" t="s">
        <v>216</v>
      </c>
      <c r="C322">
        <v>3</v>
      </c>
      <c r="D322">
        <v>1</v>
      </c>
      <c r="F322">
        <v>4</v>
      </c>
    </row>
    <row r="323" spans="1:6" x14ac:dyDescent="0.35">
      <c r="A323" t="s">
        <v>466</v>
      </c>
      <c r="B323" t="s">
        <v>221</v>
      </c>
      <c r="C323">
        <v>1</v>
      </c>
      <c r="D323">
        <v>23</v>
      </c>
      <c r="F323">
        <v>24</v>
      </c>
    </row>
    <row r="324" spans="1:6" x14ac:dyDescent="0.35">
      <c r="A324" t="s">
        <v>466</v>
      </c>
      <c r="B324" t="s">
        <v>225</v>
      </c>
      <c r="C324">
        <v>1</v>
      </c>
      <c r="D324">
        <v>5</v>
      </c>
      <c r="F324">
        <v>6</v>
      </c>
    </row>
    <row r="325" spans="1:6" x14ac:dyDescent="0.35">
      <c r="A325" t="s">
        <v>466</v>
      </c>
      <c r="B325" t="s">
        <v>229</v>
      </c>
      <c r="C325">
        <v>2</v>
      </c>
      <c r="D325">
        <v>12</v>
      </c>
      <c r="E325">
        <v>25</v>
      </c>
      <c r="F325">
        <v>39</v>
      </c>
    </row>
    <row r="326" spans="1:6" x14ac:dyDescent="0.35">
      <c r="A326" t="s">
        <v>466</v>
      </c>
      <c r="B326" t="s">
        <v>235</v>
      </c>
      <c r="C326">
        <v>7</v>
      </c>
      <c r="D326">
        <v>1</v>
      </c>
      <c r="F326">
        <v>8</v>
      </c>
    </row>
    <row r="327" spans="1:6" x14ac:dyDescent="0.35">
      <c r="A327" t="s">
        <v>466</v>
      </c>
      <c r="B327" t="s">
        <v>241</v>
      </c>
      <c r="C327">
        <v>1</v>
      </c>
      <c r="D327">
        <v>1</v>
      </c>
      <c r="F327">
        <v>2</v>
      </c>
    </row>
    <row r="328" spans="1:6" x14ac:dyDescent="0.35">
      <c r="A328" t="s">
        <v>466</v>
      </c>
      <c r="B328" t="s">
        <v>245</v>
      </c>
      <c r="C328">
        <v>1</v>
      </c>
      <c r="D328">
        <v>15</v>
      </c>
      <c r="E328">
        <v>1</v>
      </c>
      <c r="F328">
        <v>17</v>
      </c>
    </row>
    <row r="329" spans="1:6" x14ac:dyDescent="0.35">
      <c r="A329" t="s">
        <v>466</v>
      </c>
      <c r="B329" t="s">
        <v>248</v>
      </c>
      <c r="C329">
        <v>4</v>
      </c>
      <c r="F329">
        <v>4</v>
      </c>
    </row>
    <row r="330" spans="1:6" x14ac:dyDescent="0.35">
      <c r="A330" t="s">
        <v>466</v>
      </c>
      <c r="B330" t="s">
        <v>250</v>
      </c>
      <c r="C330">
        <v>1</v>
      </c>
      <c r="D330">
        <v>7</v>
      </c>
      <c r="F330">
        <v>8</v>
      </c>
    </row>
    <row r="331" spans="1:6" x14ac:dyDescent="0.35">
      <c r="A331" t="s">
        <v>466</v>
      </c>
      <c r="B331" t="s">
        <v>254</v>
      </c>
      <c r="C331">
        <v>3</v>
      </c>
      <c r="F331">
        <v>3</v>
      </c>
    </row>
    <row r="332" spans="1:6" x14ac:dyDescent="0.35">
      <c r="A332" t="s">
        <v>466</v>
      </c>
      <c r="B332" t="s">
        <v>256</v>
      </c>
      <c r="C332">
        <v>1</v>
      </c>
      <c r="D332">
        <v>5</v>
      </c>
      <c r="F332">
        <v>6</v>
      </c>
    </row>
    <row r="333" spans="1:6" x14ac:dyDescent="0.35">
      <c r="A333" t="s">
        <v>466</v>
      </c>
      <c r="B333" t="s">
        <v>260</v>
      </c>
      <c r="C333">
        <v>2</v>
      </c>
      <c r="F333">
        <v>2</v>
      </c>
    </row>
    <row r="334" spans="1:6" x14ac:dyDescent="0.35">
      <c r="A334" t="s">
        <v>466</v>
      </c>
      <c r="B334" t="s">
        <v>264</v>
      </c>
      <c r="C334">
        <v>3</v>
      </c>
      <c r="D334">
        <v>2</v>
      </c>
      <c r="F334">
        <v>5</v>
      </c>
    </row>
    <row r="335" spans="1:6" x14ac:dyDescent="0.35">
      <c r="A335" t="s">
        <v>466</v>
      </c>
      <c r="B335" t="s">
        <v>268</v>
      </c>
      <c r="C335">
        <v>5</v>
      </c>
      <c r="D335">
        <v>8</v>
      </c>
      <c r="F335">
        <v>13</v>
      </c>
    </row>
    <row r="336" spans="1:6" x14ac:dyDescent="0.35">
      <c r="A336" t="s">
        <v>466</v>
      </c>
      <c r="B336" t="s">
        <v>271</v>
      </c>
      <c r="C336">
        <v>11</v>
      </c>
      <c r="F336">
        <v>11</v>
      </c>
    </row>
    <row r="337" spans="1:6" x14ac:dyDescent="0.35">
      <c r="A337" t="s">
        <v>466</v>
      </c>
      <c r="B337" t="s">
        <v>274</v>
      </c>
      <c r="C337">
        <v>1</v>
      </c>
      <c r="D337">
        <v>51</v>
      </c>
      <c r="E337">
        <v>9</v>
      </c>
      <c r="F337">
        <v>61</v>
      </c>
    </row>
    <row r="338" spans="1:6" x14ac:dyDescent="0.35">
      <c r="A338" t="s">
        <v>466</v>
      </c>
      <c r="B338" t="s">
        <v>278</v>
      </c>
      <c r="C338">
        <v>2</v>
      </c>
      <c r="D338">
        <v>1</v>
      </c>
      <c r="F338">
        <v>3</v>
      </c>
    </row>
    <row r="339" spans="1:6" x14ac:dyDescent="0.35">
      <c r="A339" t="s">
        <v>466</v>
      </c>
      <c r="B339" t="s">
        <v>280</v>
      </c>
      <c r="C339">
        <v>1</v>
      </c>
      <c r="D339">
        <v>1</v>
      </c>
      <c r="F339">
        <v>2</v>
      </c>
    </row>
    <row r="340" spans="1:6" x14ac:dyDescent="0.35">
      <c r="A340" t="s">
        <v>466</v>
      </c>
      <c r="B340" t="s">
        <v>282</v>
      </c>
      <c r="C340">
        <v>1</v>
      </c>
      <c r="D340">
        <v>10</v>
      </c>
      <c r="E340">
        <v>1</v>
      </c>
      <c r="F340">
        <v>12</v>
      </c>
    </row>
    <row r="341" spans="1:6" x14ac:dyDescent="0.35">
      <c r="A341" t="s">
        <v>466</v>
      </c>
      <c r="B341" t="s">
        <v>284</v>
      </c>
      <c r="D341">
        <v>14</v>
      </c>
      <c r="F341">
        <v>14</v>
      </c>
    </row>
    <row r="342" spans="1:6" x14ac:dyDescent="0.35">
      <c r="A342" t="s">
        <v>466</v>
      </c>
      <c r="B342" t="s">
        <v>288</v>
      </c>
      <c r="C342">
        <v>3</v>
      </c>
      <c r="D342">
        <v>8</v>
      </c>
      <c r="E342">
        <v>3</v>
      </c>
      <c r="F342">
        <v>14</v>
      </c>
    </row>
    <row r="343" spans="1:6" x14ac:dyDescent="0.35">
      <c r="A343" t="s">
        <v>466</v>
      </c>
      <c r="B343" t="s">
        <v>290</v>
      </c>
      <c r="C343">
        <v>4</v>
      </c>
      <c r="D343">
        <v>3</v>
      </c>
      <c r="F343">
        <v>7</v>
      </c>
    </row>
    <row r="344" spans="1:6" x14ac:dyDescent="0.35">
      <c r="A344" t="s">
        <v>466</v>
      </c>
      <c r="B344" t="s">
        <v>293</v>
      </c>
      <c r="D344">
        <v>12</v>
      </c>
      <c r="F344">
        <v>12</v>
      </c>
    </row>
    <row r="345" spans="1:6" x14ac:dyDescent="0.35">
      <c r="A345" t="s">
        <v>466</v>
      </c>
      <c r="B345" t="s">
        <v>295</v>
      </c>
      <c r="C345">
        <v>1</v>
      </c>
      <c r="D345">
        <v>10</v>
      </c>
      <c r="E345">
        <v>3</v>
      </c>
      <c r="F345">
        <v>14</v>
      </c>
    </row>
    <row r="346" spans="1:6" x14ac:dyDescent="0.35">
      <c r="A346" t="s">
        <v>466</v>
      </c>
      <c r="B346" t="s">
        <v>297</v>
      </c>
      <c r="C346">
        <v>3</v>
      </c>
      <c r="F346">
        <v>3</v>
      </c>
    </row>
    <row r="347" spans="1:6" x14ac:dyDescent="0.35">
      <c r="A347" t="s">
        <v>466</v>
      </c>
      <c r="B347" t="s">
        <v>299</v>
      </c>
      <c r="C347">
        <v>2</v>
      </c>
      <c r="D347">
        <v>11</v>
      </c>
      <c r="F347">
        <v>13</v>
      </c>
    </row>
    <row r="348" spans="1:6" x14ac:dyDescent="0.35">
      <c r="A348" t="s">
        <v>466</v>
      </c>
      <c r="B348" t="s">
        <v>301</v>
      </c>
      <c r="D348">
        <v>14</v>
      </c>
      <c r="F348">
        <v>14</v>
      </c>
    </row>
    <row r="349" spans="1:6" x14ac:dyDescent="0.35">
      <c r="A349" t="s">
        <v>466</v>
      </c>
      <c r="B349" t="s">
        <v>303</v>
      </c>
      <c r="C349">
        <v>1</v>
      </c>
      <c r="D349">
        <v>4</v>
      </c>
      <c r="F349">
        <v>5</v>
      </c>
    </row>
    <row r="350" spans="1:6" x14ac:dyDescent="0.35">
      <c r="A350" t="s">
        <v>466</v>
      </c>
      <c r="B350" t="s">
        <v>305</v>
      </c>
      <c r="C350">
        <v>4</v>
      </c>
      <c r="D350">
        <v>7</v>
      </c>
      <c r="F350">
        <v>12</v>
      </c>
    </row>
    <row r="351" spans="1:6" x14ac:dyDescent="0.35">
      <c r="A351" t="s">
        <v>466</v>
      </c>
      <c r="B351" t="s">
        <v>308</v>
      </c>
      <c r="C351">
        <v>1</v>
      </c>
      <c r="D351">
        <v>9</v>
      </c>
      <c r="F351">
        <v>10</v>
      </c>
    </row>
    <row r="352" spans="1:6" x14ac:dyDescent="0.35">
      <c r="A352" t="s">
        <v>466</v>
      </c>
      <c r="B352" t="s">
        <v>310</v>
      </c>
      <c r="C352">
        <v>2</v>
      </c>
      <c r="D352">
        <v>1</v>
      </c>
      <c r="F352">
        <v>3</v>
      </c>
    </row>
    <row r="353" spans="1:6" x14ac:dyDescent="0.35">
      <c r="A353" t="s">
        <v>466</v>
      </c>
      <c r="B353" t="s">
        <v>312</v>
      </c>
      <c r="C353">
        <v>2</v>
      </c>
      <c r="D353">
        <v>4</v>
      </c>
      <c r="F353">
        <v>6</v>
      </c>
    </row>
  </sheetData>
  <autoFilter ref="A1:F289" xr:uid="{00000000-0009-0000-0000-00000B000000}"/>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39997558519241921"/>
  </sheetPr>
  <dimension ref="A1:G11"/>
  <sheetViews>
    <sheetView workbookViewId="0">
      <selection activeCell="B7" sqref="B7"/>
    </sheetView>
  </sheetViews>
  <sheetFormatPr defaultRowHeight="14.5" x14ac:dyDescent="0.35"/>
  <cols>
    <col min="1" max="1" width="26" bestFit="1" customWidth="1"/>
    <col min="2" max="2" width="27.90625" bestFit="1" customWidth="1"/>
    <col min="3" max="3" width="26.26953125" bestFit="1" customWidth="1"/>
    <col min="4" max="4" width="23.453125" bestFit="1" customWidth="1"/>
    <col min="5" max="5" width="13.6328125" bestFit="1" customWidth="1"/>
    <col min="6" max="6" width="14" bestFit="1" customWidth="1"/>
    <col min="7" max="7" width="16.90625" bestFit="1" customWidth="1"/>
  </cols>
  <sheetData>
    <row r="1" spans="1:7" x14ac:dyDescent="0.35">
      <c r="A1" s="387" t="s">
        <v>207</v>
      </c>
      <c r="B1" t="s">
        <v>466</v>
      </c>
    </row>
    <row r="3" spans="1:7" x14ac:dyDescent="0.35">
      <c r="A3" s="387" t="s">
        <v>350</v>
      </c>
      <c r="B3" t="s">
        <v>607</v>
      </c>
      <c r="C3" t="s">
        <v>504</v>
      </c>
      <c r="D3" t="s">
        <v>778</v>
      </c>
      <c r="E3" t="s">
        <v>506</v>
      </c>
      <c r="F3" t="s">
        <v>507</v>
      </c>
      <c r="G3" t="s">
        <v>857</v>
      </c>
    </row>
    <row r="4" spans="1:7" x14ac:dyDescent="0.35">
      <c r="A4" s="388" t="s">
        <v>864</v>
      </c>
      <c r="B4">
        <v>6</v>
      </c>
      <c r="C4">
        <v>2</v>
      </c>
      <c r="D4">
        <v>0</v>
      </c>
      <c r="E4">
        <v>1</v>
      </c>
      <c r="F4">
        <v>2</v>
      </c>
      <c r="G4">
        <v>0</v>
      </c>
    </row>
    <row r="5" spans="1:7" x14ac:dyDescent="0.35">
      <c r="A5" s="388" t="s">
        <v>865</v>
      </c>
      <c r="B5">
        <v>0</v>
      </c>
      <c r="C5">
        <v>1</v>
      </c>
      <c r="D5">
        <v>0</v>
      </c>
      <c r="E5">
        <v>0</v>
      </c>
      <c r="F5">
        <v>8</v>
      </c>
      <c r="G5">
        <v>0</v>
      </c>
    </row>
    <row r="6" spans="1:7" x14ac:dyDescent="0.35">
      <c r="A6" s="388" t="s">
        <v>473</v>
      </c>
      <c r="B6">
        <v>2</v>
      </c>
      <c r="C6">
        <v>2</v>
      </c>
      <c r="D6">
        <v>0</v>
      </c>
      <c r="E6">
        <v>0</v>
      </c>
      <c r="F6">
        <v>0</v>
      </c>
      <c r="G6">
        <v>0</v>
      </c>
    </row>
    <row r="7" spans="1:7" x14ac:dyDescent="0.35">
      <c r="A7" s="388" t="s">
        <v>866</v>
      </c>
      <c r="B7">
        <v>37</v>
      </c>
      <c r="C7">
        <v>154</v>
      </c>
      <c r="D7">
        <v>1</v>
      </c>
      <c r="E7">
        <v>7</v>
      </c>
      <c r="F7">
        <v>31</v>
      </c>
      <c r="G7">
        <v>15</v>
      </c>
    </row>
    <row r="8" spans="1:7" x14ac:dyDescent="0.35">
      <c r="A8" s="388" t="s">
        <v>867</v>
      </c>
      <c r="B8">
        <v>1</v>
      </c>
      <c r="C8">
        <v>0</v>
      </c>
      <c r="D8">
        <v>0</v>
      </c>
      <c r="E8">
        <v>0</v>
      </c>
      <c r="F8">
        <v>0</v>
      </c>
      <c r="G8">
        <v>0</v>
      </c>
    </row>
    <row r="9" spans="1:7" x14ac:dyDescent="0.35">
      <c r="A9" s="388" t="s">
        <v>868</v>
      </c>
      <c r="B9">
        <v>132</v>
      </c>
      <c r="C9">
        <v>62</v>
      </c>
      <c r="D9">
        <v>0</v>
      </c>
      <c r="E9">
        <v>7</v>
      </c>
      <c r="F9">
        <v>22</v>
      </c>
      <c r="G9">
        <v>3</v>
      </c>
    </row>
    <row r="10" spans="1:7" x14ac:dyDescent="0.35">
      <c r="A10" s="388" t="s">
        <v>870</v>
      </c>
      <c r="B10">
        <v>1</v>
      </c>
      <c r="C10">
        <v>4</v>
      </c>
      <c r="D10">
        <v>1</v>
      </c>
      <c r="E10">
        <v>0</v>
      </c>
      <c r="F10">
        <v>1</v>
      </c>
      <c r="G10">
        <v>0</v>
      </c>
    </row>
    <row r="11" spans="1:7" x14ac:dyDescent="0.35">
      <c r="A11" s="388" t="s">
        <v>357</v>
      </c>
      <c r="B11">
        <v>179</v>
      </c>
      <c r="C11">
        <v>225</v>
      </c>
      <c r="D11">
        <v>2</v>
      </c>
      <c r="E11">
        <v>15</v>
      </c>
      <c r="F11">
        <v>64</v>
      </c>
      <c r="G11">
        <v>18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39997558519241921"/>
  </sheetPr>
  <dimension ref="A1:N30"/>
  <sheetViews>
    <sheetView showGridLines="0" zoomScaleNormal="100" workbookViewId="0">
      <pane ySplit="2" topLeftCell="A3" activePane="bottomLeft" state="frozen"/>
      <selection pane="bottomLeft" sqref="A1:C1"/>
    </sheetView>
  </sheetViews>
  <sheetFormatPr defaultRowHeight="14.5" x14ac:dyDescent="0.35"/>
  <cols>
    <col min="1" max="1" width="35.81640625" customWidth="1"/>
    <col min="2" max="2" width="12.54296875" customWidth="1"/>
    <col min="3" max="3" width="13.7265625" customWidth="1"/>
    <col min="4" max="4" width="13.1796875" customWidth="1"/>
    <col min="5" max="14" width="12.1796875" customWidth="1"/>
  </cols>
  <sheetData>
    <row r="1" spans="1:14" ht="15.5" x14ac:dyDescent="0.35">
      <c r="A1" s="1011" t="s">
        <v>513</v>
      </c>
      <c r="B1" s="1011"/>
      <c r="C1" s="1011"/>
      <c r="D1" s="441"/>
    </row>
    <row r="2" spans="1:14" ht="15.5" x14ac:dyDescent="0.35">
      <c r="A2" s="499" t="s">
        <v>201</v>
      </c>
      <c r="B2" s="441"/>
      <c r="C2" s="441"/>
      <c r="D2" s="441"/>
    </row>
    <row r="4" spans="1:14" ht="15.5" x14ac:dyDescent="0.35">
      <c r="A4" s="1012" t="s">
        <v>875</v>
      </c>
      <c r="B4" s="1012"/>
      <c r="C4" s="1012"/>
      <c r="D4" s="1012"/>
      <c r="E4" s="1012"/>
      <c r="F4" s="1012"/>
      <c r="G4" s="1012"/>
      <c r="H4" s="1012"/>
      <c r="I4" s="1012"/>
    </row>
    <row r="5" spans="1:14" ht="15.5" x14ac:dyDescent="0.35">
      <c r="A5" t="s">
        <v>202</v>
      </c>
      <c r="B5" t="s">
        <v>110</v>
      </c>
      <c r="C5" s="233"/>
      <c r="D5" s="233"/>
      <c r="E5" s="233"/>
      <c r="F5" s="233"/>
      <c r="G5" s="233"/>
      <c r="H5" s="233"/>
      <c r="I5" s="233"/>
    </row>
    <row r="6" spans="1:14" ht="15.5" x14ac:dyDescent="0.35">
      <c r="A6" t="s">
        <v>203</v>
      </c>
      <c r="B6" t="s">
        <v>204</v>
      </c>
      <c r="C6" s="233"/>
      <c r="D6" s="233"/>
      <c r="E6" s="233"/>
      <c r="F6" s="233"/>
      <c r="G6" s="233"/>
      <c r="H6" s="233"/>
      <c r="I6" s="233"/>
    </row>
    <row r="7" spans="1:14" x14ac:dyDescent="0.35">
      <c r="A7" t="s">
        <v>205</v>
      </c>
      <c r="B7" t="s">
        <v>206</v>
      </c>
    </row>
    <row r="9" spans="1:14" x14ac:dyDescent="0.35">
      <c r="A9" s="312" t="s">
        <v>207</v>
      </c>
    </row>
    <row r="10" spans="1:14" x14ac:dyDescent="0.35">
      <c r="A10" s="312" t="str">
        <f>leaverspivot!$B$1</f>
        <v>2024-25</v>
      </c>
    </row>
    <row r="11" spans="1:14" s="460" customFormat="1" ht="29" x14ac:dyDescent="0.35">
      <c r="A11" s="496" t="s">
        <v>109</v>
      </c>
      <c r="B11" s="644" t="s">
        <v>515</v>
      </c>
      <c r="C11" s="644" t="s">
        <v>361</v>
      </c>
      <c r="D11" s="644" t="s">
        <v>516</v>
      </c>
      <c r="E11" s="644" t="s">
        <v>511</v>
      </c>
      <c r="F11" s="644" t="s">
        <v>512</v>
      </c>
      <c r="G11" s="644" t="s">
        <v>847</v>
      </c>
      <c r="H11" s="644" t="s">
        <v>612</v>
      </c>
      <c r="I11"/>
      <c r="J11"/>
      <c r="K11"/>
      <c r="L11"/>
      <c r="M11"/>
      <c r="N11"/>
    </row>
    <row r="12" spans="1:14" x14ac:dyDescent="0.35">
      <c r="A12" s="312" t="s">
        <v>864</v>
      </c>
      <c r="B12" s="610">
        <f>IFERROR(GETPIVOTDATA("Sum of Wholetime Operational",leaverspivot!$A$3,"Reason for Leaving","Dismissal"),"-")</f>
        <v>6</v>
      </c>
      <c r="C12" s="610">
        <f>IFERROR(GETPIVOTDATA("Sum of Retained Duty System",leaverspivot!$A$3,"Reason for Leaving","Dismissal"),"-")</f>
        <v>2</v>
      </c>
      <c r="D12" s="610">
        <f>GETPIVOTDATA("Sum of Retained Full-time",leaverspivot!$A$3,"Reason for Leaving","Dismissal")</f>
        <v>0</v>
      </c>
      <c r="E12" s="610">
        <f>IFERROR(GETPIVOTDATA("Sum of Control",leaverspivot!$A$3,"Reason for Leaving","Dismissal"),"-")</f>
        <v>1</v>
      </c>
      <c r="F12" s="610">
        <f>IFERROR(GETPIVOTDATA("Sum of Support",leaverspivot!$A$3,"Reason for Leaving","Dismissal"),"-")</f>
        <v>2</v>
      </c>
      <c r="G12" s="610">
        <f>IFERROR(GETPIVOTDATA("Sum of Volunteers",leaverspivot!$A$3,"Reason for Leaving","Dismissal"),"-")</f>
        <v>0</v>
      </c>
      <c r="H12" s="611">
        <f>SUM(B12:G12)</f>
        <v>11</v>
      </c>
    </row>
    <row r="13" spans="1:14" x14ac:dyDescent="0.35">
      <c r="A13" s="312" t="s">
        <v>865</v>
      </c>
      <c r="B13" s="610">
        <f>IFERROR(GETPIVOTDATA("Sum of Wholetime Operational",leaverspivot!$A$3,"Reason for Leaving","End of contract"),"-")</f>
        <v>0</v>
      </c>
      <c r="C13" s="610">
        <f>IFERROR(GETPIVOTDATA("Sum of Retained Duty System",leaverspivot!$A$3,"Reason for Leaving","End of contract"),"-")</f>
        <v>1</v>
      </c>
      <c r="D13" s="610">
        <f>GETPIVOTDATA("Sum of Retained Full-time",leaverspivot!$A$3,"Reason for Leaving","End of contract")</f>
        <v>0</v>
      </c>
      <c r="E13" s="610">
        <f>IFERROR(GETPIVOTDATA("Sum of Control",leaverspivot!$A$3,"Reason for Leaving","End of contract"),"-")</f>
        <v>0</v>
      </c>
      <c r="F13" s="610">
        <f>IFERROR(GETPIVOTDATA("Sum of Support",leaverspivot!$A$3,"Reason for Leaving","End of contract"),"-")</f>
        <v>8</v>
      </c>
      <c r="G13" s="610">
        <f>IFERROR(GETPIVOTDATA("Sum of Volunteers",leaverspivot!$A$3,"Reason for Leaving","End of contract"),"-")</f>
        <v>0</v>
      </c>
      <c r="H13" s="611">
        <f t="shared" ref="H13:H22" si="0">SUM(B13:G13)</f>
        <v>9</v>
      </c>
    </row>
    <row r="14" spans="1:14" x14ac:dyDescent="0.35">
      <c r="A14" s="312" t="s">
        <v>473</v>
      </c>
      <c r="B14" s="610">
        <f>IFERROR(GETPIVOTDATA("Sum of Wholetime Operational",leaverspivot!$A$3,"Reason for Leaving","Other"),"-")</f>
        <v>2</v>
      </c>
      <c r="C14" s="610">
        <f>IFERROR(GETPIVOTDATA("Sum of Retained Duty System",leaverspivot!$A$3,"Reason for Leaving","Other"),"-")</f>
        <v>2</v>
      </c>
      <c r="D14" s="610">
        <f>GETPIVOTDATA("Sum of Retained Full-time",leaverspivot!$A$3,"Reason for Leaving","Other")</f>
        <v>0</v>
      </c>
      <c r="E14" s="610">
        <f>IFERROR(GETPIVOTDATA("Sum of Control",leaverspivot!$A$3,"Reason for Leaving","Other"),"-")</f>
        <v>0</v>
      </c>
      <c r="F14" s="610">
        <f>IFERROR(GETPIVOTDATA("Sum of Support",leaverspivot!$A$3,"Reason for Leaving","Other"),"-")</f>
        <v>0</v>
      </c>
      <c r="G14" s="610">
        <f>IFERROR(GETPIVOTDATA("Sum of Volunteers",leaverspivot!$A$3,"Reason for Leaving","Other"),"-")</f>
        <v>0</v>
      </c>
      <c r="H14" s="611">
        <f t="shared" si="0"/>
        <v>4</v>
      </c>
    </row>
    <row r="15" spans="1:14" x14ac:dyDescent="0.35">
      <c r="A15" s="312" t="s">
        <v>866</v>
      </c>
      <c r="B15" s="610">
        <f>IFERROR(GETPIVOTDATA("Sum of Wholetime Operational",leaverspivot!$A$3,"Reason for Leaving","Resignation"),"-")</f>
        <v>37</v>
      </c>
      <c r="C15" s="610">
        <f>IFERROR(GETPIVOTDATA("Sum of Retained Duty System",leaverspivot!$A$3,"Reason for Leaving","Resignation"),"-")</f>
        <v>154</v>
      </c>
      <c r="D15" s="610">
        <f>GETPIVOTDATA("Sum of Retained Full-time",leaverspivot!$A$3,"Reason for Leaving","Resignation")</f>
        <v>1</v>
      </c>
      <c r="E15" s="610">
        <f>IFERROR(GETPIVOTDATA("Sum of Control",leaverspivot!$A$3,"Reason for Leaving","Resignation"),"-")</f>
        <v>7</v>
      </c>
      <c r="F15" s="610">
        <f>IFERROR(GETPIVOTDATA("Sum of Support",leaverspivot!$A$3,"Reason for Leaving","Resignation"),"-")</f>
        <v>31</v>
      </c>
      <c r="G15" s="610">
        <f>IFERROR(GETPIVOTDATA("Sum of Volunteers",leaverspivot!$A$3,"Reason for Leaving","Resignation"),"-")</f>
        <v>15</v>
      </c>
      <c r="H15" s="611">
        <f t="shared" si="0"/>
        <v>245</v>
      </c>
    </row>
    <row r="16" spans="1:14" x14ac:dyDescent="0.35">
      <c r="A16" s="312" t="s">
        <v>867</v>
      </c>
      <c r="B16" s="610">
        <f>IFERROR(GETPIVOTDATA("Sum of Wholetime Operational",leaverspivot!$A$3,"Reason for Leaving","Retirement - 30 Years Service"),"-")</f>
        <v>1</v>
      </c>
      <c r="C16" s="610">
        <f>IFERROR(GETPIVOTDATA("Sum of Retained Duty System",leaverspivot!$A$3,"Reason for Leaving","Retirement - 30 Years Service"),"-")</f>
        <v>0</v>
      </c>
      <c r="D16" s="610">
        <f>GETPIVOTDATA("Sum of Retained Full-time",leaverspivot!$A$3,"Reason for Leaving","Retirement - Age")</f>
        <v>0</v>
      </c>
      <c r="E16" s="610">
        <f>IFERROR(GETPIVOTDATA("Sum of Control",leaverspivot!$A$3,"Reason for Leaving","Retirement - 30 Years Service"),"-")</f>
        <v>0</v>
      </c>
      <c r="F16" s="610">
        <f>IFERROR(GETPIVOTDATA("Sum of Support",leaverspivot!$A$3,"Reason for Leaving","Retirement - 30 Years Service"),"-")</f>
        <v>0</v>
      </c>
      <c r="G16" s="610">
        <f>IFERROR(GETPIVOTDATA("Sum of Volunteers",leaverspivot!$A$3,"Reason for Leaving","Retirement - 30 Years Service"),"-")</f>
        <v>0</v>
      </c>
      <c r="H16" s="611">
        <f t="shared" si="0"/>
        <v>1</v>
      </c>
    </row>
    <row r="17" spans="1:14" x14ac:dyDescent="0.35">
      <c r="A17" s="312" t="s">
        <v>868</v>
      </c>
      <c r="B17" s="610">
        <f>IFERROR(GETPIVOTDATA("Sum of Wholetime Operational",leaverspivot!$A$3,"Reason for Leaving","Retirement - Age"),"-")</f>
        <v>132</v>
      </c>
      <c r="C17" s="610">
        <f>IFERROR(GETPIVOTDATA("Sum of Retained Duty System",leaverspivot!$A$3,"Reason for Leaving","Retirement - Age"),"-")</f>
        <v>62</v>
      </c>
      <c r="D17" s="610">
        <f>GETPIVOTDATA("Sum of Retained Full-time",leaverspivot!$A$3,"Reason for Leaving","Retirement - Age")</f>
        <v>0</v>
      </c>
      <c r="E17" s="610">
        <f>IFERROR(GETPIVOTDATA("Sum of Control",leaverspivot!$A$3,"Reason for Leaving","Retirement - Age"),"-")</f>
        <v>7</v>
      </c>
      <c r="F17" s="610">
        <f>IFERROR(GETPIVOTDATA("Sum of Support",leaverspivot!$A$3,"Reason for Leaving","Retirement - Age"),"-")</f>
        <v>22</v>
      </c>
      <c r="G17" s="610">
        <f>IFERROR(GETPIVOTDATA("Sum of Volunteers",leaverspivot!$A$3,"Reason for Leaving","Retirement - Age"),"-")</f>
        <v>3</v>
      </c>
      <c r="H17" s="611">
        <f t="shared" si="0"/>
        <v>226</v>
      </c>
    </row>
    <row r="18" spans="1:14" x14ac:dyDescent="0.35">
      <c r="A18" s="312" t="s">
        <v>869</v>
      </c>
      <c r="B18" s="610" t="str">
        <f>IFERROR(GETPIVOTDATA("Sum of Wholetime Operational",leaverspivot!$A$3,"Reason for Leaving","Retirement - Early"),"-")</f>
        <v>-</v>
      </c>
      <c r="C18" s="610" t="str">
        <f>IFERROR(GETPIVOTDATA("Sum of Retained Duty System",leaverspivot!$A$3,"Reason for Leaving","Retirement - Early"),"-")</f>
        <v>-</v>
      </c>
      <c r="D18" s="610" t="str">
        <f>IFERROR("-", GETPIVOTDATA("Sum of Retained Full-time",leaverspivot!$A$3,"Reason for Leaving","Retirement - Early"))</f>
        <v>-</v>
      </c>
      <c r="E18" s="610" t="str">
        <f>IFERROR(GETPIVOTDATA("Sum of Control",leaverspivot!$A$3,"Reason for Leaving","Retirement - Early"),"-")</f>
        <v>-</v>
      </c>
      <c r="F18" s="610" t="str">
        <f>IFERROR(GETPIVOTDATA("Sum of Support",leaverspivot!$A$3,"Reason for Leaving","Retirement - Early"),"-")</f>
        <v>-</v>
      </c>
      <c r="G18" s="610" t="str">
        <f>IFERROR(GETPIVOTDATA("Sum of Volunteers",leaverspivot!$A$3,"Reason for Leaving","Retirement - Early"),"-")</f>
        <v>-</v>
      </c>
      <c r="H18" s="611">
        <f t="shared" si="0"/>
        <v>0</v>
      </c>
    </row>
    <row r="19" spans="1:14" x14ac:dyDescent="0.35">
      <c r="A19" s="312" t="s">
        <v>870</v>
      </c>
      <c r="B19" s="610">
        <f>IFERROR(GETPIVOTDATA("Sum of Wholetime Operational",leaverspivot!$A$3,"Reason for Leaving","Retirement - Health"),"-")</f>
        <v>1</v>
      </c>
      <c r="C19" s="610">
        <f>IFERROR(GETPIVOTDATA("Sum of Retained Duty System",leaverspivot!$A$3,"Reason for Leaving","Retirement - Health"),"-")</f>
        <v>4</v>
      </c>
      <c r="D19" s="610">
        <f>GETPIVOTDATA("Sum of Retained Full-time",leaverspivot!$A$3,"Reason for Leaving","Retirement - Health")</f>
        <v>1</v>
      </c>
      <c r="E19" s="610">
        <f>IFERROR(GETPIVOTDATA("Sum of Control",leaverspivot!$A$3,"Reason for Leaving","Retirement - Health"),"-")</f>
        <v>0</v>
      </c>
      <c r="F19" s="610">
        <f>IFERROR(GETPIVOTDATA("Sum of Support",leaverspivot!$A$3,"Reason for Leaving","Retirement - Health"),"-")</f>
        <v>1</v>
      </c>
      <c r="G19" s="610">
        <f>IFERROR(GETPIVOTDATA("Sum of Volunteers",leaverspivot!$A$3,"Reason for Leaving","Retirement - Health"),"-")</f>
        <v>0</v>
      </c>
      <c r="H19" s="611">
        <f t="shared" si="0"/>
        <v>7</v>
      </c>
    </row>
    <row r="20" spans="1:14" x14ac:dyDescent="0.35">
      <c r="A20" s="312" t="s">
        <v>871</v>
      </c>
      <c r="B20" s="610" t="str">
        <f>IFERROR(GETPIVOTDATA("Sum of Wholetime Operational",leaverspivot!$A$3,"Reason for Leaving","Transfer - To another F&amp;R Service"),"-")</f>
        <v>-</v>
      </c>
      <c r="C20" s="610" t="str">
        <f>IFERROR(GETPIVOTDATA("Sum of Retained Duty System",leaverspivot!$A$3,"Reason for Leaving","Transfer - To another F&amp;R Service"),"-")</f>
        <v>-</v>
      </c>
      <c r="D20" s="610" t="str">
        <f>IFERROR("-", GETPIVOTDATA("Sum of Retained Full-time",leaverspivot!$A$3,"Reason for Leaving","Transfer - To another F&amp;R Service"))</f>
        <v>-</v>
      </c>
      <c r="E20" s="610" t="str">
        <f>IFERROR(GETPIVOTDATA("Sum of Control",leaverspivot!$A$3,"Reason for Leaving","Transfer - To another F&amp;R Service"),"-")</f>
        <v>-</v>
      </c>
      <c r="F20" s="610" t="str">
        <f>IFERROR(GETPIVOTDATA("Sum of Support",leaverspivot!$A$3,"Reason for Leaving","Transfer - To another F&amp;R Service"),"-")</f>
        <v>-</v>
      </c>
      <c r="G20" s="610" t="str">
        <f>IFERROR(GETPIVOTDATA("Sum of Volunteers",leaverspivot!$A$3,"Reason for Leaving","Transfer - To another F&amp;R Service"),"-")</f>
        <v>-</v>
      </c>
      <c r="H20" s="611">
        <f t="shared" si="0"/>
        <v>0</v>
      </c>
    </row>
    <row r="21" spans="1:14" x14ac:dyDescent="0.35">
      <c r="A21" s="312" t="s">
        <v>872</v>
      </c>
      <c r="B21" s="610" t="str">
        <f>IFERROR(GETPIVOTDATA("Sum of Wholetime Operational",leaverspivot!$A$3,"Reason for Leaving","TUPE Transfer"),"-")</f>
        <v>-</v>
      </c>
      <c r="C21" s="610" t="str">
        <f>IFERROR(GETPIVOTDATA("Sum of Retained Duty System",leaverspivot!$A$3,"Reason for Leaving","TUPE Transfer"),"-")</f>
        <v>-</v>
      </c>
      <c r="D21" s="610" t="str">
        <f>IFERROR(GETPIVOTDATA("Sum of Retained Full-time",leaverspivot!$A$3,"Reason for Leaving","TUPE Transfer"),"-")</f>
        <v>-</v>
      </c>
      <c r="E21" s="610" t="str">
        <f>IFERROR(GETPIVOTDATA("Sum of Control",leaverspivot!$A$3,"Reason for Leaving","TUPE Transfer"),"-")</f>
        <v>-</v>
      </c>
      <c r="F21" s="610" t="str">
        <f>IFERROR(GETPIVOTDATA("Sum of Support",leaverspivot!$A$3,"Reason for Leaving","TUPE Transfer"),"-")</f>
        <v>-</v>
      </c>
      <c r="G21" s="610" t="str">
        <f>IFERROR(GETPIVOTDATA("Sum of Volunteers",leaverspivot!$A$3,"Reason for Leaving","TUPE Transfer"),"-")</f>
        <v>-</v>
      </c>
      <c r="H21" s="611">
        <f t="shared" si="0"/>
        <v>0</v>
      </c>
    </row>
    <row r="22" spans="1:14" x14ac:dyDescent="0.35">
      <c r="A22" s="312" t="s">
        <v>873</v>
      </c>
      <c r="B22" s="610" t="str">
        <f>IFERROR(GETPIVOTDATA("Sum of Wholetime Operational",leaverspivot!$A$3,"Reason for Leaving","Voluntary Severance"),"-")</f>
        <v>-</v>
      </c>
      <c r="C22" s="610" t="str">
        <f>IFERROR(GETPIVOTDATA("Sum of Retained Duty System",leaverspivot!$A$3,"Reason for Leaving","Voluntary Severance"),"-")</f>
        <v>-</v>
      </c>
      <c r="D22" s="610" t="str">
        <f>IFERROR(GETPIVOTDATA("Sum of Retained Full-time",leaverspivot!$A$3,"Reason for Leaving","Voluntary Severance"),"-")</f>
        <v>-</v>
      </c>
      <c r="E22" s="610" t="str">
        <f>IFERROR(GETPIVOTDATA("Sum of Control",leaverspivot!$A$3,"Reason for Leaving","Voluntary Severance"),"-")</f>
        <v>-</v>
      </c>
      <c r="F22" s="610" t="str">
        <f>IFERROR(GETPIVOTDATA("Sum of Support",leaverspivot!$A$3,"Reason for Leaving","Voluntary Severance"),"-")</f>
        <v>-</v>
      </c>
      <c r="G22" s="610" t="str">
        <f>IFERROR(GETPIVOTDATA("Sum of Volunteers",leaverspivot!$A$3,"Reason for Leaving","Voluntary Severance"),"-")</f>
        <v>-</v>
      </c>
      <c r="H22" s="611">
        <f t="shared" si="0"/>
        <v>0</v>
      </c>
    </row>
    <row r="23" spans="1:14" ht="15" thickBot="1" x14ac:dyDescent="0.4">
      <c r="A23" s="495" t="s">
        <v>844</v>
      </c>
      <c r="B23" s="495">
        <f t="shared" ref="B23:H23" si="1">SUM(B12:B22)</f>
        <v>179</v>
      </c>
      <c r="C23" s="495">
        <f t="shared" si="1"/>
        <v>225</v>
      </c>
      <c r="D23" s="495">
        <f t="shared" si="1"/>
        <v>2</v>
      </c>
      <c r="E23" s="495">
        <f t="shared" si="1"/>
        <v>15</v>
      </c>
      <c r="F23" s="495">
        <f>SUM(F12:F22)</f>
        <v>64</v>
      </c>
      <c r="G23" s="495">
        <f>SUM(G12:G22)</f>
        <v>18</v>
      </c>
      <c r="H23" s="495">
        <f t="shared" si="1"/>
        <v>503</v>
      </c>
    </row>
    <row r="25" spans="1:14" x14ac:dyDescent="0.35">
      <c r="A25" s="334" t="s">
        <v>329</v>
      </c>
    </row>
    <row r="26" spans="1:14" ht="31.5" customHeight="1" x14ac:dyDescent="0.35">
      <c r="A26" s="1014" t="s">
        <v>876</v>
      </c>
      <c r="B26" s="1014"/>
      <c r="C26" s="1014"/>
      <c r="D26" s="1014"/>
      <c r="E26" s="1014"/>
      <c r="F26" s="1014"/>
      <c r="G26" s="1014"/>
      <c r="H26" s="1014"/>
      <c r="I26" s="1014"/>
      <c r="J26" s="1014"/>
      <c r="K26" s="793"/>
      <c r="L26" s="793"/>
      <c r="M26" s="793"/>
      <c r="N26" s="793"/>
    </row>
    <row r="28" spans="1:14" ht="15" customHeight="1" x14ac:dyDescent="0.35"/>
    <row r="30" spans="1:14" x14ac:dyDescent="0.35">
      <c r="B30" s="559"/>
      <c r="C30" s="559"/>
      <c r="D30" s="559"/>
      <c r="E30" s="559"/>
      <c r="F30" s="559"/>
      <c r="G30" s="559"/>
      <c r="H30" s="559"/>
      <c r="I30" s="559"/>
    </row>
  </sheetData>
  <sheetProtection algorithmName="SHA-512" hashValue="ANH/w1psPIv+5y+yyOuPLIaDoTvd6S1Ige/N3uLquKX5xiS01TLSxRRn/xFDy0JYz3nkWZHmxurNBfDC5g+OQQ==" saltValue="Sgs7tVW6yZhBmJ9yhYW4jw==" spinCount="100000" sheet="1" scenarios="1" formatCells="0" sort="0" autoFilter="0" pivotTables="0"/>
  <mergeCells count="3">
    <mergeCell ref="A1:C1"/>
    <mergeCell ref="A4:I4"/>
    <mergeCell ref="A26:J26"/>
  </mergeCells>
  <hyperlinks>
    <hyperlink ref="A2" location="'Table of Contents'!A1" display="Back to Table of Contents" xr:uid="{00000000-0004-0000-72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G52"/>
  <sheetViews>
    <sheetView topLeftCell="A28" workbookViewId="0">
      <selection activeCell="D51" sqref="D51"/>
    </sheetView>
  </sheetViews>
  <sheetFormatPr defaultRowHeight="14.5" x14ac:dyDescent="0.35"/>
  <cols>
    <col min="1" max="1" width="12.6328125" bestFit="1" customWidth="1"/>
    <col min="2" max="2" width="27.90625" bestFit="1" customWidth="1"/>
    <col min="3" max="3" width="26.26953125" bestFit="1" customWidth="1"/>
    <col min="4" max="4" width="13.6328125" bestFit="1" customWidth="1"/>
    <col min="5" max="5" width="14" bestFit="1" customWidth="1"/>
    <col min="6" max="6" width="16.90625" bestFit="1" customWidth="1"/>
    <col min="7" max="7" width="11.453125" bestFit="1" customWidth="1"/>
  </cols>
  <sheetData>
    <row r="1" spans="1:7" x14ac:dyDescent="0.35">
      <c r="A1" s="387" t="s">
        <v>207</v>
      </c>
      <c r="B1" t="s">
        <v>466</v>
      </c>
    </row>
    <row r="3" spans="1:7" x14ac:dyDescent="0.35">
      <c r="A3" s="387" t="s">
        <v>350</v>
      </c>
      <c r="B3" t="s">
        <v>607</v>
      </c>
      <c r="C3" t="s">
        <v>504</v>
      </c>
      <c r="D3" t="s">
        <v>506</v>
      </c>
      <c r="E3" t="s">
        <v>507</v>
      </c>
      <c r="F3" t="s">
        <v>857</v>
      </c>
      <c r="G3" t="s">
        <v>356</v>
      </c>
    </row>
    <row r="4" spans="1:7" x14ac:dyDescent="0.35">
      <c r="A4" s="388" t="s">
        <v>745</v>
      </c>
      <c r="B4">
        <v>10</v>
      </c>
      <c r="C4">
        <v>27</v>
      </c>
      <c r="D4">
        <v>8</v>
      </c>
      <c r="E4">
        <v>22</v>
      </c>
      <c r="F4">
        <v>5</v>
      </c>
      <c r="G4">
        <v>72</v>
      </c>
    </row>
    <row r="5" spans="1:7" x14ac:dyDescent="0.35">
      <c r="A5" s="388" t="s">
        <v>746</v>
      </c>
      <c r="B5">
        <v>122</v>
      </c>
      <c r="C5">
        <v>179</v>
      </c>
      <c r="D5">
        <v>2</v>
      </c>
      <c r="E5">
        <v>33</v>
      </c>
      <c r="F5">
        <v>17</v>
      </c>
      <c r="G5">
        <v>353</v>
      </c>
    </row>
    <row r="6" spans="1:7" x14ac:dyDescent="0.35">
      <c r="A6" s="388" t="s">
        <v>357</v>
      </c>
      <c r="B6">
        <v>132</v>
      </c>
      <c r="C6">
        <v>206</v>
      </c>
      <c r="D6">
        <v>10</v>
      </c>
      <c r="E6">
        <v>55</v>
      </c>
      <c r="F6">
        <v>22</v>
      </c>
      <c r="G6">
        <v>425</v>
      </c>
    </row>
    <row r="15" spans="1:7" x14ac:dyDescent="0.35">
      <c r="A15" s="387" t="s">
        <v>207</v>
      </c>
      <c r="B15" t="s">
        <v>466</v>
      </c>
    </row>
    <row r="17" spans="1:7" x14ac:dyDescent="0.35">
      <c r="A17" s="387" t="s">
        <v>350</v>
      </c>
      <c r="B17" t="s">
        <v>607</v>
      </c>
      <c r="C17" t="s">
        <v>504</v>
      </c>
      <c r="D17" t="s">
        <v>506</v>
      </c>
      <c r="E17" t="s">
        <v>507</v>
      </c>
      <c r="F17" t="s">
        <v>857</v>
      </c>
      <c r="G17" t="s">
        <v>356</v>
      </c>
    </row>
    <row r="18" spans="1:7" x14ac:dyDescent="0.35">
      <c r="A18" s="388" t="s">
        <v>780</v>
      </c>
      <c r="B18">
        <v>12</v>
      </c>
      <c r="C18">
        <v>56</v>
      </c>
      <c r="D18">
        <v>3</v>
      </c>
      <c r="E18">
        <v>5</v>
      </c>
      <c r="F18">
        <v>3</v>
      </c>
      <c r="G18">
        <v>79</v>
      </c>
    </row>
    <row r="19" spans="1:7" x14ac:dyDescent="0.35">
      <c r="A19" s="388" t="s">
        <v>781</v>
      </c>
      <c r="B19">
        <v>45</v>
      </c>
      <c r="C19">
        <v>36</v>
      </c>
      <c r="D19">
        <v>1</v>
      </c>
      <c r="E19">
        <v>10</v>
      </c>
      <c r="F19">
        <v>1</v>
      </c>
      <c r="G19">
        <v>93</v>
      </c>
    </row>
    <row r="20" spans="1:7" x14ac:dyDescent="0.35">
      <c r="A20" s="388" t="s">
        <v>782</v>
      </c>
      <c r="B20">
        <v>34</v>
      </c>
      <c r="C20">
        <v>29</v>
      </c>
      <c r="D20">
        <v>1</v>
      </c>
      <c r="E20">
        <v>5</v>
      </c>
      <c r="F20">
        <v>1</v>
      </c>
      <c r="G20">
        <v>70</v>
      </c>
    </row>
    <row r="21" spans="1:7" x14ac:dyDescent="0.35">
      <c r="A21" s="388" t="s">
        <v>783</v>
      </c>
      <c r="B21">
        <v>26</v>
      </c>
      <c r="C21">
        <v>41</v>
      </c>
      <c r="D21">
        <v>2</v>
      </c>
      <c r="E21">
        <v>5</v>
      </c>
      <c r="F21">
        <v>5</v>
      </c>
      <c r="G21">
        <v>79</v>
      </c>
    </row>
    <row r="22" spans="1:7" x14ac:dyDescent="0.35">
      <c r="A22" s="388" t="s">
        <v>784</v>
      </c>
      <c r="B22">
        <v>15</v>
      </c>
      <c r="C22">
        <v>12</v>
      </c>
      <c r="D22">
        <v>0</v>
      </c>
      <c r="E22">
        <v>6</v>
      </c>
      <c r="F22">
        <v>4</v>
      </c>
      <c r="G22">
        <v>37</v>
      </c>
    </row>
    <row r="23" spans="1:7" x14ac:dyDescent="0.35">
      <c r="A23" s="388" t="s">
        <v>785</v>
      </c>
      <c r="B23">
        <v>0</v>
      </c>
      <c r="C23">
        <v>12</v>
      </c>
      <c r="D23">
        <v>1</v>
      </c>
      <c r="E23">
        <v>5</v>
      </c>
      <c r="F23">
        <v>1</v>
      </c>
      <c r="G23">
        <v>19</v>
      </c>
    </row>
    <row r="24" spans="1:7" x14ac:dyDescent="0.35">
      <c r="A24" s="388" t="s">
        <v>786</v>
      </c>
      <c r="B24">
        <v>0</v>
      </c>
      <c r="C24">
        <v>5</v>
      </c>
      <c r="D24">
        <v>0</v>
      </c>
      <c r="E24">
        <v>7</v>
      </c>
      <c r="F24">
        <v>4</v>
      </c>
      <c r="G24">
        <v>16</v>
      </c>
    </row>
    <row r="25" spans="1:7" x14ac:dyDescent="0.35">
      <c r="A25" s="388" t="s">
        <v>787</v>
      </c>
      <c r="B25">
        <v>0</v>
      </c>
      <c r="C25">
        <v>7</v>
      </c>
      <c r="D25">
        <v>1</v>
      </c>
      <c r="E25">
        <v>8</v>
      </c>
      <c r="F25">
        <v>2</v>
      </c>
      <c r="G25">
        <v>18</v>
      </c>
    </row>
    <row r="26" spans="1:7" x14ac:dyDescent="0.35">
      <c r="A26" s="388" t="s">
        <v>788</v>
      </c>
      <c r="B26">
        <v>0</v>
      </c>
      <c r="C26">
        <v>3</v>
      </c>
      <c r="D26">
        <v>0</v>
      </c>
      <c r="E26">
        <v>2</v>
      </c>
      <c r="F26">
        <v>1</v>
      </c>
      <c r="G26">
        <v>6</v>
      </c>
    </row>
    <row r="27" spans="1:7" x14ac:dyDescent="0.35">
      <c r="A27" s="388" t="s">
        <v>792</v>
      </c>
      <c r="B27">
        <v>0</v>
      </c>
      <c r="C27">
        <v>5</v>
      </c>
      <c r="D27">
        <v>1</v>
      </c>
      <c r="E27">
        <v>2</v>
      </c>
      <c r="F27">
        <v>0</v>
      </c>
      <c r="G27">
        <v>8</v>
      </c>
    </row>
    <row r="28" spans="1:7" x14ac:dyDescent="0.35">
      <c r="A28" s="388" t="s">
        <v>357</v>
      </c>
      <c r="B28">
        <v>132</v>
      </c>
      <c r="C28">
        <v>206</v>
      </c>
      <c r="D28">
        <v>10</v>
      </c>
      <c r="E28">
        <v>55</v>
      </c>
      <c r="F28">
        <v>22</v>
      </c>
      <c r="G28">
        <v>425</v>
      </c>
    </row>
    <row r="34" spans="1:6" x14ac:dyDescent="0.35">
      <c r="A34" s="387" t="s">
        <v>858</v>
      </c>
      <c r="B34" t="s">
        <v>466</v>
      </c>
    </row>
    <row r="36" spans="1:6" x14ac:dyDescent="0.35">
      <c r="A36" s="387" t="s">
        <v>350</v>
      </c>
      <c r="B36" t="s">
        <v>608</v>
      </c>
      <c r="C36" t="s">
        <v>859</v>
      </c>
      <c r="D36" t="s">
        <v>506</v>
      </c>
      <c r="E36" t="s">
        <v>507</v>
      </c>
      <c r="F36" t="s">
        <v>860</v>
      </c>
    </row>
    <row r="37" spans="1:6" x14ac:dyDescent="0.35">
      <c r="A37" s="388" t="s">
        <v>820</v>
      </c>
      <c r="B37">
        <v>100</v>
      </c>
      <c r="C37">
        <v>100</v>
      </c>
      <c r="D37">
        <v>100</v>
      </c>
      <c r="E37">
        <v>100</v>
      </c>
      <c r="F37">
        <v>100</v>
      </c>
    </row>
    <row r="38" spans="1:6" x14ac:dyDescent="0.35">
      <c r="A38" s="388" t="s">
        <v>357</v>
      </c>
      <c r="B38">
        <v>100</v>
      </c>
      <c r="C38">
        <v>100</v>
      </c>
      <c r="D38">
        <v>100</v>
      </c>
      <c r="E38">
        <v>100</v>
      </c>
      <c r="F38">
        <v>100</v>
      </c>
    </row>
    <row r="48" spans="1:6" x14ac:dyDescent="0.35">
      <c r="A48" s="387" t="s">
        <v>858</v>
      </c>
      <c r="B48" t="s">
        <v>466</v>
      </c>
    </row>
    <row r="50" spans="1:6" x14ac:dyDescent="0.35">
      <c r="A50" s="387" t="s">
        <v>350</v>
      </c>
      <c r="B50" t="s">
        <v>507</v>
      </c>
      <c r="C50" t="s">
        <v>859</v>
      </c>
      <c r="D50" t="s">
        <v>608</v>
      </c>
      <c r="E50" t="s">
        <v>506</v>
      </c>
      <c r="F50" t="s">
        <v>860</v>
      </c>
    </row>
    <row r="51" spans="1:6" x14ac:dyDescent="0.35">
      <c r="A51" s="388" t="s">
        <v>856</v>
      </c>
      <c r="B51">
        <v>100</v>
      </c>
      <c r="C51">
        <v>100</v>
      </c>
      <c r="D51">
        <v>100</v>
      </c>
      <c r="E51">
        <v>100</v>
      </c>
      <c r="F51">
        <v>100</v>
      </c>
    </row>
    <row r="52" spans="1:6" x14ac:dyDescent="0.35">
      <c r="A52" s="388" t="s">
        <v>357</v>
      </c>
      <c r="B52">
        <v>100</v>
      </c>
      <c r="C52">
        <v>100</v>
      </c>
      <c r="D52">
        <v>100</v>
      </c>
      <c r="E52">
        <v>100</v>
      </c>
      <c r="F52">
        <v>100</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Q99"/>
  <sheetViews>
    <sheetView zoomScale="80" zoomScaleNormal="80" workbookViewId="0">
      <selection activeCell="B11" sqref="B11"/>
    </sheetView>
  </sheetViews>
  <sheetFormatPr defaultRowHeight="14.5" x14ac:dyDescent="0.35"/>
  <cols>
    <col min="1" max="1" width="10.453125" customWidth="1"/>
    <col min="2" max="2" width="13.7265625" bestFit="1" customWidth="1"/>
    <col min="3" max="6" width="12.453125" bestFit="1" customWidth="1"/>
    <col min="7" max="7" width="6.81640625" bestFit="1" customWidth="1"/>
    <col min="10" max="10" width="8.08984375" bestFit="1" customWidth="1"/>
    <col min="11" max="11" width="13.08984375" bestFit="1" customWidth="1"/>
    <col min="12" max="12" width="24.08984375" bestFit="1" customWidth="1"/>
    <col min="13" max="13" width="23.26953125" bestFit="1" customWidth="1"/>
    <col min="14" max="14" width="10.08984375" bestFit="1" customWidth="1"/>
    <col min="15" max="15" width="10.453125" bestFit="1" customWidth="1"/>
    <col min="16" max="16" width="13.08984375" bestFit="1" customWidth="1"/>
    <col min="17" max="17" width="8.26953125" bestFit="1" customWidth="1"/>
  </cols>
  <sheetData>
    <row r="1" spans="1:17" x14ac:dyDescent="0.35">
      <c r="A1" t="s">
        <v>858</v>
      </c>
      <c r="B1" t="s">
        <v>861</v>
      </c>
      <c r="C1" t="s">
        <v>633</v>
      </c>
      <c r="D1" t="s">
        <v>609</v>
      </c>
      <c r="E1" t="s">
        <v>511</v>
      </c>
      <c r="F1" t="s">
        <v>512</v>
      </c>
      <c r="G1" t="s">
        <v>634</v>
      </c>
      <c r="J1" t="s">
        <v>207</v>
      </c>
      <c r="K1" t="s">
        <v>862</v>
      </c>
      <c r="L1" t="s">
        <v>515</v>
      </c>
      <c r="M1" t="s">
        <v>361</v>
      </c>
      <c r="N1" t="s">
        <v>511</v>
      </c>
      <c r="O1" t="s">
        <v>512</v>
      </c>
      <c r="P1" t="s">
        <v>847</v>
      </c>
      <c r="Q1" t="s">
        <v>340</v>
      </c>
    </row>
    <row r="2" spans="1:17" x14ac:dyDescent="0.35">
      <c r="A2" t="s">
        <v>214</v>
      </c>
      <c r="B2" t="s">
        <v>819</v>
      </c>
      <c r="D2">
        <v>1.6194331983805668</v>
      </c>
      <c r="F2">
        <v>2.1739130434782608</v>
      </c>
      <c r="J2" t="s">
        <v>214</v>
      </c>
      <c r="K2" t="s">
        <v>745</v>
      </c>
      <c r="L2">
        <v>14</v>
      </c>
      <c r="M2">
        <v>38</v>
      </c>
      <c r="N2">
        <v>24</v>
      </c>
      <c r="O2">
        <v>38</v>
      </c>
      <c r="P2">
        <v>8</v>
      </c>
      <c r="Q2">
        <v>122</v>
      </c>
    </row>
    <row r="3" spans="1:17" x14ac:dyDescent="0.35">
      <c r="A3" t="s">
        <v>313</v>
      </c>
      <c r="B3" t="s">
        <v>819</v>
      </c>
      <c r="D3">
        <v>0.89686098654708524</v>
      </c>
      <c r="J3" t="s">
        <v>214</v>
      </c>
      <c r="K3" t="s">
        <v>746</v>
      </c>
      <c r="L3">
        <v>180</v>
      </c>
      <c r="M3">
        <v>209</v>
      </c>
      <c r="N3">
        <v>5</v>
      </c>
      <c r="O3">
        <v>54</v>
      </c>
      <c r="P3">
        <v>16</v>
      </c>
      <c r="Q3">
        <v>464</v>
      </c>
    </row>
    <row r="4" spans="1:17" x14ac:dyDescent="0.35">
      <c r="A4" t="s">
        <v>319</v>
      </c>
      <c r="B4" t="s">
        <v>819</v>
      </c>
      <c r="C4">
        <v>0.92592592592592582</v>
      </c>
      <c r="D4">
        <v>0.75187969924812026</v>
      </c>
      <c r="F4">
        <v>5.3571428571428568</v>
      </c>
      <c r="J4" t="s">
        <v>313</v>
      </c>
      <c r="K4" t="s">
        <v>745</v>
      </c>
      <c r="L4">
        <v>21</v>
      </c>
      <c r="M4">
        <v>23</v>
      </c>
      <c r="N4">
        <v>0</v>
      </c>
      <c r="O4">
        <v>38</v>
      </c>
      <c r="P4">
        <v>6</v>
      </c>
      <c r="Q4">
        <v>88</v>
      </c>
    </row>
    <row r="5" spans="1:17" x14ac:dyDescent="0.35">
      <c r="A5" t="s">
        <v>321</v>
      </c>
      <c r="B5" t="s">
        <v>819</v>
      </c>
      <c r="C5">
        <v>1.4705882352941175</v>
      </c>
      <c r="D5">
        <v>0.6211180124223602</v>
      </c>
      <c r="F5">
        <v>6.0150375939849621</v>
      </c>
      <c r="J5" t="s">
        <v>313</v>
      </c>
      <c r="K5" t="s">
        <v>746</v>
      </c>
      <c r="L5">
        <v>98</v>
      </c>
      <c r="M5">
        <v>200</v>
      </c>
      <c r="N5">
        <v>0</v>
      </c>
      <c r="O5">
        <v>29</v>
      </c>
      <c r="P5">
        <v>15</v>
      </c>
      <c r="Q5">
        <v>342</v>
      </c>
    </row>
    <row r="6" spans="1:17" x14ac:dyDescent="0.35">
      <c r="A6" t="s">
        <v>327</v>
      </c>
      <c r="B6" t="s">
        <v>819</v>
      </c>
      <c r="F6">
        <v>2.7397260273972601</v>
      </c>
      <c r="J6" t="s">
        <v>319</v>
      </c>
      <c r="K6" t="s">
        <v>745</v>
      </c>
      <c r="L6">
        <v>3</v>
      </c>
      <c r="M6">
        <v>7</v>
      </c>
      <c r="N6">
        <v>4</v>
      </c>
      <c r="O6">
        <v>33</v>
      </c>
      <c r="P6">
        <v>1</v>
      </c>
      <c r="Q6">
        <v>48</v>
      </c>
    </row>
    <row r="7" spans="1:17" x14ac:dyDescent="0.35">
      <c r="A7" t="s">
        <v>214</v>
      </c>
      <c r="B7" t="s">
        <v>820</v>
      </c>
      <c r="C7">
        <v>59.27835051546392</v>
      </c>
      <c r="D7">
        <v>44.534412955465584</v>
      </c>
      <c r="E7">
        <v>62.068965517241381</v>
      </c>
      <c r="F7">
        <v>43.478260869565219</v>
      </c>
      <c r="G7">
        <v>100</v>
      </c>
      <c r="J7" t="s">
        <v>319</v>
      </c>
      <c r="K7" t="s">
        <v>746</v>
      </c>
      <c r="L7">
        <v>106</v>
      </c>
      <c r="M7">
        <v>126</v>
      </c>
      <c r="N7">
        <v>0</v>
      </c>
      <c r="O7">
        <v>23</v>
      </c>
      <c r="P7">
        <v>7</v>
      </c>
      <c r="Q7">
        <v>262</v>
      </c>
    </row>
    <row r="8" spans="1:17" x14ac:dyDescent="0.35">
      <c r="A8" t="s">
        <v>313</v>
      </c>
      <c r="B8" t="s">
        <v>820</v>
      </c>
      <c r="C8">
        <v>85.714285714285708</v>
      </c>
      <c r="D8">
        <v>88.340807174887885</v>
      </c>
      <c r="F8">
        <v>62.68656716417911</v>
      </c>
      <c r="G8">
        <v>95.238095238095227</v>
      </c>
      <c r="J8" t="s">
        <v>321</v>
      </c>
      <c r="K8" t="s">
        <v>745</v>
      </c>
      <c r="L8">
        <v>10</v>
      </c>
      <c r="M8">
        <v>21</v>
      </c>
      <c r="N8">
        <v>7</v>
      </c>
      <c r="O8">
        <v>69</v>
      </c>
      <c r="P8">
        <v>2</v>
      </c>
      <c r="Q8">
        <v>109</v>
      </c>
    </row>
    <row r="9" spans="1:17" x14ac:dyDescent="0.35">
      <c r="A9" t="s">
        <v>319</v>
      </c>
      <c r="B9" t="s">
        <v>820</v>
      </c>
      <c r="C9">
        <v>77.777777777777786</v>
      </c>
      <c r="D9">
        <v>90.977443609022558</v>
      </c>
      <c r="E9">
        <v>40</v>
      </c>
      <c r="F9">
        <v>55.357142857142854</v>
      </c>
      <c r="G9">
        <v>100</v>
      </c>
      <c r="J9" t="s">
        <v>321</v>
      </c>
      <c r="K9" t="s">
        <v>746</v>
      </c>
      <c r="L9">
        <v>124</v>
      </c>
      <c r="M9">
        <v>140</v>
      </c>
      <c r="N9">
        <v>2</v>
      </c>
      <c r="O9">
        <v>66</v>
      </c>
      <c r="P9">
        <v>8</v>
      </c>
      <c r="Q9">
        <v>340</v>
      </c>
    </row>
    <row r="10" spans="1:17" x14ac:dyDescent="0.35">
      <c r="A10" t="s">
        <v>321</v>
      </c>
      <c r="B10" t="s">
        <v>820</v>
      </c>
      <c r="C10">
        <v>81.617647058823522</v>
      </c>
      <c r="D10">
        <v>94.409937888198755</v>
      </c>
      <c r="E10">
        <v>77.777777777777786</v>
      </c>
      <c r="F10">
        <v>58.646616541353382</v>
      </c>
      <c r="G10">
        <v>100</v>
      </c>
      <c r="J10" t="s">
        <v>326</v>
      </c>
      <c r="K10" t="s">
        <v>745</v>
      </c>
      <c r="L10">
        <v>14</v>
      </c>
      <c r="M10">
        <v>16</v>
      </c>
      <c r="N10">
        <v>12</v>
      </c>
      <c r="O10">
        <v>29</v>
      </c>
      <c r="P10">
        <v>0</v>
      </c>
      <c r="Q10">
        <v>71</v>
      </c>
    </row>
    <row r="11" spans="1:17" x14ac:dyDescent="0.35">
      <c r="A11" t="s">
        <v>326</v>
      </c>
      <c r="B11" t="s">
        <v>820</v>
      </c>
      <c r="C11">
        <v>82.222222222222214</v>
      </c>
      <c r="D11">
        <v>92.964824120603012</v>
      </c>
      <c r="E11">
        <v>90</v>
      </c>
      <c r="F11">
        <v>73.015873015873012</v>
      </c>
      <c r="G11">
        <v>93.333333333333329</v>
      </c>
      <c r="J11" t="s">
        <v>326</v>
      </c>
      <c r="K11" t="s">
        <v>746</v>
      </c>
      <c r="L11">
        <v>212</v>
      </c>
      <c r="M11">
        <v>183</v>
      </c>
      <c r="N11">
        <v>6</v>
      </c>
      <c r="O11">
        <v>35</v>
      </c>
      <c r="P11">
        <v>15</v>
      </c>
      <c r="Q11">
        <v>451</v>
      </c>
    </row>
    <row r="12" spans="1:17" x14ac:dyDescent="0.35">
      <c r="A12" t="s">
        <v>327</v>
      </c>
      <c r="B12" t="s">
        <v>820</v>
      </c>
      <c r="C12">
        <v>95.061728395061735</v>
      </c>
      <c r="D12">
        <v>94.354838709677423</v>
      </c>
      <c r="E12">
        <v>100</v>
      </c>
      <c r="F12">
        <v>69.863013698630141</v>
      </c>
      <c r="G12">
        <v>100</v>
      </c>
      <c r="J12" t="s">
        <v>327</v>
      </c>
      <c r="K12" t="s">
        <v>745</v>
      </c>
      <c r="L12">
        <v>13</v>
      </c>
      <c r="M12">
        <v>26</v>
      </c>
      <c r="N12">
        <v>1</v>
      </c>
      <c r="O12">
        <v>32</v>
      </c>
      <c r="P12">
        <v>3</v>
      </c>
      <c r="Q12">
        <v>75</v>
      </c>
    </row>
    <row r="13" spans="1:17" x14ac:dyDescent="0.35">
      <c r="A13" t="s">
        <v>466</v>
      </c>
      <c r="B13" t="s">
        <v>820</v>
      </c>
      <c r="C13">
        <v>100</v>
      </c>
      <c r="D13">
        <v>100</v>
      </c>
      <c r="E13">
        <v>100</v>
      </c>
      <c r="F13">
        <v>100</v>
      </c>
      <c r="G13">
        <v>100</v>
      </c>
      <c r="J13" t="s">
        <v>327</v>
      </c>
      <c r="K13" t="s">
        <v>746</v>
      </c>
      <c r="L13">
        <v>79</v>
      </c>
      <c r="M13">
        <v>222</v>
      </c>
      <c r="N13">
        <v>0</v>
      </c>
      <c r="O13">
        <v>41</v>
      </c>
      <c r="P13">
        <v>15</v>
      </c>
      <c r="Q13">
        <v>357</v>
      </c>
    </row>
    <row r="14" spans="1:17" x14ac:dyDescent="0.35">
      <c r="A14" t="s">
        <v>214</v>
      </c>
      <c r="B14" t="s">
        <v>818</v>
      </c>
      <c r="C14">
        <v>40.72164948453608</v>
      </c>
      <c r="D14">
        <v>53.846153846153847</v>
      </c>
      <c r="E14">
        <v>37.931034482758619</v>
      </c>
      <c r="F14">
        <v>54.347826086956516</v>
      </c>
      <c r="J14" t="s">
        <v>466</v>
      </c>
      <c r="K14" t="s">
        <v>745</v>
      </c>
      <c r="L14">
        <v>10</v>
      </c>
      <c r="M14">
        <v>27</v>
      </c>
      <c r="N14">
        <v>8</v>
      </c>
      <c r="O14">
        <v>22</v>
      </c>
      <c r="P14">
        <v>5</v>
      </c>
      <c r="Q14">
        <v>72</v>
      </c>
    </row>
    <row r="15" spans="1:17" x14ac:dyDescent="0.35">
      <c r="A15" t="s">
        <v>313</v>
      </c>
      <c r="B15" t="s">
        <v>818</v>
      </c>
      <c r="C15">
        <v>14.285714285714285</v>
      </c>
      <c r="D15">
        <v>10.762331838565023</v>
      </c>
      <c r="F15">
        <v>37.313432835820898</v>
      </c>
      <c r="G15">
        <v>4.7619047619047619</v>
      </c>
      <c r="J15" t="s">
        <v>466</v>
      </c>
      <c r="K15" t="s">
        <v>746</v>
      </c>
      <c r="L15">
        <v>122</v>
      </c>
      <c r="M15">
        <v>179</v>
      </c>
      <c r="N15">
        <v>2</v>
      </c>
      <c r="O15">
        <v>33</v>
      </c>
      <c r="P15">
        <v>17</v>
      </c>
      <c r="Q15">
        <v>353</v>
      </c>
    </row>
    <row r="16" spans="1:17" x14ac:dyDescent="0.35">
      <c r="A16" t="s">
        <v>319</v>
      </c>
      <c r="B16" t="s">
        <v>818</v>
      </c>
      <c r="C16">
        <v>21.296296296296298</v>
      </c>
      <c r="D16">
        <v>8.2706766917293226</v>
      </c>
      <c r="E16">
        <v>60</v>
      </c>
      <c r="F16">
        <v>39.285714285714285</v>
      </c>
    </row>
    <row r="17" spans="1:17" x14ac:dyDescent="0.35">
      <c r="A17" t="s">
        <v>321</v>
      </c>
      <c r="B17" t="s">
        <v>818</v>
      </c>
      <c r="C17">
        <v>16.911764705882355</v>
      </c>
      <c r="D17">
        <v>4.9689440993788816</v>
      </c>
      <c r="E17">
        <v>22.222222222222221</v>
      </c>
      <c r="F17">
        <v>35.338345864661655</v>
      </c>
    </row>
    <row r="18" spans="1:17" x14ac:dyDescent="0.35">
      <c r="A18" t="s">
        <v>326</v>
      </c>
      <c r="B18" t="s">
        <v>818</v>
      </c>
      <c r="C18">
        <v>17.777777777777779</v>
      </c>
      <c r="D18">
        <v>7.0351758793969852</v>
      </c>
      <c r="E18">
        <v>10</v>
      </c>
      <c r="F18">
        <v>26.984126984126984</v>
      </c>
      <c r="G18">
        <v>6.666666666666667</v>
      </c>
    </row>
    <row r="19" spans="1:17" x14ac:dyDescent="0.35">
      <c r="A19" t="s">
        <v>327</v>
      </c>
      <c r="B19" t="s">
        <v>818</v>
      </c>
      <c r="C19">
        <v>4.9382716049382713</v>
      </c>
      <c r="D19">
        <v>5.6451612903225801</v>
      </c>
      <c r="F19">
        <v>27.397260273972602</v>
      </c>
    </row>
    <row r="24" spans="1:17" x14ac:dyDescent="0.35">
      <c r="J24" t="s">
        <v>207</v>
      </c>
      <c r="K24" t="s">
        <v>90</v>
      </c>
      <c r="L24" t="s">
        <v>515</v>
      </c>
      <c r="M24" t="s">
        <v>361</v>
      </c>
      <c r="N24" t="s">
        <v>511</v>
      </c>
      <c r="O24" t="s">
        <v>512</v>
      </c>
      <c r="P24" t="s">
        <v>847</v>
      </c>
      <c r="Q24" t="s">
        <v>340</v>
      </c>
    </row>
    <row r="25" spans="1:17" x14ac:dyDescent="0.35">
      <c r="A25" t="s">
        <v>858</v>
      </c>
      <c r="B25" t="s">
        <v>863</v>
      </c>
      <c r="C25" t="s">
        <v>633</v>
      </c>
      <c r="D25" t="s">
        <v>609</v>
      </c>
      <c r="E25" t="s">
        <v>511</v>
      </c>
      <c r="F25" t="s">
        <v>512</v>
      </c>
      <c r="G25" t="s">
        <v>634</v>
      </c>
      <c r="J25" t="s">
        <v>214</v>
      </c>
      <c r="K25" t="s">
        <v>780</v>
      </c>
      <c r="L25">
        <v>26</v>
      </c>
      <c r="M25">
        <v>56</v>
      </c>
      <c r="N25">
        <v>8</v>
      </c>
      <c r="O25">
        <v>11</v>
      </c>
      <c r="P25">
        <v>4</v>
      </c>
      <c r="Q25">
        <v>105</v>
      </c>
    </row>
    <row r="26" spans="1:17" x14ac:dyDescent="0.35">
      <c r="A26" t="s">
        <v>214</v>
      </c>
      <c r="B26" t="s">
        <v>854</v>
      </c>
      <c r="C26">
        <v>3.608247422680412</v>
      </c>
      <c r="D26">
        <v>1.214574898785425</v>
      </c>
      <c r="F26">
        <v>2.1739130434782608</v>
      </c>
      <c r="J26" t="s">
        <v>214</v>
      </c>
      <c r="K26" t="s">
        <v>781</v>
      </c>
      <c r="L26">
        <v>61</v>
      </c>
      <c r="M26">
        <v>50</v>
      </c>
      <c r="N26">
        <v>9</v>
      </c>
      <c r="O26">
        <v>12</v>
      </c>
      <c r="P26">
        <v>5</v>
      </c>
      <c r="Q26">
        <v>137</v>
      </c>
    </row>
    <row r="27" spans="1:17" x14ac:dyDescent="0.35">
      <c r="A27" t="s">
        <v>313</v>
      </c>
      <c r="B27" t="s">
        <v>854</v>
      </c>
      <c r="C27">
        <v>0.84033613445378152</v>
      </c>
      <c r="D27">
        <v>0.44843049327354262</v>
      </c>
      <c r="F27">
        <v>4.4776119402985071</v>
      </c>
      <c r="J27" t="s">
        <v>214</v>
      </c>
      <c r="K27" t="s">
        <v>782</v>
      </c>
      <c r="L27">
        <v>61</v>
      </c>
      <c r="M27">
        <v>50</v>
      </c>
      <c r="N27">
        <v>7</v>
      </c>
      <c r="O27">
        <v>8</v>
      </c>
      <c r="P27">
        <v>3</v>
      </c>
      <c r="Q27">
        <v>129</v>
      </c>
    </row>
    <row r="28" spans="1:17" x14ac:dyDescent="0.35">
      <c r="A28" t="s">
        <v>319</v>
      </c>
      <c r="B28" t="s">
        <v>854</v>
      </c>
      <c r="F28">
        <v>3.5714285714285712</v>
      </c>
      <c r="J28" t="s">
        <v>214</v>
      </c>
      <c r="K28" t="s">
        <v>783</v>
      </c>
      <c r="L28">
        <v>25</v>
      </c>
      <c r="M28">
        <v>30</v>
      </c>
      <c r="N28">
        <v>5</v>
      </c>
      <c r="O28">
        <v>7</v>
      </c>
      <c r="P28">
        <v>3</v>
      </c>
      <c r="Q28">
        <v>70</v>
      </c>
    </row>
    <row r="29" spans="1:17" x14ac:dyDescent="0.35">
      <c r="A29" t="s">
        <v>326</v>
      </c>
      <c r="B29" t="s">
        <v>854</v>
      </c>
      <c r="C29">
        <v>1.3333333333333335</v>
      </c>
      <c r="J29" t="s">
        <v>214</v>
      </c>
      <c r="K29" t="s">
        <v>784</v>
      </c>
      <c r="L29">
        <v>13</v>
      </c>
      <c r="M29">
        <v>28</v>
      </c>
      <c r="N29">
        <v>0</v>
      </c>
      <c r="O29">
        <v>12</v>
      </c>
      <c r="P29">
        <v>2</v>
      </c>
      <c r="Q29">
        <v>55</v>
      </c>
    </row>
    <row r="30" spans="1:17" x14ac:dyDescent="0.35">
      <c r="A30" t="s">
        <v>327</v>
      </c>
      <c r="B30" t="s">
        <v>854</v>
      </c>
      <c r="F30">
        <v>2.7397260273972601</v>
      </c>
      <c r="J30" t="s">
        <v>214</v>
      </c>
      <c r="K30" t="s">
        <v>785</v>
      </c>
      <c r="L30">
        <v>7</v>
      </c>
      <c r="M30">
        <v>16</v>
      </c>
      <c r="N30">
        <v>0</v>
      </c>
      <c r="O30">
        <v>13</v>
      </c>
      <c r="P30">
        <v>3</v>
      </c>
      <c r="Q30">
        <v>39</v>
      </c>
    </row>
    <row r="31" spans="1:17" x14ac:dyDescent="0.35">
      <c r="A31" t="s">
        <v>214</v>
      </c>
      <c r="B31" t="s">
        <v>855</v>
      </c>
      <c r="C31">
        <v>38.144329896907216</v>
      </c>
      <c r="D31">
        <v>54.251012145748987</v>
      </c>
      <c r="E31">
        <v>34.482758620689658</v>
      </c>
      <c r="F31">
        <v>48.913043478260867</v>
      </c>
      <c r="J31" t="s">
        <v>214</v>
      </c>
      <c r="K31" t="s">
        <v>786</v>
      </c>
      <c r="L31">
        <v>1</v>
      </c>
      <c r="M31">
        <v>11</v>
      </c>
      <c r="N31">
        <v>0</v>
      </c>
      <c r="O31">
        <v>9</v>
      </c>
      <c r="P31">
        <v>3</v>
      </c>
      <c r="Q31">
        <v>24</v>
      </c>
    </row>
    <row r="32" spans="1:17" x14ac:dyDescent="0.35">
      <c r="A32" t="s">
        <v>313</v>
      </c>
      <c r="B32" t="s">
        <v>855</v>
      </c>
      <c r="C32">
        <v>9.2436974789915975</v>
      </c>
      <c r="D32">
        <v>8.5201793721973083</v>
      </c>
      <c r="F32">
        <v>23.880597014925371</v>
      </c>
      <c r="J32" t="s">
        <v>214</v>
      </c>
      <c r="K32" t="s">
        <v>787</v>
      </c>
      <c r="L32">
        <v>0</v>
      </c>
      <c r="M32">
        <v>2</v>
      </c>
      <c r="N32">
        <v>0</v>
      </c>
      <c r="O32">
        <v>11</v>
      </c>
      <c r="P32">
        <v>0</v>
      </c>
      <c r="Q32">
        <v>13</v>
      </c>
    </row>
    <row r="33" spans="1:17" x14ac:dyDescent="0.35">
      <c r="A33" t="s">
        <v>319</v>
      </c>
      <c r="B33" t="s">
        <v>855</v>
      </c>
      <c r="C33">
        <v>15.74074074074074</v>
      </c>
      <c r="D33">
        <v>7.518796992481203</v>
      </c>
      <c r="E33">
        <v>60</v>
      </c>
      <c r="F33">
        <v>30.357142857142854</v>
      </c>
      <c r="J33" t="s">
        <v>214</v>
      </c>
      <c r="K33" t="s">
        <v>788</v>
      </c>
      <c r="L33">
        <v>0</v>
      </c>
      <c r="M33">
        <v>0</v>
      </c>
      <c r="N33">
        <v>0</v>
      </c>
      <c r="O33">
        <v>6</v>
      </c>
      <c r="P33">
        <v>0</v>
      </c>
      <c r="Q33">
        <v>6</v>
      </c>
    </row>
    <row r="34" spans="1:17" x14ac:dyDescent="0.35">
      <c r="A34" t="s">
        <v>321</v>
      </c>
      <c r="B34" t="s">
        <v>855</v>
      </c>
      <c r="C34">
        <v>16.911764705882355</v>
      </c>
      <c r="D34">
        <v>3.7267080745341614</v>
      </c>
      <c r="E34">
        <v>22.222222222222221</v>
      </c>
      <c r="F34">
        <v>31.578947368421051</v>
      </c>
      <c r="J34" t="s">
        <v>214</v>
      </c>
      <c r="K34" t="s">
        <v>789</v>
      </c>
      <c r="L34">
        <v>0</v>
      </c>
      <c r="M34">
        <v>0</v>
      </c>
      <c r="N34">
        <v>0</v>
      </c>
      <c r="O34">
        <v>1</v>
      </c>
      <c r="P34">
        <v>1</v>
      </c>
      <c r="Q34">
        <v>2</v>
      </c>
    </row>
    <row r="35" spans="1:17" x14ac:dyDescent="0.35">
      <c r="A35" t="s">
        <v>326</v>
      </c>
      <c r="B35" t="s">
        <v>855</v>
      </c>
      <c r="C35">
        <v>16</v>
      </c>
      <c r="D35">
        <v>4.5226130653266337</v>
      </c>
      <c r="E35">
        <v>10</v>
      </c>
      <c r="F35">
        <v>20.634920634920633</v>
      </c>
      <c r="J35" t="s">
        <v>214</v>
      </c>
      <c r="K35" t="s">
        <v>792</v>
      </c>
      <c r="L35">
        <v>0</v>
      </c>
      <c r="M35">
        <v>4</v>
      </c>
      <c r="N35">
        <v>0</v>
      </c>
      <c r="O35">
        <v>2</v>
      </c>
      <c r="P35">
        <v>0</v>
      </c>
      <c r="Q35">
        <v>6</v>
      </c>
    </row>
    <row r="36" spans="1:17" x14ac:dyDescent="0.35">
      <c r="A36" t="s">
        <v>327</v>
      </c>
      <c r="B36" t="s">
        <v>855</v>
      </c>
      <c r="C36">
        <v>4.9382716049382713</v>
      </c>
      <c r="D36">
        <v>3.225806451612903</v>
      </c>
      <c r="F36">
        <v>16.43835616438356</v>
      </c>
      <c r="J36" t="s">
        <v>313</v>
      </c>
      <c r="K36" t="s">
        <v>780</v>
      </c>
      <c r="L36">
        <v>7</v>
      </c>
      <c r="M36">
        <v>52</v>
      </c>
      <c r="N36">
        <v>0</v>
      </c>
      <c r="O36">
        <v>6</v>
      </c>
      <c r="P36">
        <v>4</v>
      </c>
      <c r="Q36">
        <v>69</v>
      </c>
    </row>
    <row r="37" spans="1:17" x14ac:dyDescent="0.35">
      <c r="A37" t="s">
        <v>214</v>
      </c>
      <c r="B37" t="s">
        <v>856</v>
      </c>
      <c r="C37">
        <v>58.247422680412377</v>
      </c>
      <c r="D37">
        <v>44.534412955465584</v>
      </c>
      <c r="E37">
        <v>65.517241379310349</v>
      </c>
      <c r="F37">
        <v>48.913043478260867</v>
      </c>
      <c r="G37">
        <v>100</v>
      </c>
      <c r="J37" t="s">
        <v>313</v>
      </c>
      <c r="K37" t="s">
        <v>781</v>
      </c>
      <c r="L37">
        <v>41</v>
      </c>
      <c r="M37">
        <v>43</v>
      </c>
      <c r="N37">
        <v>0</v>
      </c>
      <c r="O37">
        <v>14</v>
      </c>
      <c r="P37">
        <v>2</v>
      </c>
      <c r="Q37">
        <v>100</v>
      </c>
    </row>
    <row r="38" spans="1:17" x14ac:dyDescent="0.35">
      <c r="A38" t="s">
        <v>313</v>
      </c>
      <c r="B38" t="s">
        <v>856</v>
      </c>
      <c r="C38">
        <v>89.915966386554629</v>
      </c>
      <c r="D38">
        <v>91.031390134529147</v>
      </c>
      <c r="F38">
        <v>71.641791044776113</v>
      </c>
      <c r="G38">
        <v>100</v>
      </c>
      <c r="J38" t="s">
        <v>313</v>
      </c>
      <c r="K38" t="s">
        <v>782</v>
      </c>
      <c r="L38">
        <v>43</v>
      </c>
      <c r="M38">
        <v>42</v>
      </c>
      <c r="N38">
        <v>0</v>
      </c>
      <c r="O38">
        <v>5</v>
      </c>
      <c r="P38">
        <v>6</v>
      </c>
      <c r="Q38">
        <v>96</v>
      </c>
    </row>
    <row r="39" spans="1:17" x14ac:dyDescent="0.35">
      <c r="A39" t="s">
        <v>319</v>
      </c>
      <c r="B39" t="s">
        <v>856</v>
      </c>
      <c r="C39">
        <v>84.259259259259252</v>
      </c>
      <c r="D39">
        <v>92.481203007518801</v>
      </c>
      <c r="E39">
        <v>40</v>
      </c>
      <c r="F39">
        <v>66.071428571428569</v>
      </c>
      <c r="G39">
        <v>100</v>
      </c>
      <c r="J39" t="s">
        <v>313</v>
      </c>
      <c r="K39" t="s">
        <v>783</v>
      </c>
      <c r="L39">
        <v>14</v>
      </c>
      <c r="M39">
        <v>40</v>
      </c>
      <c r="N39">
        <v>0</v>
      </c>
      <c r="O39">
        <v>10</v>
      </c>
      <c r="P39">
        <v>2</v>
      </c>
      <c r="Q39">
        <v>66</v>
      </c>
    </row>
    <row r="40" spans="1:17" x14ac:dyDescent="0.35">
      <c r="A40" t="s">
        <v>321</v>
      </c>
      <c r="B40" t="s">
        <v>856</v>
      </c>
      <c r="C40">
        <v>83.088235294117652</v>
      </c>
      <c r="D40">
        <v>96.273291925465841</v>
      </c>
      <c r="E40">
        <v>77.777777777777786</v>
      </c>
      <c r="F40">
        <v>68.421052631578945</v>
      </c>
      <c r="G40">
        <v>100</v>
      </c>
      <c r="J40" t="s">
        <v>313</v>
      </c>
      <c r="K40" t="s">
        <v>784</v>
      </c>
      <c r="L40">
        <v>9</v>
      </c>
      <c r="M40">
        <v>11</v>
      </c>
      <c r="N40">
        <v>0</v>
      </c>
      <c r="O40">
        <v>10</v>
      </c>
      <c r="P40">
        <v>1</v>
      </c>
      <c r="Q40">
        <v>31</v>
      </c>
    </row>
    <row r="41" spans="1:17" x14ac:dyDescent="0.35">
      <c r="A41" t="s">
        <v>326</v>
      </c>
      <c r="B41" t="s">
        <v>856</v>
      </c>
      <c r="C41">
        <v>82.666666666666671</v>
      </c>
      <c r="D41">
        <v>95.477386934673376</v>
      </c>
      <c r="E41">
        <v>90</v>
      </c>
      <c r="F41">
        <v>79.365079365079367</v>
      </c>
      <c r="G41">
        <v>100</v>
      </c>
      <c r="J41" t="s">
        <v>313</v>
      </c>
      <c r="K41" t="s">
        <v>785</v>
      </c>
      <c r="L41">
        <v>3</v>
      </c>
      <c r="M41">
        <v>16</v>
      </c>
      <c r="N41">
        <v>0</v>
      </c>
      <c r="O41">
        <v>5</v>
      </c>
      <c r="P41">
        <v>3</v>
      </c>
      <c r="Q41">
        <v>27</v>
      </c>
    </row>
    <row r="42" spans="1:17" x14ac:dyDescent="0.35">
      <c r="A42" t="s">
        <v>327</v>
      </c>
      <c r="B42" t="s">
        <v>856</v>
      </c>
      <c r="C42">
        <v>95.061728395061735</v>
      </c>
      <c r="D42">
        <v>96.774193548387103</v>
      </c>
      <c r="E42">
        <v>100</v>
      </c>
      <c r="F42">
        <v>80.821917808219183</v>
      </c>
      <c r="G42">
        <v>100</v>
      </c>
      <c r="J42" t="s">
        <v>313</v>
      </c>
      <c r="K42" t="s">
        <v>786</v>
      </c>
      <c r="L42">
        <v>1</v>
      </c>
      <c r="M42">
        <v>8</v>
      </c>
      <c r="N42">
        <v>0</v>
      </c>
      <c r="O42">
        <v>7</v>
      </c>
      <c r="P42">
        <v>3</v>
      </c>
      <c r="Q42">
        <v>19</v>
      </c>
    </row>
    <row r="43" spans="1:17" x14ac:dyDescent="0.35">
      <c r="A43" t="s">
        <v>466</v>
      </c>
      <c r="B43" t="s">
        <v>856</v>
      </c>
      <c r="C43">
        <v>100</v>
      </c>
      <c r="D43">
        <v>100</v>
      </c>
      <c r="E43">
        <v>100</v>
      </c>
      <c r="F43">
        <v>100</v>
      </c>
      <c r="G43">
        <v>100</v>
      </c>
      <c r="J43" t="s">
        <v>313</v>
      </c>
      <c r="K43" t="s">
        <v>787</v>
      </c>
      <c r="L43">
        <v>1</v>
      </c>
      <c r="M43">
        <v>3</v>
      </c>
      <c r="N43">
        <v>0</v>
      </c>
      <c r="O43">
        <v>6</v>
      </c>
      <c r="P43">
        <v>0</v>
      </c>
      <c r="Q43">
        <v>10</v>
      </c>
    </row>
    <row r="44" spans="1:17" x14ac:dyDescent="0.35">
      <c r="J44" t="s">
        <v>313</v>
      </c>
      <c r="K44" t="s">
        <v>788</v>
      </c>
      <c r="L44">
        <v>0</v>
      </c>
      <c r="M44">
        <v>0</v>
      </c>
      <c r="N44">
        <v>0</v>
      </c>
      <c r="O44">
        <v>1</v>
      </c>
      <c r="P44">
        <v>0</v>
      </c>
      <c r="Q44">
        <v>1</v>
      </c>
    </row>
    <row r="45" spans="1:17" x14ac:dyDescent="0.35">
      <c r="J45" t="s">
        <v>313</v>
      </c>
      <c r="K45" t="s">
        <v>792</v>
      </c>
      <c r="L45">
        <v>0</v>
      </c>
      <c r="M45">
        <v>8</v>
      </c>
      <c r="N45">
        <v>0</v>
      </c>
      <c r="O45">
        <v>3</v>
      </c>
      <c r="P45">
        <v>0</v>
      </c>
      <c r="Q45">
        <v>11</v>
      </c>
    </row>
    <row r="46" spans="1:17" x14ac:dyDescent="0.35">
      <c r="J46" t="s">
        <v>319</v>
      </c>
      <c r="K46" t="s">
        <v>780</v>
      </c>
      <c r="L46">
        <v>11</v>
      </c>
      <c r="M46">
        <v>26</v>
      </c>
      <c r="N46">
        <v>1</v>
      </c>
      <c r="O46">
        <v>4</v>
      </c>
      <c r="P46">
        <v>0</v>
      </c>
      <c r="Q46">
        <v>42</v>
      </c>
    </row>
    <row r="47" spans="1:17" x14ac:dyDescent="0.35">
      <c r="J47" t="s">
        <v>319</v>
      </c>
      <c r="K47" t="s">
        <v>781</v>
      </c>
      <c r="L47">
        <v>37</v>
      </c>
      <c r="M47">
        <v>33</v>
      </c>
      <c r="N47">
        <v>0</v>
      </c>
      <c r="O47">
        <v>8</v>
      </c>
      <c r="P47">
        <v>2</v>
      </c>
      <c r="Q47">
        <v>80</v>
      </c>
    </row>
    <row r="48" spans="1:17" x14ac:dyDescent="0.35">
      <c r="J48" t="s">
        <v>319</v>
      </c>
      <c r="K48" t="s">
        <v>782</v>
      </c>
      <c r="L48">
        <v>35</v>
      </c>
      <c r="M48">
        <v>31</v>
      </c>
      <c r="N48">
        <v>1</v>
      </c>
      <c r="O48">
        <v>13</v>
      </c>
      <c r="P48">
        <v>2</v>
      </c>
      <c r="Q48">
        <v>82</v>
      </c>
    </row>
    <row r="49" spans="10:17" x14ac:dyDescent="0.35">
      <c r="J49" t="s">
        <v>319</v>
      </c>
      <c r="K49" t="s">
        <v>783</v>
      </c>
      <c r="L49">
        <v>17</v>
      </c>
      <c r="M49">
        <v>22</v>
      </c>
      <c r="N49">
        <v>0</v>
      </c>
      <c r="O49">
        <v>6</v>
      </c>
      <c r="P49">
        <v>1</v>
      </c>
      <c r="Q49">
        <v>46</v>
      </c>
    </row>
    <row r="50" spans="10:17" x14ac:dyDescent="0.35">
      <c r="J50" t="s">
        <v>319</v>
      </c>
      <c r="K50" t="s">
        <v>784</v>
      </c>
      <c r="L50">
        <v>6</v>
      </c>
      <c r="M50">
        <v>5</v>
      </c>
      <c r="N50">
        <v>1</v>
      </c>
      <c r="O50">
        <v>3</v>
      </c>
      <c r="P50">
        <v>0</v>
      </c>
      <c r="Q50">
        <v>15</v>
      </c>
    </row>
    <row r="51" spans="10:17" x14ac:dyDescent="0.35">
      <c r="J51" t="s">
        <v>319</v>
      </c>
      <c r="K51" t="s">
        <v>785</v>
      </c>
      <c r="L51">
        <v>2</v>
      </c>
      <c r="M51">
        <v>6</v>
      </c>
      <c r="N51">
        <v>0</v>
      </c>
      <c r="O51">
        <v>3</v>
      </c>
      <c r="P51">
        <v>2</v>
      </c>
      <c r="Q51">
        <v>13</v>
      </c>
    </row>
    <row r="52" spans="10:17" x14ac:dyDescent="0.35">
      <c r="J52" t="s">
        <v>319</v>
      </c>
      <c r="K52" t="s">
        <v>786</v>
      </c>
      <c r="L52">
        <v>0</v>
      </c>
      <c r="M52">
        <v>6</v>
      </c>
      <c r="N52">
        <v>0</v>
      </c>
      <c r="O52">
        <v>8</v>
      </c>
      <c r="P52">
        <v>0</v>
      </c>
      <c r="Q52">
        <v>14</v>
      </c>
    </row>
    <row r="53" spans="10:17" x14ac:dyDescent="0.35">
      <c r="J53" t="s">
        <v>319</v>
      </c>
      <c r="K53" t="s">
        <v>787</v>
      </c>
      <c r="L53">
        <v>1</v>
      </c>
      <c r="M53">
        <v>3</v>
      </c>
      <c r="N53">
        <v>0</v>
      </c>
      <c r="O53">
        <v>6</v>
      </c>
      <c r="P53">
        <v>1</v>
      </c>
      <c r="Q53">
        <v>11</v>
      </c>
    </row>
    <row r="54" spans="10:17" x14ac:dyDescent="0.35">
      <c r="J54" t="s">
        <v>319</v>
      </c>
      <c r="K54" t="s">
        <v>788</v>
      </c>
      <c r="L54">
        <v>0</v>
      </c>
      <c r="M54">
        <v>0</v>
      </c>
      <c r="N54">
        <v>1</v>
      </c>
      <c r="O54">
        <v>4</v>
      </c>
      <c r="P54">
        <v>0</v>
      </c>
      <c r="Q54">
        <v>5</v>
      </c>
    </row>
    <row r="55" spans="10:17" x14ac:dyDescent="0.35">
      <c r="J55" t="s">
        <v>319</v>
      </c>
      <c r="K55" t="s">
        <v>792</v>
      </c>
      <c r="L55">
        <v>0</v>
      </c>
      <c r="M55">
        <v>1</v>
      </c>
      <c r="N55">
        <v>0</v>
      </c>
      <c r="O55">
        <v>1</v>
      </c>
      <c r="P55">
        <v>0</v>
      </c>
      <c r="Q55">
        <v>2</v>
      </c>
    </row>
    <row r="56" spans="10:17" x14ac:dyDescent="0.35">
      <c r="J56" t="s">
        <v>321</v>
      </c>
      <c r="K56" t="s">
        <v>780</v>
      </c>
      <c r="L56">
        <v>17</v>
      </c>
      <c r="M56">
        <v>39</v>
      </c>
      <c r="N56">
        <v>3</v>
      </c>
      <c r="O56">
        <v>14</v>
      </c>
      <c r="P56">
        <v>0</v>
      </c>
      <c r="Q56">
        <v>73</v>
      </c>
    </row>
    <row r="57" spans="10:17" x14ac:dyDescent="0.35">
      <c r="J57" t="s">
        <v>321</v>
      </c>
      <c r="K57" t="s">
        <v>781</v>
      </c>
      <c r="L57">
        <v>44</v>
      </c>
      <c r="M57">
        <v>38</v>
      </c>
      <c r="N57">
        <v>2</v>
      </c>
      <c r="O57">
        <v>18</v>
      </c>
      <c r="P57">
        <v>1</v>
      </c>
      <c r="Q57">
        <v>103</v>
      </c>
    </row>
    <row r="58" spans="10:17" x14ac:dyDescent="0.35">
      <c r="J58" t="s">
        <v>321</v>
      </c>
      <c r="K58" t="s">
        <v>782</v>
      </c>
      <c r="L58">
        <v>44</v>
      </c>
      <c r="M58">
        <v>35</v>
      </c>
      <c r="N58">
        <v>2</v>
      </c>
      <c r="O58">
        <v>16</v>
      </c>
      <c r="P58">
        <v>2</v>
      </c>
      <c r="Q58">
        <v>99</v>
      </c>
    </row>
    <row r="59" spans="10:17" x14ac:dyDescent="0.35">
      <c r="J59" t="s">
        <v>321</v>
      </c>
      <c r="K59" t="s">
        <v>783</v>
      </c>
      <c r="L59">
        <v>17</v>
      </c>
      <c r="M59">
        <v>16</v>
      </c>
      <c r="N59">
        <v>2</v>
      </c>
      <c r="O59">
        <v>9</v>
      </c>
      <c r="P59">
        <v>2</v>
      </c>
      <c r="Q59">
        <v>46</v>
      </c>
    </row>
    <row r="60" spans="10:17" x14ac:dyDescent="0.35">
      <c r="J60" t="s">
        <v>321</v>
      </c>
      <c r="K60" t="s">
        <v>784</v>
      </c>
      <c r="L60">
        <v>8</v>
      </c>
      <c r="M60">
        <v>14</v>
      </c>
      <c r="N60">
        <v>0</v>
      </c>
      <c r="O60">
        <v>15</v>
      </c>
      <c r="P60">
        <v>3</v>
      </c>
      <c r="Q60">
        <v>40</v>
      </c>
    </row>
    <row r="61" spans="10:17" x14ac:dyDescent="0.35">
      <c r="J61" t="s">
        <v>321</v>
      </c>
      <c r="K61" t="s">
        <v>785</v>
      </c>
      <c r="L61">
        <v>3</v>
      </c>
      <c r="M61">
        <v>9</v>
      </c>
      <c r="N61">
        <v>0</v>
      </c>
      <c r="O61">
        <v>12</v>
      </c>
      <c r="P61">
        <v>0</v>
      </c>
      <c r="Q61">
        <v>24</v>
      </c>
    </row>
    <row r="62" spans="10:17" x14ac:dyDescent="0.35">
      <c r="J62" t="s">
        <v>321</v>
      </c>
      <c r="K62" t="s">
        <v>786</v>
      </c>
      <c r="L62">
        <v>1</v>
      </c>
      <c r="M62">
        <v>5</v>
      </c>
      <c r="N62">
        <v>0</v>
      </c>
      <c r="O62">
        <v>14</v>
      </c>
      <c r="P62">
        <v>2</v>
      </c>
      <c r="Q62">
        <v>22</v>
      </c>
    </row>
    <row r="63" spans="10:17" x14ac:dyDescent="0.35">
      <c r="J63" t="s">
        <v>321</v>
      </c>
      <c r="K63" t="s">
        <v>787</v>
      </c>
      <c r="L63">
        <v>0</v>
      </c>
      <c r="M63">
        <v>1</v>
      </c>
      <c r="N63">
        <v>0</v>
      </c>
      <c r="O63">
        <v>21</v>
      </c>
      <c r="P63">
        <v>0</v>
      </c>
      <c r="Q63">
        <v>22</v>
      </c>
    </row>
    <row r="64" spans="10:17" x14ac:dyDescent="0.35">
      <c r="J64" t="s">
        <v>321</v>
      </c>
      <c r="K64" t="s">
        <v>788</v>
      </c>
      <c r="L64">
        <v>0</v>
      </c>
      <c r="M64">
        <v>1</v>
      </c>
      <c r="N64">
        <v>0</v>
      </c>
      <c r="O64">
        <v>14</v>
      </c>
      <c r="P64">
        <v>0</v>
      </c>
      <c r="Q64">
        <v>15</v>
      </c>
    </row>
    <row r="65" spans="10:17" x14ac:dyDescent="0.35">
      <c r="J65" t="s">
        <v>321</v>
      </c>
      <c r="K65" t="s">
        <v>789</v>
      </c>
      <c r="L65">
        <v>0</v>
      </c>
      <c r="M65">
        <v>0</v>
      </c>
      <c r="N65">
        <v>0</v>
      </c>
      <c r="O65">
        <v>2</v>
      </c>
      <c r="P65">
        <v>0</v>
      </c>
      <c r="Q65">
        <v>2</v>
      </c>
    </row>
    <row r="66" spans="10:17" x14ac:dyDescent="0.35">
      <c r="J66" t="s">
        <v>321</v>
      </c>
      <c r="K66" t="s">
        <v>792</v>
      </c>
      <c r="L66">
        <v>0</v>
      </c>
      <c r="M66">
        <v>3</v>
      </c>
      <c r="N66">
        <v>0</v>
      </c>
      <c r="O66">
        <v>0</v>
      </c>
      <c r="P66">
        <v>0</v>
      </c>
      <c r="Q66">
        <v>3</v>
      </c>
    </row>
    <row r="67" spans="10:17" x14ac:dyDescent="0.35">
      <c r="J67" t="s">
        <v>326</v>
      </c>
      <c r="K67" t="s">
        <v>780</v>
      </c>
      <c r="L67">
        <v>27</v>
      </c>
      <c r="M67">
        <v>39</v>
      </c>
      <c r="N67">
        <v>1</v>
      </c>
      <c r="O67">
        <v>3</v>
      </c>
      <c r="P67">
        <v>3</v>
      </c>
      <c r="Q67">
        <v>73</v>
      </c>
    </row>
    <row r="68" spans="10:17" x14ac:dyDescent="0.35">
      <c r="J68" t="s">
        <v>326</v>
      </c>
      <c r="K68" t="s">
        <v>781</v>
      </c>
      <c r="L68">
        <v>67</v>
      </c>
      <c r="M68">
        <v>39</v>
      </c>
      <c r="N68">
        <v>6</v>
      </c>
      <c r="O68">
        <v>8</v>
      </c>
      <c r="P68">
        <v>1</v>
      </c>
      <c r="Q68">
        <v>121</v>
      </c>
    </row>
    <row r="69" spans="10:17" x14ac:dyDescent="0.35">
      <c r="J69" t="s">
        <v>326</v>
      </c>
      <c r="K69" t="s">
        <v>782</v>
      </c>
      <c r="L69">
        <v>68</v>
      </c>
      <c r="M69">
        <v>44</v>
      </c>
      <c r="N69">
        <v>5</v>
      </c>
      <c r="O69">
        <v>16</v>
      </c>
      <c r="P69">
        <v>2</v>
      </c>
      <c r="Q69">
        <v>135</v>
      </c>
    </row>
    <row r="70" spans="10:17" x14ac:dyDescent="0.35">
      <c r="J70" t="s">
        <v>326</v>
      </c>
      <c r="K70" t="s">
        <v>783</v>
      </c>
      <c r="L70">
        <v>41</v>
      </c>
      <c r="M70">
        <v>29</v>
      </c>
      <c r="N70">
        <v>2</v>
      </c>
      <c r="O70">
        <v>7</v>
      </c>
      <c r="P70">
        <v>2</v>
      </c>
      <c r="Q70">
        <v>81</v>
      </c>
    </row>
    <row r="71" spans="10:17" x14ac:dyDescent="0.35">
      <c r="J71" t="s">
        <v>326</v>
      </c>
      <c r="K71" t="s">
        <v>784</v>
      </c>
      <c r="L71">
        <v>16</v>
      </c>
      <c r="M71">
        <v>21</v>
      </c>
      <c r="N71">
        <v>2</v>
      </c>
      <c r="O71">
        <v>4</v>
      </c>
      <c r="P71">
        <v>2</v>
      </c>
      <c r="Q71">
        <v>45</v>
      </c>
    </row>
    <row r="72" spans="10:17" x14ac:dyDescent="0.35">
      <c r="J72" t="s">
        <v>326</v>
      </c>
      <c r="K72" t="s">
        <v>785</v>
      </c>
      <c r="L72">
        <v>3</v>
      </c>
      <c r="M72">
        <v>5</v>
      </c>
      <c r="N72">
        <v>1</v>
      </c>
      <c r="O72">
        <v>3</v>
      </c>
      <c r="P72">
        <v>1</v>
      </c>
      <c r="Q72">
        <v>13</v>
      </c>
    </row>
    <row r="73" spans="10:17" x14ac:dyDescent="0.35">
      <c r="J73" t="s">
        <v>326</v>
      </c>
      <c r="K73" t="s">
        <v>786</v>
      </c>
      <c r="L73">
        <v>3</v>
      </c>
      <c r="M73">
        <v>6</v>
      </c>
      <c r="N73">
        <v>1</v>
      </c>
      <c r="O73">
        <v>11</v>
      </c>
      <c r="P73">
        <v>1</v>
      </c>
      <c r="Q73">
        <v>22</v>
      </c>
    </row>
    <row r="74" spans="10:17" x14ac:dyDescent="0.35">
      <c r="J74" t="s">
        <v>326</v>
      </c>
      <c r="K74" t="s">
        <v>787</v>
      </c>
      <c r="L74">
        <v>1</v>
      </c>
      <c r="M74">
        <v>11</v>
      </c>
      <c r="N74">
        <v>0</v>
      </c>
      <c r="O74">
        <v>10</v>
      </c>
      <c r="P74">
        <v>3</v>
      </c>
      <c r="Q74">
        <v>25</v>
      </c>
    </row>
    <row r="75" spans="10:17" x14ac:dyDescent="0.35">
      <c r="J75" t="s">
        <v>326</v>
      </c>
      <c r="K75" t="s">
        <v>788</v>
      </c>
      <c r="L75">
        <v>0</v>
      </c>
      <c r="M75">
        <v>2</v>
      </c>
      <c r="N75">
        <v>0</v>
      </c>
      <c r="O75">
        <v>1</v>
      </c>
      <c r="P75">
        <v>0</v>
      </c>
      <c r="Q75">
        <v>3</v>
      </c>
    </row>
    <row r="76" spans="10:17" x14ac:dyDescent="0.35">
      <c r="J76" t="s">
        <v>326</v>
      </c>
      <c r="K76" t="s">
        <v>789</v>
      </c>
      <c r="L76">
        <v>0</v>
      </c>
      <c r="M76">
        <v>0</v>
      </c>
      <c r="N76">
        <v>0</v>
      </c>
      <c r="O76">
        <v>1</v>
      </c>
      <c r="P76">
        <v>0</v>
      </c>
      <c r="Q76">
        <v>1</v>
      </c>
    </row>
    <row r="77" spans="10:17" x14ac:dyDescent="0.35">
      <c r="J77" t="s">
        <v>326</v>
      </c>
      <c r="K77" t="s">
        <v>792</v>
      </c>
      <c r="L77">
        <v>0</v>
      </c>
      <c r="M77">
        <v>3</v>
      </c>
      <c r="N77">
        <v>0</v>
      </c>
      <c r="O77">
        <v>0</v>
      </c>
      <c r="P77">
        <v>0</v>
      </c>
      <c r="Q77">
        <v>3</v>
      </c>
    </row>
    <row r="78" spans="10:17" x14ac:dyDescent="0.35">
      <c r="J78" t="s">
        <v>327</v>
      </c>
      <c r="K78" t="s">
        <v>780</v>
      </c>
      <c r="L78">
        <v>10</v>
      </c>
      <c r="M78">
        <v>58</v>
      </c>
      <c r="N78">
        <v>1</v>
      </c>
      <c r="O78">
        <v>2</v>
      </c>
      <c r="P78">
        <v>1</v>
      </c>
      <c r="Q78">
        <v>72</v>
      </c>
    </row>
    <row r="79" spans="10:17" x14ac:dyDescent="0.35">
      <c r="J79" t="s">
        <v>327</v>
      </c>
      <c r="K79" t="s">
        <v>781</v>
      </c>
      <c r="L79">
        <v>34</v>
      </c>
      <c r="M79">
        <v>51</v>
      </c>
      <c r="N79">
        <v>0</v>
      </c>
      <c r="O79">
        <v>8</v>
      </c>
      <c r="P79">
        <v>4</v>
      </c>
      <c r="Q79">
        <v>97</v>
      </c>
    </row>
    <row r="80" spans="10:17" x14ac:dyDescent="0.35">
      <c r="J80" t="s">
        <v>327</v>
      </c>
      <c r="K80" t="s">
        <v>782</v>
      </c>
      <c r="L80">
        <v>20</v>
      </c>
      <c r="M80">
        <v>44</v>
      </c>
      <c r="N80">
        <v>0</v>
      </c>
      <c r="O80">
        <v>10</v>
      </c>
      <c r="P80">
        <v>1</v>
      </c>
      <c r="Q80">
        <v>75</v>
      </c>
    </row>
    <row r="81" spans="10:17" x14ac:dyDescent="0.35">
      <c r="J81" t="s">
        <v>327</v>
      </c>
      <c r="K81" t="s">
        <v>783</v>
      </c>
      <c r="L81">
        <v>17</v>
      </c>
      <c r="M81">
        <v>34</v>
      </c>
      <c r="N81">
        <v>0</v>
      </c>
      <c r="O81">
        <v>6</v>
      </c>
      <c r="P81">
        <v>2</v>
      </c>
      <c r="Q81">
        <v>59</v>
      </c>
    </row>
    <row r="82" spans="10:17" x14ac:dyDescent="0.35">
      <c r="J82" t="s">
        <v>327</v>
      </c>
      <c r="K82" t="s">
        <v>784</v>
      </c>
      <c r="L82">
        <v>4</v>
      </c>
      <c r="M82">
        <v>23</v>
      </c>
      <c r="N82">
        <v>0</v>
      </c>
      <c r="O82">
        <v>6</v>
      </c>
      <c r="P82">
        <v>2</v>
      </c>
      <c r="Q82">
        <v>35</v>
      </c>
    </row>
    <row r="83" spans="10:17" x14ac:dyDescent="0.35">
      <c r="J83" t="s">
        <v>327</v>
      </c>
      <c r="K83" t="s">
        <v>785</v>
      </c>
      <c r="L83">
        <v>2</v>
      </c>
      <c r="M83">
        <v>16</v>
      </c>
      <c r="N83">
        <v>0</v>
      </c>
      <c r="O83">
        <v>11</v>
      </c>
      <c r="P83">
        <v>4</v>
      </c>
      <c r="Q83">
        <v>33</v>
      </c>
    </row>
    <row r="84" spans="10:17" x14ac:dyDescent="0.35">
      <c r="J84" t="s">
        <v>327</v>
      </c>
      <c r="K84" t="s">
        <v>786</v>
      </c>
      <c r="L84">
        <v>4</v>
      </c>
      <c r="M84">
        <v>6</v>
      </c>
      <c r="N84">
        <v>0</v>
      </c>
      <c r="O84">
        <v>10</v>
      </c>
      <c r="P84">
        <v>2</v>
      </c>
      <c r="Q84">
        <v>22</v>
      </c>
    </row>
    <row r="85" spans="10:17" x14ac:dyDescent="0.35">
      <c r="J85" t="s">
        <v>327</v>
      </c>
      <c r="K85" t="s">
        <v>787</v>
      </c>
      <c r="L85">
        <v>1</v>
      </c>
      <c r="M85">
        <v>4</v>
      </c>
      <c r="N85">
        <v>0</v>
      </c>
      <c r="O85">
        <v>15</v>
      </c>
      <c r="P85">
        <v>2</v>
      </c>
      <c r="Q85">
        <v>22</v>
      </c>
    </row>
    <row r="86" spans="10:17" x14ac:dyDescent="0.35">
      <c r="J86" t="s">
        <v>327</v>
      </c>
      <c r="K86" t="s">
        <v>788</v>
      </c>
      <c r="L86">
        <v>0</v>
      </c>
      <c r="M86">
        <v>1</v>
      </c>
      <c r="N86">
        <v>0</v>
      </c>
      <c r="O86">
        <v>2</v>
      </c>
      <c r="P86">
        <v>0</v>
      </c>
      <c r="Q86">
        <v>3</v>
      </c>
    </row>
    <row r="87" spans="10:17" x14ac:dyDescent="0.35">
      <c r="J87" t="s">
        <v>327</v>
      </c>
      <c r="K87" t="s">
        <v>789</v>
      </c>
      <c r="L87">
        <v>0</v>
      </c>
      <c r="M87">
        <v>1</v>
      </c>
      <c r="N87">
        <v>0</v>
      </c>
      <c r="O87">
        <v>0</v>
      </c>
      <c r="P87">
        <v>0</v>
      </c>
      <c r="Q87">
        <v>1</v>
      </c>
    </row>
    <row r="88" spans="10:17" x14ac:dyDescent="0.35">
      <c r="J88" t="s">
        <v>327</v>
      </c>
      <c r="K88" t="s">
        <v>790</v>
      </c>
      <c r="L88">
        <v>0</v>
      </c>
      <c r="M88">
        <v>1</v>
      </c>
      <c r="N88">
        <v>0</v>
      </c>
      <c r="O88">
        <v>0</v>
      </c>
      <c r="P88">
        <v>0</v>
      </c>
      <c r="Q88">
        <v>1</v>
      </c>
    </row>
    <row r="89" spans="10:17" x14ac:dyDescent="0.35">
      <c r="J89" t="s">
        <v>327</v>
      </c>
      <c r="K89" t="s">
        <v>792</v>
      </c>
      <c r="L89">
        <v>0</v>
      </c>
      <c r="M89">
        <v>9</v>
      </c>
      <c r="N89">
        <v>0</v>
      </c>
      <c r="O89">
        <v>3</v>
      </c>
      <c r="P89">
        <v>0</v>
      </c>
      <c r="Q89">
        <v>12</v>
      </c>
    </row>
    <row r="90" spans="10:17" x14ac:dyDescent="0.35">
      <c r="J90" t="s">
        <v>466</v>
      </c>
      <c r="K90" t="s">
        <v>780</v>
      </c>
      <c r="L90">
        <v>12</v>
      </c>
      <c r="M90">
        <v>56</v>
      </c>
      <c r="N90">
        <v>3</v>
      </c>
      <c r="O90">
        <v>5</v>
      </c>
      <c r="P90">
        <v>3</v>
      </c>
      <c r="Q90">
        <v>79</v>
      </c>
    </row>
    <row r="91" spans="10:17" x14ac:dyDescent="0.35">
      <c r="J91" t="s">
        <v>466</v>
      </c>
      <c r="K91" t="s">
        <v>781</v>
      </c>
      <c r="L91">
        <v>45</v>
      </c>
      <c r="M91">
        <v>36</v>
      </c>
      <c r="N91">
        <v>1</v>
      </c>
      <c r="O91">
        <v>10</v>
      </c>
      <c r="P91">
        <v>1</v>
      </c>
      <c r="Q91">
        <v>93</v>
      </c>
    </row>
    <row r="92" spans="10:17" x14ac:dyDescent="0.35">
      <c r="J92" t="s">
        <v>466</v>
      </c>
      <c r="K92" t="s">
        <v>782</v>
      </c>
      <c r="L92">
        <v>34</v>
      </c>
      <c r="M92">
        <v>29</v>
      </c>
      <c r="N92">
        <v>1</v>
      </c>
      <c r="O92">
        <v>5</v>
      </c>
      <c r="P92">
        <v>1</v>
      </c>
      <c r="Q92">
        <v>70</v>
      </c>
    </row>
    <row r="93" spans="10:17" x14ac:dyDescent="0.35">
      <c r="J93" t="s">
        <v>466</v>
      </c>
      <c r="K93" t="s">
        <v>783</v>
      </c>
      <c r="L93">
        <v>26</v>
      </c>
      <c r="M93">
        <v>41</v>
      </c>
      <c r="N93">
        <v>2</v>
      </c>
      <c r="O93">
        <v>5</v>
      </c>
      <c r="P93">
        <v>5</v>
      </c>
      <c r="Q93">
        <v>79</v>
      </c>
    </row>
    <row r="94" spans="10:17" x14ac:dyDescent="0.35">
      <c r="J94" t="s">
        <v>466</v>
      </c>
      <c r="K94" t="s">
        <v>784</v>
      </c>
      <c r="L94">
        <v>15</v>
      </c>
      <c r="M94">
        <v>12</v>
      </c>
      <c r="N94">
        <v>0</v>
      </c>
      <c r="O94">
        <v>6</v>
      </c>
      <c r="P94">
        <v>4</v>
      </c>
      <c r="Q94">
        <v>37</v>
      </c>
    </row>
    <row r="95" spans="10:17" x14ac:dyDescent="0.35">
      <c r="J95" t="s">
        <v>466</v>
      </c>
      <c r="K95" t="s">
        <v>785</v>
      </c>
      <c r="L95">
        <v>0</v>
      </c>
      <c r="M95">
        <v>12</v>
      </c>
      <c r="N95">
        <v>1</v>
      </c>
      <c r="O95">
        <v>5</v>
      </c>
      <c r="P95">
        <v>1</v>
      </c>
      <c r="Q95">
        <v>19</v>
      </c>
    </row>
    <row r="96" spans="10:17" x14ac:dyDescent="0.35">
      <c r="J96" t="s">
        <v>466</v>
      </c>
      <c r="K96" t="s">
        <v>786</v>
      </c>
      <c r="L96">
        <v>0</v>
      </c>
      <c r="M96">
        <v>5</v>
      </c>
      <c r="N96">
        <v>0</v>
      </c>
      <c r="O96">
        <v>7</v>
      </c>
      <c r="P96">
        <v>4</v>
      </c>
      <c r="Q96">
        <v>16</v>
      </c>
    </row>
    <row r="97" spans="10:17" x14ac:dyDescent="0.35">
      <c r="J97" t="s">
        <v>466</v>
      </c>
      <c r="K97" t="s">
        <v>787</v>
      </c>
      <c r="L97">
        <v>0</v>
      </c>
      <c r="M97">
        <v>7</v>
      </c>
      <c r="N97">
        <v>1</v>
      </c>
      <c r="O97">
        <v>8</v>
      </c>
      <c r="P97">
        <v>2</v>
      </c>
      <c r="Q97">
        <v>18</v>
      </c>
    </row>
    <row r="98" spans="10:17" x14ac:dyDescent="0.35">
      <c r="J98" t="s">
        <v>466</v>
      </c>
      <c r="K98" t="s">
        <v>788</v>
      </c>
      <c r="L98">
        <v>0</v>
      </c>
      <c r="M98">
        <v>3</v>
      </c>
      <c r="N98">
        <v>0</v>
      </c>
      <c r="O98">
        <v>2</v>
      </c>
      <c r="P98">
        <v>1</v>
      </c>
      <c r="Q98">
        <v>6</v>
      </c>
    </row>
    <row r="99" spans="10:17" x14ac:dyDescent="0.35">
      <c r="J99" t="s">
        <v>466</v>
      </c>
      <c r="K99" t="s">
        <v>792</v>
      </c>
      <c r="L99">
        <v>0</v>
      </c>
      <c r="M99">
        <v>5</v>
      </c>
      <c r="N99">
        <v>1</v>
      </c>
      <c r="O99">
        <v>2</v>
      </c>
      <c r="P99">
        <v>0</v>
      </c>
      <c r="Q99">
        <v>8</v>
      </c>
    </row>
  </sheetData>
  <pageMargins left="0.7" right="0.7" top="0.75" bottom="0.75" header="0.3" footer="0.3"/>
  <tableParts count="4">
    <tablePart r:id="rId1"/>
    <tablePart r:id="rId2"/>
    <tablePart r:id="rId3"/>
    <tablePart r:id="rId4"/>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9" tint="0.39997558519241921"/>
  </sheetPr>
  <dimension ref="A1:AH75"/>
  <sheetViews>
    <sheetView showGridLines="0" zoomScaleNormal="100" workbookViewId="0">
      <pane ySplit="2" topLeftCell="A3" activePane="bottomLeft" state="frozen"/>
      <selection pane="bottomLeft" sqref="A1:C1"/>
    </sheetView>
  </sheetViews>
  <sheetFormatPr defaultRowHeight="14.5" x14ac:dyDescent="0.35"/>
  <cols>
    <col min="1" max="1" width="17.54296875" customWidth="1"/>
    <col min="2" max="2" width="24" customWidth="1"/>
    <col min="3" max="3" width="23" bestFit="1" customWidth="1"/>
    <col min="4" max="4" width="21.54296875" bestFit="1" customWidth="1"/>
    <col min="5" max="5" width="9.453125" bestFit="1" customWidth="1"/>
    <col min="6" max="6" width="10.81640625" customWidth="1"/>
    <col min="7" max="7" width="12.26953125" bestFit="1" customWidth="1"/>
    <col min="8" max="8" width="12.81640625" customWidth="1"/>
    <col min="9" max="9" width="25.1796875" bestFit="1" customWidth="1"/>
    <col min="10" max="17" width="12.54296875" customWidth="1"/>
    <col min="18" max="18" width="14.54296875" bestFit="1" customWidth="1"/>
    <col min="19" max="19" width="12.453125" bestFit="1" customWidth="1"/>
  </cols>
  <sheetData>
    <row r="1" spans="1:16" ht="15.5" x14ac:dyDescent="0.35">
      <c r="A1" s="1011" t="s">
        <v>513</v>
      </c>
      <c r="B1" s="1011"/>
      <c r="C1" s="1011"/>
      <c r="I1" s="1011"/>
      <c r="J1" s="1011"/>
      <c r="K1" s="1011"/>
    </row>
    <row r="2" spans="1:16" x14ac:dyDescent="0.35">
      <c r="A2" s="499" t="s">
        <v>201</v>
      </c>
      <c r="I2" s="499"/>
    </row>
    <row r="3" spans="1:16" x14ac:dyDescent="0.35">
      <c r="A3" s="25"/>
      <c r="B3" s="25"/>
      <c r="C3" s="25"/>
      <c r="D3" s="25"/>
      <c r="E3" s="25"/>
      <c r="F3" s="25"/>
      <c r="G3" s="25"/>
      <c r="H3" s="25"/>
      <c r="I3" s="25"/>
      <c r="J3" s="25"/>
      <c r="K3" s="25"/>
      <c r="L3" s="25"/>
      <c r="M3" s="25"/>
      <c r="N3" s="25"/>
      <c r="O3" s="25"/>
      <c r="P3" s="25"/>
    </row>
    <row r="4" spans="1:16" ht="15.5" x14ac:dyDescent="0.35">
      <c r="A4" s="1012" t="s">
        <v>843</v>
      </c>
      <c r="B4" s="1012"/>
      <c r="C4" s="1012"/>
      <c r="D4" s="1012"/>
      <c r="E4" s="1012"/>
      <c r="F4" s="1012"/>
      <c r="G4" s="1012"/>
      <c r="H4" s="1012"/>
      <c r="I4" s="1012"/>
      <c r="J4" s="1012"/>
      <c r="K4" s="1012"/>
      <c r="L4" s="1012"/>
      <c r="M4" s="1012"/>
      <c r="N4" s="1012"/>
      <c r="O4" s="1012"/>
      <c r="P4" s="1012"/>
    </row>
    <row r="5" spans="1:16" ht="15.5" x14ac:dyDescent="0.35">
      <c r="A5" t="s">
        <v>202</v>
      </c>
      <c r="B5" t="s">
        <v>104</v>
      </c>
      <c r="C5" s="233"/>
      <c r="D5" s="233"/>
      <c r="E5" s="233"/>
      <c r="F5" s="233"/>
      <c r="G5" s="233"/>
      <c r="H5" s="233"/>
      <c r="K5" s="233"/>
      <c r="L5" s="233"/>
      <c r="M5" s="233"/>
      <c r="N5" s="233"/>
      <c r="O5" s="233"/>
      <c r="P5" s="233"/>
    </row>
    <row r="6" spans="1:16" ht="15.5" x14ac:dyDescent="0.35">
      <c r="A6" t="s">
        <v>203</v>
      </c>
      <c r="B6" t="s">
        <v>204</v>
      </c>
      <c r="C6" s="233"/>
      <c r="D6" s="233"/>
      <c r="E6" s="233"/>
      <c r="F6" s="233"/>
      <c r="G6" s="233"/>
      <c r="H6" s="233"/>
      <c r="K6" s="233"/>
      <c r="L6" s="233"/>
      <c r="M6" s="233"/>
      <c r="N6" s="233"/>
      <c r="O6" s="233"/>
      <c r="P6" s="233"/>
    </row>
    <row r="7" spans="1:16" x14ac:dyDescent="0.35">
      <c r="A7" t="s">
        <v>205</v>
      </c>
      <c r="B7" t="s">
        <v>206</v>
      </c>
    </row>
    <row r="8" spans="1:16" x14ac:dyDescent="0.35">
      <c r="A8" s="312"/>
      <c r="I8" s="312"/>
    </row>
    <row r="9" spans="1:16" x14ac:dyDescent="0.35">
      <c r="A9" s="312" t="s">
        <v>207</v>
      </c>
      <c r="B9" s="312" t="str">
        <f>EntrantsPivot!$B$15</f>
        <v>2024-25</v>
      </c>
      <c r="I9" s="312"/>
    </row>
    <row r="10" spans="1:16" x14ac:dyDescent="0.35">
      <c r="A10" s="312"/>
      <c r="B10" s="312"/>
      <c r="I10" s="312"/>
    </row>
    <row r="11" spans="1:16" s="460" customFormat="1" x14ac:dyDescent="0.35">
      <c r="A11" s="496" t="s">
        <v>90</v>
      </c>
      <c r="B11" s="503" t="s">
        <v>515</v>
      </c>
      <c r="C11" s="503" t="s">
        <v>361</v>
      </c>
      <c r="D11" s="503" t="s">
        <v>511</v>
      </c>
      <c r="E11" s="503" t="s">
        <v>512</v>
      </c>
      <c r="F11" s="503" t="s">
        <v>339</v>
      </c>
      <c r="G11" s="503" t="s">
        <v>612</v>
      </c>
      <c r="H11"/>
      <c r="I11"/>
      <c r="J11"/>
      <c r="K11"/>
      <c r="L11"/>
      <c r="M11"/>
      <c r="N11"/>
    </row>
    <row r="12" spans="1:16" x14ac:dyDescent="0.35">
      <c r="A12" s="312" t="s">
        <v>792</v>
      </c>
      <c r="B12" s="369">
        <f>GETPIVOTDATA("Sum of Wholetime Operational",EntrantsPivot!$A$17,"Age Range","Under 20")</f>
        <v>0</v>
      </c>
      <c r="C12" s="369">
        <f>GETPIVOTDATA("Sum of Retained Duty System",EntrantsPivot!$A$17,"Age Range","Under 20")</f>
        <v>5</v>
      </c>
      <c r="D12" s="369">
        <f>GETPIVOTDATA("Sum of Control",EntrantsPivot!$A$17,"Age Range","Under 20")</f>
        <v>1</v>
      </c>
      <c r="E12" s="369">
        <f>GETPIVOTDATA("Sum of Support",EntrantsPivot!$A$17,"Age Range","Under 20")</f>
        <v>2</v>
      </c>
      <c r="F12" s="369">
        <f>GETPIVOTDATA("Sum of Volunteers",EntrantsPivot!$A$17,"Age Range","Under 20")</f>
        <v>0</v>
      </c>
      <c r="G12" s="752">
        <f>SUM(B12:F12)</f>
        <v>8</v>
      </c>
    </row>
    <row r="13" spans="1:16" x14ac:dyDescent="0.35">
      <c r="A13" s="312" t="s">
        <v>780</v>
      </c>
      <c r="B13" s="369">
        <f>GETPIVOTDATA("Sum of Wholetime Operational",EntrantsPivot!$A$17,"Age Range","20-24")</f>
        <v>12</v>
      </c>
      <c r="C13" s="369">
        <f>GETPIVOTDATA("Sum of Retained Duty System",EntrantsPivot!$A$17,"Age Range","20-24")</f>
        <v>56</v>
      </c>
      <c r="D13" s="369">
        <f>GETPIVOTDATA("Sum of Control",EntrantsPivot!$A$17,"Age Range","20-24")</f>
        <v>3</v>
      </c>
      <c r="E13" s="369">
        <f>GETPIVOTDATA("Sum of Support",EntrantsPivot!$A$17,"Age Range","20-24")</f>
        <v>5</v>
      </c>
      <c r="F13" s="369">
        <f>GETPIVOTDATA("Sum of Volunteers",EntrantsPivot!$A$17,"Age Range","20-24")</f>
        <v>3</v>
      </c>
      <c r="G13" s="752">
        <f t="shared" ref="G13:G23" si="0">SUM(B13:F13)</f>
        <v>79</v>
      </c>
    </row>
    <row r="14" spans="1:16" x14ac:dyDescent="0.35">
      <c r="A14" s="312" t="s">
        <v>781</v>
      </c>
      <c r="B14" s="369">
        <f>GETPIVOTDATA("Sum of Wholetime Operational",EntrantsPivot!$A$17,"Age Range","25-29")</f>
        <v>45</v>
      </c>
      <c r="C14" s="369">
        <f>GETPIVOTDATA("Sum of Retained Duty System",EntrantsPivot!$A$17,"Age Range","25-29")</f>
        <v>36</v>
      </c>
      <c r="D14" s="369">
        <f>GETPIVOTDATA("Sum of Control",EntrantsPivot!$A$17,"Age Range","25-29")</f>
        <v>1</v>
      </c>
      <c r="E14" s="369">
        <f>GETPIVOTDATA("Sum of Support",EntrantsPivot!$A$17,"Age Range","25-29")</f>
        <v>10</v>
      </c>
      <c r="F14" s="369">
        <f>GETPIVOTDATA("Sum of Volunteers",EntrantsPivot!$A$17,"Age Range","25-29")</f>
        <v>1</v>
      </c>
      <c r="G14" s="752">
        <f t="shared" si="0"/>
        <v>93</v>
      </c>
    </row>
    <row r="15" spans="1:16" x14ac:dyDescent="0.35">
      <c r="A15" s="312" t="s">
        <v>782</v>
      </c>
      <c r="B15" s="369">
        <f>GETPIVOTDATA("Sum of Wholetime Operational",EntrantsPivot!$A$17,"Age Range","30-34")</f>
        <v>34</v>
      </c>
      <c r="C15" s="369">
        <f>GETPIVOTDATA("Sum of Retained Duty System",EntrantsPivot!$A$17,"Age Range","30-34")</f>
        <v>29</v>
      </c>
      <c r="D15" s="369">
        <f>GETPIVOTDATA("Sum of Control",EntrantsPivot!$A$17,"Age Range","30-34")</f>
        <v>1</v>
      </c>
      <c r="E15" s="369">
        <f>GETPIVOTDATA("Sum of Support",EntrantsPivot!$A$17,"Age Range","30-34")</f>
        <v>5</v>
      </c>
      <c r="F15" s="369">
        <f>GETPIVOTDATA("Sum of Volunteers",EntrantsPivot!$A$17,"Age Range","30-34")</f>
        <v>1</v>
      </c>
      <c r="G15" s="752">
        <f t="shared" si="0"/>
        <v>70</v>
      </c>
    </row>
    <row r="16" spans="1:16" x14ac:dyDescent="0.35">
      <c r="A16" s="312" t="s">
        <v>783</v>
      </c>
      <c r="B16" s="369">
        <f>GETPIVOTDATA("Sum of Wholetime Operational",EntrantsPivot!$A$17,"Age Range","35-39")</f>
        <v>26</v>
      </c>
      <c r="C16" s="369">
        <f>GETPIVOTDATA("Sum of Retained Duty System",EntrantsPivot!$A$17,"Age Range","35-39")</f>
        <v>41</v>
      </c>
      <c r="D16" s="369">
        <f>GETPIVOTDATA("Sum of Control",EntrantsPivot!$A$17,"Age Range","35-39")</f>
        <v>2</v>
      </c>
      <c r="E16" s="369">
        <f>GETPIVOTDATA("Sum of Support",EntrantsPivot!$A$17,"Age Range","35-39")</f>
        <v>5</v>
      </c>
      <c r="F16" s="369">
        <f>GETPIVOTDATA("Sum of Volunteers",EntrantsPivot!$A$17,"Age Range","35-39")</f>
        <v>5</v>
      </c>
      <c r="G16" s="752">
        <f t="shared" si="0"/>
        <v>79</v>
      </c>
    </row>
    <row r="17" spans="1:15" x14ac:dyDescent="0.35">
      <c r="A17" s="312" t="s">
        <v>784</v>
      </c>
      <c r="B17" s="369">
        <f>GETPIVOTDATA("Sum of Wholetime Operational",EntrantsPivot!$A$17,"Age Range","40-44")</f>
        <v>15</v>
      </c>
      <c r="C17" s="369">
        <f>GETPIVOTDATA("Sum of Retained Duty System",EntrantsPivot!$A$17,"Age Range","40-44")</f>
        <v>12</v>
      </c>
      <c r="D17" s="369">
        <f>GETPIVOTDATA("Sum of Control",EntrantsPivot!$A$17,"Age Range","40-44")</f>
        <v>0</v>
      </c>
      <c r="E17" s="369">
        <f>GETPIVOTDATA("Sum of Support",EntrantsPivot!$A$17,"Age Range","40-44")</f>
        <v>6</v>
      </c>
      <c r="F17" s="369">
        <f>GETPIVOTDATA("Sum of Volunteers",EntrantsPivot!$A$17,"Age Range","40-44")</f>
        <v>4</v>
      </c>
      <c r="G17" s="752">
        <f t="shared" si="0"/>
        <v>37</v>
      </c>
    </row>
    <row r="18" spans="1:15" x14ac:dyDescent="0.35">
      <c r="A18" s="312" t="s">
        <v>785</v>
      </c>
      <c r="B18" s="369">
        <f>GETPIVOTDATA("Sum of Wholetime Operational",EntrantsPivot!$A$17,"Age Range","45-49")</f>
        <v>0</v>
      </c>
      <c r="C18" s="369">
        <f>GETPIVOTDATA("Sum of Retained Duty System",EntrantsPivot!$A$17,"Age Range","45-49")</f>
        <v>12</v>
      </c>
      <c r="D18" s="369">
        <f>GETPIVOTDATA("Sum of Control",EntrantsPivot!$A$17,"Age Range","45-49")</f>
        <v>1</v>
      </c>
      <c r="E18" s="369">
        <f>GETPIVOTDATA("Sum of Support",EntrantsPivot!$A$17,"Age Range","45-49")</f>
        <v>5</v>
      </c>
      <c r="F18" s="369">
        <f>GETPIVOTDATA("Sum of Volunteers",EntrantsPivot!$A$17,"Age Range","45-49")</f>
        <v>1</v>
      </c>
      <c r="G18" s="752">
        <f t="shared" si="0"/>
        <v>19</v>
      </c>
    </row>
    <row r="19" spans="1:15" x14ac:dyDescent="0.35">
      <c r="A19" s="312" t="s">
        <v>786</v>
      </c>
      <c r="B19" s="369">
        <f>GETPIVOTDATA("Sum of Wholetime Operational",EntrantsPivot!$A$17,"Age Range","50-54")</f>
        <v>0</v>
      </c>
      <c r="C19" s="369">
        <f>GETPIVOTDATA("Sum of Retained Duty System",EntrantsPivot!$A$17,"Age Range","50-54")</f>
        <v>5</v>
      </c>
      <c r="D19" s="369">
        <f>GETPIVOTDATA("Sum of Control",EntrantsPivot!$A$17,"Age Range","50-54")</f>
        <v>0</v>
      </c>
      <c r="E19" s="369">
        <f>GETPIVOTDATA("Sum of Support",EntrantsPivot!$A$17,"Age Range","50-54")</f>
        <v>7</v>
      </c>
      <c r="F19" s="369">
        <f>GETPIVOTDATA("Sum of Volunteers",EntrantsPivot!$A$17,"Age Range","50-54")</f>
        <v>4</v>
      </c>
      <c r="G19" s="752">
        <f t="shared" si="0"/>
        <v>16</v>
      </c>
    </row>
    <row r="20" spans="1:15" x14ac:dyDescent="0.35">
      <c r="A20" s="312" t="s">
        <v>787</v>
      </c>
      <c r="B20" s="369">
        <f>GETPIVOTDATA("Sum of Wholetime Operational",EntrantsPivot!$A$17,"Age Range","55-59")</f>
        <v>0</v>
      </c>
      <c r="C20" s="369">
        <f>GETPIVOTDATA("Sum of Retained Duty System",EntrantsPivot!$A$17,"Age Range","55-59")</f>
        <v>7</v>
      </c>
      <c r="D20" s="369">
        <f>GETPIVOTDATA("Sum of Control",EntrantsPivot!$A$17,"Age Range","55-59")</f>
        <v>1</v>
      </c>
      <c r="E20" s="369">
        <f>GETPIVOTDATA("Sum of Support",EntrantsPivot!$A$17,"Age Range","55-59")</f>
        <v>8</v>
      </c>
      <c r="F20" s="369">
        <f>GETPIVOTDATA("Sum of Volunteers",EntrantsPivot!$A$17,"Age Range","55-59")</f>
        <v>2</v>
      </c>
      <c r="G20" s="752">
        <f t="shared" si="0"/>
        <v>18</v>
      </c>
    </row>
    <row r="21" spans="1:15" x14ac:dyDescent="0.35">
      <c r="A21" s="312" t="s">
        <v>788</v>
      </c>
      <c r="B21" s="369">
        <f>GETPIVOTDATA("Sum of Wholetime Operational",EntrantsPivot!$A$17,"Age Range","60-64")</f>
        <v>0</v>
      </c>
      <c r="C21" s="369">
        <f>GETPIVOTDATA("Sum of Retained Duty System",EntrantsPivot!$A$17,"Age Range","60-64")</f>
        <v>3</v>
      </c>
      <c r="D21" s="369">
        <f>GETPIVOTDATA("Sum of Control",EntrantsPivot!$A$17,"Age Range","60-64")</f>
        <v>0</v>
      </c>
      <c r="E21" s="369">
        <f>GETPIVOTDATA("Sum of Support",EntrantsPivot!$A$17,"Age Range","60-64")</f>
        <v>2</v>
      </c>
      <c r="F21" s="369">
        <f>GETPIVOTDATA("Sum of Volunteers",EntrantsPivot!$A$17,"Age Range","60-64")</f>
        <v>1</v>
      </c>
      <c r="G21" s="752">
        <f t="shared" si="0"/>
        <v>6</v>
      </c>
    </row>
    <row r="22" spans="1:15" x14ac:dyDescent="0.35">
      <c r="A22" s="312" t="s">
        <v>789</v>
      </c>
      <c r="B22" s="369" t="str">
        <f>IFERROR(GETPIVOTDATA("Sum of Wholetime Operational",EntrantsPivot!$A$17,"Age Range","65-69"), "-")</f>
        <v>-</v>
      </c>
      <c r="C22" s="369" t="str">
        <f>IFERROR(GETPIVOTDATA("Sum of Retained Duty System",EntrantsPivot!$A$17,"Age Range","65-69"), "-")</f>
        <v>-</v>
      </c>
      <c r="D22" s="369" t="str">
        <f>IFERROR(GETPIVOTDATA("Sum of Control",EntrantsPivot!$A$17,"Age Range","65-69"), "-")</f>
        <v>-</v>
      </c>
      <c r="E22" s="369" t="str">
        <f>IFERROR(GETPIVOTDATA("Sum of Support",EntrantsPivot!$A$17,"Age Range","65-69"), "-")</f>
        <v>-</v>
      </c>
      <c r="F22" s="369" t="str">
        <f>IFERROR(GETPIVOTDATA("Sum of Volunteers",EntrantsPivot!$A$17,"Age Range","65-69"), "-")</f>
        <v>-</v>
      </c>
      <c r="G22" s="752">
        <f t="shared" si="0"/>
        <v>0</v>
      </c>
    </row>
    <row r="23" spans="1:15" x14ac:dyDescent="0.35">
      <c r="A23" s="312" t="s">
        <v>790</v>
      </c>
      <c r="B23" s="856" t="str">
        <f>IFERROR(GETPIVOTDATA("Sum of Wholetime Operational",EntrantsPivot!$A$17,"Age Range","70-74"), "-")</f>
        <v>-</v>
      </c>
      <c r="C23" s="856" t="str">
        <f>IFERROR(GETPIVOTDATA("Sum of Retained Duty System",EntrantsPivot!$A$17,"Age Range","70-74"), "-")</f>
        <v>-</v>
      </c>
      <c r="D23" s="856" t="str">
        <f>IFERROR(GETPIVOTDATA("Sum of Control",EntrantsPivot!$A$17,"Age Range","70-74"), "-")</f>
        <v>-</v>
      </c>
      <c r="E23" s="856" t="str">
        <f>IFERROR(GETPIVOTDATA("Sum of Support",EntrantsPivot!$A$17,"Age Range","70-74"), "-")</f>
        <v>-</v>
      </c>
      <c r="F23" s="856" t="str">
        <f>IFERROR(GETPIVOTDATA("Sum of Volunteers",EntrantsPivot!$A$17,"Age Range","70-74"), "-")</f>
        <v>-</v>
      </c>
      <c r="G23" s="752">
        <f t="shared" si="0"/>
        <v>0</v>
      </c>
    </row>
    <row r="24" spans="1:15" ht="15" thickBot="1" x14ac:dyDescent="0.4">
      <c r="A24" s="495" t="s">
        <v>844</v>
      </c>
      <c r="B24" s="495">
        <f>SUM(B12:B22)</f>
        <v>132</v>
      </c>
      <c r="C24" s="495">
        <f t="shared" ref="C24:F24" si="1">SUM(C12:C22)</f>
        <v>206</v>
      </c>
      <c r="D24" s="495">
        <f t="shared" si="1"/>
        <v>10</v>
      </c>
      <c r="E24" s="495">
        <f t="shared" si="1"/>
        <v>55</v>
      </c>
      <c r="F24" s="495">
        <f t="shared" si="1"/>
        <v>22</v>
      </c>
      <c r="G24" s="857">
        <f>SUM(G12:G23)</f>
        <v>425</v>
      </c>
    </row>
    <row r="25" spans="1:15" x14ac:dyDescent="0.35">
      <c r="I25" s="312"/>
      <c r="J25" s="312"/>
      <c r="K25" s="312"/>
      <c r="L25" s="312"/>
      <c r="M25" s="312"/>
      <c r="N25" s="312"/>
      <c r="O25" s="312"/>
    </row>
    <row r="26" spans="1:15" ht="15" customHeight="1" x14ac:dyDescent="0.35">
      <c r="A26" s="334" t="s">
        <v>329</v>
      </c>
      <c r="B26" s="312"/>
      <c r="C26" s="312"/>
      <c r="D26" s="312"/>
      <c r="E26" s="312"/>
      <c r="F26" s="312"/>
      <c r="G26" s="312"/>
    </row>
    <row r="27" spans="1:15" ht="45" customHeight="1" x14ac:dyDescent="0.35">
      <c r="A27" s="1014" t="s">
        <v>845</v>
      </c>
      <c r="B27" s="1014"/>
      <c r="C27" s="1014"/>
      <c r="D27" s="1014"/>
      <c r="E27" s="1014"/>
      <c r="F27" s="1014"/>
      <c r="G27" s="1014"/>
      <c r="H27" s="1014"/>
    </row>
    <row r="28" spans="1:15" ht="15" customHeight="1" x14ac:dyDescent="0.35"/>
    <row r="29" spans="1:15" ht="15.65" customHeight="1" x14ac:dyDescent="0.35">
      <c r="A29" s="1012" t="s">
        <v>846</v>
      </c>
      <c r="B29" s="1012"/>
      <c r="C29" s="1012"/>
      <c r="D29" s="1012"/>
      <c r="E29" s="1012"/>
      <c r="F29" s="1012"/>
      <c r="G29" s="1012"/>
      <c r="H29" s="1012"/>
    </row>
    <row r="30" spans="1:15" ht="15.5" x14ac:dyDescent="0.35">
      <c r="A30" t="s">
        <v>202</v>
      </c>
      <c r="B30" t="s">
        <v>105</v>
      </c>
      <c r="C30" s="233"/>
      <c r="D30" s="233"/>
      <c r="E30" s="233"/>
      <c r="F30" s="233"/>
      <c r="G30" s="233"/>
      <c r="H30" s="233"/>
    </row>
    <row r="31" spans="1:15" ht="15.5" x14ac:dyDescent="0.35">
      <c r="A31" t="s">
        <v>203</v>
      </c>
      <c r="B31" t="s">
        <v>204</v>
      </c>
      <c r="C31" s="233"/>
      <c r="D31" s="233"/>
      <c r="E31" s="233"/>
      <c r="F31" s="233"/>
      <c r="G31" s="233"/>
      <c r="H31" s="233"/>
    </row>
    <row r="32" spans="1:15" x14ac:dyDescent="0.35">
      <c r="A32" t="s">
        <v>205</v>
      </c>
      <c r="B32" t="s">
        <v>206</v>
      </c>
    </row>
    <row r="34" spans="1:34" x14ac:dyDescent="0.35">
      <c r="A34" s="312" t="s">
        <v>207</v>
      </c>
      <c r="B34" s="312" t="str">
        <f>EntrantsPivot!$B$1</f>
        <v>2024-25</v>
      </c>
    </row>
    <row r="35" spans="1:34" ht="45" customHeight="1" x14ac:dyDescent="0.35">
      <c r="A35" s="526" t="s">
        <v>207</v>
      </c>
      <c r="B35" s="503" t="s">
        <v>515</v>
      </c>
      <c r="C35" s="503" t="s">
        <v>361</v>
      </c>
      <c r="D35" s="503" t="s">
        <v>511</v>
      </c>
      <c r="E35" s="503" t="s">
        <v>512</v>
      </c>
      <c r="F35" s="503" t="s">
        <v>847</v>
      </c>
      <c r="G35" s="503" t="s">
        <v>340</v>
      </c>
    </row>
    <row r="36" spans="1:34" x14ac:dyDescent="0.35">
      <c r="A36" s="312" t="s">
        <v>745</v>
      </c>
      <c r="B36" s="602">
        <f>GETPIVOTDATA("Sum of Wholetime Operational",EntrantsPivot!$A$3,"Gender","Female")</f>
        <v>10</v>
      </c>
      <c r="C36" s="602">
        <f>GETPIVOTDATA("Sum of Retained Duty System",EntrantsPivot!$A$3,"Gender","Female")</f>
        <v>27</v>
      </c>
      <c r="D36" s="602">
        <f>GETPIVOTDATA("Sum of Control",EntrantsPivot!$A$3,"Gender","Female")</f>
        <v>8</v>
      </c>
      <c r="E36" s="602">
        <f>GETPIVOTDATA("Sum of Support",EntrantsPivot!$A$3,"Gender","Female")</f>
        <v>22</v>
      </c>
      <c r="F36" s="602">
        <f>GETPIVOTDATA("Sum of Volunteers",EntrantsPivot!$A$3,"Gender","Female")</f>
        <v>5</v>
      </c>
      <c r="G36" s="602">
        <f>GETPIVOTDATA("Sum of Total",EntrantsPivot!$A$3,"Gender","Female")</f>
        <v>72</v>
      </c>
      <c r="H36" s="460"/>
    </row>
    <row r="37" spans="1:34" x14ac:dyDescent="0.35">
      <c r="A37" s="526" t="s">
        <v>848</v>
      </c>
      <c r="B37" s="602">
        <f>GETPIVOTDATA("Sum of Wholetime Operational",EntrantsPivot!$A$3,"Gender","Male")</f>
        <v>122</v>
      </c>
      <c r="C37" s="602">
        <f>GETPIVOTDATA("Sum of Retained Duty System",EntrantsPivot!$A$3,"Gender","Male")</f>
        <v>179</v>
      </c>
      <c r="D37" s="602">
        <f>GETPIVOTDATA("Sum of Control",EntrantsPivot!$A$3,"Gender","Male")</f>
        <v>2</v>
      </c>
      <c r="E37" s="602">
        <f>GETPIVOTDATA("Sum of Support",EntrantsPivot!$A$3,"Gender","Male")</f>
        <v>33</v>
      </c>
      <c r="F37" s="602">
        <f>GETPIVOTDATA("Sum of Volunteers",EntrantsPivot!$A$3,"Gender","Male")</f>
        <v>17</v>
      </c>
      <c r="G37" s="602">
        <f>GETPIVOTDATA("Sum of Total",EntrantsPivot!$A$3,"Gender","Male")</f>
        <v>353</v>
      </c>
    </row>
    <row r="38" spans="1:34" ht="15" thickBot="1" x14ac:dyDescent="0.4">
      <c r="A38" s="495" t="s">
        <v>340</v>
      </c>
      <c r="B38" s="679">
        <f>SUM(B36:B37)</f>
        <v>132</v>
      </c>
      <c r="C38" s="679">
        <f t="shared" ref="C38:G38" si="2">SUM(C36:C37)</f>
        <v>206</v>
      </c>
      <c r="D38" s="679">
        <f t="shared" si="2"/>
        <v>10</v>
      </c>
      <c r="E38" s="679">
        <f t="shared" si="2"/>
        <v>55</v>
      </c>
      <c r="F38" s="679">
        <f t="shared" si="2"/>
        <v>22</v>
      </c>
      <c r="G38" s="679">
        <f t="shared" si="2"/>
        <v>425</v>
      </c>
      <c r="AH38" t="s">
        <v>849</v>
      </c>
    </row>
    <row r="40" spans="1:34" x14ac:dyDescent="0.35">
      <c r="A40" s="312"/>
      <c r="B40" s="312"/>
      <c r="C40" s="312"/>
      <c r="D40" s="312"/>
      <c r="E40" s="312"/>
      <c r="F40" s="312"/>
      <c r="G40" s="312"/>
    </row>
    <row r="41" spans="1:34" ht="15.75" customHeight="1" x14ac:dyDescent="0.35">
      <c r="A41" s="334" t="s">
        <v>329</v>
      </c>
      <c r="B41" s="312"/>
      <c r="C41" s="312"/>
      <c r="D41" s="312"/>
      <c r="E41" s="312"/>
      <c r="F41" s="312"/>
      <c r="G41" s="312"/>
    </row>
    <row r="42" spans="1:34" ht="45.65" customHeight="1" x14ac:dyDescent="0.35">
      <c r="A42" s="1014" t="s">
        <v>845</v>
      </c>
      <c r="B42" s="1014"/>
      <c r="C42" s="1014"/>
      <c r="D42" s="1014"/>
      <c r="E42" s="1014"/>
      <c r="F42" s="1014"/>
      <c r="G42" s="1014"/>
      <c r="H42" s="1014"/>
    </row>
    <row r="43" spans="1:34" x14ac:dyDescent="0.35">
      <c r="A43" s="334"/>
    </row>
    <row r="44" spans="1:34" ht="15.5" x14ac:dyDescent="0.35">
      <c r="A44" s="1012" t="s">
        <v>850</v>
      </c>
      <c r="B44" s="1012"/>
      <c r="C44" s="1012"/>
      <c r="D44" s="1012"/>
      <c r="E44" s="1012"/>
      <c r="F44" s="1012"/>
      <c r="G44" s="1012"/>
      <c r="H44" s="1012"/>
    </row>
    <row r="45" spans="1:34" ht="15.5" x14ac:dyDescent="0.35">
      <c r="A45" t="s">
        <v>202</v>
      </c>
      <c r="B45" t="s">
        <v>106</v>
      </c>
      <c r="C45" s="233"/>
      <c r="D45" s="233"/>
      <c r="E45" s="233"/>
      <c r="F45" s="233"/>
      <c r="G45" s="233"/>
      <c r="H45" s="233"/>
    </row>
    <row r="46" spans="1:34" ht="15.5" x14ac:dyDescent="0.35">
      <c r="A46" t="s">
        <v>203</v>
      </c>
      <c r="B46" t="s">
        <v>204</v>
      </c>
      <c r="C46" s="233"/>
      <c r="D46" s="233"/>
      <c r="E46" s="233"/>
      <c r="F46" s="233"/>
      <c r="G46" s="233"/>
    </row>
    <row r="47" spans="1:34" x14ac:dyDescent="0.35">
      <c r="A47" t="s">
        <v>205</v>
      </c>
      <c r="B47" t="s">
        <v>206</v>
      </c>
    </row>
    <row r="48" spans="1:34" ht="14.5" customHeight="1" x14ac:dyDescent="0.35"/>
    <row r="49" spans="1:8" ht="14.5" customHeight="1" x14ac:dyDescent="0.35">
      <c r="A49" s="312" t="s">
        <v>207</v>
      </c>
      <c r="B49" s="312" t="str">
        <f>EntrantsPivot!$B$34</f>
        <v>2024-25</v>
      </c>
    </row>
    <row r="50" spans="1:8" x14ac:dyDescent="0.35">
      <c r="F50" s="497" t="s">
        <v>92</v>
      </c>
      <c r="H50" s="497"/>
    </row>
    <row r="51" spans="1:8" ht="25" customHeight="1" x14ac:dyDescent="0.35">
      <c r="A51" s="131" t="s">
        <v>97</v>
      </c>
      <c r="B51" s="504" t="s">
        <v>515</v>
      </c>
      <c r="C51" s="504" t="s">
        <v>361</v>
      </c>
      <c r="D51" s="504" t="s">
        <v>511</v>
      </c>
      <c r="E51" s="504" t="s">
        <v>512</v>
      </c>
      <c r="F51" s="504" t="s">
        <v>339</v>
      </c>
      <c r="G51" s="427"/>
      <c r="H51" s="427"/>
    </row>
    <row r="52" spans="1:8" x14ac:dyDescent="0.35">
      <c r="A52" s="217" t="s">
        <v>819</v>
      </c>
      <c r="B52" s="311" t="str">
        <f>IFERROR(GETPIVOTDATA("Sum of WT",EntrantsPivot!$A$36,"EthStat","Ethnic Minority"), "0.0")</f>
        <v>0.0</v>
      </c>
      <c r="C52" s="311" t="str">
        <f>IFERROR(GETPIVOTDATA("Sum of RDS",EntrantsPivot!$A$36,"EthStat","Ethnic Minority"), "0.0")</f>
        <v>0.0</v>
      </c>
      <c r="D52" s="311" t="str">
        <f>IFERROR(GETPIVOTDATA("Sum of Control",EntrantsPivot!$A$36,"EthStat","Ethnic Minority"), "0.0")</f>
        <v>0.0</v>
      </c>
      <c r="E52" s="311" t="str">
        <f>IFERROR(GETPIVOTDATA("Sum of Support",EntrantsPivot!$A$36,"EthStat","Ethnic Minority"), "0.0")</f>
        <v>0.0</v>
      </c>
      <c r="F52" s="311" t="str">
        <f>IFERROR(GETPIVOTDATA("Sum of Vol",EntrantsPivot!$A$36,"EthStat","Ethnic Minority"), "0.0")</f>
        <v>0.0</v>
      </c>
      <c r="G52" s="179"/>
      <c r="H52" s="179"/>
    </row>
    <row r="53" spans="1:8" x14ac:dyDescent="0.35">
      <c r="A53" s="176" t="s">
        <v>818</v>
      </c>
      <c r="B53" s="177" t="str">
        <f>IFERROR(GETPIVOTDATA("Sum of WT",EntrantsPivot!$A$36,"EthStat","White"), "0.0")</f>
        <v>0.0</v>
      </c>
      <c r="C53" s="177" t="str">
        <f>IFERROR(GETPIVOTDATA("Sum of RDS",EntrantsPivot!$A$36,"EthStat","White"), "0.0")</f>
        <v>0.0</v>
      </c>
      <c r="D53" s="177" t="str">
        <f>IFERROR(IF($B$49 = "2019-20", "-", GETPIVOTDATA("Sum of Control",EntrantsPivot!$A$36,"EthStat","White")), "0.0")</f>
        <v>0.0</v>
      </c>
      <c r="E53" s="177" t="str">
        <f>IFERROR(GETPIVOTDATA("Sum of Support",EntrantsPivot!$A$36,"EthStat","White"), "0.0")</f>
        <v>0.0</v>
      </c>
      <c r="F53" s="177" t="str">
        <f>IFERROR(GETPIVOTDATA("Sum of Vol",EntrantsPivot!$A$36,"EthStat","White"), "0.0")</f>
        <v>0.0</v>
      </c>
      <c r="G53" s="179"/>
      <c r="H53" s="179"/>
    </row>
    <row r="54" spans="1:8" x14ac:dyDescent="0.35">
      <c r="A54" s="399" t="s">
        <v>820</v>
      </c>
      <c r="B54" s="498">
        <f>GETPIVOTDATA("Sum of WT",EntrantsPivot!$A$36,"EthStat","Not Stated")</f>
        <v>100</v>
      </c>
      <c r="C54" s="498">
        <f>GETPIVOTDATA("Sum of RDS",EntrantsPivot!$A$36,"EthStat","Not Stated")</f>
        <v>100</v>
      </c>
      <c r="D54" s="498">
        <f>IF($B$49 = "2019-20", "-", GETPIVOTDATA("Sum of Control",EntrantsPivot!$A$36,"EthStat","Not Stated"))</f>
        <v>100</v>
      </c>
      <c r="E54" s="498">
        <f>GETPIVOTDATA("Sum of Support",EntrantsPivot!$A$36,"EthStat","Not Stated")</f>
        <v>100</v>
      </c>
      <c r="F54" s="498">
        <f>GETPIVOTDATA("Sum of Vol",EntrantsPivot!$A$36,"EthStat","Not Stated")</f>
        <v>100</v>
      </c>
      <c r="G54" s="179"/>
      <c r="H54" s="179"/>
    </row>
    <row r="56" spans="1:8" x14ac:dyDescent="0.35">
      <c r="A56" s="334" t="s">
        <v>329</v>
      </c>
      <c r="B56" s="25"/>
      <c r="C56" s="25"/>
      <c r="D56" s="25"/>
      <c r="E56" s="25"/>
      <c r="F56" s="25"/>
      <c r="G56" s="25"/>
      <c r="H56" s="25"/>
    </row>
    <row r="57" spans="1:8" x14ac:dyDescent="0.35">
      <c r="A57" s="1050" t="s">
        <v>851</v>
      </c>
      <c r="B57" s="1050"/>
      <c r="C57" s="1050"/>
      <c r="D57" s="1050"/>
      <c r="E57" s="1050"/>
      <c r="F57" s="1050"/>
      <c r="G57" s="1050"/>
      <c r="H57" s="1050"/>
    </row>
    <row r="58" spans="1:8" x14ac:dyDescent="0.35">
      <c r="A58" s="1050" t="s">
        <v>852</v>
      </c>
      <c r="B58" s="1050"/>
      <c r="C58" s="1050"/>
      <c r="D58" s="1050"/>
      <c r="E58" s="1050"/>
      <c r="F58" s="1050"/>
      <c r="G58" s="1050"/>
      <c r="H58" s="1050"/>
    </row>
    <row r="59" spans="1:8" x14ac:dyDescent="0.35">
      <c r="A59" s="570"/>
      <c r="B59" s="570"/>
      <c r="C59" s="570"/>
      <c r="D59" s="570"/>
      <c r="E59" s="570"/>
      <c r="F59" s="570"/>
      <c r="G59" s="570"/>
      <c r="H59" s="570"/>
    </row>
    <row r="60" spans="1:8" ht="15.5" x14ac:dyDescent="0.35">
      <c r="A60" s="1012" t="s">
        <v>853</v>
      </c>
      <c r="B60" s="1012"/>
      <c r="C60" s="1012"/>
      <c r="D60" s="1012"/>
      <c r="E60" s="1012"/>
      <c r="F60" s="1012"/>
      <c r="G60" s="1012"/>
      <c r="H60" s="1012"/>
    </row>
    <row r="61" spans="1:8" ht="15.5" x14ac:dyDescent="0.35">
      <c r="A61" t="s">
        <v>202</v>
      </c>
      <c r="B61" t="s">
        <v>107</v>
      </c>
      <c r="C61" s="233"/>
      <c r="D61" s="231"/>
      <c r="F61" s="233"/>
      <c r="G61" s="233"/>
      <c r="H61" s="233"/>
    </row>
    <row r="62" spans="1:8" ht="15.5" x14ac:dyDescent="0.35">
      <c r="A62" t="s">
        <v>203</v>
      </c>
      <c r="B62" t="s">
        <v>204</v>
      </c>
      <c r="C62" s="233"/>
      <c r="D62" s="233"/>
      <c r="E62" s="233"/>
      <c r="F62" s="233"/>
      <c r="G62" s="233"/>
    </row>
    <row r="63" spans="1:8" ht="14.5" customHeight="1" x14ac:dyDescent="0.35">
      <c r="A63" t="s">
        <v>205</v>
      </c>
      <c r="B63" t="s">
        <v>206</v>
      </c>
    </row>
    <row r="64" spans="1:8" ht="14.5" customHeight="1" x14ac:dyDescent="0.35"/>
    <row r="65" spans="1:8" ht="14.5" customHeight="1" x14ac:dyDescent="0.35">
      <c r="A65" s="312" t="s">
        <v>207</v>
      </c>
      <c r="B65" s="312" t="str">
        <f>EntrantsPivot!$B$48</f>
        <v>2024-25</v>
      </c>
    </row>
    <row r="66" spans="1:8" ht="14.5" customHeight="1" x14ac:dyDescent="0.35">
      <c r="A66" s="312"/>
      <c r="F66" s="497" t="s">
        <v>92</v>
      </c>
    </row>
    <row r="67" spans="1:8" x14ac:dyDescent="0.35">
      <c r="A67" s="183"/>
      <c r="B67" s="723" t="s">
        <v>515</v>
      </c>
      <c r="C67" s="723" t="s">
        <v>361</v>
      </c>
      <c r="D67" s="723" t="s">
        <v>511</v>
      </c>
      <c r="E67" s="723" t="s">
        <v>512</v>
      </c>
      <c r="F67" s="723" t="s">
        <v>339</v>
      </c>
    </row>
    <row r="68" spans="1:8" x14ac:dyDescent="0.35">
      <c r="A68" s="131" t="s">
        <v>854</v>
      </c>
      <c r="B68" s="724" t="str">
        <f>IFERROR(GETPIVOTDATA("Sum of WT",EntrantsPivot!$A$50,"DisStat","Disabled"), "0.0")</f>
        <v>0.0</v>
      </c>
      <c r="C68" s="724" t="str">
        <f>IFERROR(GETPIVOTDATA("Sum of RDS",EntrantsPivot!$A$50,"DisStat","Disabled"),"0.0")</f>
        <v>0.0</v>
      </c>
      <c r="D68" s="724" t="str">
        <f>IF(B65 = "2019-20", "-", IFERROR(GETPIVOTDATA("Sum of Control",EntrantsPivot!$A$50,"DisStat","Disabled"), "0.0"))</f>
        <v>0.0</v>
      </c>
      <c r="E68" s="724" t="str">
        <f>IFERROR(GETPIVOTDATA("Sum of Support",EntrantsPivot!$A$50,"DisStat","Disabled"), "0.0")</f>
        <v>0.0</v>
      </c>
      <c r="F68" s="724" t="str">
        <f>IFERROR(GETPIVOTDATA("Sum of Vol",EntrantsPivot!$A$50,"DisStat","Disabled"), "0.0")</f>
        <v>0.0</v>
      </c>
    </row>
    <row r="69" spans="1:8" x14ac:dyDescent="0.35">
      <c r="A69" s="176" t="s">
        <v>855</v>
      </c>
      <c r="B69" s="724" t="str">
        <f>IFERROR(GETPIVOTDATA("Sum of WT",EntrantsPivot!$A$50,"DisStat","Not Disabled"), "0.0")</f>
        <v>0.0</v>
      </c>
      <c r="C69" s="724" t="str">
        <f>IFERROR(GETPIVOTDATA("Sum of RDS",EntrantsPivot!$A$50,"DisStat","Not Disabled"), "0.0")</f>
        <v>0.0</v>
      </c>
      <c r="D69" s="724" t="str">
        <f>IFERROR(IF(B65 = "2019-20", "-", IFERROR(GETPIVOTDATA("Sum of Control",EntrantsPivot!$A$50,"DisStat","Not Disabled"), "-")), "0.0")</f>
        <v>-</v>
      </c>
      <c r="E69" s="724" t="str">
        <f>IFERROR(GETPIVOTDATA("Sum of Support",EntrantsPivot!$A$50,"DisStat","Not Disabled"), "0.0")</f>
        <v>0.0</v>
      </c>
      <c r="F69" s="724" t="str">
        <f>IFERROR(GETPIVOTDATA("Sum of Vol",EntrantsPivot!$A$50,"DisStat","Not Disabled"), "0.0")</f>
        <v>0.0</v>
      </c>
    </row>
    <row r="70" spans="1:8" x14ac:dyDescent="0.35">
      <c r="A70" s="399" t="s">
        <v>856</v>
      </c>
      <c r="B70" s="725">
        <f>GETPIVOTDATA("Sum of WT",EntrantsPivot!$A$50,"DisStat","Not Known")</f>
        <v>100</v>
      </c>
      <c r="C70" s="725">
        <f>GETPIVOTDATA("Sum of RDS",EntrantsPivot!$A$50,"DisStat","Not Known")</f>
        <v>100</v>
      </c>
      <c r="D70" s="725">
        <f>IF(B65 = "2019-20", "-", IFERROR(GETPIVOTDATA("Sum of Control",EntrantsPivot!$A$50,"DisStat","Not Known"), "-"))</f>
        <v>100</v>
      </c>
      <c r="E70" s="725">
        <f>GETPIVOTDATA("Sum of Support",EntrantsPivot!$A$50,"DisStat","Not Known")</f>
        <v>100</v>
      </c>
      <c r="F70" s="725">
        <f>GETPIVOTDATA("Sum of Vol",EntrantsPivot!$A$50,"DisStat","Not Known")</f>
        <v>100</v>
      </c>
    </row>
    <row r="71" spans="1:8" x14ac:dyDescent="0.35">
      <c r="A71" s="176"/>
    </row>
    <row r="73" spans="1:8" x14ac:dyDescent="0.35">
      <c r="A73" s="334" t="s">
        <v>329</v>
      </c>
      <c r="B73" s="25"/>
      <c r="C73" s="25"/>
      <c r="D73" s="25"/>
      <c r="E73" s="25"/>
      <c r="F73" s="25"/>
      <c r="G73" s="25"/>
      <c r="H73" s="25"/>
    </row>
    <row r="74" spans="1:8" x14ac:dyDescent="0.35">
      <c r="A74" s="1050" t="s">
        <v>851</v>
      </c>
      <c r="B74" s="1050"/>
      <c r="C74" s="1050"/>
      <c r="D74" s="1050"/>
      <c r="E74" s="1050"/>
      <c r="F74" s="1050"/>
      <c r="G74" s="1050"/>
      <c r="H74" s="1050"/>
    </row>
    <row r="75" spans="1:8" ht="29.5" customHeight="1" x14ac:dyDescent="0.35">
      <c r="A75" s="1050" t="s">
        <v>852</v>
      </c>
      <c r="B75" s="1050"/>
      <c r="C75" s="1050"/>
      <c r="D75" s="1050"/>
      <c r="E75" s="1050"/>
      <c r="F75" s="1050"/>
      <c r="G75" s="1050"/>
      <c r="H75" s="1050"/>
    </row>
  </sheetData>
  <sheetProtection algorithmName="SHA-512" hashValue="YJEh7r50R4YsFBgJYFTmNhB92vc0EAxDTLgS/mEbZ2fJxgv7iP3TYfrTwuShH92PEmWGGNfzsyVjeOUTyn0WRg==" saltValue="gxA0dNre1YOp2HATCm31Mg==" spinCount="100000" sheet="1" scenarios="1" formatCells="0" sort="0" autoFilter="0" pivotTables="0"/>
  <mergeCells count="13">
    <mergeCell ref="A75:H75"/>
    <mergeCell ref="A27:H27"/>
    <mergeCell ref="A29:H29"/>
    <mergeCell ref="A42:H42"/>
    <mergeCell ref="A44:H44"/>
    <mergeCell ref="A57:H57"/>
    <mergeCell ref="A58:H58"/>
    <mergeCell ref="A60:H60"/>
    <mergeCell ref="A1:C1"/>
    <mergeCell ref="A4:H4"/>
    <mergeCell ref="I1:K1"/>
    <mergeCell ref="I4:P4"/>
    <mergeCell ref="A74:H74"/>
  </mergeCells>
  <hyperlinks>
    <hyperlink ref="A2" location="'Table of Contents'!A1" display="Back to Table of Contents" xr:uid="{00000000-0004-0000-6C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9" tint="0.39997558519241921"/>
    <pageSetUpPr fitToPage="1"/>
  </sheetPr>
  <dimension ref="A1:H6"/>
  <sheetViews>
    <sheetView showGridLines="0" zoomScaleNormal="100" workbookViewId="0">
      <pane ySplit="2" topLeftCell="A3" activePane="bottomLeft" state="frozen"/>
      <selection pane="bottomLeft" sqref="A1:C1"/>
    </sheetView>
  </sheetViews>
  <sheetFormatPr defaultRowHeight="14.5" x14ac:dyDescent="0.35"/>
  <sheetData>
    <row r="1" spans="1:8" ht="15.5" x14ac:dyDescent="0.35">
      <c r="A1" s="1011" t="s">
        <v>513</v>
      </c>
      <c r="B1" s="1011"/>
      <c r="C1" s="1011"/>
    </row>
    <row r="2" spans="1:8" ht="15.5" x14ac:dyDescent="0.35">
      <c r="A2" s="499" t="s">
        <v>201</v>
      </c>
      <c r="B2" s="441"/>
      <c r="C2" s="441"/>
    </row>
    <row r="4" spans="1:8" ht="15.5" x14ac:dyDescent="0.35">
      <c r="A4" s="1012" t="s">
        <v>877</v>
      </c>
      <c r="B4" s="1012"/>
      <c r="C4" s="1012"/>
      <c r="D4" s="1012"/>
      <c r="E4" s="1012"/>
      <c r="F4" s="1012"/>
      <c r="G4" s="1012"/>
      <c r="H4" s="1012"/>
    </row>
    <row r="5" spans="1:8" x14ac:dyDescent="0.35">
      <c r="A5" s="561" t="s">
        <v>451</v>
      </c>
    </row>
    <row r="6" spans="1:8" x14ac:dyDescent="0.35">
      <c r="A6" s="561" t="s">
        <v>112</v>
      </c>
    </row>
  </sheetData>
  <sheetProtection algorithmName="SHA-512" hashValue="m67WmKa1uLLDZs7wDz0o3WS89aLBPKlMVRK5RCICuGl9aoiVcI6FpBKNABf/3Ej9xncRhJtjdEwI0hyKELJkjw==" saltValue="fP4lpDLcs7Kvv2OAXzJxQg==" spinCount="100000" sheet="1" scenarios="1" formatCells="0" sort="0" autoFilter="0" pivotTables="0"/>
  <mergeCells count="2">
    <mergeCell ref="A1:C1"/>
    <mergeCell ref="A4:H4"/>
  </mergeCells>
  <hyperlinks>
    <hyperlink ref="A2" location="'Table of Contents'!A1" display="Back to Table of Contents" xr:uid="{00000000-0004-0000-7400-000000000000}"/>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9" tint="0.39997558519241921"/>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011" t="s">
        <v>513</v>
      </c>
      <c r="B1" s="1011"/>
      <c r="C1" s="1011"/>
    </row>
    <row r="2" spans="1:8" ht="15.5" x14ac:dyDescent="0.35">
      <c r="A2" s="499" t="s">
        <v>201</v>
      </c>
      <c r="B2" s="441"/>
      <c r="C2" s="441"/>
    </row>
    <row r="4" spans="1:8" ht="15.5" x14ac:dyDescent="0.35">
      <c r="A4" s="1012" t="s">
        <v>878</v>
      </c>
      <c r="B4" s="1012"/>
      <c r="C4" s="1012"/>
      <c r="D4" s="1012"/>
      <c r="E4" s="1012"/>
      <c r="F4" s="1012"/>
      <c r="G4" s="1012"/>
      <c r="H4" s="1012"/>
    </row>
    <row r="5" spans="1:8" x14ac:dyDescent="0.35">
      <c r="A5" s="561" t="s">
        <v>451</v>
      </c>
    </row>
    <row r="6" spans="1:8" x14ac:dyDescent="0.35">
      <c r="A6" s="561" t="s">
        <v>113</v>
      </c>
    </row>
  </sheetData>
  <sheetProtection algorithmName="SHA-512" hashValue="IBG8XdzbLTm844EzdiHXHUfRozHd9uKrS+y229l8P+L9A9jAQlNasxoHcLiextDTJntPRFAWhqpc+rF758/4ew==" saltValue="8FDV7HCCvsAsyCk5cOWCFw==" spinCount="100000" sheet="1" scenarios="1" formatCells="0" sort="0" autoFilter="0" pivotTables="0"/>
  <mergeCells count="2">
    <mergeCell ref="A1:C1"/>
    <mergeCell ref="A4:H4"/>
  </mergeCells>
  <hyperlinks>
    <hyperlink ref="A2" location="'Table of Contents'!A1" display="Back to Table of Contents" xr:uid="{00000000-0004-0000-75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9" tint="0.39997558519241921"/>
    <pageSetUpPr fitToPage="1"/>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011" t="s">
        <v>513</v>
      </c>
      <c r="B1" s="1011"/>
      <c r="C1" s="1011"/>
    </row>
    <row r="2" spans="1:8" ht="15.5" x14ac:dyDescent="0.35">
      <c r="A2" s="499" t="s">
        <v>201</v>
      </c>
      <c r="B2" s="441"/>
      <c r="C2" s="441"/>
    </row>
    <row r="4" spans="1:8" ht="15.5" x14ac:dyDescent="0.35">
      <c r="A4" s="1012" t="s">
        <v>879</v>
      </c>
      <c r="B4" s="1012"/>
      <c r="C4" s="1012"/>
      <c r="D4" s="1012"/>
      <c r="E4" s="1012"/>
      <c r="F4" s="1012"/>
      <c r="G4" s="1012"/>
      <c r="H4" s="1012"/>
    </row>
    <row r="5" spans="1:8" x14ac:dyDescent="0.35">
      <c r="A5" s="561" t="s">
        <v>451</v>
      </c>
    </row>
    <row r="6" spans="1:8" x14ac:dyDescent="0.35">
      <c r="A6" s="561" t="s">
        <v>114</v>
      </c>
    </row>
  </sheetData>
  <sheetProtection algorithmName="SHA-512" hashValue="iodo9lCebiVLDlYDU36A9hLkV/20kYQ8PkKXy7FDh10u46W6bKTlHUh3U7MgPVBSf2bXXik5NvJJtjvJo+4wIw==" saltValue="S1wCngASrPHcD1OTj1454w==" spinCount="100000" sheet="1" scenarios="1" formatCells="0" sort="0" autoFilter="0" pivotTables="0"/>
  <mergeCells count="2">
    <mergeCell ref="A1:C1"/>
    <mergeCell ref="A4:H4"/>
  </mergeCells>
  <hyperlinks>
    <hyperlink ref="A2" location="'Table of Contents'!A1" display="Back to Table of Contents" xr:uid="{00000000-0004-0000-76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9" tint="0.39997558519241921"/>
    <pageSetUpPr fitToPage="1"/>
  </sheetPr>
  <dimension ref="A1:H6"/>
  <sheetViews>
    <sheetView showGridLines="0" zoomScaleNormal="100" workbookViewId="0">
      <pane ySplit="2" topLeftCell="A3" activePane="bottomLeft" state="frozen"/>
      <selection pane="bottomLeft" sqref="A1:C1"/>
    </sheetView>
  </sheetViews>
  <sheetFormatPr defaultRowHeight="14.5" x14ac:dyDescent="0.35"/>
  <sheetData>
    <row r="1" spans="1:8" ht="15.5" x14ac:dyDescent="0.35">
      <c r="A1" s="1011" t="s">
        <v>513</v>
      </c>
      <c r="B1" s="1011"/>
      <c r="C1" s="1011"/>
    </row>
    <row r="2" spans="1:8" ht="15.5" x14ac:dyDescent="0.35">
      <c r="A2" s="499" t="s">
        <v>201</v>
      </c>
      <c r="B2" s="441"/>
      <c r="C2" s="441"/>
    </row>
    <row r="4" spans="1:8" ht="15.5" x14ac:dyDescent="0.35">
      <c r="A4" s="1012" t="s">
        <v>798</v>
      </c>
      <c r="B4" s="1012"/>
      <c r="C4" s="1012"/>
      <c r="D4" s="1012"/>
      <c r="E4" s="1012"/>
      <c r="F4" s="1012"/>
      <c r="G4" s="1012"/>
      <c r="H4" s="1012"/>
    </row>
    <row r="5" spans="1:8" x14ac:dyDescent="0.35">
      <c r="A5" s="561" t="s">
        <v>451</v>
      </c>
    </row>
    <row r="6" spans="1:8" x14ac:dyDescent="0.35">
      <c r="A6" s="561" t="s">
        <v>115</v>
      </c>
    </row>
  </sheetData>
  <sheetProtection algorithmName="SHA-512" hashValue="XIRaBRQC5wLKOes6r+MJUL7HahNVB+8Wpg1r6WB8YLpfgKmuMv6jBP6hzYiQ831hLLkr/mBPbJVfkjwX06BKVA==" saltValue="3T1zQWyaTebzYonmigM+OA==" spinCount="100000" sheet="1" scenarios="1" formatCells="0" sort="0" autoFilter="0" pivotTables="0"/>
  <mergeCells count="2">
    <mergeCell ref="A1:C1"/>
    <mergeCell ref="A4:H4"/>
  </mergeCells>
  <hyperlinks>
    <hyperlink ref="A2" location="'Table of Contents'!A1" display="Back to Table of Contents" xr:uid="{00000000-0004-0000-7700-000000000000}"/>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9" tint="0.39997558519241921"/>
  </sheetPr>
  <dimension ref="A1:H6"/>
  <sheetViews>
    <sheetView showGridLines="0" workbookViewId="0">
      <selection sqref="A1:C1"/>
    </sheetView>
  </sheetViews>
  <sheetFormatPr defaultRowHeight="14.5" x14ac:dyDescent="0.35"/>
  <sheetData>
    <row r="1" spans="1:8" ht="15.5" x14ac:dyDescent="0.35">
      <c r="A1" s="1011" t="s">
        <v>513</v>
      </c>
      <c r="B1" s="1011"/>
      <c r="C1" s="1011"/>
    </row>
    <row r="2" spans="1:8" ht="15.5" x14ac:dyDescent="0.35">
      <c r="A2" s="499" t="s">
        <v>201</v>
      </c>
      <c r="B2" s="441"/>
      <c r="C2" s="441"/>
    </row>
    <row r="4" spans="1:8" ht="15.5" x14ac:dyDescent="0.35">
      <c r="A4" s="1012" t="s">
        <v>811</v>
      </c>
      <c r="B4" s="1012"/>
      <c r="C4" s="1012"/>
      <c r="D4" s="1012"/>
      <c r="E4" s="1012"/>
      <c r="F4" s="1012"/>
      <c r="G4" s="1012"/>
      <c r="H4" s="1012"/>
    </row>
    <row r="5" spans="1:8" x14ac:dyDescent="0.35">
      <c r="A5" s="561" t="s">
        <v>451</v>
      </c>
    </row>
    <row r="6" spans="1:8" x14ac:dyDescent="0.35">
      <c r="A6" s="561" t="s">
        <v>116</v>
      </c>
    </row>
  </sheetData>
  <sheetProtection algorithmName="SHA-512" hashValue="GuU877l79y+d6G6k5xQHCmXUWhf01XiJV3CTSn9l86CrU42hVDnnx1/Pk0Nt5Xy1tjwHFh0SbuZSCA2OGAhmpA==" saltValue="Smv9Qa9inYaIHg21vNobKA==" spinCount="100000" sheet="1" scenarios="1" formatCells="0" sort="0" autoFilter="0" pivotTables="0"/>
  <mergeCells count="2">
    <mergeCell ref="A1:C1"/>
    <mergeCell ref="A4:H4"/>
  </mergeCells>
  <hyperlinks>
    <hyperlink ref="A2" location="'Table of Contents'!A1" display="Back to Table of Contents" xr:uid="{00000000-0004-0000-78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I47"/>
  <sheetViews>
    <sheetView showGridLines="0" workbookViewId="0">
      <pane ySplit="2" topLeftCell="A3" activePane="bottomLeft" state="frozen"/>
      <selection pane="bottomLeft" sqref="A1:C1"/>
    </sheetView>
  </sheetViews>
  <sheetFormatPr defaultRowHeight="14.5" x14ac:dyDescent="0.35"/>
  <cols>
    <col min="1" max="1" width="18.54296875" customWidth="1"/>
    <col min="2" max="2" width="23.1796875" customWidth="1"/>
    <col min="3" max="9" width="14" customWidth="1"/>
  </cols>
  <sheetData>
    <row r="1" spans="1:9" ht="15.5" x14ac:dyDescent="0.35">
      <c r="A1" s="1011" t="s">
        <v>333</v>
      </c>
      <c r="B1" s="1011"/>
      <c r="C1" s="1011"/>
    </row>
    <row r="2" spans="1:9" ht="15.5" x14ac:dyDescent="0.35">
      <c r="A2" s="499" t="s">
        <v>201</v>
      </c>
      <c r="B2" s="441"/>
      <c r="C2" s="441"/>
    </row>
    <row r="3" spans="1:9" ht="15.5" x14ac:dyDescent="0.35">
      <c r="D3" s="187"/>
      <c r="E3" s="187"/>
      <c r="F3" s="187"/>
    </row>
    <row r="4" spans="1:9" ht="15.5" x14ac:dyDescent="0.35">
      <c r="A4" s="1012" t="s">
        <v>369</v>
      </c>
      <c r="B4" s="1012"/>
      <c r="C4" s="1012"/>
      <c r="D4" s="1012"/>
      <c r="E4" s="1012"/>
      <c r="F4" s="1012"/>
    </row>
    <row r="5" spans="1:9" ht="15.5" x14ac:dyDescent="0.35">
      <c r="A5" t="s">
        <v>202</v>
      </c>
      <c r="B5" t="s">
        <v>36</v>
      </c>
      <c r="C5" s="233"/>
      <c r="D5" s="233"/>
      <c r="E5" s="233"/>
      <c r="F5" s="233"/>
    </row>
    <row r="6" spans="1:9" ht="15.5" x14ac:dyDescent="0.35">
      <c r="A6" t="s">
        <v>203</v>
      </c>
      <c r="B6" t="s">
        <v>204</v>
      </c>
      <c r="C6" s="233"/>
      <c r="D6" s="233"/>
      <c r="E6" s="233"/>
      <c r="F6" s="233"/>
    </row>
    <row r="7" spans="1:9" ht="15.5" x14ac:dyDescent="0.35">
      <c r="A7" t="s">
        <v>205</v>
      </c>
      <c r="B7" t="s">
        <v>206</v>
      </c>
      <c r="C7" s="233"/>
      <c r="D7" s="233"/>
      <c r="E7" s="233"/>
      <c r="F7" s="233"/>
    </row>
    <row r="8" spans="1:9" ht="15.5" x14ac:dyDescent="0.35">
      <c r="C8" s="233"/>
      <c r="D8" s="233"/>
      <c r="E8" s="233"/>
      <c r="F8" s="233"/>
    </row>
    <row r="9" spans="1:9" ht="15.5" x14ac:dyDescent="0.35">
      <c r="A9" s="753" t="s">
        <v>207</v>
      </c>
      <c r="B9" s="233"/>
      <c r="C9" s="233"/>
      <c r="D9" s="233"/>
      <c r="F9" s="233"/>
    </row>
    <row r="10" spans="1:9" x14ac:dyDescent="0.35">
      <c r="A10" s="312" t="str">
        <f>PrimaryCrewingAreaPivot!B1</f>
        <v>2024-25</v>
      </c>
      <c r="B10" s="192"/>
      <c r="C10" s="193"/>
      <c r="D10" s="193"/>
      <c r="E10" s="193"/>
      <c r="F10" s="376" t="s">
        <v>346</v>
      </c>
      <c r="G10" s="193"/>
      <c r="H10" s="193"/>
      <c r="I10" s="509" t="s">
        <v>92</v>
      </c>
    </row>
    <row r="11" spans="1:9" s="460" customFormat="1" ht="26.5" x14ac:dyDescent="0.35">
      <c r="A11" s="507" t="s">
        <v>208</v>
      </c>
      <c r="B11" s="507" t="s">
        <v>347</v>
      </c>
      <c r="C11" s="203" t="s">
        <v>335</v>
      </c>
      <c r="D11" s="203" t="s">
        <v>361</v>
      </c>
      <c r="E11" s="203" t="s">
        <v>339</v>
      </c>
      <c r="F11" s="508" t="s">
        <v>340</v>
      </c>
      <c r="G11" s="510" t="s">
        <v>335</v>
      </c>
      <c r="H11" s="508" t="s">
        <v>361</v>
      </c>
      <c r="I11" s="508" t="s">
        <v>339</v>
      </c>
    </row>
    <row r="12" spans="1:9" ht="18" customHeight="1" x14ac:dyDescent="0.35">
      <c r="A12" s="391" t="s">
        <v>215</v>
      </c>
      <c r="B12" s="45" t="s">
        <v>216</v>
      </c>
      <c r="C12" s="51">
        <f>PrimaryCrewingAreaPivot!B4</f>
        <v>3</v>
      </c>
      <c r="D12" s="51">
        <f>PrimaryCrewingAreaPivot!C4</f>
        <v>1</v>
      </c>
      <c r="E12" s="51">
        <f>PrimaryCrewingAreaPivot!D4</f>
        <v>0</v>
      </c>
      <c r="F12" s="194">
        <f t="shared" ref="F12:F43" si="0">SUM(C12:E12)</f>
        <v>4</v>
      </c>
      <c r="G12" s="511">
        <f t="shared" ref="G12:G44" si="1">C12/$F12</f>
        <v>0.75</v>
      </c>
      <c r="H12" s="271">
        <f t="shared" ref="H12:H44" si="2">D12/$F12</f>
        <v>0.25</v>
      </c>
      <c r="I12" s="271">
        <f t="shared" ref="I12:I44" si="3">E12/$F12</f>
        <v>0</v>
      </c>
    </row>
    <row r="13" spans="1:9" x14ac:dyDescent="0.35">
      <c r="A13" s="89" t="s">
        <v>220</v>
      </c>
      <c r="B13" s="48" t="s">
        <v>221</v>
      </c>
      <c r="C13" s="51">
        <f>PrimaryCrewingAreaPivot!B5</f>
        <v>1</v>
      </c>
      <c r="D13" s="51">
        <f>PrimaryCrewingAreaPivot!C5</f>
        <v>23</v>
      </c>
      <c r="E13" s="51">
        <f>PrimaryCrewingAreaPivot!D5</f>
        <v>0</v>
      </c>
      <c r="F13" s="69">
        <f t="shared" si="0"/>
        <v>24</v>
      </c>
      <c r="G13" s="511">
        <f t="shared" si="1"/>
        <v>4.1666666666666664E-2</v>
      </c>
      <c r="H13" s="271">
        <f t="shared" si="2"/>
        <v>0.95833333333333337</v>
      </c>
      <c r="I13" s="271">
        <f t="shared" si="3"/>
        <v>0</v>
      </c>
    </row>
    <row r="14" spans="1:9" x14ac:dyDescent="0.35">
      <c r="A14" s="89" t="s">
        <v>224</v>
      </c>
      <c r="B14" s="48" t="s">
        <v>225</v>
      </c>
      <c r="C14" s="51">
        <f>PrimaryCrewingAreaPivot!B6</f>
        <v>1</v>
      </c>
      <c r="D14" s="51">
        <f>PrimaryCrewingAreaPivot!C6</f>
        <v>5</v>
      </c>
      <c r="E14" s="51">
        <f>PrimaryCrewingAreaPivot!D6</f>
        <v>0</v>
      </c>
      <c r="F14" s="69">
        <f t="shared" si="0"/>
        <v>6</v>
      </c>
      <c r="G14" s="511">
        <f t="shared" si="1"/>
        <v>0.16666666666666666</v>
      </c>
      <c r="H14" s="271">
        <f t="shared" si="2"/>
        <v>0.83333333333333337</v>
      </c>
      <c r="I14" s="271">
        <f t="shared" si="3"/>
        <v>0</v>
      </c>
    </row>
    <row r="15" spans="1:9" x14ac:dyDescent="0.35">
      <c r="A15" s="89" t="s">
        <v>228</v>
      </c>
      <c r="B15" s="48" t="s">
        <v>229</v>
      </c>
      <c r="C15" s="51">
        <f>PrimaryCrewingAreaPivot!B7</f>
        <v>2</v>
      </c>
      <c r="D15" s="51">
        <f>PrimaryCrewingAreaPivot!C7</f>
        <v>12</v>
      </c>
      <c r="E15" s="51">
        <f>PrimaryCrewingAreaPivot!D7</f>
        <v>25</v>
      </c>
      <c r="F15" s="69">
        <f t="shared" si="0"/>
        <v>39</v>
      </c>
      <c r="G15" s="511">
        <f t="shared" si="1"/>
        <v>5.128205128205128E-2</v>
      </c>
      <c r="H15" s="271">
        <f t="shared" si="2"/>
        <v>0.30769230769230771</v>
      </c>
      <c r="I15" s="271">
        <f t="shared" si="3"/>
        <v>0.64102564102564108</v>
      </c>
    </row>
    <row r="16" spans="1:9" x14ac:dyDescent="0.35">
      <c r="A16" s="89" t="s">
        <v>234</v>
      </c>
      <c r="B16" s="48" t="s">
        <v>235</v>
      </c>
      <c r="C16" s="51">
        <f>PrimaryCrewingAreaPivot!B8</f>
        <v>7</v>
      </c>
      <c r="D16" s="51">
        <f>PrimaryCrewingAreaPivot!C8</f>
        <v>1</v>
      </c>
      <c r="E16" s="51">
        <f>PrimaryCrewingAreaPivot!D8</f>
        <v>0</v>
      </c>
      <c r="F16" s="69">
        <f t="shared" si="0"/>
        <v>8</v>
      </c>
      <c r="G16" s="511">
        <f t="shared" si="1"/>
        <v>0.875</v>
      </c>
      <c r="H16" s="271">
        <f t="shared" si="2"/>
        <v>0.125</v>
      </c>
      <c r="I16" s="271">
        <f t="shared" si="3"/>
        <v>0</v>
      </c>
    </row>
    <row r="17" spans="1:9" x14ac:dyDescent="0.35">
      <c r="A17" s="89" t="s">
        <v>240</v>
      </c>
      <c r="B17" s="48" t="s">
        <v>241</v>
      </c>
      <c r="C17" s="51">
        <f>PrimaryCrewingAreaPivot!B9</f>
        <v>1</v>
      </c>
      <c r="D17" s="51">
        <f>PrimaryCrewingAreaPivot!C9</f>
        <v>1</v>
      </c>
      <c r="E17" s="51">
        <f>PrimaryCrewingAreaPivot!D9</f>
        <v>0</v>
      </c>
      <c r="F17" s="69">
        <f t="shared" si="0"/>
        <v>2</v>
      </c>
      <c r="G17" s="511">
        <f t="shared" si="1"/>
        <v>0.5</v>
      </c>
      <c r="H17" s="271">
        <f t="shared" si="2"/>
        <v>0.5</v>
      </c>
      <c r="I17" s="271">
        <f t="shared" si="3"/>
        <v>0</v>
      </c>
    </row>
    <row r="18" spans="1:9" x14ac:dyDescent="0.35">
      <c r="A18" s="89" t="s">
        <v>244</v>
      </c>
      <c r="B18" s="48" t="s">
        <v>245</v>
      </c>
      <c r="C18" s="51">
        <f>PrimaryCrewingAreaPivot!B10</f>
        <v>1</v>
      </c>
      <c r="D18" s="51">
        <f>PrimaryCrewingAreaPivot!C10</f>
        <v>15</v>
      </c>
      <c r="E18" s="51">
        <f>PrimaryCrewingAreaPivot!D10</f>
        <v>1</v>
      </c>
      <c r="F18" s="69">
        <f t="shared" si="0"/>
        <v>17</v>
      </c>
      <c r="G18" s="511">
        <f t="shared" si="1"/>
        <v>5.8823529411764705E-2</v>
      </c>
      <c r="H18" s="271">
        <f t="shared" si="2"/>
        <v>0.88235294117647056</v>
      </c>
      <c r="I18" s="271">
        <f t="shared" si="3"/>
        <v>5.8823529411764705E-2</v>
      </c>
    </row>
    <row r="19" spans="1:9" x14ac:dyDescent="0.35">
      <c r="A19" s="89" t="s">
        <v>247</v>
      </c>
      <c r="B19" s="48" t="s">
        <v>248</v>
      </c>
      <c r="C19" s="51">
        <f>PrimaryCrewingAreaPivot!B11</f>
        <v>4</v>
      </c>
      <c r="D19" s="51">
        <f>PrimaryCrewingAreaPivot!C11</f>
        <v>0</v>
      </c>
      <c r="E19" s="51">
        <f>PrimaryCrewingAreaPivot!D11</f>
        <v>0</v>
      </c>
      <c r="F19" s="69">
        <f t="shared" si="0"/>
        <v>4</v>
      </c>
      <c r="G19" s="511">
        <f t="shared" si="1"/>
        <v>1</v>
      </c>
      <c r="H19" s="271">
        <f t="shared" si="2"/>
        <v>0</v>
      </c>
      <c r="I19" s="271">
        <f t="shared" si="3"/>
        <v>0</v>
      </c>
    </row>
    <row r="20" spans="1:9" x14ac:dyDescent="0.35">
      <c r="A20" s="89" t="s">
        <v>249</v>
      </c>
      <c r="B20" s="48" t="s">
        <v>250</v>
      </c>
      <c r="C20" s="51">
        <f>PrimaryCrewingAreaPivot!B12</f>
        <v>1</v>
      </c>
      <c r="D20" s="51">
        <f>PrimaryCrewingAreaPivot!C12</f>
        <v>7</v>
      </c>
      <c r="E20" s="51">
        <f>PrimaryCrewingAreaPivot!D12</f>
        <v>0</v>
      </c>
      <c r="F20" s="69">
        <f t="shared" si="0"/>
        <v>8</v>
      </c>
      <c r="G20" s="511">
        <f t="shared" si="1"/>
        <v>0.125</v>
      </c>
      <c r="H20" s="271">
        <f t="shared" si="2"/>
        <v>0.875</v>
      </c>
      <c r="I20" s="271">
        <f t="shared" si="3"/>
        <v>0</v>
      </c>
    </row>
    <row r="21" spans="1:9" x14ac:dyDescent="0.35">
      <c r="A21" s="89" t="s">
        <v>253</v>
      </c>
      <c r="B21" s="48" t="s">
        <v>254</v>
      </c>
      <c r="C21" s="51">
        <f>PrimaryCrewingAreaPivot!B13</f>
        <v>3</v>
      </c>
      <c r="D21" s="51">
        <f>PrimaryCrewingAreaPivot!C13</f>
        <v>0</v>
      </c>
      <c r="E21" s="51">
        <f>PrimaryCrewingAreaPivot!D13</f>
        <v>0</v>
      </c>
      <c r="F21" s="69">
        <f t="shared" si="0"/>
        <v>3</v>
      </c>
      <c r="G21" s="511">
        <f t="shared" si="1"/>
        <v>1</v>
      </c>
      <c r="H21" s="271">
        <f t="shared" si="2"/>
        <v>0</v>
      </c>
      <c r="I21" s="271">
        <f t="shared" si="3"/>
        <v>0</v>
      </c>
    </row>
    <row r="22" spans="1:9" x14ac:dyDescent="0.35">
      <c r="A22" s="89" t="s">
        <v>255</v>
      </c>
      <c r="B22" s="48" t="s">
        <v>256</v>
      </c>
      <c r="C22" s="51">
        <f>PrimaryCrewingAreaPivot!B14</f>
        <v>1</v>
      </c>
      <c r="D22" s="51">
        <f>PrimaryCrewingAreaPivot!C14</f>
        <v>5</v>
      </c>
      <c r="E22" s="51">
        <f>PrimaryCrewingAreaPivot!D14</f>
        <v>0</v>
      </c>
      <c r="F22" s="69">
        <f t="shared" si="0"/>
        <v>6</v>
      </c>
      <c r="G22" s="511">
        <f t="shared" si="1"/>
        <v>0.16666666666666666</v>
      </c>
      <c r="H22" s="271">
        <f t="shared" si="2"/>
        <v>0.83333333333333337</v>
      </c>
      <c r="I22" s="271">
        <f t="shared" si="3"/>
        <v>0</v>
      </c>
    </row>
    <row r="23" spans="1:9" x14ac:dyDescent="0.35">
      <c r="A23" s="89" t="s">
        <v>259</v>
      </c>
      <c r="B23" s="48" t="s">
        <v>260</v>
      </c>
      <c r="C23" s="51">
        <f>PrimaryCrewingAreaPivot!B15</f>
        <v>2</v>
      </c>
      <c r="D23" s="51">
        <f>PrimaryCrewingAreaPivot!C15</f>
        <v>0</v>
      </c>
      <c r="E23" s="51">
        <f>PrimaryCrewingAreaPivot!D15</f>
        <v>0</v>
      </c>
      <c r="F23" s="69">
        <f t="shared" si="0"/>
        <v>2</v>
      </c>
      <c r="G23" s="511">
        <f t="shared" si="1"/>
        <v>1</v>
      </c>
      <c r="H23" s="271">
        <f t="shared" si="2"/>
        <v>0</v>
      </c>
      <c r="I23" s="271">
        <f t="shared" si="3"/>
        <v>0</v>
      </c>
    </row>
    <row r="24" spans="1:9" x14ac:dyDescent="0.35">
      <c r="A24" s="89" t="s">
        <v>263</v>
      </c>
      <c r="B24" s="48" t="s">
        <v>264</v>
      </c>
      <c r="C24" s="51">
        <f>PrimaryCrewingAreaPivot!B16</f>
        <v>3</v>
      </c>
      <c r="D24" s="51">
        <f>PrimaryCrewingAreaPivot!C16</f>
        <v>2</v>
      </c>
      <c r="E24" s="51">
        <f>PrimaryCrewingAreaPivot!D16</f>
        <v>0</v>
      </c>
      <c r="F24" s="69">
        <f t="shared" si="0"/>
        <v>5</v>
      </c>
      <c r="G24" s="511">
        <f t="shared" si="1"/>
        <v>0.6</v>
      </c>
      <c r="H24" s="271">
        <f t="shared" si="2"/>
        <v>0.4</v>
      </c>
      <c r="I24" s="271">
        <f t="shared" si="3"/>
        <v>0</v>
      </c>
    </row>
    <row r="25" spans="1:9" x14ac:dyDescent="0.35">
      <c r="A25" s="89" t="s">
        <v>267</v>
      </c>
      <c r="B25" s="48" t="s">
        <v>268</v>
      </c>
      <c r="C25" s="51">
        <f>PrimaryCrewingAreaPivot!B17</f>
        <v>5</v>
      </c>
      <c r="D25" s="51">
        <f>PrimaryCrewingAreaPivot!C17</f>
        <v>8</v>
      </c>
      <c r="E25" s="51">
        <f>PrimaryCrewingAreaPivot!D17</f>
        <v>0</v>
      </c>
      <c r="F25" s="69">
        <f t="shared" si="0"/>
        <v>13</v>
      </c>
      <c r="G25" s="511">
        <f t="shared" si="1"/>
        <v>0.38461538461538464</v>
      </c>
      <c r="H25" s="271">
        <f t="shared" si="2"/>
        <v>0.61538461538461542</v>
      </c>
      <c r="I25" s="271">
        <f t="shared" si="3"/>
        <v>0</v>
      </c>
    </row>
    <row r="26" spans="1:9" x14ac:dyDescent="0.35">
      <c r="A26" s="89" t="str">
        <f>IF(A10 = "2019-20","S12000049","S12000046")</f>
        <v>S12000046</v>
      </c>
      <c r="B26" s="48" t="s">
        <v>271</v>
      </c>
      <c r="C26" s="51">
        <f>PrimaryCrewingAreaPivot!B18</f>
        <v>11</v>
      </c>
      <c r="D26" s="51">
        <f>PrimaryCrewingAreaPivot!C18</f>
        <v>0</v>
      </c>
      <c r="E26" s="51">
        <f>PrimaryCrewingAreaPivot!D18</f>
        <v>0</v>
      </c>
      <c r="F26" s="69">
        <f t="shared" si="0"/>
        <v>11</v>
      </c>
      <c r="G26" s="511">
        <f t="shared" si="1"/>
        <v>1</v>
      </c>
      <c r="H26" s="271">
        <f t="shared" si="2"/>
        <v>0</v>
      </c>
      <c r="I26" s="271">
        <f t="shared" si="3"/>
        <v>0</v>
      </c>
    </row>
    <row r="27" spans="1:9" x14ac:dyDescent="0.35">
      <c r="A27" s="89" t="s">
        <v>273</v>
      </c>
      <c r="B27" s="48" t="s">
        <v>274</v>
      </c>
      <c r="C27" s="51">
        <f>PrimaryCrewingAreaPivot!B19</f>
        <v>1</v>
      </c>
      <c r="D27" s="51">
        <f>PrimaryCrewingAreaPivot!C19</f>
        <v>51</v>
      </c>
      <c r="E27" s="51">
        <f>PrimaryCrewingAreaPivot!D19</f>
        <v>9</v>
      </c>
      <c r="F27" s="69">
        <f t="shared" si="0"/>
        <v>61</v>
      </c>
      <c r="G27" s="511">
        <f t="shared" si="1"/>
        <v>1.6393442622950821E-2</v>
      </c>
      <c r="H27" s="271">
        <f t="shared" si="2"/>
        <v>0.83606557377049184</v>
      </c>
      <c r="I27" s="271">
        <f t="shared" si="3"/>
        <v>0.14754098360655737</v>
      </c>
    </row>
    <row r="28" spans="1:9" x14ac:dyDescent="0.35">
      <c r="A28" s="89" t="s">
        <v>277</v>
      </c>
      <c r="B28" s="48" t="s">
        <v>278</v>
      </c>
      <c r="C28" s="51">
        <f>PrimaryCrewingAreaPivot!B20</f>
        <v>2</v>
      </c>
      <c r="D28" s="51">
        <f>PrimaryCrewingAreaPivot!C20</f>
        <v>1</v>
      </c>
      <c r="E28" s="51">
        <f>PrimaryCrewingAreaPivot!D20</f>
        <v>0</v>
      </c>
      <c r="F28" s="69">
        <f t="shared" si="0"/>
        <v>3</v>
      </c>
      <c r="G28" s="511">
        <f t="shared" si="1"/>
        <v>0.66666666666666663</v>
      </c>
      <c r="H28" s="271">
        <f t="shared" si="2"/>
        <v>0.33333333333333331</v>
      </c>
      <c r="I28" s="271">
        <f t="shared" si="3"/>
        <v>0</v>
      </c>
    </row>
    <row r="29" spans="1:9" x14ac:dyDescent="0.35">
      <c r="A29" s="89" t="s">
        <v>279</v>
      </c>
      <c r="B29" s="48" t="s">
        <v>280</v>
      </c>
      <c r="C29" s="51">
        <f>PrimaryCrewingAreaPivot!B21</f>
        <v>1</v>
      </c>
      <c r="D29" s="51">
        <f>PrimaryCrewingAreaPivot!C21</f>
        <v>1</v>
      </c>
      <c r="E29" s="51">
        <f>PrimaryCrewingAreaPivot!D21</f>
        <v>0</v>
      </c>
      <c r="F29" s="69">
        <f t="shared" si="0"/>
        <v>2</v>
      </c>
      <c r="G29" s="511">
        <f t="shared" si="1"/>
        <v>0.5</v>
      </c>
      <c r="H29" s="271">
        <f t="shared" si="2"/>
        <v>0.5</v>
      </c>
      <c r="I29" s="271">
        <f t="shared" si="3"/>
        <v>0</v>
      </c>
    </row>
    <row r="30" spans="1:9" x14ac:dyDescent="0.35">
      <c r="A30" s="89" t="s">
        <v>281</v>
      </c>
      <c r="B30" s="48" t="s">
        <v>282</v>
      </c>
      <c r="C30" s="51">
        <f>PrimaryCrewingAreaPivot!B22</f>
        <v>1</v>
      </c>
      <c r="D30" s="51">
        <f>PrimaryCrewingAreaPivot!C22</f>
        <v>10</v>
      </c>
      <c r="E30" s="51">
        <f>PrimaryCrewingAreaPivot!D22</f>
        <v>1</v>
      </c>
      <c r="F30" s="69">
        <f t="shared" si="0"/>
        <v>12</v>
      </c>
      <c r="G30" s="511">
        <f t="shared" si="1"/>
        <v>8.3333333333333329E-2</v>
      </c>
      <c r="H30" s="271">
        <f t="shared" si="2"/>
        <v>0.83333333333333337</v>
      </c>
      <c r="I30" s="271">
        <f t="shared" si="3"/>
        <v>8.3333333333333329E-2</v>
      </c>
    </row>
    <row r="31" spans="1:9" x14ac:dyDescent="0.35">
      <c r="A31" s="89" t="s">
        <v>283</v>
      </c>
      <c r="B31" s="48" t="s">
        <v>284</v>
      </c>
      <c r="C31" s="51">
        <f>PrimaryCrewingAreaPivot!B23</f>
        <v>0</v>
      </c>
      <c r="D31" s="51">
        <f>PrimaryCrewingAreaPivot!C23</f>
        <v>14</v>
      </c>
      <c r="E31" s="51">
        <f>PrimaryCrewingAreaPivot!D23</f>
        <v>0</v>
      </c>
      <c r="F31" s="69">
        <f t="shared" si="0"/>
        <v>14</v>
      </c>
      <c r="G31" s="511">
        <f t="shared" si="1"/>
        <v>0</v>
      </c>
      <c r="H31" s="271">
        <f t="shared" si="2"/>
        <v>1</v>
      </c>
      <c r="I31" s="271">
        <f t="shared" si="3"/>
        <v>0</v>
      </c>
    </row>
    <row r="32" spans="1:9" x14ac:dyDescent="0.35">
      <c r="A32" s="89" t="s">
        <v>287</v>
      </c>
      <c r="B32" s="48" t="s">
        <v>288</v>
      </c>
      <c r="C32" s="51">
        <f>PrimaryCrewingAreaPivot!B24</f>
        <v>3</v>
      </c>
      <c r="D32" s="51">
        <f>PrimaryCrewingAreaPivot!C24</f>
        <v>8</v>
      </c>
      <c r="E32" s="51">
        <f>PrimaryCrewingAreaPivot!D24</f>
        <v>3</v>
      </c>
      <c r="F32" s="69">
        <f t="shared" si="0"/>
        <v>14</v>
      </c>
      <c r="G32" s="511">
        <f t="shared" si="1"/>
        <v>0.21428571428571427</v>
      </c>
      <c r="H32" s="271">
        <f t="shared" si="2"/>
        <v>0.5714285714285714</v>
      </c>
      <c r="I32" s="271">
        <f t="shared" si="3"/>
        <v>0.21428571428571427</v>
      </c>
    </row>
    <row r="33" spans="1:9" x14ac:dyDescent="0.35">
      <c r="A33" s="89" t="str">
        <f>IF(A10="2019-20","S12000040","S12000044")</f>
        <v>S12000044</v>
      </c>
      <c r="B33" s="48" t="s">
        <v>290</v>
      </c>
      <c r="C33" s="51">
        <f>PrimaryCrewingAreaPivot!B25</f>
        <v>4</v>
      </c>
      <c r="D33" s="51">
        <f>PrimaryCrewingAreaPivot!C25</f>
        <v>3</v>
      </c>
      <c r="E33" s="51">
        <f>PrimaryCrewingAreaPivot!D25</f>
        <v>0</v>
      </c>
      <c r="F33" s="69">
        <f t="shared" si="0"/>
        <v>7</v>
      </c>
      <c r="G33" s="511">
        <f t="shared" si="1"/>
        <v>0.5714285714285714</v>
      </c>
      <c r="H33" s="271">
        <f t="shared" si="2"/>
        <v>0.42857142857142855</v>
      </c>
      <c r="I33" s="271">
        <f t="shared" si="3"/>
        <v>0</v>
      </c>
    </row>
    <row r="34" spans="1:9" x14ac:dyDescent="0.35">
      <c r="A34" s="89" t="s">
        <v>292</v>
      </c>
      <c r="B34" s="48" t="s">
        <v>293</v>
      </c>
      <c r="C34" s="51">
        <f>PrimaryCrewingAreaPivot!B26</f>
        <v>0</v>
      </c>
      <c r="D34" s="51">
        <f>PrimaryCrewingAreaPivot!C26</f>
        <v>12</v>
      </c>
      <c r="E34" s="51">
        <f>PrimaryCrewingAreaPivot!D26</f>
        <v>0</v>
      </c>
      <c r="F34" s="69">
        <f t="shared" si="0"/>
        <v>12</v>
      </c>
      <c r="G34" s="511">
        <f t="shared" si="1"/>
        <v>0</v>
      </c>
      <c r="H34" s="271">
        <f t="shared" si="2"/>
        <v>1</v>
      </c>
      <c r="I34" s="271">
        <f t="shared" si="3"/>
        <v>0</v>
      </c>
    </row>
    <row r="35" spans="1:9" x14ac:dyDescent="0.35">
      <c r="A35" s="89" t="s">
        <v>294</v>
      </c>
      <c r="B35" s="48" t="s">
        <v>295</v>
      </c>
      <c r="C35" s="51">
        <f>PrimaryCrewingAreaPivot!B27</f>
        <v>1</v>
      </c>
      <c r="D35" s="51">
        <f>PrimaryCrewingAreaPivot!C27</f>
        <v>10</v>
      </c>
      <c r="E35" s="51">
        <f>PrimaryCrewingAreaPivot!D27</f>
        <v>3</v>
      </c>
      <c r="F35" s="69">
        <f t="shared" si="0"/>
        <v>14</v>
      </c>
      <c r="G35" s="511">
        <f t="shared" si="1"/>
        <v>7.1428571428571425E-2</v>
      </c>
      <c r="H35" s="271">
        <f t="shared" si="2"/>
        <v>0.7142857142857143</v>
      </c>
      <c r="I35" s="271">
        <f t="shared" si="3"/>
        <v>0.21428571428571427</v>
      </c>
    </row>
    <row r="36" spans="1:9" x14ac:dyDescent="0.35">
      <c r="A36" s="89" t="s">
        <v>296</v>
      </c>
      <c r="B36" s="48" t="s">
        <v>297</v>
      </c>
      <c r="C36" s="51">
        <f>PrimaryCrewingAreaPivot!B28</f>
        <v>3</v>
      </c>
      <c r="D36" s="51">
        <f>PrimaryCrewingAreaPivot!C28</f>
        <v>0</v>
      </c>
      <c r="E36" s="51">
        <f>PrimaryCrewingAreaPivot!D28</f>
        <v>0</v>
      </c>
      <c r="F36" s="69">
        <f t="shared" si="0"/>
        <v>3</v>
      </c>
      <c r="G36" s="511">
        <f t="shared" si="1"/>
        <v>1</v>
      </c>
      <c r="H36" s="271">
        <f t="shared" si="2"/>
        <v>0</v>
      </c>
      <c r="I36" s="271">
        <f t="shared" si="3"/>
        <v>0</v>
      </c>
    </row>
    <row r="37" spans="1:9" x14ac:dyDescent="0.35">
      <c r="A37" s="89" t="s">
        <v>298</v>
      </c>
      <c r="B37" s="48" t="s">
        <v>299</v>
      </c>
      <c r="C37" s="51">
        <f>PrimaryCrewingAreaPivot!B29</f>
        <v>2</v>
      </c>
      <c r="D37" s="51">
        <f>PrimaryCrewingAreaPivot!C29</f>
        <v>11</v>
      </c>
      <c r="E37" s="51">
        <f>PrimaryCrewingAreaPivot!D29</f>
        <v>0</v>
      </c>
      <c r="F37" s="69">
        <f t="shared" si="0"/>
        <v>13</v>
      </c>
      <c r="G37" s="511">
        <f t="shared" si="1"/>
        <v>0.15384615384615385</v>
      </c>
      <c r="H37" s="271">
        <f t="shared" si="2"/>
        <v>0.84615384615384615</v>
      </c>
      <c r="I37" s="271">
        <f t="shared" si="3"/>
        <v>0</v>
      </c>
    </row>
    <row r="38" spans="1:9" x14ac:dyDescent="0.35">
      <c r="A38" s="89" t="s">
        <v>300</v>
      </c>
      <c r="B38" s="48" t="s">
        <v>301</v>
      </c>
      <c r="C38" s="51">
        <f>PrimaryCrewingAreaPivot!B30</f>
        <v>0</v>
      </c>
      <c r="D38" s="51">
        <f>PrimaryCrewingAreaPivot!C30</f>
        <v>14</v>
      </c>
      <c r="E38" s="51">
        <f>PrimaryCrewingAreaPivot!D30</f>
        <v>0</v>
      </c>
      <c r="F38" s="69">
        <f t="shared" si="0"/>
        <v>14</v>
      </c>
      <c r="G38" s="511">
        <f t="shared" si="1"/>
        <v>0</v>
      </c>
      <c r="H38" s="271">
        <f t="shared" si="2"/>
        <v>1</v>
      </c>
      <c r="I38" s="271">
        <f t="shared" si="3"/>
        <v>0</v>
      </c>
    </row>
    <row r="39" spans="1:9" x14ac:dyDescent="0.35">
      <c r="A39" s="89" t="s">
        <v>302</v>
      </c>
      <c r="B39" s="48" t="s">
        <v>303</v>
      </c>
      <c r="C39" s="51">
        <f>PrimaryCrewingAreaPivot!B31</f>
        <v>1</v>
      </c>
      <c r="D39" s="51">
        <f>PrimaryCrewingAreaPivot!C31</f>
        <v>4</v>
      </c>
      <c r="E39" s="51">
        <f>PrimaryCrewingAreaPivot!D31</f>
        <v>0</v>
      </c>
      <c r="F39" s="69">
        <f t="shared" si="0"/>
        <v>5</v>
      </c>
      <c r="G39" s="511">
        <f t="shared" si="1"/>
        <v>0.2</v>
      </c>
      <c r="H39" s="271">
        <f t="shared" si="2"/>
        <v>0.8</v>
      </c>
      <c r="I39" s="271">
        <f t="shared" si="3"/>
        <v>0</v>
      </c>
    </row>
    <row r="40" spans="1:9" x14ac:dyDescent="0.35">
      <c r="A40" s="89" t="s">
        <v>304</v>
      </c>
      <c r="B40" s="48" t="s">
        <v>305</v>
      </c>
      <c r="C40" s="51">
        <f>PrimaryCrewingAreaPivot!B32</f>
        <v>4</v>
      </c>
      <c r="D40" s="51">
        <f>PrimaryCrewingAreaPivot!C32</f>
        <v>7</v>
      </c>
      <c r="E40" s="51">
        <f>PrimaryCrewingAreaPivot!D32</f>
        <v>0</v>
      </c>
      <c r="F40" s="69">
        <f t="shared" si="0"/>
        <v>11</v>
      </c>
      <c r="G40" s="511">
        <f t="shared" si="1"/>
        <v>0.36363636363636365</v>
      </c>
      <c r="H40" s="271">
        <f t="shared" si="2"/>
        <v>0.63636363636363635</v>
      </c>
      <c r="I40" s="271">
        <f t="shared" si="3"/>
        <v>0</v>
      </c>
    </row>
    <row r="41" spans="1:9" x14ac:dyDescent="0.35">
      <c r="A41" s="89" t="s">
        <v>307</v>
      </c>
      <c r="B41" s="48" t="s">
        <v>308</v>
      </c>
      <c r="C41" s="51">
        <f>PrimaryCrewingAreaPivot!B33</f>
        <v>1</v>
      </c>
      <c r="D41" s="51">
        <f>PrimaryCrewingAreaPivot!C33</f>
        <v>9</v>
      </c>
      <c r="E41" s="51">
        <f>PrimaryCrewingAreaPivot!D33</f>
        <v>0</v>
      </c>
      <c r="F41" s="69">
        <f t="shared" si="0"/>
        <v>10</v>
      </c>
      <c r="G41" s="511">
        <f t="shared" si="1"/>
        <v>0.1</v>
      </c>
      <c r="H41" s="271">
        <f t="shared" si="2"/>
        <v>0.9</v>
      </c>
      <c r="I41" s="271">
        <f t="shared" si="3"/>
        <v>0</v>
      </c>
    </row>
    <row r="42" spans="1:9" x14ac:dyDescent="0.35">
      <c r="A42" s="89" t="s">
        <v>309</v>
      </c>
      <c r="B42" s="48" t="s">
        <v>310</v>
      </c>
      <c r="C42" s="51">
        <f>PrimaryCrewingAreaPivot!B34</f>
        <v>2</v>
      </c>
      <c r="D42" s="51">
        <f>PrimaryCrewingAreaPivot!C34</f>
        <v>1</v>
      </c>
      <c r="E42" s="51">
        <f>PrimaryCrewingAreaPivot!D34</f>
        <v>0</v>
      </c>
      <c r="F42" s="69">
        <f t="shared" si="0"/>
        <v>3</v>
      </c>
      <c r="G42" s="511">
        <f t="shared" si="1"/>
        <v>0.66666666666666663</v>
      </c>
      <c r="H42" s="271">
        <f t="shared" si="2"/>
        <v>0.33333333333333331</v>
      </c>
      <c r="I42" s="271">
        <f t="shared" si="3"/>
        <v>0</v>
      </c>
    </row>
    <row r="43" spans="1:9" ht="15.75" customHeight="1" x14ac:dyDescent="0.35">
      <c r="A43" s="89" t="s">
        <v>311</v>
      </c>
      <c r="B43" s="48" t="s">
        <v>312</v>
      </c>
      <c r="C43" s="51">
        <f>PrimaryCrewingAreaPivot!B35</f>
        <v>2</v>
      </c>
      <c r="D43" s="51">
        <f>PrimaryCrewingAreaPivot!C35</f>
        <v>4</v>
      </c>
      <c r="E43" s="51">
        <f>PrimaryCrewingAreaPivot!D35</f>
        <v>0</v>
      </c>
      <c r="F43" s="69">
        <f t="shared" si="0"/>
        <v>6</v>
      </c>
      <c r="G43" s="511">
        <f t="shared" si="1"/>
        <v>0.33333333333333331</v>
      </c>
      <c r="H43" s="271">
        <f t="shared" si="2"/>
        <v>0.66666666666666663</v>
      </c>
      <c r="I43" s="271">
        <f t="shared" si="3"/>
        <v>0</v>
      </c>
    </row>
    <row r="44" spans="1:9" ht="21" customHeight="1" thickBot="1" x14ac:dyDescent="0.4">
      <c r="A44" s="33"/>
      <c r="B44" s="33" t="s">
        <v>348</v>
      </c>
      <c r="C44" s="70">
        <f>SUM(C12:C43)</f>
        <v>74</v>
      </c>
      <c r="D44" s="70">
        <f>SUM(D12:D43)</f>
        <v>240</v>
      </c>
      <c r="E44" s="70">
        <f>SUM(E12:E43)</f>
        <v>42</v>
      </c>
      <c r="F44" s="70">
        <f>SUM(F12:F43)</f>
        <v>356</v>
      </c>
      <c r="G44" s="512">
        <f t="shared" si="1"/>
        <v>0.20786516853932585</v>
      </c>
      <c r="H44" s="272">
        <f t="shared" si="2"/>
        <v>0.6741573033707865</v>
      </c>
      <c r="I44" s="272">
        <f t="shared" si="3"/>
        <v>0.11797752808988764</v>
      </c>
    </row>
    <row r="45" spans="1:9" x14ac:dyDescent="0.35">
      <c r="A45" s="195"/>
      <c r="B45" s="196"/>
      <c r="C45" s="196"/>
      <c r="D45" s="196"/>
      <c r="E45" s="196"/>
      <c r="F45" s="192"/>
      <c r="G45" s="273"/>
      <c r="H45" s="273"/>
      <c r="I45" s="192"/>
    </row>
    <row r="46" spans="1:9" x14ac:dyDescent="0.35">
      <c r="A46" s="353" t="s">
        <v>329</v>
      </c>
      <c r="B46" s="354"/>
      <c r="C46" s="354"/>
      <c r="D46" s="354"/>
      <c r="E46" s="354"/>
      <c r="F46" s="355"/>
      <c r="G46" s="356"/>
      <c r="H46" s="356"/>
      <c r="I46" s="355"/>
    </row>
    <row r="47" spans="1:9" ht="30" customHeight="1" x14ac:dyDescent="0.35">
      <c r="A47" s="1013" t="s">
        <v>367</v>
      </c>
      <c r="B47" s="1013"/>
      <c r="C47" s="1013"/>
      <c r="D47" s="1013"/>
      <c r="E47" s="1013"/>
      <c r="F47" s="1013"/>
      <c r="G47" s="1013"/>
      <c r="H47" s="1013"/>
      <c r="I47" s="1013"/>
    </row>
  </sheetData>
  <sheetProtection algorithmName="SHA-512" hashValue="Ss3/Nx/pinD7LgqSaTDvntLLSjiOkcdrtbpyikEL/Gw+2IwgwuCrLB73O3CoAIR3aBBQkNeesfMOf8GKIgYWoQ==" saltValue="XeBtvEDOr86liHBWAg1pzg==" spinCount="100000" sheet="1" scenarios="1" formatCells="0" sort="0" autoFilter="0" pivotTables="0"/>
  <mergeCells count="3">
    <mergeCell ref="A1:C1"/>
    <mergeCell ref="A4:F4"/>
    <mergeCell ref="A47:I47"/>
  </mergeCells>
  <hyperlinks>
    <hyperlink ref="A2" location="'Table of Contents'!A1" display="Back to Table of Contents" xr:uid="{00000000-0004-0000-0C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A3B5E-539E-402B-9820-BD3DB7621FC3}">
  <dimension ref="B4:F64"/>
  <sheetViews>
    <sheetView topLeftCell="A28" zoomScale="80" zoomScaleNormal="80" workbookViewId="0">
      <selection activeCell="D49" sqref="D49"/>
    </sheetView>
  </sheetViews>
  <sheetFormatPr defaultRowHeight="14.5" x14ac:dyDescent="0.35"/>
  <cols>
    <col min="2" max="2" width="16.81640625" bestFit="1" customWidth="1"/>
    <col min="3" max="3" width="38.26953125" bestFit="1" customWidth="1"/>
    <col min="4" max="4" width="19.81640625" bestFit="1" customWidth="1"/>
    <col min="5" max="5" width="21.26953125" bestFit="1" customWidth="1"/>
    <col min="6" max="6" width="11.81640625" bestFit="1" customWidth="1"/>
  </cols>
  <sheetData>
    <row r="4" spans="2:6" x14ac:dyDescent="0.35">
      <c r="B4" s="387" t="s">
        <v>350</v>
      </c>
      <c r="C4" t="s">
        <v>880</v>
      </c>
      <c r="D4" t="s">
        <v>881</v>
      </c>
      <c r="E4" t="s">
        <v>882</v>
      </c>
      <c r="F4" t="s">
        <v>356</v>
      </c>
    </row>
    <row r="5" spans="2:6" x14ac:dyDescent="0.35">
      <c r="B5" s="388" t="s">
        <v>482</v>
      </c>
      <c r="C5">
        <v>148</v>
      </c>
      <c r="D5">
        <v>173</v>
      </c>
      <c r="E5">
        <v>235</v>
      </c>
      <c r="F5">
        <v>556</v>
      </c>
    </row>
    <row r="6" spans="2:6" x14ac:dyDescent="0.35">
      <c r="B6" s="389" t="s">
        <v>341</v>
      </c>
      <c r="C6">
        <v>18</v>
      </c>
      <c r="D6">
        <v>21</v>
      </c>
      <c r="E6">
        <v>38</v>
      </c>
      <c r="F6">
        <v>77</v>
      </c>
    </row>
    <row r="7" spans="2:6" x14ac:dyDescent="0.35">
      <c r="B7" s="389" t="s">
        <v>342</v>
      </c>
      <c r="C7">
        <v>11</v>
      </c>
      <c r="D7">
        <v>12</v>
      </c>
      <c r="E7">
        <v>30</v>
      </c>
      <c r="F7">
        <v>53</v>
      </c>
    </row>
    <row r="8" spans="2:6" x14ac:dyDescent="0.35">
      <c r="B8" s="389" t="s">
        <v>214</v>
      </c>
      <c r="C8">
        <v>11</v>
      </c>
      <c r="D8">
        <v>15</v>
      </c>
      <c r="E8">
        <v>46</v>
      </c>
      <c r="F8">
        <v>72</v>
      </c>
    </row>
    <row r="9" spans="2:6" x14ac:dyDescent="0.35">
      <c r="B9" s="389" t="s">
        <v>313</v>
      </c>
      <c r="C9">
        <v>10</v>
      </c>
      <c r="D9">
        <v>9</v>
      </c>
      <c r="E9">
        <v>34</v>
      </c>
      <c r="F9">
        <v>53</v>
      </c>
    </row>
    <row r="10" spans="2:6" x14ac:dyDescent="0.35">
      <c r="B10" s="389" t="s">
        <v>319</v>
      </c>
      <c r="C10">
        <v>19</v>
      </c>
      <c r="D10">
        <v>25</v>
      </c>
      <c r="E10">
        <v>19</v>
      </c>
      <c r="F10">
        <v>63</v>
      </c>
    </row>
    <row r="11" spans="2:6" x14ac:dyDescent="0.35">
      <c r="B11" s="389" t="s">
        <v>321</v>
      </c>
      <c r="C11">
        <v>14</v>
      </c>
      <c r="D11">
        <v>34</v>
      </c>
      <c r="E11">
        <v>18</v>
      </c>
      <c r="F11">
        <v>66</v>
      </c>
    </row>
    <row r="12" spans="2:6" x14ac:dyDescent="0.35">
      <c r="B12" s="389" t="s">
        <v>326</v>
      </c>
      <c r="C12">
        <v>22</v>
      </c>
      <c r="D12">
        <v>32</v>
      </c>
      <c r="E12">
        <v>16</v>
      </c>
      <c r="F12">
        <v>70</v>
      </c>
    </row>
    <row r="13" spans="2:6" x14ac:dyDescent="0.35">
      <c r="B13" s="389" t="s">
        <v>327</v>
      </c>
      <c r="C13">
        <v>25</v>
      </c>
      <c r="D13">
        <v>13</v>
      </c>
      <c r="E13">
        <v>13</v>
      </c>
      <c r="F13">
        <v>51</v>
      </c>
    </row>
    <row r="14" spans="2:6" x14ac:dyDescent="0.35">
      <c r="B14" s="389" t="s">
        <v>466</v>
      </c>
      <c r="C14">
        <v>18</v>
      </c>
      <c r="D14">
        <v>12</v>
      </c>
      <c r="E14">
        <v>21</v>
      </c>
      <c r="F14">
        <v>51</v>
      </c>
    </row>
    <row r="15" spans="2:6" x14ac:dyDescent="0.35">
      <c r="B15" s="388" t="s">
        <v>357</v>
      </c>
      <c r="C15">
        <v>148</v>
      </c>
      <c r="D15">
        <v>173</v>
      </c>
      <c r="E15">
        <v>235</v>
      </c>
      <c r="F15">
        <v>556</v>
      </c>
    </row>
    <row r="20" spans="2:6" x14ac:dyDescent="0.35">
      <c r="B20" s="387" t="s">
        <v>350</v>
      </c>
      <c r="C20" t="s">
        <v>880</v>
      </c>
      <c r="D20" t="s">
        <v>881</v>
      </c>
      <c r="E20" t="s">
        <v>882</v>
      </c>
      <c r="F20" t="s">
        <v>356</v>
      </c>
    </row>
    <row r="21" spans="2:6" x14ac:dyDescent="0.35">
      <c r="B21" s="388" t="s">
        <v>483</v>
      </c>
      <c r="C21">
        <v>19</v>
      </c>
      <c r="D21">
        <v>40</v>
      </c>
      <c r="E21">
        <v>12</v>
      </c>
      <c r="F21">
        <v>71</v>
      </c>
    </row>
    <row r="22" spans="2:6" x14ac:dyDescent="0.35">
      <c r="B22" s="389" t="s">
        <v>341</v>
      </c>
      <c r="C22">
        <v>2</v>
      </c>
      <c r="D22">
        <v>3</v>
      </c>
      <c r="E22">
        <v>0</v>
      </c>
      <c r="F22">
        <v>5</v>
      </c>
    </row>
    <row r="23" spans="2:6" x14ac:dyDescent="0.35">
      <c r="B23" s="389" t="s">
        <v>342</v>
      </c>
      <c r="C23">
        <v>2</v>
      </c>
      <c r="D23">
        <v>3</v>
      </c>
      <c r="E23">
        <v>3</v>
      </c>
      <c r="F23">
        <v>8</v>
      </c>
    </row>
    <row r="24" spans="2:6" x14ac:dyDescent="0.35">
      <c r="B24" s="389" t="s">
        <v>214</v>
      </c>
      <c r="C24">
        <v>1</v>
      </c>
      <c r="D24">
        <v>6</v>
      </c>
      <c r="E24">
        <v>4</v>
      </c>
      <c r="F24">
        <v>11</v>
      </c>
    </row>
    <row r="25" spans="2:6" x14ac:dyDescent="0.35">
      <c r="B25" s="389" t="s">
        <v>313</v>
      </c>
      <c r="C25">
        <v>1</v>
      </c>
      <c r="D25">
        <v>1</v>
      </c>
      <c r="E25">
        <v>1</v>
      </c>
      <c r="F25">
        <v>3</v>
      </c>
    </row>
    <row r="26" spans="2:6" x14ac:dyDescent="0.35">
      <c r="B26" s="389" t="s">
        <v>319</v>
      </c>
      <c r="C26">
        <v>0</v>
      </c>
      <c r="D26">
        <v>5</v>
      </c>
      <c r="E26">
        <v>1</v>
      </c>
      <c r="F26">
        <v>6</v>
      </c>
    </row>
    <row r="27" spans="2:6" x14ac:dyDescent="0.35">
      <c r="B27" s="389" t="s">
        <v>321</v>
      </c>
      <c r="C27">
        <v>6</v>
      </c>
      <c r="D27">
        <v>3</v>
      </c>
      <c r="E27">
        <v>0</v>
      </c>
      <c r="F27">
        <v>9</v>
      </c>
    </row>
    <row r="28" spans="2:6" x14ac:dyDescent="0.35">
      <c r="B28" s="389" t="s">
        <v>326</v>
      </c>
      <c r="C28">
        <v>2</v>
      </c>
      <c r="D28">
        <v>9</v>
      </c>
      <c r="E28">
        <v>1</v>
      </c>
      <c r="F28">
        <v>12</v>
      </c>
    </row>
    <row r="29" spans="2:6" x14ac:dyDescent="0.35">
      <c r="B29" s="389" t="s">
        <v>327</v>
      </c>
      <c r="C29">
        <v>4</v>
      </c>
      <c r="D29">
        <v>3</v>
      </c>
      <c r="E29">
        <v>2</v>
      </c>
      <c r="F29">
        <v>9</v>
      </c>
    </row>
    <row r="30" spans="2:6" x14ac:dyDescent="0.35">
      <c r="B30" s="389" t="s">
        <v>466</v>
      </c>
      <c r="C30">
        <v>1</v>
      </c>
      <c r="D30">
        <v>7</v>
      </c>
      <c r="E30">
        <v>0</v>
      </c>
      <c r="F30">
        <v>8</v>
      </c>
    </row>
    <row r="31" spans="2:6" x14ac:dyDescent="0.35">
      <c r="B31" s="388" t="s">
        <v>357</v>
      </c>
      <c r="C31">
        <v>19</v>
      </c>
      <c r="D31">
        <v>40</v>
      </c>
      <c r="E31">
        <v>12</v>
      </c>
      <c r="F31">
        <v>71</v>
      </c>
    </row>
    <row r="36" spans="2:6" x14ac:dyDescent="0.35">
      <c r="B36" s="387" t="s">
        <v>350</v>
      </c>
      <c r="C36" t="s">
        <v>880</v>
      </c>
      <c r="D36" t="s">
        <v>881</v>
      </c>
      <c r="E36" t="s">
        <v>882</v>
      </c>
      <c r="F36" t="s">
        <v>356</v>
      </c>
    </row>
    <row r="37" spans="2:6" x14ac:dyDescent="0.35">
      <c r="B37" s="388" t="s">
        <v>482</v>
      </c>
      <c r="C37">
        <v>2</v>
      </c>
      <c r="D37">
        <v>2</v>
      </c>
      <c r="E37">
        <v>16</v>
      </c>
      <c r="F37">
        <v>20</v>
      </c>
    </row>
    <row r="38" spans="2:6" x14ac:dyDescent="0.35">
      <c r="B38" s="389" t="s">
        <v>341</v>
      </c>
      <c r="C38">
        <v>1</v>
      </c>
      <c r="D38">
        <v>0</v>
      </c>
      <c r="E38">
        <v>4</v>
      </c>
      <c r="F38">
        <v>5</v>
      </c>
    </row>
    <row r="39" spans="2:6" x14ac:dyDescent="0.35">
      <c r="B39" s="389" t="s">
        <v>342</v>
      </c>
      <c r="C39">
        <v>0</v>
      </c>
      <c r="D39">
        <v>0</v>
      </c>
      <c r="E39">
        <v>7</v>
      </c>
      <c r="F39">
        <v>7</v>
      </c>
    </row>
    <row r="40" spans="2:6" x14ac:dyDescent="0.35">
      <c r="B40" s="389" t="s">
        <v>214</v>
      </c>
      <c r="C40">
        <v>0</v>
      </c>
      <c r="D40">
        <v>0</v>
      </c>
      <c r="E40">
        <v>1</v>
      </c>
      <c r="F40">
        <v>1</v>
      </c>
    </row>
    <row r="41" spans="2:6" x14ac:dyDescent="0.35">
      <c r="B41" s="389" t="s">
        <v>313</v>
      </c>
      <c r="C41">
        <v>0</v>
      </c>
      <c r="D41">
        <v>0</v>
      </c>
      <c r="E41">
        <v>2</v>
      </c>
      <c r="F41">
        <v>2</v>
      </c>
    </row>
    <row r="42" spans="2:6" x14ac:dyDescent="0.35">
      <c r="B42" s="389" t="s">
        <v>319</v>
      </c>
      <c r="C42">
        <v>0</v>
      </c>
      <c r="D42">
        <v>0</v>
      </c>
      <c r="E42">
        <v>1</v>
      </c>
      <c r="F42">
        <v>1</v>
      </c>
    </row>
    <row r="43" spans="2:6" x14ac:dyDescent="0.35">
      <c r="B43" s="389" t="s">
        <v>321</v>
      </c>
      <c r="C43">
        <v>1</v>
      </c>
      <c r="D43">
        <v>0</v>
      </c>
      <c r="E43">
        <v>0</v>
      </c>
      <c r="F43">
        <v>1</v>
      </c>
    </row>
    <row r="44" spans="2:6" x14ac:dyDescent="0.35">
      <c r="B44" s="389" t="s">
        <v>326</v>
      </c>
      <c r="C44">
        <v>0</v>
      </c>
      <c r="D44">
        <v>0</v>
      </c>
      <c r="E44">
        <v>0</v>
      </c>
      <c r="F44">
        <v>0</v>
      </c>
    </row>
    <row r="45" spans="2:6" x14ac:dyDescent="0.35">
      <c r="B45" s="389" t="s">
        <v>327</v>
      </c>
      <c r="C45">
        <v>0</v>
      </c>
      <c r="D45">
        <v>2</v>
      </c>
      <c r="E45">
        <v>0</v>
      </c>
      <c r="F45">
        <v>2</v>
      </c>
    </row>
    <row r="46" spans="2:6" x14ac:dyDescent="0.35">
      <c r="B46" s="389" t="s">
        <v>466</v>
      </c>
      <c r="C46">
        <v>0</v>
      </c>
      <c r="D46">
        <v>0</v>
      </c>
      <c r="E46">
        <v>1</v>
      </c>
      <c r="F46">
        <v>1</v>
      </c>
    </row>
    <row r="47" spans="2:6" x14ac:dyDescent="0.35">
      <c r="B47" s="388" t="s">
        <v>357</v>
      </c>
      <c r="C47">
        <v>2</v>
      </c>
      <c r="D47">
        <v>2</v>
      </c>
      <c r="E47">
        <v>16</v>
      </c>
      <c r="F47">
        <v>20</v>
      </c>
    </row>
    <row r="53" spans="2:6" x14ac:dyDescent="0.35">
      <c r="B53" s="387" t="s">
        <v>350</v>
      </c>
      <c r="C53" t="s">
        <v>880</v>
      </c>
      <c r="D53" t="s">
        <v>881</v>
      </c>
      <c r="E53" t="s">
        <v>882</v>
      </c>
      <c r="F53" t="s">
        <v>356</v>
      </c>
    </row>
    <row r="54" spans="2:6" x14ac:dyDescent="0.35">
      <c r="B54" s="388" t="s">
        <v>483</v>
      </c>
      <c r="C54">
        <v>0</v>
      </c>
      <c r="D54">
        <v>0</v>
      </c>
      <c r="E54">
        <v>3</v>
      </c>
      <c r="F54">
        <v>3</v>
      </c>
    </row>
    <row r="55" spans="2:6" x14ac:dyDescent="0.35">
      <c r="B55" s="389" t="s">
        <v>341</v>
      </c>
      <c r="C55">
        <v>0</v>
      </c>
      <c r="D55">
        <v>0</v>
      </c>
      <c r="E55">
        <v>0</v>
      </c>
      <c r="F55">
        <v>0</v>
      </c>
    </row>
    <row r="56" spans="2:6" x14ac:dyDescent="0.35">
      <c r="B56" s="389" t="s">
        <v>342</v>
      </c>
      <c r="C56">
        <v>0</v>
      </c>
      <c r="D56">
        <v>0</v>
      </c>
      <c r="E56">
        <v>0</v>
      </c>
      <c r="F56">
        <v>0</v>
      </c>
    </row>
    <row r="57" spans="2:6" x14ac:dyDescent="0.35">
      <c r="B57" s="389" t="s">
        <v>214</v>
      </c>
      <c r="C57">
        <v>0</v>
      </c>
      <c r="D57">
        <v>0</v>
      </c>
      <c r="E57">
        <v>2</v>
      </c>
      <c r="F57">
        <v>2</v>
      </c>
    </row>
    <row r="58" spans="2:6" x14ac:dyDescent="0.35">
      <c r="B58" s="389" t="s">
        <v>313</v>
      </c>
      <c r="C58">
        <v>0</v>
      </c>
      <c r="D58">
        <v>0</v>
      </c>
      <c r="E58">
        <v>0</v>
      </c>
      <c r="F58">
        <v>0</v>
      </c>
    </row>
    <row r="59" spans="2:6" x14ac:dyDescent="0.35">
      <c r="B59" s="389" t="s">
        <v>319</v>
      </c>
      <c r="C59">
        <v>0</v>
      </c>
      <c r="D59">
        <v>0</v>
      </c>
      <c r="E59">
        <v>0</v>
      </c>
      <c r="F59">
        <v>0</v>
      </c>
    </row>
    <row r="60" spans="2:6" x14ac:dyDescent="0.35">
      <c r="B60" s="389" t="s">
        <v>321</v>
      </c>
      <c r="C60">
        <v>0</v>
      </c>
      <c r="D60">
        <v>0</v>
      </c>
      <c r="E60">
        <v>0</v>
      </c>
      <c r="F60">
        <v>0</v>
      </c>
    </row>
    <row r="61" spans="2:6" x14ac:dyDescent="0.35">
      <c r="B61" s="389" t="s">
        <v>326</v>
      </c>
      <c r="C61">
        <v>0</v>
      </c>
      <c r="D61">
        <v>0</v>
      </c>
      <c r="E61">
        <v>0</v>
      </c>
      <c r="F61">
        <v>0</v>
      </c>
    </row>
    <row r="62" spans="2:6" x14ac:dyDescent="0.35">
      <c r="B62" s="389" t="s">
        <v>327</v>
      </c>
      <c r="C62">
        <v>0</v>
      </c>
      <c r="D62">
        <v>0</v>
      </c>
      <c r="E62">
        <v>1</v>
      </c>
      <c r="F62">
        <v>1</v>
      </c>
    </row>
    <row r="63" spans="2:6" x14ac:dyDescent="0.35">
      <c r="B63" s="389" t="s">
        <v>466</v>
      </c>
      <c r="C63">
        <v>0</v>
      </c>
      <c r="D63">
        <v>0</v>
      </c>
      <c r="E63">
        <v>0</v>
      </c>
      <c r="F63">
        <v>0</v>
      </c>
    </row>
    <row r="64" spans="2:6" x14ac:dyDescent="0.35">
      <c r="B64" s="388" t="s">
        <v>357</v>
      </c>
      <c r="C64">
        <v>0</v>
      </c>
      <c r="D64">
        <v>0</v>
      </c>
      <c r="E64">
        <v>3</v>
      </c>
      <c r="F64">
        <v>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4CE7-A4E7-4FBE-98B1-8EBB58D6571D}">
  <dimension ref="A1:F51"/>
  <sheetViews>
    <sheetView workbookViewId="0">
      <selection activeCell="A42" sqref="A42:F51"/>
    </sheetView>
  </sheetViews>
  <sheetFormatPr defaultRowHeight="14.5" x14ac:dyDescent="0.35"/>
  <cols>
    <col min="1" max="1" width="15.453125" bestFit="1" customWidth="1"/>
    <col min="2" max="2" width="9.54296875" bestFit="1" customWidth="1"/>
    <col min="3" max="3" width="33.54296875" bestFit="1" customWidth="1"/>
    <col min="4" max="4" width="15.26953125" bestFit="1" customWidth="1"/>
    <col min="5" max="5" width="16.453125" bestFit="1" customWidth="1"/>
    <col min="6" max="6" width="7.453125" bestFit="1" customWidth="1"/>
  </cols>
  <sheetData>
    <row r="1" spans="1:6" x14ac:dyDescent="0.35">
      <c r="A1" t="s">
        <v>883</v>
      </c>
      <c r="B1" t="s">
        <v>884</v>
      </c>
      <c r="C1" t="s">
        <v>885</v>
      </c>
      <c r="D1" t="s">
        <v>886</v>
      </c>
      <c r="E1" t="s">
        <v>887</v>
      </c>
      <c r="F1" t="s">
        <v>340</v>
      </c>
    </row>
    <row r="2" spans="1:6" x14ac:dyDescent="0.35">
      <c r="A2" t="s">
        <v>482</v>
      </c>
      <c r="B2" t="s">
        <v>341</v>
      </c>
      <c r="C2">
        <v>18</v>
      </c>
      <c r="D2">
        <v>21</v>
      </c>
      <c r="E2">
        <v>38</v>
      </c>
      <c r="F2">
        <v>77</v>
      </c>
    </row>
    <row r="3" spans="1:6" x14ac:dyDescent="0.35">
      <c r="A3" t="s">
        <v>482</v>
      </c>
      <c r="B3" t="s">
        <v>342</v>
      </c>
      <c r="C3">
        <v>11</v>
      </c>
      <c r="D3">
        <v>12</v>
      </c>
      <c r="E3">
        <v>30</v>
      </c>
      <c r="F3">
        <v>53</v>
      </c>
    </row>
    <row r="4" spans="1:6" x14ac:dyDescent="0.35">
      <c r="A4" t="s">
        <v>482</v>
      </c>
      <c r="B4" t="s">
        <v>214</v>
      </c>
      <c r="C4">
        <v>11</v>
      </c>
      <c r="D4">
        <v>15</v>
      </c>
      <c r="E4">
        <v>46</v>
      </c>
      <c r="F4">
        <v>72</v>
      </c>
    </row>
    <row r="5" spans="1:6" x14ac:dyDescent="0.35">
      <c r="A5" t="s">
        <v>482</v>
      </c>
      <c r="B5" t="s">
        <v>313</v>
      </c>
      <c r="C5">
        <v>10</v>
      </c>
      <c r="D5">
        <v>9</v>
      </c>
      <c r="E5">
        <v>34</v>
      </c>
      <c r="F5">
        <v>53</v>
      </c>
    </row>
    <row r="6" spans="1:6" x14ac:dyDescent="0.35">
      <c r="A6" t="s">
        <v>482</v>
      </c>
      <c r="B6" t="s">
        <v>319</v>
      </c>
      <c r="C6">
        <v>19</v>
      </c>
      <c r="D6">
        <v>25</v>
      </c>
      <c r="E6">
        <v>19</v>
      </c>
      <c r="F6">
        <v>63</v>
      </c>
    </row>
    <row r="7" spans="1:6" x14ac:dyDescent="0.35">
      <c r="A7" t="s">
        <v>482</v>
      </c>
      <c r="B7" t="s">
        <v>321</v>
      </c>
      <c r="C7">
        <v>14</v>
      </c>
      <c r="D7">
        <v>34</v>
      </c>
      <c r="E7">
        <v>18</v>
      </c>
      <c r="F7">
        <v>66</v>
      </c>
    </row>
    <row r="8" spans="1:6" x14ac:dyDescent="0.35">
      <c r="A8" t="s">
        <v>482</v>
      </c>
      <c r="B8" t="s">
        <v>326</v>
      </c>
      <c r="C8">
        <v>22</v>
      </c>
      <c r="D8">
        <v>32</v>
      </c>
      <c r="E8">
        <v>16</v>
      </c>
      <c r="F8">
        <v>70</v>
      </c>
    </row>
    <row r="9" spans="1:6" x14ac:dyDescent="0.35">
      <c r="A9" t="s">
        <v>482</v>
      </c>
      <c r="B9" t="s">
        <v>327</v>
      </c>
      <c r="C9">
        <v>25</v>
      </c>
      <c r="D9">
        <v>13</v>
      </c>
      <c r="E9">
        <v>13</v>
      </c>
      <c r="F9">
        <v>51</v>
      </c>
    </row>
    <row r="10" spans="1:6" x14ac:dyDescent="0.35">
      <c r="A10" t="s">
        <v>482</v>
      </c>
      <c r="B10" t="s">
        <v>466</v>
      </c>
      <c r="C10">
        <v>18</v>
      </c>
      <c r="D10">
        <v>12</v>
      </c>
      <c r="E10">
        <v>21</v>
      </c>
      <c r="F10">
        <v>51</v>
      </c>
    </row>
    <row r="14" spans="1:6" x14ac:dyDescent="0.35">
      <c r="A14" t="s">
        <v>883</v>
      </c>
      <c r="B14" t="s">
        <v>884</v>
      </c>
      <c r="C14" t="s">
        <v>885</v>
      </c>
      <c r="D14" t="s">
        <v>886</v>
      </c>
      <c r="E14" t="s">
        <v>887</v>
      </c>
      <c r="F14" t="s">
        <v>340</v>
      </c>
    </row>
    <row r="15" spans="1:6" x14ac:dyDescent="0.35">
      <c r="A15" t="s">
        <v>483</v>
      </c>
      <c r="B15" t="s">
        <v>341</v>
      </c>
      <c r="C15">
        <v>2</v>
      </c>
      <c r="D15">
        <v>3</v>
      </c>
      <c r="E15">
        <v>0</v>
      </c>
      <c r="F15">
        <v>5</v>
      </c>
    </row>
    <row r="16" spans="1:6" x14ac:dyDescent="0.35">
      <c r="A16" t="s">
        <v>483</v>
      </c>
      <c r="B16" t="s">
        <v>342</v>
      </c>
      <c r="C16">
        <v>2</v>
      </c>
      <c r="D16">
        <v>3</v>
      </c>
      <c r="E16">
        <v>3</v>
      </c>
      <c r="F16">
        <v>8</v>
      </c>
    </row>
    <row r="17" spans="1:6" x14ac:dyDescent="0.35">
      <c r="A17" t="s">
        <v>483</v>
      </c>
      <c r="B17" t="s">
        <v>214</v>
      </c>
      <c r="C17">
        <v>1</v>
      </c>
      <c r="D17">
        <v>6</v>
      </c>
      <c r="E17">
        <v>4</v>
      </c>
      <c r="F17">
        <v>11</v>
      </c>
    </row>
    <row r="18" spans="1:6" x14ac:dyDescent="0.35">
      <c r="A18" t="s">
        <v>483</v>
      </c>
      <c r="B18" t="s">
        <v>313</v>
      </c>
      <c r="C18">
        <v>1</v>
      </c>
      <c r="D18">
        <v>1</v>
      </c>
      <c r="E18">
        <v>1</v>
      </c>
      <c r="F18">
        <v>3</v>
      </c>
    </row>
    <row r="19" spans="1:6" x14ac:dyDescent="0.35">
      <c r="A19" t="s">
        <v>483</v>
      </c>
      <c r="B19" t="s">
        <v>319</v>
      </c>
      <c r="C19">
        <v>0</v>
      </c>
      <c r="D19">
        <v>5</v>
      </c>
      <c r="E19">
        <v>1</v>
      </c>
      <c r="F19">
        <v>6</v>
      </c>
    </row>
    <row r="20" spans="1:6" x14ac:dyDescent="0.35">
      <c r="A20" t="s">
        <v>483</v>
      </c>
      <c r="B20" t="s">
        <v>321</v>
      </c>
      <c r="C20">
        <v>6</v>
      </c>
      <c r="D20">
        <v>3</v>
      </c>
      <c r="E20">
        <v>0</v>
      </c>
      <c r="F20">
        <v>9</v>
      </c>
    </row>
    <row r="21" spans="1:6" x14ac:dyDescent="0.35">
      <c r="A21" t="s">
        <v>483</v>
      </c>
      <c r="B21" t="s">
        <v>326</v>
      </c>
      <c r="C21">
        <v>2</v>
      </c>
      <c r="D21">
        <v>9</v>
      </c>
      <c r="E21">
        <v>1</v>
      </c>
      <c r="F21">
        <v>12</v>
      </c>
    </row>
    <row r="22" spans="1:6" x14ac:dyDescent="0.35">
      <c r="A22" t="s">
        <v>483</v>
      </c>
      <c r="B22" t="s">
        <v>327</v>
      </c>
      <c r="C22">
        <v>4</v>
      </c>
      <c r="D22">
        <v>3</v>
      </c>
      <c r="E22">
        <v>2</v>
      </c>
      <c r="F22">
        <v>9</v>
      </c>
    </row>
    <row r="23" spans="1:6" x14ac:dyDescent="0.35">
      <c r="A23" t="s">
        <v>483</v>
      </c>
      <c r="B23" t="s">
        <v>466</v>
      </c>
      <c r="C23">
        <v>1</v>
      </c>
      <c r="D23">
        <v>7</v>
      </c>
      <c r="E23">
        <v>0</v>
      </c>
      <c r="F23">
        <v>8</v>
      </c>
    </row>
    <row r="28" spans="1:6" x14ac:dyDescent="0.35">
      <c r="A28" t="s">
        <v>883</v>
      </c>
      <c r="B28" t="s">
        <v>884</v>
      </c>
      <c r="C28" t="s">
        <v>885</v>
      </c>
      <c r="D28" t="s">
        <v>886</v>
      </c>
      <c r="E28" t="s">
        <v>887</v>
      </c>
      <c r="F28" t="s">
        <v>340</v>
      </c>
    </row>
    <row r="29" spans="1:6" x14ac:dyDescent="0.35">
      <c r="A29" t="s">
        <v>482</v>
      </c>
      <c r="B29" t="s">
        <v>341</v>
      </c>
      <c r="C29">
        <v>1</v>
      </c>
      <c r="D29">
        <v>0</v>
      </c>
      <c r="E29">
        <v>4</v>
      </c>
      <c r="F29">
        <v>5</v>
      </c>
    </row>
    <row r="30" spans="1:6" x14ac:dyDescent="0.35">
      <c r="A30" t="s">
        <v>482</v>
      </c>
      <c r="B30" t="s">
        <v>342</v>
      </c>
      <c r="C30">
        <v>0</v>
      </c>
      <c r="D30">
        <v>0</v>
      </c>
      <c r="E30">
        <v>7</v>
      </c>
      <c r="F30">
        <v>7</v>
      </c>
    </row>
    <row r="31" spans="1:6" x14ac:dyDescent="0.35">
      <c r="A31" t="s">
        <v>482</v>
      </c>
      <c r="B31" t="s">
        <v>214</v>
      </c>
      <c r="C31">
        <v>0</v>
      </c>
      <c r="D31">
        <v>0</v>
      </c>
      <c r="E31">
        <v>1</v>
      </c>
      <c r="F31">
        <v>1</v>
      </c>
    </row>
    <row r="32" spans="1:6" x14ac:dyDescent="0.35">
      <c r="A32" t="s">
        <v>482</v>
      </c>
      <c r="B32" t="s">
        <v>313</v>
      </c>
      <c r="C32">
        <v>0</v>
      </c>
      <c r="D32">
        <v>0</v>
      </c>
      <c r="E32">
        <v>2</v>
      </c>
      <c r="F32">
        <v>2</v>
      </c>
    </row>
    <row r="33" spans="1:6" x14ac:dyDescent="0.35">
      <c r="A33" t="s">
        <v>482</v>
      </c>
      <c r="B33" t="s">
        <v>319</v>
      </c>
      <c r="C33">
        <v>0</v>
      </c>
      <c r="D33">
        <v>0</v>
      </c>
      <c r="E33">
        <v>1</v>
      </c>
      <c r="F33">
        <v>1</v>
      </c>
    </row>
    <row r="34" spans="1:6" x14ac:dyDescent="0.35">
      <c r="A34" t="s">
        <v>482</v>
      </c>
      <c r="B34" t="s">
        <v>321</v>
      </c>
      <c r="C34">
        <v>1</v>
      </c>
      <c r="D34">
        <v>0</v>
      </c>
      <c r="E34">
        <v>0</v>
      </c>
      <c r="F34">
        <v>1</v>
      </c>
    </row>
    <row r="35" spans="1:6" x14ac:dyDescent="0.35">
      <c r="A35" t="s">
        <v>482</v>
      </c>
      <c r="B35" t="s">
        <v>326</v>
      </c>
      <c r="C35">
        <v>0</v>
      </c>
      <c r="D35">
        <v>0</v>
      </c>
      <c r="E35">
        <v>0</v>
      </c>
      <c r="F35">
        <v>0</v>
      </c>
    </row>
    <row r="36" spans="1:6" x14ac:dyDescent="0.35">
      <c r="A36" t="s">
        <v>482</v>
      </c>
      <c r="B36" t="s">
        <v>327</v>
      </c>
      <c r="C36">
        <v>0</v>
      </c>
      <c r="D36">
        <v>2</v>
      </c>
      <c r="E36">
        <v>0</v>
      </c>
      <c r="F36">
        <v>2</v>
      </c>
    </row>
    <row r="37" spans="1:6" x14ac:dyDescent="0.35">
      <c r="A37" t="s">
        <v>482</v>
      </c>
      <c r="B37" t="s">
        <v>466</v>
      </c>
      <c r="C37">
        <v>0</v>
      </c>
      <c r="D37">
        <v>0</v>
      </c>
      <c r="E37">
        <v>1</v>
      </c>
      <c r="F37">
        <v>1</v>
      </c>
    </row>
    <row r="42" spans="1:6" x14ac:dyDescent="0.35">
      <c r="A42" t="s">
        <v>883</v>
      </c>
      <c r="B42" t="s">
        <v>884</v>
      </c>
      <c r="C42" t="s">
        <v>885</v>
      </c>
      <c r="D42" t="s">
        <v>886</v>
      </c>
      <c r="E42" t="s">
        <v>887</v>
      </c>
      <c r="F42" t="s">
        <v>340</v>
      </c>
    </row>
    <row r="43" spans="1:6" x14ac:dyDescent="0.35">
      <c r="A43" t="s">
        <v>483</v>
      </c>
      <c r="B43" t="s">
        <v>341</v>
      </c>
      <c r="C43">
        <v>0</v>
      </c>
      <c r="D43">
        <v>0</v>
      </c>
      <c r="E43">
        <v>0</v>
      </c>
      <c r="F43">
        <v>0</v>
      </c>
    </row>
    <row r="44" spans="1:6" x14ac:dyDescent="0.35">
      <c r="A44" t="s">
        <v>483</v>
      </c>
      <c r="B44" t="s">
        <v>342</v>
      </c>
      <c r="C44">
        <v>0</v>
      </c>
      <c r="D44">
        <v>0</v>
      </c>
      <c r="E44">
        <v>0</v>
      </c>
      <c r="F44">
        <v>0</v>
      </c>
    </row>
    <row r="45" spans="1:6" x14ac:dyDescent="0.35">
      <c r="A45" t="s">
        <v>483</v>
      </c>
      <c r="B45" t="s">
        <v>214</v>
      </c>
      <c r="C45">
        <v>0</v>
      </c>
      <c r="D45">
        <v>0</v>
      </c>
      <c r="E45">
        <v>2</v>
      </c>
      <c r="F45">
        <v>2</v>
      </c>
    </row>
    <row r="46" spans="1:6" x14ac:dyDescent="0.35">
      <c r="A46" t="s">
        <v>483</v>
      </c>
      <c r="B46" t="s">
        <v>313</v>
      </c>
      <c r="C46">
        <v>0</v>
      </c>
      <c r="D46">
        <v>0</v>
      </c>
      <c r="E46">
        <v>0</v>
      </c>
      <c r="F46">
        <v>0</v>
      </c>
    </row>
    <row r="47" spans="1:6" x14ac:dyDescent="0.35">
      <c r="A47" t="s">
        <v>483</v>
      </c>
      <c r="B47" t="s">
        <v>319</v>
      </c>
      <c r="C47">
        <v>0</v>
      </c>
      <c r="D47">
        <v>0</v>
      </c>
      <c r="E47">
        <v>0</v>
      </c>
      <c r="F47">
        <v>0</v>
      </c>
    </row>
    <row r="48" spans="1:6" x14ac:dyDescent="0.35">
      <c r="A48" t="s">
        <v>483</v>
      </c>
      <c r="B48" t="s">
        <v>321</v>
      </c>
      <c r="C48">
        <v>0</v>
      </c>
      <c r="D48">
        <v>0</v>
      </c>
      <c r="E48">
        <v>0</v>
      </c>
      <c r="F48">
        <v>0</v>
      </c>
    </row>
    <row r="49" spans="1:6" x14ac:dyDescent="0.35">
      <c r="A49" t="s">
        <v>483</v>
      </c>
      <c r="B49" t="s">
        <v>326</v>
      </c>
      <c r="C49">
        <v>0</v>
      </c>
      <c r="D49">
        <v>0</v>
      </c>
      <c r="E49">
        <v>0</v>
      </c>
      <c r="F49">
        <v>0</v>
      </c>
    </row>
    <row r="50" spans="1:6" x14ac:dyDescent="0.35">
      <c r="A50" t="s">
        <v>483</v>
      </c>
      <c r="B50" t="s">
        <v>327</v>
      </c>
      <c r="C50">
        <v>0</v>
      </c>
      <c r="D50">
        <v>0</v>
      </c>
      <c r="E50">
        <v>1</v>
      </c>
      <c r="F50">
        <v>1</v>
      </c>
    </row>
    <row r="51" spans="1:6" x14ac:dyDescent="0.35">
      <c r="A51" t="s">
        <v>483</v>
      </c>
      <c r="B51" t="s">
        <v>466</v>
      </c>
      <c r="C51">
        <v>0</v>
      </c>
      <c r="D51">
        <v>0</v>
      </c>
      <c r="E51">
        <v>0</v>
      </c>
      <c r="F51">
        <v>0</v>
      </c>
    </row>
  </sheetData>
  <pageMargins left="0.7" right="0.7" top="0.75" bottom="0.75" header="0.3" footer="0.3"/>
  <tableParts count="4">
    <tablePart r:id="rId1"/>
    <tablePart r:id="rId2"/>
    <tablePart r:id="rId3"/>
    <tablePart r:id="rId4"/>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5">
    <tabColor theme="5" tint="0.39997558519241921"/>
    <pageSetUpPr fitToPage="1"/>
  </sheetPr>
  <dimension ref="A1:AC82"/>
  <sheetViews>
    <sheetView showGridLines="0" zoomScaleNormal="100" workbookViewId="0">
      <pane ySplit="2" topLeftCell="A3" activePane="bottomLeft" state="frozen"/>
      <selection pane="bottomLeft"/>
    </sheetView>
  </sheetViews>
  <sheetFormatPr defaultRowHeight="15" customHeight="1" x14ac:dyDescent="0.35"/>
  <cols>
    <col min="1" max="1" width="17.54296875" customWidth="1"/>
    <col min="2" max="2" width="27.26953125" customWidth="1"/>
    <col min="3" max="3" width="10.81640625" customWidth="1"/>
    <col min="4" max="4" width="12.1796875" customWidth="1"/>
    <col min="5" max="5" width="10.453125" customWidth="1"/>
    <col min="6" max="6" width="10.81640625" customWidth="1"/>
    <col min="7" max="7" width="14.1796875" customWidth="1"/>
    <col min="8" max="8" width="25.54296875" customWidth="1"/>
    <col min="9" max="9" width="16.81640625" customWidth="1"/>
    <col min="10" max="10" width="13.1796875" customWidth="1"/>
    <col min="11" max="11" width="12.453125" customWidth="1"/>
    <col min="12" max="13" width="7.453125" bestFit="1" customWidth="1"/>
  </cols>
  <sheetData>
    <row r="1" spans="1:11" ht="15.75" customHeight="1" x14ac:dyDescent="0.35">
      <c r="A1" s="514" t="s">
        <v>888</v>
      </c>
      <c r="B1" s="514"/>
    </row>
    <row r="2" spans="1:11" ht="15.5" x14ac:dyDescent="0.35">
      <c r="A2" s="499" t="s">
        <v>201</v>
      </c>
      <c r="B2" s="441"/>
    </row>
    <row r="4" spans="1:11" ht="15.75" customHeight="1" x14ac:dyDescent="0.35">
      <c r="A4" s="1051" t="s">
        <v>889</v>
      </c>
      <c r="B4" s="1051"/>
      <c r="C4" s="1051"/>
      <c r="D4" s="1051"/>
      <c r="E4" s="1051"/>
      <c r="F4" s="1051"/>
      <c r="G4" s="1051"/>
      <c r="H4" s="1051"/>
      <c r="I4" s="1051"/>
      <c r="J4" s="1051"/>
    </row>
    <row r="5" spans="1:11" ht="15.75" customHeight="1" x14ac:dyDescent="0.35">
      <c r="A5" t="s">
        <v>202</v>
      </c>
      <c r="B5" t="s">
        <v>119</v>
      </c>
      <c r="C5" s="500"/>
      <c r="D5" s="500"/>
      <c r="E5" s="500"/>
      <c r="F5" s="500"/>
      <c r="G5" s="500"/>
      <c r="H5" s="500"/>
      <c r="I5" s="500"/>
      <c r="J5" s="500"/>
    </row>
    <row r="6" spans="1:11" ht="15.75" customHeight="1" x14ac:dyDescent="0.35">
      <c r="A6" t="s">
        <v>203</v>
      </c>
      <c r="B6" t="s">
        <v>204</v>
      </c>
      <c r="C6" s="500"/>
      <c r="D6" s="500"/>
      <c r="E6" s="500"/>
      <c r="F6" s="500"/>
      <c r="G6" s="500"/>
      <c r="H6" s="500"/>
      <c r="I6" s="500"/>
      <c r="J6" s="500"/>
    </row>
    <row r="7" spans="1:11" ht="15.75" customHeight="1" x14ac:dyDescent="0.35">
      <c r="A7" t="s">
        <v>205</v>
      </c>
      <c r="B7" t="s">
        <v>890</v>
      </c>
      <c r="C7" s="500"/>
      <c r="D7" s="500"/>
      <c r="E7" s="500"/>
      <c r="F7" s="500"/>
      <c r="G7" s="500"/>
      <c r="H7" s="500"/>
      <c r="I7" s="500"/>
      <c r="J7" s="500"/>
    </row>
    <row r="8" spans="1:11" ht="14.5" x14ac:dyDescent="0.35">
      <c r="A8" s="338"/>
      <c r="B8" s="15"/>
      <c r="C8" s="15"/>
      <c r="D8" s="15"/>
      <c r="E8" s="15"/>
      <c r="F8" s="15"/>
      <c r="G8" s="15"/>
      <c r="H8" s="15"/>
      <c r="I8" s="15"/>
      <c r="J8" s="15"/>
    </row>
    <row r="9" spans="1:11" ht="27.75" customHeight="1" x14ac:dyDescent="0.35">
      <c r="A9" s="336" t="s">
        <v>891</v>
      </c>
      <c r="B9" s="15"/>
      <c r="C9" s="15"/>
      <c r="D9" s="15"/>
      <c r="E9" s="15"/>
      <c r="F9" s="15"/>
      <c r="G9" s="1052" t="s">
        <v>892</v>
      </c>
      <c r="H9" s="1052"/>
      <c r="I9" s="15"/>
      <c r="J9" s="15"/>
    </row>
    <row r="10" spans="1:11" ht="28.5" customHeight="1" x14ac:dyDescent="0.35">
      <c r="A10" s="693" t="s">
        <v>207</v>
      </c>
      <c r="B10" s="833" t="s">
        <v>893</v>
      </c>
      <c r="C10" s="833" t="s">
        <v>894</v>
      </c>
      <c r="D10" s="833" t="s">
        <v>895</v>
      </c>
      <c r="E10" s="834" t="s">
        <v>340</v>
      </c>
      <c r="F10" s="15"/>
      <c r="G10" s="692" t="s">
        <v>207</v>
      </c>
      <c r="H10" s="833" t="s">
        <v>893</v>
      </c>
      <c r="I10" s="833" t="s">
        <v>894</v>
      </c>
      <c r="J10" s="833" t="s">
        <v>895</v>
      </c>
      <c r="K10" s="834" t="s">
        <v>340</v>
      </c>
    </row>
    <row r="11" spans="1:11" ht="14.5" x14ac:dyDescent="0.35">
      <c r="A11" s="721" t="s">
        <v>341</v>
      </c>
      <c r="B11" s="602">
        <f>GETPIVOTDATA("Sum of Attack against property/equipment",AttacksPivot!$B$4,"Op","Operational","FinYear",$A11)</f>
        <v>18</v>
      </c>
      <c r="C11" s="602">
        <f>GETPIVOTDATA("Sum of Verbal assault",AttacksPivot!$B$4,"Op","Operational","FinYear",A11)</f>
        <v>21</v>
      </c>
      <c r="D11" s="602">
        <f>GETPIVOTDATA("Sum of Physical assault",AttacksPivot!$B$4,"Op","Operational","FinYear",A11)</f>
        <v>38</v>
      </c>
      <c r="E11" s="955">
        <f>GETPIVOTDATA("Sum of Total",AttacksPivot!$B$4,"Op","Operational","FinYear",A11)</f>
        <v>77</v>
      </c>
      <c r="G11" s="835" t="s">
        <v>341</v>
      </c>
      <c r="H11" s="602">
        <f>GETPIVOTDATA("Sum of Attack against property/equipment",AttacksPivot!$B$36,"Op","Operational","FinYear",G11)</f>
        <v>1</v>
      </c>
      <c r="I11" s="602">
        <f>GETPIVOTDATA("Sum of Verbal assault",AttacksPivot!$B$36,"Op","Operational","FinYear",G11)</f>
        <v>0</v>
      </c>
      <c r="J11" s="602">
        <f>GETPIVOTDATA("Sum of Physical assault",AttacksPivot!$B$36,"Op","Operational","FinYear",G11)</f>
        <v>4</v>
      </c>
      <c r="K11" s="955">
        <f>GETPIVOTDATA("Sum of Total",AttacksPivot!$B$36,"Op","Operational","FinYear",G11)</f>
        <v>5</v>
      </c>
    </row>
    <row r="12" spans="1:11" ht="14.5" x14ac:dyDescent="0.35">
      <c r="A12" s="721" t="s">
        <v>342</v>
      </c>
      <c r="B12" s="602">
        <f>GETPIVOTDATA("Sum of Attack against property/equipment",AttacksPivot!$B$4,"Op","Operational","FinYear",$A12)</f>
        <v>11</v>
      </c>
      <c r="C12" s="602">
        <f>GETPIVOTDATA("Sum of Verbal assault",AttacksPivot!$B$4,"Op","Operational","FinYear",A12)</f>
        <v>12</v>
      </c>
      <c r="D12" s="602">
        <f>GETPIVOTDATA("Sum of Physical assault",AttacksPivot!$B$4,"Op","Operational","FinYear",A12)</f>
        <v>30</v>
      </c>
      <c r="E12" s="955">
        <f>GETPIVOTDATA("Sum of Total",AttacksPivot!$B$4,"Op","Operational","FinYear",A12)</f>
        <v>53</v>
      </c>
      <c r="G12" s="835" t="s">
        <v>342</v>
      </c>
      <c r="H12" s="602">
        <f>GETPIVOTDATA("Sum of Attack against property/equipment",AttacksPivot!$B$36,"Op","Operational","FinYear",G12)</f>
        <v>0</v>
      </c>
      <c r="I12" s="602">
        <f>GETPIVOTDATA("Sum of Verbal assault",AttacksPivot!$B$36,"Op","Operational","FinYear",G12)</f>
        <v>0</v>
      </c>
      <c r="J12" s="602">
        <f>GETPIVOTDATA("Sum of Physical assault",AttacksPivot!$B$36,"Op","Operational","FinYear",G12)</f>
        <v>7</v>
      </c>
      <c r="K12" s="955">
        <f>GETPIVOTDATA("Sum of Total",AttacksPivot!$B$36,"Op","Operational","FinYear",G12)</f>
        <v>7</v>
      </c>
    </row>
    <row r="13" spans="1:11" ht="14.5" x14ac:dyDescent="0.35">
      <c r="A13" s="721" t="s">
        <v>214</v>
      </c>
      <c r="B13" s="602">
        <f>GETPIVOTDATA("Sum of Attack against property/equipment",AttacksPivot!$B$4,"Op","Operational","FinYear",$A13)</f>
        <v>11</v>
      </c>
      <c r="C13" s="602">
        <f>GETPIVOTDATA("Sum of Verbal assault",AttacksPivot!$B$4,"Op","Operational","FinYear",A13)</f>
        <v>15</v>
      </c>
      <c r="D13" s="602">
        <f>GETPIVOTDATA("Sum of Physical assault",AttacksPivot!$B$4,"Op","Operational","FinYear",A13)</f>
        <v>46</v>
      </c>
      <c r="E13" s="955">
        <f>GETPIVOTDATA("Sum of Total",AttacksPivot!$B$4,"Op","Operational","FinYear",A13)</f>
        <v>72</v>
      </c>
      <c r="G13" s="835" t="s">
        <v>214</v>
      </c>
      <c r="H13" s="602">
        <f>GETPIVOTDATA("Sum of Attack against property/equipment",AttacksPivot!$B$36,"Op","Operational","FinYear",G13)</f>
        <v>0</v>
      </c>
      <c r="I13" s="602">
        <f>GETPIVOTDATA("Sum of Verbal assault",AttacksPivot!$B$36,"Op","Operational","FinYear",G13)</f>
        <v>0</v>
      </c>
      <c r="J13" s="602">
        <f>GETPIVOTDATA("Sum of Physical assault",AttacksPivot!$B$36,"Op","Operational","FinYear",G13)</f>
        <v>1</v>
      </c>
      <c r="K13" s="955">
        <f>GETPIVOTDATA("Sum of Total",AttacksPivot!$B$36,"Op","Operational","FinYear",G13)</f>
        <v>1</v>
      </c>
    </row>
    <row r="14" spans="1:11" ht="14.5" x14ac:dyDescent="0.35">
      <c r="A14" s="721" t="s">
        <v>313</v>
      </c>
      <c r="B14" s="602">
        <f>GETPIVOTDATA("Sum of Attack against property/equipment",AttacksPivot!$B$4,"Op","Operational","FinYear",$A14)</f>
        <v>10</v>
      </c>
      <c r="C14" s="602">
        <f>GETPIVOTDATA("Sum of Verbal assault",AttacksPivot!$B$4,"Op","Operational","FinYear",A14)</f>
        <v>9</v>
      </c>
      <c r="D14" s="602">
        <f>GETPIVOTDATA("Sum of Physical assault",AttacksPivot!$B$4,"Op","Operational","FinYear",A14)</f>
        <v>34</v>
      </c>
      <c r="E14" s="955">
        <f>GETPIVOTDATA("Sum of Total",AttacksPivot!$B$4,"Op","Operational","FinYear",A14)</f>
        <v>53</v>
      </c>
      <c r="G14" s="835" t="s">
        <v>313</v>
      </c>
      <c r="H14" s="602">
        <f>GETPIVOTDATA("Sum of Attack against property/equipment",AttacksPivot!$B$36,"Op","Operational","FinYear",G14)</f>
        <v>0</v>
      </c>
      <c r="I14" s="602">
        <f>GETPIVOTDATA("Sum of Verbal assault",AttacksPivot!$B$36,"Op","Operational","FinYear",G14)</f>
        <v>0</v>
      </c>
      <c r="J14" s="602">
        <f>GETPIVOTDATA("Sum of Physical assault",AttacksPivot!$B$36,"Op","Operational","FinYear",G14)</f>
        <v>2</v>
      </c>
      <c r="K14" s="955">
        <f>GETPIVOTDATA("Sum of Total",AttacksPivot!$B$36,"Op","Operational","FinYear",G14)</f>
        <v>2</v>
      </c>
    </row>
    <row r="15" spans="1:11" ht="14.5" x14ac:dyDescent="0.35">
      <c r="A15" s="721" t="s">
        <v>319</v>
      </c>
      <c r="B15" s="602">
        <f>GETPIVOTDATA("Sum of Attack against property/equipment",AttacksPivot!$B$4,"Op","Operational","FinYear",$A15)</f>
        <v>19</v>
      </c>
      <c r="C15" s="602">
        <f>GETPIVOTDATA("Sum of Verbal assault",AttacksPivot!$B$4,"Op","Operational","FinYear",A15)</f>
        <v>25</v>
      </c>
      <c r="D15" s="602">
        <f>GETPIVOTDATA("Sum of Physical assault",AttacksPivot!$B$4,"Op","Operational","FinYear",A15)</f>
        <v>19</v>
      </c>
      <c r="E15" s="955">
        <f>GETPIVOTDATA("Sum of Total",AttacksPivot!$B$4,"Op","Operational","FinYear",A15)</f>
        <v>63</v>
      </c>
      <c r="G15" s="835" t="s">
        <v>319</v>
      </c>
      <c r="H15" s="602">
        <f>GETPIVOTDATA("Sum of Attack against property/equipment",AttacksPivot!$B$36,"Op","Operational","FinYear",G15)</f>
        <v>0</v>
      </c>
      <c r="I15" s="602">
        <f>GETPIVOTDATA("Sum of Verbal assault",AttacksPivot!$B$36,"Op","Operational","FinYear",G15)</f>
        <v>0</v>
      </c>
      <c r="J15" s="602">
        <f>GETPIVOTDATA("Sum of Physical assault",AttacksPivot!$B$36,"Op","Operational","FinYear",G15)</f>
        <v>1</v>
      </c>
      <c r="K15" s="955">
        <f>GETPIVOTDATA("Sum of Total",AttacksPivot!$B$36,"Op","Operational","FinYear",G15)</f>
        <v>1</v>
      </c>
    </row>
    <row r="16" spans="1:11" ht="14.5" x14ac:dyDescent="0.35">
      <c r="A16" s="721" t="s">
        <v>321</v>
      </c>
      <c r="B16" s="602">
        <f>GETPIVOTDATA("Sum of Attack against property/equipment",AttacksPivot!$B$4,"Op","Operational","FinYear",$A16)</f>
        <v>14</v>
      </c>
      <c r="C16" s="602">
        <f>GETPIVOTDATA("Sum of Verbal assault",AttacksPivot!$B$4,"Op","Operational","FinYear",A16)</f>
        <v>34</v>
      </c>
      <c r="D16" s="602">
        <f>GETPIVOTDATA("Sum of Physical assault",AttacksPivot!$B$4,"Op","Operational","FinYear",A16)</f>
        <v>18</v>
      </c>
      <c r="E16" s="955">
        <f>GETPIVOTDATA("Sum of Total",AttacksPivot!$B$4,"Op","Operational","FinYear",A16)</f>
        <v>66</v>
      </c>
      <c r="G16" s="835" t="s">
        <v>321</v>
      </c>
      <c r="H16" s="602">
        <f>GETPIVOTDATA("Sum of Attack against property/equipment",AttacksPivot!$B$36,"Op","Operational","FinYear",G16)</f>
        <v>1</v>
      </c>
      <c r="I16" s="602">
        <f>GETPIVOTDATA("Sum of Verbal assault",AttacksPivot!$B$36,"Op","Operational","FinYear",G16)</f>
        <v>0</v>
      </c>
      <c r="J16" s="602">
        <f>GETPIVOTDATA("Sum of Physical assault",AttacksPivot!$B$36,"Op","Operational","FinYear",G16)</f>
        <v>0</v>
      </c>
      <c r="K16" s="955">
        <f>GETPIVOTDATA("Sum of Total",AttacksPivot!$B$36,"Op","Operational","FinYear",G16)</f>
        <v>1</v>
      </c>
    </row>
    <row r="17" spans="1:29" ht="14.5" x14ac:dyDescent="0.35">
      <c r="A17" s="721" t="s">
        <v>326</v>
      </c>
      <c r="B17" s="602">
        <f>GETPIVOTDATA("Sum of Attack against property/equipment",AttacksPivot!$B$4,"Op","Operational","FinYear",$A17)</f>
        <v>22</v>
      </c>
      <c r="C17" s="602">
        <f>GETPIVOTDATA("Sum of Verbal assault",AttacksPivot!$B$4,"Op","Operational","FinYear",A17)</f>
        <v>32</v>
      </c>
      <c r="D17" s="602">
        <f>GETPIVOTDATA("Sum of Physical assault",AttacksPivot!$B$4,"Op","Operational","FinYear",A17)</f>
        <v>16</v>
      </c>
      <c r="E17" s="955">
        <f>GETPIVOTDATA("Sum of Total",AttacksPivot!$B$4,"Op","Operational","FinYear",A17)</f>
        <v>70</v>
      </c>
      <c r="F17" s="15"/>
      <c r="G17" s="950" t="s">
        <v>326</v>
      </c>
      <c r="H17" s="602">
        <f>GETPIVOTDATA("Sum of Attack against property/equipment",AttacksPivot!$B$36,"Op","Operational","FinYear",G17)</f>
        <v>0</v>
      </c>
      <c r="I17" s="602">
        <f>GETPIVOTDATA("Sum of Verbal assault",AttacksPivot!$B$36,"Op","Operational","FinYear",G17)</f>
        <v>0</v>
      </c>
      <c r="J17" s="602">
        <f>GETPIVOTDATA("Sum of Physical assault",AttacksPivot!$B$36,"Op","Operational","FinYear",G17)</f>
        <v>0</v>
      </c>
      <c r="K17" s="955">
        <f>GETPIVOTDATA("Sum of Total",AttacksPivot!$B$36,"Op","Operational","FinYear",G17)</f>
        <v>0</v>
      </c>
    </row>
    <row r="18" spans="1:29" ht="14.5" x14ac:dyDescent="0.35">
      <c r="A18" s="948" t="s">
        <v>327</v>
      </c>
      <c r="B18" s="602">
        <f>GETPIVOTDATA("Sum of Attack against property/equipment",AttacksPivot!$B$4,"Op","Operational","FinYear",$A18)</f>
        <v>25</v>
      </c>
      <c r="C18" s="602">
        <f>GETPIVOTDATA("Sum of Verbal assault",AttacksPivot!$B$4,"Op","Operational","FinYear",A18)</f>
        <v>13</v>
      </c>
      <c r="D18" s="602">
        <f>GETPIVOTDATA("Sum of Physical assault",AttacksPivot!$B$4,"Op","Operational","FinYear",A18)</f>
        <v>13</v>
      </c>
      <c r="E18" s="955">
        <f>GETPIVOTDATA("Sum of Total",AttacksPivot!$B$4,"Op","Operational","FinYear",A18)</f>
        <v>51</v>
      </c>
      <c r="F18" s="359"/>
      <c r="G18" s="951" t="s">
        <v>327</v>
      </c>
      <c r="H18" s="602">
        <f>GETPIVOTDATA("Sum of Attack against property/equipment",AttacksPivot!$B$36,"Op","Operational","FinYear",G18)</f>
        <v>0</v>
      </c>
      <c r="I18" s="602">
        <f>GETPIVOTDATA("Sum of Verbal assault",AttacksPivot!$B$36,"Op","Operational","FinYear",G18)</f>
        <v>2</v>
      </c>
      <c r="J18" s="602">
        <f>GETPIVOTDATA("Sum of Physical assault",AttacksPivot!$B$36,"Op","Operational","FinYear",G18)</f>
        <v>0</v>
      </c>
      <c r="K18" s="955">
        <f>GETPIVOTDATA("Sum of Total",AttacksPivot!$B$36,"Op","Operational","FinYear",G18)</f>
        <v>2</v>
      </c>
    </row>
    <row r="19" spans="1:29" ht="14.5" x14ac:dyDescent="0.35">
      <c r="A19" s="949" t="s">
        <v>466</v>
      </c>
      <c r="B19" s="954">
        <f>GETPIVOTDATA("Sum of Attack against property/equipment",AttacksPivot!$B$4,"Op","Operational","FinYear",$A19)</f>
        <v>18</v>
      </c>
      <c r="C19" s="629">
        <f>GETPIVOTDATA("Sum of Verbal assault",AttacksPivot!$B$4,"Op","Operational","FinYear",A19)</f>
        <v>12</v>
      </c>
      <c r="D19" s="629">
        <f>GETPIVOTDATA("Sum of Physical assault",AttacksPivot!$B$4,"Op","Operational","FinYear",A19)</f>
        <v>21</v>
      </c>
      <c r="E19" s="956">
        <f>GETPIVOTDATA("Sum of Total",AttacksPivot!$B$4,"Op","Operational","FinYear",A19)</f>
        <v>51</v>
      </c>
      <c r="F19" s="359"/>
      <c r="G19" s="952" t="s">
        <v>466</v>
      </c>
      <c r="H19" s="954">
        <f>GETPIVOTDATA("Sum of Attack against property/equipment",AttacksPivot!$B$36,"Op","Operational","FinYear",G19)</f>
        <v>0</v>
      </c>
      <c r="I19" s="629">
        <f>GETPIVOTDATA("Sum of Verbal assault",AttacksPivot!$B$36,"Op","Operational","FinYear",G19)</f>
        <v>0</v>
      </c>
      <c r="J19" s="629">
        <f>GETPIVOTDATA("Sum of Physical assault",AttacksPivot!$B$36,"Op","Operational","FinYear",G19)</f>
        <v>1</v>
      </c>
      <c r="K19" s="956">
        <f>GETPIVOTDATA("Sum of Total",AttacksPivot!$B$36,"Op","Operational","FinYear",G19)</f>
        <v>1</v>
      </c>
    </row>
    <row r="20" spans="1:29" ht="21.65" customHeight="1" x14ac:dyDescent="0.35">
      <c r="A20" s="338"/>
      <c r="B20" s="15"/>
      <c r="C20" s="15"/>
      <c r="D20" s="15"/>
      <c r="E20" s="15"/>
      <c r="F20" s="422"/>
      <c r="G20" s="422"/>
      <c r="H20" s="422"/>
      <c r="I20" s="422"/>
      <c r="J20" s="422"/>
      <c r="R20" s="369"/>
      <c r="V20" s="369"/>
      <c r="Y20" s="369"/>
      <c r="Z20" s="369"/>
      <c r="AA20" s="369"/>
      <c r="AB20" s="369"/>
      <c r="AC20" s="369"/>
    </row>
    <row r="21" spans="1:29" ht="14.5" x14ac:dyDescent="0.35">
      <c r="A21" s="358" t="s">
        <v>329</v>
      </c>
      <c r="B21" s="359"/>
      <c r="C21" s="359"/>
      <c r="D21" s="359"/>
      <c r="E21" s="359"/>
      <c r="F21" s="422"/>
      <c r="G21" s="571"/>
      <c r="H21" s="571"/>
      <c r="I21" s="422"/>
      <c r="J21" s="422"/>
      <c r="R21" s="369"/>
      <c r="V21" s="369"/>
      <c r="Y21" s="369"/>
      <c r="Z21" s="369"/>
      <c r="AA21" s="369"/>
      <c r="AB21" s="369"/>
      <c r="AC21" s="369"/>
    </row>
    <row r="22" spans="1:29" ht="28" customHeight="1" x14ac:dyDescent="0.35">
      <c r="A22" s="1020" t="s">
        <v>896</v>
      </c>
      <c r="B22" s="1020"/>
      <c r="C22" s="1020"/>
      <c r="D22" s="1020"/>
      <c r="E22" s="1020"/>
      <c r="F22" s="1020"/>
      <c r="G22" s="422"/>
      <c r="H22" s="422"/>
      <c r="I22" s="422"/>
      <c r="J22" s="422"/>
      <c r="R22" s="369"/>
      <c r="V22" s="369"/>
      <c r="Y22" s="369"/>
      <c r="Z22" s="369"/>
      <c r="AA22" s="369"/>
      <c r="AB22" s="369"/>
      <c r="AC22" s="369"/>
    </row>
    <row r="23" spans="1:29" ht="30" customHeight="1" x14ac:dyDescent="0.35">
      <c r="A23" s="1020" t="s">
        <v>897</v>
      </c>
      <c r="B23" s="1020"/>
      <c r="C23" s="1020"/>
      <c r="D23" s="1020"/>
      <c r="E23" s="1020"/>
      <c r="F23" s="1020"/>
      <c r="G23" s="500"/>
      <c r="H23" s="500"/>
      <c r="I23" s="500"/>
      <c r="J23" s="500"/>
      <c r="R23" s="369"/>
      <c r="V23" s="369"/>
      <c r="Y23" s="369"/>
      <c r="Z23" s="369"/>
      <c r="AA23" s="369"/>
      <c r="AB23" s="369"/>
      <c r="AC23" s="369"/>
    </row>
    <row r="24" spans="1:29" ht="15.5" x14ac:dyDescent="0.35">
      <c r="A24" s="15"/>
      <c r="B24" s="15"/>
      <c r="C24" s="15"/>
      <c r="D24" s="15"/>
      <c r="E24" s="15"/>
      <c r="F24" s="500"/>
      <c r="G24" s="500"/>
      <c r="H24" s="500"/>
      <c r="I24" s="500"/>
      <c r="J24" s="500"/>
      <c r="K24" s="568"/>
      <c r="R24" s="369"/>
      <c r="V24" s="369"/>
      <c r="Y24" s="369"/>
      <c r="Z24" s="369"/>
      <c r="AA24" s="369"/>
      <c r="AB24" s="369"/>
      <c r="AC24" s="369"/>
    </row>
    <row r="25" spans="1:29" ht="32.5" customHeight="1" x14ac:dyDescent="0.35">
      <c r="A25" s="1053" t="s">
        <v>898</v>
      </c>
      <c r="B25" s="1053"/>
      <c r="C25" s="500"/>
      <c r="D25" s="500"/>
      <c r="E25" s="500"/>
      <c r="F25" s="500"/>
      <c r="G25" s="500"/>
      <c r="H25" s="500"/>
      <c r="I25" s="500"/>
      <c r="J25" s="500"/>
      <c r="R25" s="369"/>
      <c r="V25" s="369"/>
      <c r="Y25" s="369"/>
      <c r="Z25" s="369"/>
      <c r="AA25" s="369"/>
      <c r="AB25" s="369"/>
      <c r="AC25" s="369"/>
    </row>
    <row r="26" spans="1:29" ht="15.5" x14ac:dyDescent="0.35">
      <c r="A26" t="s">
        <v>202</v>
      </c>
      <c r="B26" t="s">
        <v>121</v>
      </c>
      <c r="C26" s="567"/>
      <c r="D26" s="567"/>
      <c r="E26" s="567"/>
      <c r="F26" s="500"/>
      <c r="G26" s="500"/>
      <c r="H26" s="500"/>
      <c r="I26" s="500"/>
      <c r="J26" s="500"/>
      <c r="R26" s="369"/>
      <c r="V26" s="369"/>
      <c r="Y26" s="369"/>
      <c r="Z26" s="369"/>
      <c r="AA26" s="369"/>
      <c r="AB26" s="369"/>
      <c r="AC26" s="369"/>
    </row>
    <row r="27" spans="1:29" ht="15.5" x14ac:dyDescent="0.35">
      <c r="A27" t="s">
        <v>203</v>
      </c>
      <c r="B27" t="s">
        <v>204</v>
      </c>
      <c r="C27" s="500"/>
      <c r="D27" s="500"/>
      <c r="E27" s="500"/>
      <c r="F27" s="211"/>
      <c r="H27" s="211"/>
      <c r="J27" s="210"/>
      <c r="R27" s="369"/>
      <c r="V27" s="369"/>
      <c r="Y27" s="369"/>
      <c r="Z27" s="369"/>
      <c r="AA27" s="369"/>
      <c r="AB27" s="369"/>
      <c r="AC27" s="369"/>
    </row>
    <row r="28" spans="1:29" ht="14.5" customHeight="1" x14ac:dyDescent="0.35">
      <c r="A28" t="s">
        <v>205</v>
      </c>
      <c r="B28" t="s">
        <v>890</v>
      </c>
      <c r="C28" s="500"/>
      <c r="D28" s="500"/>
      <c r="E28" s="500"/>
      <c r="F28" s="211"/>
      <c r="H28" s="211"/>
      <c r="J28" s="210"/>
      <c r="O28" s="211"/>
      <c r="R28" s="369"/>
      <c r="V28" s="369"/>
      <c r="Y28" s="369"/>
      <c r="Z28" s="369"/>
      <c r="AA28" s="369"/>
      <c r="AB28" s="369"/>
      <c r="AC28" s="369"/>
    </row>
    <row r="29" spans="1:29" ht="14.5" customHeight="1" x14ac:dyDescent="0.35">
      <c r="C29" s="500"/>
      <c r="D29" s="500"/>
      <c r="E29" s="500"/>
      <c r="F29" s="211"/>
      <c r="H29" s="211"/>
      <c r="J29" s="210"/>
      <c r="O29" s="211"/>
      <c r="R29" s="369"/>
      <c r="V29" s="369"/>
      <c r="Y29" s="369"/>
      <c r="Z29" s="369"/>
      <c r="AA29" s="369"/>
      <c r="AB29" s="369"/>
      <c r="AC29" s="369"/>
    </row>
    <row r="30" spans="1:29" ht="14.5" customHeight="1" x14ac:dyDescent="0.35">
      <c r="A30" s="6" t="s">
        <v>891</v>
      </c>
      <c r="B30" s="211"/>
      <c r="C30" s="211"/>
      <c r="D30" s="211"/>
      <c r="E30" s="211"/>
      <c r="F30" s="211"/>
      <c r="G30" s="647" t="s">
        <v>892</v>
      </c>
      <c r="H30" s="647"/>
      <c r="I30" s="210"/>
      <c r="J30" s="210"/>
      <c r="O30" s="211"/>
      <c r="R30" s="369"/>
      <c r="V30" s="369"/>
      <c r="Y30" s="369"/>
      <c r="Z30" s="369"/>
      <c r="AA30" s="369"/>
      <c r="AB30" s="369"/>
      <c r="AC30" s="369"/>
    </row>
    <row r="31" spans="1:29" ht="29" x14ac:dyDescent="0.35">
      <c r="A31" s="693" t="s">
        <v>207</v>
      </c>
      <c r="B31" s="833" t="s">
        <v>893</v>
      </c>
      <c r="C31" s="833" t="s">
        <v>894</v>
      </c>
      <c r="D31" s="833" t="s">
        <v>895</v>
      </c>
      <c r="E31" s="834" t="s">
        <v>340</v>
      </c>
      <c r="F31" s="211"/>
      <c r="G31" s="692" t="s">
        <v>207</v>
      </c>
      <c r="H31" s="833" t="s">
        <v>893</v>
      </c>
      <c r="I31" s="833" t="s">
        <v>894</v>
      </c>
      <c r="J31" s="833" t="s">
        <v>895</v>
      </c>
      <c r="K31" s="834" t="s">
        <v>340</v>
      </c>
      <c r="M31" s="369"/>
      <c r="P31" s="369"/>
      <c r="Q31" s="369"/>
      <c r="R31" s="369"/>
      <c r="S31" s="369"/>
      <c r="T31" s="369"/>
    </row>
    <row r="32" spans="1:29" ht="14.5" x14ac:dyDescent="0.35">
      <c r="A32" s="721" t="s">
        <v>341</v>
      </c>
      <c r="B32" s="602">
        <f>GETPIVOTDATA("Sum of Attack against property/equipment",AttacksPivot!$B$20,"Op","Non-Operational","FinYear",A32)</f>
        <v>2</v>
      </c>
      <c r="C32" s="602">
        <f>GETPIVOTDATA("Sum of Verbal assault",AttacksPivot!$B$20,"Op","Non-Operational","FinYear",A32)</f>
        <v>3</v>
      </c>
      <c r="D32" s="602">
        <f>GETPIVOTDATA("Sum of Physical assault",AttacksPivot!$B$20,"Op","Non-Operational","FinYear",A32)</f>
        <v>0</v>
      </c>
      <c r="E32" s="955">
        <f>GETPIVOTDATA("Sum of Total",AttacksPivot!$B$20,"Op","Non-Operational","FinYear",A32)</f>
        <v>5</v>
      </c>
      <c r="G32" s="835" t="s">
        <v>341</v>
      </c>
      <c r="H32" s="602">
        <f>GETPIVOTDATA("Sum of Attack against property/equipment",AttacksPivot!$B$53,"Op","Non-Operational","FinYear",G32)</f>
        <v>0</v>
      </c>
      <c r="I32" s="602">
        <f>GETPIVOTDATA("Sum of Verbal assault",AttacksPivot!$B$53,"Op","Non-Operational","FinYear",G32)</f>
        <v>0</v>
      </c>
      <c r="J32" s="602">
        <f>GETPIVOTDATA("Sum of Physical assault",AttacksPivot!$B$53,"Op","Non-Operational","FinYear",G32)</f>
        <v>0</v>
      </c>
      <c r="K32" s="955">
        <f>GETPIVOTDATA("Sum of Total",AttacksPivot!$B$53,"Op","Non-Operational","FinYear",G32)</f>
        <v>0</v>
      </c>
    </row>
    <row r="33" spans="1:29" ht="14.5" x14ac:dyDescent="0.35">
      <c r="A33" s="721" t="s">
        <v>342</v>
      </c>
      <c r="B33" s="602">
        <f>GETPIVOTDATA("Sum of Attack against property/equipment",AttacksPivot!$B$20,"Op","Non-Operational","FinYear",A33)</f>
        <v>2</v>
      </c>
      <c r="C33" s="602">
        <f>GETPIVOTDATA("Sum of Verbal assault",AttacksPivot!$B$20,"Op","Non-Operational","FinYear",A33)</f>
        <v>3</v>
      </c>
      <c r="D33" s="602">
        <f>GETPIVOTDATA("Sum of Physical assault",AttacksPivot!$B$20,"Op","Non-Operational","FinYear",A33)</f>
        <v>3</v>
      </c>
      <c r="E33" s="955">
        <f>GETPIVOTDATA("Sum of Total",AttacksPivot!$B$20,"Op","Non-Operational","FinYear",A33)</f>
        <v>8</v>
      </c>
      <c r="G33" s="835" t="s">
        <v>342</v>
      </c>
      <c r="H33" s="602">
        <f>GETPIVOTDATA("Sum of Attack against property/equipment",AttacksPivot!$B$53,"Op","Non-Operational","FinYear",G33)</f>
        <v>0</v>
      </c>
      <c r="I33" s="602">
        <f>GETPIVOTDATA("Sum of Verbal assault",AttacksPivot!$B$53,"Op","Non-Operational","FinYear",G33)</f>
        <v>0</v>
      </c>
      <c r="J33" s="602">
        <f>GETPIVOTDATA("Sum of Physical assault",AttacksPivot!$B$53,"Op","Non-Operational","FinYear",G33)</f>
        <v>0</v>
      </c>
      <c r="K33" s="955">
        <f>GETPIVOTDATA("Sum of Total",AttacksPivot!$B$53,"Op","Non-Operational","FinYear",G33)</f>
        <v>0</v>
      </c>
    </row>
    <row r="34" spans="1:29" ht="14.5" x14ac:dyDescent="0.35">
      <c r="A34" s="721" t="s">
        <v>214</v>
      </c>
      <c r="B34" s="602">
        <f>GETPIVOTDATA("Sum of Attack against property/equipment",AttacksPivot!$B$20,"Op","Non-Operational","FinYear",A34)</f>
        <v>1</v>
      </c>
      <c r="C34" s="602">
        <f>GETPIVOTDATA("Sum of Verbal assault",AttacksPivot!$B$20,"Op","Non-Operational","FinYear",A34)</f>
        <v>6</v>
      </c>
      <c r="D34" s="602">
        <f>GETPIVOTDATA("Sum of Physical assault",AttacksPivot!$B$20,"Op","Non-Operational","FinYear",A34)</f>
        <v>4</v>
      </c>
      <c r="E34" s="955">
        <f>GETPIVOTDATA("Sum of Total",AttacksPivot!$B$20,"Op","Non-Operational","FinYear",A34)</f>
        <v>11</v>
      </c>
      <c r="G34" s="835" t="s">
        <v>214</v>
      </c>
      <c r="H34" s="602">
        <f>GETPIVOTDATA("Sum of Attack against property/equipment",AttacksPivot!$B$53,"Op","Non-Operational","FinYear",G34)</f>
        <v>0</v>
      </c>
      <c r="I34" s="602">
        <f>GETPIVOTDATA("Sum of Verbal assault",AttacksPivot!$B$53,"Op","Non-Operational","FinYear",G34)</f>
        <v>0</v>
      </c>
      <c r="J34" s="602">
        <f>GETPIVOTDATA("Sum of Physical assault",AttacksPivot!$B$53,"Op","Non-Operational","FinYear",G34)</f>
        <v>2</v>
      </c>
      <c r="K34" s="955">
        <f>GETPIVOTDATA("Sum of Total",AttacksPivot!$B$53,"Op","Non-Operational","FinYear",G34)</f>
        <v>2</v>
      </c>
    </row>
    <row r="35" spans="1:29" ht="14.5" x14ac:dyDescent="0.35">
      <c r="A35" s="721" t="s">
        <v>313</v>
      </c>
      <c r="B35" s="602">
        <f>GETPIVOTDATA("Sum of Attack against property/equipment",AttacksPivot!$B$20,"Op","Non-Operational","FinYear",A35)</f>
        <v>1</v>
      </c>
      <c r="C35" s="602">
        <f>GETPIVOTDATA("Sum of Verbal assault",AttacksPivot!$B$20,"Op","Non-Operational","FinYear",A35)</f>
        <v>1</v>
      </c>
      <c r="D35" s="602">
        <f>GETPIVOTDATA("Sum of Physical assault",AttacksPivot!$B$20,"Op","Non-Operational","FinYear",A35)</f>
        <v>1</v>
      </c>
      <c r="E35" s="955">
        <f>GETPIVOTDATA("Sum of Total",AttacksPivot!$B$20,"Op","Non-Operational","FinYear",A35)</f>
        <v>3</v>
      </c>
      <c r="G35" s="835" t="s">
        <v>313</v>
      </c>
      <c r="H35" s="602">
        <f>GETPIVOTDATA("Sum of Attack against property/equipment",AttacksPivot!$B$53,"Op","Non-Operational","FinYear",G35)</f>
        <v>0</v>
      </c>
      <c r="I35" s="602">
        <f>GETPIVOTDATA("Sum of Verbal assault",AttacksPivot!$B$53,"Op","Non-Operational","FinYear",G35)</f>
        <v>0</v>
      </c>
      <c r="J35" s="602">
        <f>GETPIVOTDATA("Sum of Physical assault",AttacksPivot!$B$53,"Op","Non-Operational","FinYear",G35)</f>
        <v>0</v>
      </c>
      <c r="K35" s="955">
        <f>GETPIVOTDATA("Sum of Total",AttacksPivot!$B$53,"Op","Non-Operational","FinYear",G35)</f>
        <v>0</v>
      </c>
    </row>
    <row r="36" spans="1:29" ht="14.5" x14ac:dyDescent="0.35">
      <c r="A36" s="721" t="s">
        <v>319</v>
      </c>
      <c r="B36" s="602">
        <f>GETPIVOTDATA("Sum of Attack against property/equipment",AttacksPivot!$B$20,"Op","Non-Operational","FinYear",A36)</f>
        <v>0</v>
      </c>
      <c r="C36" s="602">
        <f>GETPIVOTDATA("Sum of Verbal assault",AttacksPivot!$B$20,"Op","Non-Operational","FinYear",A36)</f>
        <v>5</v>
      </c>
      <c r="D36" s="602">
        <f>GETPIVOTDATA("Sum of Physical assault",AttacksPivot!$B$20,"Op","Non-Operational","FinYear",A36)</f>
        <v>1</v>
      </c>
      <c r="E36" s="955">
        <f>GETPIVOTDATA("Sum of Total",AttacksPivot!$B$20,"Op","Non-Operational","FinYear",A36)</f>
        <v>6</v>
      </c>
      <c r="G36" s="835" t="s">
        <v>319</v>
      </c>
      <c r="H36" s="602">
        <f>GETPIVOTDATA("Sum of Attack against property/equipment",AttacksPivot!$B$53,"Op","Non-Operational","FinYear",G36)</f>
        <v>0</v>
      </c>
      <c r="I36" s="602">
        <f>GETPIVOTDATA("Sum of Verbal assault",AttacksPivot!$B$53,"Op","Non-Operational","FinYear",G36)</f>
        <v>0</v>
      </c>
      <c r="J36" s="602">
        <f>GETPIVOTDATA("Sum of Physical assault",AttacksPivot!$B$53,"Op","Non-Operational","FinYear",G36)</f>
        <v>0</v>
      </c>
      <c r="K36" s="955">
        <f>GETPIVOTDATA("Sum of Total",AttacksPivot!$B$53,"Op","Non-Operational","FinYear",G36)</f>
        <v>0</v>
      </c>
    </row>
    <row r="37" spans="1:29" ht="14.5" x14ac:dyDescent="0.35">
      <c r="A37" s="721" t="s">
        <v>321</v>
      </c>
      <c r="B37" s="602">
        <f>GETPIVOTDATA("Sum of Attack against property/equipment",AttacksPivot!$B$20,"Op","Non-Operational","FinYear",A37)</f>
        <v>6</v>
      </c>
      <c r="C37" s="602">
        <f>GETPIVOTDATA("Sum of Verbal assault",AttacksPivot!$B$20,"Op","Non-Operational","FinYear",A37)</f>
        <v>3</v>
      </c>
      <c r="D37" s="602">
        <f>GETPIVOTDATA("Sum of Physical assault",AttacksPivot!$B$20,"Op","Non-Operational","FinYear",A37)</f>
        <v>0</v>
      </c>
      <c r="E37" s="955">
        <f>GETPIVOTDATA("Sum of Total",AttacksPivot!$B$20,"Op","Non-Operational","FinYear",A37)</f>
        <v>9</v>
      </c>
      <c r="F37" s="369"/>
      <c r="G37" s="835" t="s">
        <v>321</v>
      </c>
      <c r="H37" s="602">
        <f>GETPIVOTDATA("Sum of Attack against property/equipment",AttacksPivot!$B$53,"Op","Non-Operational","FinYear",G37)</f>
        <v>0</v>
      </c>
      <c r="I37" s="602">
        <f>GETPIVOTDATA("Sum of Verbal assault",AttacksPivot!$B$53,"Op","Non-Operational","FinYear",G37)</f>
        <v>0</v>
      </c>
      <c r="J37" s="602">
        <f>GETPIVOTDATA("Sum of Physical assault",AttacksPivot!$B$53,"Op","Non-Operational","FinYear",G37)</f>
        <v>0</v>
      </c>
      <c r="K37" s="955">
        <f>GETPIVOTDATA("Sum of Total",AttacksPivot!$B$53,"Op","Non-Operational","FinYear",G37)</f>
        <v>0</v>
      </c>
      <c r="L37" s="369"/>
      <c r="M37" s="369"/>
      <c r="N37" s="369"/>
      <c r="O37" s="369"/>
      <c r="P37" s="369"/>
    </row>
    <row r="38" spans="1:29" ht="14.5" x14ac:dyDescent="0.35">
      <c r="A38" s="721" t="s">
        <v>326</v>
      </c>
      <c r="B38" s="602">
        <f>GETPIVOTDATA("Sum of Attack against property/equipment",AttacksPivot!$B$20,"Op","Non-Operational","FinYear",A38)</f>
        <v>2</v>
      </c>
      <c r="C38" s="602">
        <f>GETPIVOTDATA("Sum of Verbal assault",AttacksPivot!$B$20,"Op","Non-Operational","FinYear",A38)</f>
        <v>9</v>
      </c>
      <c r="D38" s="602">
        <f>GETPIVOTDATA("Sum of Physical assault",AttacksPivot!$B$20,"Op","Non-Operational","FinYear",A38)</f>
        <v>1</v>
      </c>
      <c r="E38" s="955">
        <f>GETPIVOTDATA("Sum of Total",AttacksPivot!$B$20,"Op","Non-Operational","FinYear",A38)</f>
        <v>12</v>
      </c>
      <c r="F38" s="211"/>
      <c r="G38" s="953" t="s">
        <v>326</v>
      </c>
      <c r="H38" s="602">
        <f>GETPIVOTDATA("Sum of Attack against property/equipment",AttacksPivot!$B$53,"Op","Non-Operational","FinYear",G38)</f>
        <v>0</v>
      </c>
      <c r="I38" s="602">
        <f>GETPIVOTDATA("Sum of Verbal assault",AttacksPivot!$B$53,"Op","Non-Operational","FinYear",G38)</f>
        <v>0</v>
      </c>
      <c r="J38" s="602">
        <f>GETPIVOTDATA("Sum of Physical assault",AttacksPivot!$B$53,"Op","Non-Operational","FinYear",G38)</f>
        <v>0</v>
      </c>
      <c r="K38" s="955">
        <f>GETPIVOTDATA("Sum of Total",AttacksPivot!$B$53,"Op","Non-Operational","FinYear",G38)</f>
        <v>0</v>
      </c>
      <c r="R38" s="369"/>
      <c r="V38" s="369"/>
      <c r="Y38" s="369"/>
      <c r="Z38" s="369"/>
      <c r="AA38" s="369"/>
      <c r="AB38" s="369"/>
      <c r="AC38" s="369"/>
    </row>
    <row r="39" spans="1:29" ht="14.5" x14ac:dyDescent="0.35">
      <c r="A39" s="948" t="s">
        <v>327</v>
      </c>
      <c r="B39" s="602">
        <f>GETPIVOTDATA("Sum of Attack against property/equipment",AttacksPivot!$B$20,"Op","Non-Operational","FinYear",A39)</f>
        <v>4</v>
      </c>
      <c r="C39" s="602">
        <f>GETPIVOTDATA("Sum of Verbal assault",AttacksPivot!$B$20,"Op","Non-Operational","FinYear",A39)</f>
        <v>3</v>
      </c>
      <c r="D39" s="602">
        <f>GETPIVOTDATA("Sum of Physical assault",AttacksPivot!$B$20,"Op","Non-Operational","FinYear",A39)</f>
        <v>2</v>
      </c>
      <c r="E39" s="955">
        <f>GETPIVOTDATA("Sum of Total",AttacksPivot!$B$20,"Op","Non-Operational","FinYear",A39)</f>
        <v>9</v>
      </c>
      <c r="F39" s="360"/>
      <c r="G39" s="951" t="s">
        <v>327</v>
      </c>
      <c r="H39" s="602">
        <f>GETPIVOTDATA("Sum of Attack against property/equipment",AttacksPivot!$B$53,"Op","Non-Operational","FinYear",G39)</f>
        <v>0</v>
      </c>
      <c r="I39" s="602">
        <f>GETPIVOTDATA("Sum of Verbal assault",AttacksPivot!$B$53,"Op","Non-Operational","FinYear",G39)</f>
        <v>0</v>
      </c>
      <c r="J39" s="602">
        <f>GETPIVOTDATA("Sum of Physical assault",AttacksPivot!$B$53,"Op","Non-Operational","FinYear",G39)</f>
        <v>1</v>
      </c>
      <c r="K39" s="955">
        <f>GETPIVOTDATA("Sum of Total",AttacksPivot!$B$53,"Op","Non-Operational","FinYear",G39)</f>
        <v>1</v>
      </c>
      <c r="R39" s="369"/>
      <c r="V39" s="369"/>
      <c r="Y39" s="369"/>
      <c r="Z39" s="369"/>
      <c r="AA39" s="369"/>
      <c r="AB39" s="369"/>
      <c r="AC39" s="369"/>
    </row>
    <row r="40" spans="1:29" ht="14.5" x14ac:dyDescent="0.35">
      <c r="A40" s="949" t="s">
        <v>466</v>
      </c>
      <c r="B40" s="954">
        <f>GETPIVOTDATA("Sum of Attack against property/equipment",AttacksPivot!$B$20,"Op","Non-Operational","FinYear",A40)</f>
        <v>1</v>
      </c>
      <c r="C40" s="629">
        <f>GETPIVOTDATA("Sum of Verbal assault",AttacksPivot!$B$20,"Op","Non-Operational","FinYear",A40)</f>
        <v>7</v>
      </c>
      <c r="D40" s="629">
        <f>GETPIVOTDATA("Sum of Physical assault",AttacksPivot!$B$20,"Op","Non-Operational","FinYear",A40)</f>
        <v>0</v>
      </c>
      <c r="E40" s="956">
        <f>GETPIVOTDATA("Sum of Total",AttacksPivot!$B$20,"Op","Non-Operational","FinYear",A40)</f>
        <v>8</v>
      </c>
      <c r="F40" s="360"/>
      <c r="G40" s="952" t="s">
        <v>466</v>
      </c>
      <c r="H40" s="954">
        <f>GETPIVOTDATA("Sum of Attack against property/equipment",AttacksPivot!$B$53,"Op","Non-Operational","FinYear",G40)</f>
        <v>0</v>
      </c>
      <c r="I40" s="629">
        <f>GETPIVOTDATA("Sum of Verbal assault",AttacksPivot!$B$53,"Op","Non-Operational","FinYear",G40)</f>
        <v>0</v>
      </c>
      <c r="J40" s="629">
        <f>GETPIVOTDATA("Sum of Physical assault",AttacksPivot!$B$53,"Op","Non-Operational","FinYear",G40)</f>
        <v>0</v>
      </c>
      <c r="K40" s="956">
        <f>GETPIVOTDATA("Sum of Total",AttacksPivot!$B$53,"Op","Non-Operational","FinYear",G40)</f>
        <v>0</v>
      </c>
      <c r="R40" s="369"/>
      <c r="V40" s="369"/>
      <c r="Y40" s="369"/>
      <c r="Z40" s="369"/>
      <c r="AA40" s="369"/>
      <c r="AB40" s="369"/>
      <c r="AC40" s="369"/>
    </row>
    <row r="41" spans="1:29" ht="14.5" x14ac:dyDescent="0.35">
      <c r="A41" s="336"/>
      <c r="F41" s="360"/>
      <c r="G41" s="336"/>
      <c r="H41" s="571"/>
      <c r="R41" s="369"/>
      <c r="V41" s="369"/>
      <c r="Y41" s="369"/>
      <c r="Z41" s="369"/>
      <c r="AA41" s="369"/>
      <c r="AB41" s="369"/>
      <c r="AC41" s="369"/>
    </row>
    <row r="42" spans="1:29" ht="14.5" x14ac:dyDescent="0.35">
      <c r="A42" s="358" t="s">
        <v>329</v>
      </c>
      <c r="B42" s="360"/>
      <c r="C42" s="660"/>
      <c r="D42" s="360"/>
      <c r="E42" s="360"/>
      <c r="F42" s="422"/>
      <c r="R42" s="369"/>
      <c r="V42" s="369"/>
      <c r="Y42" s="369"/>
      <c r="Z42" s="369"/>
      <c r="AA42" s="369"/>
      <c r="AB42" s="369"/>
      <c r="AC42" s="369"/>
    </row>
    <row r="43" spans="1:29" ht="33.65" customHeight="1" x14ac:dyDescent="0.35">
      <c r="A43" s="1020" t="s">
        <v>899</v>
      </c>
      <c r="B43" s="1020"/>
      <c r="C43" s="1020"/>
      <c r="D43" s="1020"/>
      <c r="E43" s="1020"/>
      <c r="F43" s="1020"/>
      <c r="G43" s="1020"/>
      <c r="R43" s="369"/>
      <c r="V43" s="369"/>
      <c r="Y43" s="369"/>
      <c r="Z43" s="369"/>
      <c r="AA43" s="369"/>
      <c r="AB43" s="369"/>
      <c r="AC43" s="369"/>
    </row>
    <row r="44" spans="1:29" ht="16" customHeight="1" x14ac:dyDescent="0.35">
      <c r="A44" s="1020" t="s">
        <v>897</v>
      </c>
      <c r="B44" s="1020"/>
      <c r="C44" s="1020"/>
      <c r="D44" s="1020"/>
      <c r="E44" s="1020"/>
      <c r="F44" s="1020"/>
      <c r="G44" s="1020"/>
      <c r="R44" s="369"/>
      <c r="V44" s="369"/>
      <c r="Y44" s="369"/>
      <c r="Z44" s="369"/>
      <c r="AA44" s="369"/>
      <c r="AB44" s="369"/>
      <c r="AC44" s="369"/>
    </row>
    <row r="45" spans="1:29" ht="34.5" customHeight="1" x14ac:dyDescent="0.35">
      <c r="A45" s="338"/>
      <c r="B45" s="19"/>
      <c r="C45" s="19"/>
      <c r="D45" s="19"/>
      <c r="E45" s="19"/>
      <c r="F45" s="571"/>
      <c r="R45" s="369"/>
      <c r="V45" s="369"/>
      <c r="Y45" s="369"/>
      <c r="Z45" s="369"/>
      <c r="AA45" s="369"/>
      <c r="AB45" s="369"/>
      <c r="AC45" s="369"/>
    </row>
    <row r="46" spans="1:29" ht="15.75" customHeight="1" x14ac:dyDescent="0.35">
      <c r="R46" s="369"/>
      <c r="V46" s="369"/>
      <c r="Y46" s="369"/>
      <c r="Z46" s="369"/>
      <c r="AA46" s="369"/>
      <c r="AB46" s="369"/>
      <c r="AC46" s="369"/>
    </row>
    <row r="47" spans="1:29" ht="15.75" customHeight="1" x14ac:dyDescent="0.35">
      <c r="R47" s="369"/>
      <c r="V47" s="369"/>
      <c r="Y47" s="369"/>
      <c r="Z47" s="369"/>
      <c r="AA47" s="369"/>
      <c r="AB47" s="369"/>
      <c r="AC47" s="369"/>
    </row>
    <row r="48" spans="1:29" ht="15.75" customHeight="1" x14ac:dyDescent="0.35">
      <c r="R48" s="369"/>
      <c r="V48" s="369"/>
      <c r="Y48" s="369"/>
      <c r="Z48" s="369"/>
      <c r="AA48" s="369"/>
      <c r="AB48" s="369"/>
      <c r="AC48" s="369"/>
    </row>
    <row r="49" spans="18:29" ht="15.75" customHeight="1" x14ac:dyDescent="0.35">
      <c r="R49" s="369"/>
      <c r="V49" s="369"/>
      <c r="Y49" s="369"/>
      <c r="Z49" s="369"/>
      <c r="AA49" s="369"/>
      <c r="AB49" s="369"/>
      <c r="AC49" s="369"/>
    </row>
    <row r="50" spans="18:29" ht="49.5" customHeight="1" x14ac:dyDescent="0.35">
      <c r="R50" s="369"/>
      <c r="V50" s="369"/>
      <c r="Y50" s="369"/>
      <c r="Z50" s="369"/>
      <c r="AA50" s="369"/>
      <c r="AB50" s="369"/>
      <c r="AC50" s="369"/>
    </row>
    <row r="51" spans="18:29" ht="14.5" x14ac:dyDescent="0.35">
      <c r="R51" s="21"/>
      <c r="V51" s="369"/>
      <c r="Y51" s="369"/>
      <c r="Z51" s="369"/>
      <c r="AA51" s="369"/>
      <c r="AB51" s="369"/>
      <c r="AC51" s="369"/>
    </row>
    <row r="52" spans="18:29" ht="30" customHeight="1" x14ac:dyDescent="0.35">
      <c r="R52" s="369"/>
    </row>
    <row r="53" spans="18:29" ht="14.5" x14ac:dyDescent="0.35">
      <c r="R53" s="369"/>
    </row>
    <row r="54" spans="18:29" ht="14.5" x14ac:dyDescent="0.35">
      <c r="R54" s="369"/>
    </row>
    <row r="55" spans="18:29" ht="14.5" x14ac:dyDescent="0.35">
      <c r="R55" s="369"/>
    </row>
    <row r="56" spans="18:29" ht="14.5" x14ac:dyDescent="0.35">
      <c r="R56" s="369"/>
    </row>
    <row r="57" spans="18:29" ht="14.5" x14ac:dyDescent="0.35">
      <c r="R57" s="369"/>
    </row>
    <row r="58" spans="18:29" ht="14.5" x14ac:dyDescent="0.35">
      <c r="R58" s="369"/>
    </row>
    <row r="59" spans="18:29" ht="14.5" x14ac:dyDescent="0.35">
      <c r="R59" s="369"/>
    </row>
    <row r="60" spans="18:29" ht="14.5" x14ac:dyDescent="0.35">
      <c r="R60" s="369"/>
    </row>
    <row r="61" spans="18:29" ht="14.5" x14ac:dyDescent="0.35">
      <c r="R61" s="369"/>
    </row>
    <row r="62" spans="18:29" ht="30" customHeight="1" x14ac:dyDescent="0.35">
      <c r="R62" s="369"/>
    </row>
    <row r="63" spans="18:29" ht="30" customHeight="1" x14ac:dyDescent="0.35"/>
    <row r="81" ht="30" customHeight="1" x14ac:dyDescent="0.35"/>
    <row r="82" ht="45" customHeight="1" x14ac:dyDescent="0.35"/>
  </sheetData>
  <sheetProtection algorithmName="SHA-512" hashValue="ADOvLdJWpRHNzt1BWFP9QlIJuZ3C8WN+6baIbODEjhFirRiUXHu3enWBhAhA1ECs4EUCCnuWzdQZzdAgoKAQew==" saltValue="x2sd82uwF/utgQUQlLMZqg==" spinCount="100000" sheet="1" scenarios="1" formatCells="0" sort="0" autoFilter="0" pivotTables="0"/>
  <mergeCells count="7">
    <mergeCell ref="A43:G43"/>
    <mergeCell ref="A44:G44"/>
    <mergeCell ref="A4:J4"/>
    <mergeCell ref="G9:H9"/>
    <mergeCell ref="A22:F22"/>
    <mergeCell ref="A23:F23"/>
    <mergeCell ref="A25:B25"/>
  </mergeCells>
  <hyperlinks>
    <hyperlink ref="A2" location="'Table of Contents'!A1" display="Back to Table of Contents" xr:uid="{00000000-0004-0000-7900-000000000000}"/>
  </hyperlinks>
  <pageMargins left="0.70866141732283472" right="0.70866141732283472" top="0.74803149606299213" bottom="0.74803149606299213" header="0.31496062992125984" footer="0.31496062992125984"/>
  <pageSetup paperSize="9" scale="54"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70E8-465D-42A6-801A-5FBD45464040}">
  <sheetPr>
    <tabColor theme="5" tint="0.39997558519241921"/>
  </sheetPr>
  <dimension ref="B4:K34"/>
  <sheetViews>
    <sheetView workbookViewId="0">
      <selection activeCell="D6" sqref="D6"/>
    </sheetView>
  </sheetViews>
  <sheetFormatPr defaultRowHeight="14.5" x14ac:dyDescent="0.35"/>
  <cols>
    <col min="2" max="2" width="20.81640625" bestFit="1" customWidth="1"/>
    <col min="3" max="11" width="13.81640625" bestFit="1" customWidth="1"/>
  </cols>
  <sheetData>
    <row r="4" spans="2:11" x14ac:dyDescent="0.35">
      <c r="B4" s="387" t="s">
        <v>350</v>
      </c>
      <c r="C4" t="s">
        <v>900</v>
      </c>
      <c r="D4" t="s">
        <v>901</v>
      </c>
      <c r="E4" t="s">
        <v>902</v>
      </c>
      <c r="F4" t="s">
        <v>903</v>
      </c>
      <c r="G4" t="s">
        <v>904</v>
      </c>
      <c r="H4" t="s">
        <v>905</v>
      </c>
      <c r="I4" t="s">
        <v>906</v>
      </c>
      <c r="J4" t="s">
        <v>907</v>
      </c>
      <c r="K4" t="s">
        <v>908</v>
      </c>
    </row>
    <row r="5" spans="2:11" x14ac:dyDescent="0.35">
      <c r="B5" s="388" t="s">
        <v>216</v>
      </c>
      <c r="C5">
        <v>1</v>
      </c>
      <c r="D5">
        <v>1</v>
      </c>
      <c r="E5">
        <v>1</v>
      </c>
      <c r="G5">
        <v>2</v>
      </c>
      <c r="H5">
        <v>1</v>
      </c>
      <c r="I5">
        <v>2</v>
      </c>
      <c r="J5">
        <v>0</v>
      </c>
      <c r="K5">
        <v>1</v>
      </c>
    </row>
    <row r="6" spans="2:11" x14ac:dyDescent="0.35">
      <c r="B6" s="388" t="s">
        <v>221</v>
      </c>
      <c r="C6">
        <v>3</v>
      </c>
      <c r="D6">
        <v>1</v>
      </c>
      <c r="E6">
        <v>1</v>
      </c>
      <c r="F6">
        <v>3</v>
      </c>
      <c r="G6">
        <v>1</v>
      </c>
      <c r="H6">
        <v>1</v>
      </c>
      <c r="I6">
        <v>0</v>
      </c>
      <c r="J6">
        <v>1</v>
      </c>
      <c r="K6">
        <v>0</v>
      </c>
    </row>
    <row r="7" spans="2:11" x14ac:dyDescent="0.35">
      <c r="B7" s="388" t="s">
        <v>229</v>
      </c>
      <c r="C7">
        <v>3</v>
      </c>
      <c r="E7">
        <v>1</v>
      </c>
      <c r="H7">
        <v>1</v>
      </c>
      <c r="I7">
        <v>0</v>
      </c>
      <c r="J7">
        <v>0</v>
      </c>
      <c r="K7">
        <v>0</v>
      </c>
    </row>
    <row r="8" spans="2:11" x14ac:dyDescent="0.35">
      <c r="B8" s="388" t="s">
        <v>235</v>
      </c>
      <c r="C8">
        <v>4</v>
      </c>
      <c r="D8">
        <v>2</v>
      </c>
      <c r="E8">
        <v>8</v>
      </c>
      <c r="F8">
        <v>6</v>
      </c>
      <c r="G8">
        <v>3</v>
      </c>
      <c r="H8">
        <v>15</v>
      </c>
      <c r="I8">
        <v>9</v>
      </c>
      <c r="J8">
        <v>6</v>
      </c>
      <c r="K8">
        <v>7</v>
      </c>
    </row>
    <row r="9" spans="2:11" x14ac:dyDescent="0.35">
      <c r="B9" s="388" t="s">
        <v>241</v>
      </c>
      <c r="H9">
        <v>0</v>
      </c>
      <c r="I9">
        <v>2</v>
      </c>
      <c r="J9">
        <v>0</v>
      </c>
      <c r="K9">
        <v>0</v>
      </c>
    </row>
    <row r="10" spans="2:11" x14ac:dyDescent="0.35">
      <c r="B10" s="388" t="s">
        <v>245</v>
      </c>
      <c r="C10">
        <v>1</v>
      </c>
      <c r="F10">
        <v>3</v>
      </c>
      <c r="G10">
        <v>2</v>
      </c>
      <c r="H10">
        <v>1</v>
      </c>
      <c r="I10">
        <v>1</v>
      </c>
      <c r="J10">
        <v>1</v>
      </c>
      <c r="K10">
        <v>1</v>
      </c>
    </row>
    <row r="11" spans="2:11" x14ac:dyDescent="0.35">
      <c r="B11" s="388" t="s">
        <v>248</v>
      </c>
      <c r="C11">
        <v>9</v>
      </c>
      <c r="D11">
        <v>3</v>
      </c>
      <c r="E11">
        <v>3</v>
      </c>
      <c r="F11">
        <v>3</v>
      </c>
      <c r="G11">
        <v>5</v>
      </c>
      <c r="H11">
        <v>13</v>
      </c>
      <c r="I11">
        <v>6</v>
      </c>
      <c r="J11">
        <v>0</v>
      </c>
      <c r="K11">
        <v>2</v>
      </c>
    </row>
    <row r="12" spans="2:11" x14ac:dyDescent="0.35">
      <c r="B12" s="388" t="s">
        <v>250</v>
      </c>
      <c r="C12">
        <v>1</v>
      </c>
      <c r="D12">
        <v>1</v>
      </c>
      <c r="E12">
        <v>3</v>
      </c>
      <c r="G12">
        <v>1</v>
      </c>
      <c r="H12">
        <v>1</v>
      </c>
      <c r="I12">
        <v>0</v>
      </c>
      <c r="J12">
        <v>1</v>
      </c>
      <c r="K12">
        <v>0</v>
      </c>
    </row>
    <row r="13" spans="2:11" x14ac:dyDescent="0.35">
      <c r="B13" s="388" t="s">
        <v>254</v>
      </c>
      <c r="C13">
        <v>3</v>
      </c>
      <c r="E13">
        <v>4</v>
      </c>
      <c r="G13">
        <v>1</v>
      </c>
      <c r="H13">
        <v>0</v>
      </c>
      <c r="I13">
        <v>1</v>
      </c>
      <c r="J13">
        <v>0</v>
      </c>
      <c r="K13">
        <v>0</v>
      </c>
    </row>
    <row r="14" spans="2:11" x14ac:dyDescent="0.35">
      <c r="B14" s="388" t="s">
        <v>256</v>
      </c>
      <c r="C14">
        <v>2</v>
      </c>
      <c r="G14">
        <v>2</v>
      </c>
      <c r="H14">
        <v>1</v>
      </c>
      <c r="I14">
        <v>1</v>
      </c>
      <c r="J14">
        <v>1</v>
      </c>
      <c r="K14">
        <v>1</v>
      </c>
    </row>
    <row r="15" spans="2:11" x14ac:dyDescent="0.35">
      <c r="B15" s="388" t="s">
        <v>260</v>
      </c>
      <c r="H15">
        <v>0</v>
      </c>
      <c r="I15">
        <v>2</v>
      </c>
      <c r="J15">
        <v>0</v>
      </c>
      <c r="K15">
        <v>1</v>
      </c>
    </row>
    <row r="16" spans="2:11" x14ac:dyDescent="0.35">
      <c r="B16" s="388" t="s">
        <v>264</v>
      </c>
      <c r="C16">
        <v>2</v>
      </c>
      <c r="G16">
        <v>2</v>
      </c>
      <c r="H16">
        <v>3</v>
      </c>
      <c r="I16">
        <v>4</v>
      </c>
      <c r="J16">
        <v>1</v>
      </c>
      <c r="K16">
        <v>1</v>
      </c>
    </row>
    <row r="17" spans="2:11" x14ac:dyDescent="0.35">
      <c r="B17" s="388" t="s">
        <v>268</v>
      </c>
      <c r="D17">
        <v>3</v>
      </c>
      <c r="E17">
        <v>6</v>
      </c>
      <c r="F17">
        <v>2</v>
      </c>
      <c r="G17">
        <v>7</v>
      </c>
      <c r="H17">
        <v>1</v>
      </c>
      <c r="I17">
        <v>7</v>
      </c>
      <c r="J17">
        <v>2</v>
      </c>
      <c r="K17">
        <v>2</v>
      </c>
    </row>
    <row r="18" spans="2:11" x14ac:dyDescent="0.35">
      <c r="B18" s="388" t="s">
        <v>271</v>
      </c>
      <c r="C18">
        <v>19</v>
      </c>
      <c r="D18">
        <v>20</v>
      </c>
      <c r="E18">
        <v>23</v>
      </c>
      <c r="F18">
        <v>12</v>
      </c>
      <c r="G18">
        <v>14</v>
      </c>
      <c r="H18">
        <v>9</v>
      </c>
      <c r="I18">
        <v>8</v>
      </c>
      <c r="J18">
        <v>9</v>
      </c>
      <c r="K18">
        <v>11</v>
      </c>
    </row>
    <row r="19" spans="2:11" x14ac:dyDescent="0.35">
      <c r="B19" s="388" t="s">
        <v>274</v>
      </c>
      <c r="C19">
        <v>1</v>
      </c>
      <c r="H19">
        <v>1</v>
      </c>
      <c r="I19">
        <v>1</v>
      </c>
      <c r="J19">
        <v>0</v>
      </c>
      <c r="K19">
        <v>2</v>
      </c>
    </row>
    <row r="20" spans="2:11" x14ac:dyDescent="0.35">
      <c r="B20" s="388" t="s">
        <v>278</v>
      </c>
      <c r="C20">
        <v>4</v>
      </c>
      <c r="D20">
        <v>3</v>
      </c>
      <c r="E20">
        <v>2</v>
      </c>
      <c r="F20">
        <v>1</v>
      </c>
      <c r="G20">
        <v>2</v>
      </c>
      <c r="H20">
        <v>2</v>
      </c>
      <c r="I20">
        <v>2</v>
      </c>
      <c r="J20">
        <v>2</v>
      </c>
      <c r="K20">
        <v>0</v>
      </c>
    </row>
    <row r="21" spans="2:11" x14ac:dyDescent="0.35">
      <c r="B21" s="388" t="s">
        <v>280</v>
      </c>
      <c r="C21">
        <v>3</v>
      </c>
      <c r="D21">
        <v>2</v>
      </c>
      <c r="E21">
        <v>1</v>
      </c>
      <c r="F21">
        <v>3</v>
      </c>
      <c r="G21">
        <v>1</v>
      </c>
      <c r="H21">
        <v>0</v>
      </c>
      <c r="I21">
        <v>1</v>
      </c>
      <c r="J21">
        <v>0</v>
      </c>
      <c r="K21">
        <v>0</v>
      </c>
    </row>
    <row r="22" spans="2:11" x14ac:dyDescent="0.35">
      <c r="B22" s="388" t="s">
        <v>282</v>
      </c>
      <c r="E22">
        <v>1</v>
      </c>
      <c r="F22">
        <v>3</v>
      </c>
      <c r="H22">
        <v>2</v>
      </c>
      <c r="I22">
        <v>1</v>
      </c>
      <c r="J22">
        <v>1</v>
      </c>
      <c r="K22">
        <v>0</v>
      </c>
    </row>
    <row r="23" spans="2:11" x14ac:dyDescent="0.35">
      <c r="B23" s="388" t="s">
        <v>288</v>
      </c>
      <c r="C23">
        <v>5</v>
      </c>
      <c r="D23">
        <v>2</v>
      </c>
      <c r="E23">
        <v>2</v>
      </c>
      <c r="F23">
        <v>3</v>
      </c>
      <c r="G23">
        <v>1</v>
      </c>
      <c r="H23">
        <v>3</v>
      </c>
      <c r="I23">
        <v>2</v>
      </c>
      <c r="J23">
        <v>5</v>
      </c>
      <c r="K23">
        <v>2</v>
      </c>
    </row>
    <row r="24" spans="2:11" x14ac:dyDescent="0.35">
      <c r="B24" s="388" t="s">
        <v>290</v>
      </c>
      <c r="C24">
        <v>3</v>
      </c>
      <c r="D24">
        <v>6</v>
      </c>
      <c r="E24">
        <v>3</v>
      </c>
      <c r="F24">
        <v>8</v>
      </c>
      <c r="G24">
        <v>4</v>
      </c>
      <c r="H24">
        <v>5</v>
      </c>
      <c r="I24">
        <v>8</v>
      </c>
      <c r="J24">
        <v>7</v>
      </c>
      <c r="K24">
        <v>1</v>
      </c>
    </row>
    <row r="25" spans="2:11" x14ac:dyDescent="0.35">
      <c r="B25" s="388" t="s">
        <v>295</v>
      </c>
      <c r="H25">
        <v>0</v>
      </c>
      <c r="I25">
        <v>0</v>
      </c>
      <c r="J25">
        <v>1</v>
      </c>
      <c r="K25">
        <v>0</v>
      </c>
    </row>
    <row r="26" spans="2:11" x14ac:dyDescent="0.35">
      <c r="B26" s="388" t="s">
        <v>297</v>
      </c>
      <c r="C26">
        <v>2</v>
      </c>
      <c r="D26">
        <v>1</v>
      </c>
      <c r="E26">
        <v>1</v>
      </c>
      <c r="F26">
        <v>2</v>
      </c>
      <c r="G26">
        <v>3</v>
      </c>
      <c r="H26">
        <v>1</v>
      </c>
      <c r="I26">
        <v>2</v>
      </c>
      <c r="J26">
        <v>3</v>
      </c>
      <c r="K26">
        <v>0</v>
      </c>
    </row>
    <row r="27" spans="2:11" x14ac:dyDescent="0.35">
      <c r="B27" s="388" t="s">
        <v>299</v>
      </c>
      <c r="C27">
        <v>2</v>
      </c>
      <c r="D27">
        <v>3</v>
      </c>
      <c r="E27">
        <v>3</v>
      </c>
      <c r="F27">
        <v>1</v>
      </c>
      <c r="G27">
        <v>2</v>
      </c>
      <c r="H27">
        <v>0</v>
      </c>
      <c r="I27">
        <v>0</v>
      </c>
      <c r="J27">
        <v>0</v>
      </c>
      <c r="K27">
        <v>3</v>
      </c>
    </row>
    <row r="28" spans="2:11" x14ac:dyDescent="0.35">
      <c r="B28" s="388" t="s">
        <v>303</v>
      </c>
      <c r="D28">
        <v>1</v>
      </c>
      <c r="G28">
        <v>2</v>
      </c>
      <c r="H28">
        <v>1</v>
      </c>
      <c r="I28">
        <v>0</v>
      </c>
      <c r="J28">
        <v>1</v>
      </c>
      <c r="K28">
        <v>0</v>
      </c>
    </row>
    <row r="29" spans="2:11" x14ac:dyDescent="0.35">
      <c r="B29" s="388" t="s">
        <v>305</v>
      </c>
      <c r="C29">
        <v>2</v>
      </c>
      <c r="E29">
        <v>1</v>
      </c>
      <c r="F29">
        <v>1</v>
      </c>
      <c r="G29">
        <v>5</v>
      </c>
      <c r="H29">
        <v>2</v>
      </c>
      <c r="I29">
        <v>2</v>
      </c>
      <c r="J29">
        <v>5</v>
      </c>
      <c r="K29">
        <v>6</v>
      </c>
    </row>
    <row r="30" spans="2:11" x14ac:dyDescent="0.35">
      <c r="B30" s="388" t="s">
        <v>308</v>
      </c>
      <c r="C30">
        <v>3</v>
      </c>
      <c r="E30">
        <v>1</v>
      </c>
      <c r="G30">
        <v>1</v>
      </c>
      <c r="H30">
        <v>0</v>
      </c>
      <c r="I30">
        <v>0</v>
      </c>
      <c r="J30">
        <v>0</v>
      </c>
      <c r="K30">
        <v>0</v>
      </c>
    </row>
    <row r="31" spans="2:11" x14ac:dyDescent="0.35">
      <c r="B31" s="388" t="s">
        <v>310</v>
      </c>
      <c r="C31">
        <v>1</v>
      </c>
      <c r="E31">
        <v>2</v>
      </c>
      <c r="H31">
        <v>0</v>
      </c>
      <c r="I31">
        <v>1</v>
      </c>
      <c r="J31">
        <v>0</v>
      </c>
      <c r="K31">
        <v>4</v>
      </c>
    </row>
    <row r="32" spans="2:11" x14ac:dyDescent="0.35">
      <c r="B32" s="388" t="s">
        <v>312</v>
      </c>
      <c r="C32">
        <v>3</v>
      </c>
      <c r="D32">
        <v>4</v>
      </c>
      <c r="E32">
        <v>5</v>
      </c>
      <c r="F32">
        <v>2</v>
      </c>
      <c r="G32">
        <v>2</v>
      </c>
      <c r="H32">
        <v>2</v>
      </c>
      <c r="I32">
        <v>7</v>
      </c>
      <c r="J32">
        <v>4</v>
      </c>
      <c r="K32">
        <v>6</v>
      </c>
    </row>
    <row r="33" spans="2:11" x14ac:dyDescent="0.35">
      <c r="B33" s="388" t="s">
        <v>413</v>
      </c>
      <c r="H33">
        <v>0</v>
      </c>
      <c r="I33">
        <v>0</v>
      </c>
      <c r="J33">
        <v>0</v>
      </c>
      <c r="K33">
        <v>0</v>
      </c>
    </row>
    <row r="34" spans="2:11" x14ac:dyDescent="0.35">
      <c r="B34" s="388" t="s">
        <v>357</v>
      </c>
      <c r="C34">
        <v>77</v>
      </c>
      <c r="D34">
        <v>53</v>
      </c>
      <c r="E34">
        <v>72</v>
      </c>
      <c r="F34">
        <v>53</v>
      </c>
      <c r="G34">
        <v>63</v>
      </c>
      <c r="H34">
        <v>66</v>
      </c>
      <c r="I34">
        <v>70</v>
      </c>
      <c r="J34">
        <v>51</v>
      </c>
      <c r="K34">
        <v>51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8C61-4E56-48EC-86D9-4370CEEAB84A}">
  <sheetPr>
    <tabColor theme="5" tint="0.39997558519241921"/>
  </sheetPr>
  <dimension ref="A1:K30"/>
  <sheetViews>
    <sheetView workbookViewId="0">
      <selection sqref="A1:K30"/>
    </sheetView>
  </sheetViews>
  <sheetFormatPr defaultRowHeight="14.5" x14ac:dyDescent="0.35"/>
  <cols>
    <col min="1" max="1" width="20.81640625" bestFit="1" customWidth="1"/>
    <col min="2" max="2" width="14.26953125" bestFit="1" customWidth="1"/>
    <col min="3" max="11" width="9.7265625" bestFit="1" customWidth="1"/>
  </cols>
  <sheetData>
    <row r="1" spans="1:11" x14ac:dyDescent="0.35">
      <c r="A1" t="s">
        <v>358</v>
      </c>
      <c r="B1" t="s">
        <v>909</v>
      </c>
      <c r="C1" t="s">
        <v>341</v>
      </c>
      <c r="D1" t="s">
        <v>342</v>
      </c>
      <c r="E1" t="s">
        <v>214</v>
      </c>
      <c r="F1" t="s">
        <v>313</v>
      </c>
      <c r="G1" t="s">
        <v>319</v>
      </c>
      <c r="H1" t="s">
        <v>321</v>
      </c>
      <c r="I1" t="s">
        <v>326</v>
      </c>
      <c r="J1" t="s">
        <v>327</v>
      </c>
      <c r="K1" t="s">
        <v>466</v>
      </c>
    </row>
    <row r="2" spans="1:11" x14ac:dyDescent="0.35">
      <c r="H2">
        <v>0</v>
      </c>
      <c r="I2">
        <v>0</v>
      </c>
      <c r="J2">
        <v>0</v>
      </c>
      <c r="K2">
        <v>0</v>
      </c>
    </row>
    <row r="3" spans="1:11" x14ac:dyDescent="0.35">
      <c r="A3" t="s">
        <v>216</v>
      </c>
      <c r="B3" t="s">
        <v>215</v>
      </c>
      <c r="C3">
        <v>1</v>
      </c>
      <c r="D3">
        <v>1</v>
      </c>
      <c r="E3">
        <v>1</v>
      </c>
      <c r="G3">
        <v>2</v>
      </c>
      <c r="H3">
        <v>1</v>
      </c>
      <c r="I3">
        <v>2</v>
      </c>
      <c r="J3">
        <v>0</v>
      </c>
      <c r="K3">
        <v>1</v>
      </c>
    </row>
    <row r="4" spans="1:11" x14ac:dyDescent="0.35">
      <c r="A4" t="s">
        <v>221</v>
      </c>
      <c r="B4" t="s">
        <v>220</v>
      </c>
      <c r="C4">
        <v>3</v>
      </c>
      <c r="D4">
        <v>1</v>
      </c>
      <c r="E4">
        <v>1</v>
      </c>
      <c r="F4">
        <v>3</v>
      </c>
      <c r="G4">
        <v>1</v>
      </c>
      <c r="H4">
        <v>1</v>
      </c>
      <c r="I4">
        <v>0</v>
      </c>
      <c r="J4">
        <v>1</v>
      </c>
      <c r="K4">
        <v>0</v>
      </c>
    </row>
    <row r="5" spans="1:11" x14ac:dyDescent="0.35">
      <c r="A5" t="s">
        <v>229</v>
      </c>
      <c r="B5" t="s">
        <v>228</v>
      </c>
      <c r="C5">
        <v>3</v>
      </c>
      <c r="E5">
        <v>1</v>
      </c>
      <c r="H5">
        <v>1</v>
      </c>
      <c r="I5">
        <v>0</v>
      </c>
      <c r="J5">
        <v>0</v>
      </c>
      <c r="K5">
        <v>0</v>
      </c>
    </row>
    <row r="6" spans="1:11" x14ac:dyDescent="0.35">
      <c r="A6" t="s">
        <v>235</v>
      </c>
      <c r="B6" t="s">
        <v>234</v>
      </c>
      <c r="C6">
        <v>4</v>
      </c>
      <c r="D6">
        <v>2</v>
      </c>
      <c r="E6">
        <v>8</v>
      </c>
      <c r="F6">
        <v>6</v>
      </c>
      <c r="G6">
        <v>3</v>
      </c>
      <c r="H6">
        <v>15</v>
      </c>
      <c r="I6">
        <v>9</v>
      </c>
      <c r="J6">
        <v>6</v>
      </c>
      <c r="K6">
        <v>7</v>
      </c>
    </row>
    <row r="7" spans="1:11" x14ac:dyDescent="0.35">
      <c r="A7" t="s">
        <v>241</v>
      </c>
      <c r="B7" t="s">
        <v>240</v>
      </c>
      <c r="H7">
        <v>0</v>
      </c>
      <c r="I7">
        <v>2</v>
      </c>
      <c r="J7">
        <v>0</v>
      </c>
      <c r="K7">
        <v>0</v>
      </c>
    </row>
    <row r="8" spans="1:11" x14ac:dyDescent="0.35">
      <c r="A8" t="s">
        <v>245</v>
      </c>
      <c r="B8" t="s">
        <v>244</v>
      </c>
      <c r="C8">
        <v>1</v>
      </c>
      <c r="F8">
        <v>3</v>
      </c>
      <c r="G8">
        <v>2</v>
      </c>
      <c r="H8">
        <v>1</v>
      </c>
      <c r="I8">
        <v>1</v>
      </c>
      <c r="J8">
        <v>1</v>
      </c>
      <c r="K8">
        <v>1</v>
      </c>
    </row>
    <row r="9" spans="1:11" x14ac:dyDescent="0.35">
      <c r="A9" t="s">
        <v>248</v>
      </c>
      <c r="B9" t="s">
        <v>247</v>
      </c>
      <c r="C9">
        <v>9</v>
      </c>
      <c r="D9">
        <v>3</v>
      </c>
      <c r="E9">
        <v>3</v>
      </c>
      <c r="F9">
        <v>3</v>
      </c>
      <c r="G9">
        <v>5</v>
      </c>
      <c r="H9">
        <v>13</v>
      </c>
      <c r="I9">
        <v>6</v>
      </c>
      <c r="J9">
        <v>0</v>
      </c>
      <c r="K9">
        <v>2</v>
      </c>
    </row>
    <row r="10" spans="1:11" x14ac:dyDescent="0.35">
      <c r="A10" t="s">
        <v>250</v>
      </c>
      <c r="B10" t="s">
        <v>249</v>
      </c>
      <c r="C10">
        <v>1</v>
      </c>
      <c r="D10">
        <v>1</v>
      </c>
      <c r="E10">
        <v>3</v>
      </c>
      <c r="G10">
        <v>1</v>
      </c>
      <c r="H10">
        <v>1</v>
      </c>
      <c r="I10">
        <v>0</v>
      </c>
      <c r="J10">
        <v>1</v>
      </c>
      <c r="K10">
        <v>0</v>
      </c>
    </row>
    <row r="11" spans="1:11" x14ac:dyDescent="0.35">
      <c r="A11" t="s">
        <v>254</v>
      </c>
      <c r="B11" t="s">
        <v>253</v>
      </c>
      <c r="C11">
        <v>3</v>
      </c>
      <c r="E11">
        <v>4</v>
      </c>
      <c r="G11">
        <v>1</v>
      </c>
      <c r="H11">
        <v>0</v>
      </c>
      <c r="I11">
        <v>1</v>
      </c>
      <c r="J11">
        <v>0</v>
      </c>
      <c r="K11">
        <v>0</v>
      </c>
    </row>
    <row r="12" spans="1:11" x14ac:dyDescent="0.35">
      <c r="A12" t="s">
        <v>256</v>
      </c>
      <c r="B12" t="s">
        <v>255</v>
      </c>
      <c r="C12">
        <v>2</v>
      </c>
      <c r="G12">
        <v>2</v>
      </c>
      <c r="H12">
        <v>1</v>
      </c>
      <c r="I12">
        <v>1</v>
      </c>
      <c r="J12">
        <v>1</v>
      </c>
      <c r="K12">
        <v>1</v>
      </c>
    </row>
    <row r="13" spans="1:11" x14ac:dyDescent="0.35">
      <c r="A13" t="s">
        <v>260</v>
      </c>
      <c r="B13" t="s">
        <v>259</v>
      </c>
      <c r="H13">
        <v>0</v>
      </c>
      <c r="I13">
        <v>2</v>
      </c>
      <c r="J13">
        <v>0</v>
      </c>
      <c r="K13">
        <v>1</v>
      </c>
    </row>
    <row r="14" spans="1:11" x14ac:dyDescent="0.35">
      <c r="A14" t="s">
        <v>264</v>
      </c>
      <c r="B14" t="s">
        <v>263</v>
      </c>
      <c r="C14">
        <v>2</v>
      </c>
      <c r="G14">
        <v>2</v>
      </c>
      <c r="H14">
        <v>3</v>
      </c>
      <c r="I14">
        <v>4</v>
      </c>
      <c r="J14">
        <v>1</v>
      </c>
      <c r="K14">
        <v>1</v>
      </c>
    </row>
    <row r="15" spans="1:11" x14ac:dyDescent="0.35">
      <c r="A15" t="s">
        <v>268</v>
      </c>
      <c r="B15" t="s">
        <v>267</v>
      </c>
      <c r="D15">
        <v>3</v>
      </c>
      <c r="E15">
        <v>6</v>
      </c>
      <c r="F15">
        <v>2</v>
      </c>
      <c r="G15">
        <v>7</v>
      </c>
      <c r="H15">
        <v>1</v>
      </c>
      <c r="I15">
        <v>7</v>
      </c>
      <c r="J15">
        <v>2</v>
      </c>
      <c r="K15">
        <v>2</v>
      </c>
    </row>
    <row r="16" spans="1:11" x14ac:dyDescent="0.35">
      <c r="A16" t="s">
        <v>271</v>
      </c>
      <c r="B16" t="s">
        <v>315</v>
      </c>
      <c r="C16">
        <v>19</v>
      </c>
      <c r="D16">
        <v>20</v>
      </c>
      <c r="E16">
        <v>23</v>
      </c>
      <c r="F16">
        <v>12</v>
      </c>
      <c r="G16">
        <v>14</v>
      </c>
      <c r="H16">
        <v>9</v>
      </c>
      <c r="I16">
        <v>8</v>
      </c>
      <c r="J16">
        <v>9</v>
      </c>
      <c r="K16">
        <v>11</v>
      </c>
    </row>
    <row r="17" spans="1:11" x14ac:dyDescent="0.35">
      <c r="A17" t="s">
        <v>274</v>
      </c>
      <c r="B17" t="s">
        <v>273</v>
      </c>
      <c r="C17">
        <v>1</v>
      </c>
      <c r="H17">
        <v>1</v>
      </c>
      <c r="I17">
        <v>1</v>
      </c>
      <c r="J17">
        <v>0</v>
      </c>
      <c r="K17">
        <v>2</v>
      </c>
    </row>
    <row r="18" spans="1:11" x14ac:dyDescent="0.35">
      <c r="A18" t="s">
        <v>278</v>
      </c>
      <c r="B18" t="s">
        <v>277</v>
      </c>
      <c r="C18">
        <v>4</v>
      </c>
      <c r="D18">
        <v>3</v>
      </c>
      <c r="E18">
        <v>2</v>
      </c>
      <c r="F18">
        <v>1</v>
      </c>
      <c r="G18">
        <v>2</v>
      </c>
      <c r="H18">
        <v>2</v>
      </c>
      <c r="I18">
        <v>2</v>
      </c>
      <c r="J18">
        <v>2</v>
      </c>
      <c r="K18">
        <v>0</v>
      </c>
    </row>
    <row r="19" spans="1:11" x14ac:dyDescent="0.35">
      <c r="A19" t="s">
        <v>280</v>
      </c>
      <c r="B19" t="s">
        <v>279</v>
      </c>
      <c r="C19">
        <v>3</v>
      </c>
      <c r="D19">
        <v>2</v>
      </c>
      <c r="E19">
        <v>1</v>
      </c>
      <c r="F19">
        <v>3</v>
      </c>
      <c r="G19">
        <v>1</v>
      </c>
      <c r="H19">
        <v>0</v>
      </c>
      <c r="I19">
        <v>1</v>
      </c>
      <c r="J19">
        <v>0</v>
      </c>
      <c r="K19">
        <v>0</v>
      </c>
    </row>
    <row r="20" spans="1:11" x14ac:dyDescent="0.35">
      <c r="A20" t="s">
        <v>282</v>
      </c>
      <c r="B20" t="s">
        <v>281</v>
      </c>
      <c r="E20">
        <v>1</v>
      </c>
      <c r="F20">
        <v>3</v>
      </c>
      <c r="H20">
        <v>2</v>
      </c>
      <c r="I20">
        <v>1</v>
      </c>
      <c r="J20">
        <v>1</v>
      </c>
      <c r="K20">
        <v>0</v>
      </c>
    </row>
    <row r="21" spans="1:11" x14ac:dyDescent="0.35">
      <c r="A21" t="s">
        <v>288</v>
      </c>
      <c r="B21" t="s">
        <v>287</v>
      </c>
      <c r="C21">
        <v>5</v>
      </c>
      <c r="D21">
        <v>2</v>
      </c>
      <c r="E21">
        <v>2</v>
      </c>
      <c r="F21">
        <v>3</v>
      </c>
      <c r="G21">
        <v>1</v>
      </c>
      <c r="H21">
        <v>3</v>
      </c>
      <c r="I21">
        <v>2</v>
      </c>
      <c r="J21">
        <v>5</v>
      </c>
      <c r="K21">
        <v>2</v>
      </c>
    </row>
    <row r="22" spans="1:11" x14ac:dyDescent="0.35">
      <c r="A22" t="s">
        <v>290</v>
      </c>
      <c r="B22" t="s">
        <v>317</v>
      </c>
      <c r="C22">
        <v>3</v>
      </c>
      <c r="D22">
        <v>6</v>
      </c>
      <c r="E22">
        <v>3</v>
      </c>
      <c r="F22">
        <v>8</v>
      </c>
      <c r="G22">
        <v>4</v>
      </c>
      <c r="H22">
        <v>5</v>
      </c>
      <c r="I22">
        <v>8</v>
      </c>
      <c r="J22">
        <v>7</v>
      </c>
      <c r="K22">
        <v>1</v>
      </c>
    </row>
    <row r="23" spans="1:11" x14ac:dyDescent="0.35">
      <c r="A23" t="s">
        <v>295</v>
      </c>
      <c r="B23" t="s">
        <v>494</v>
      </c>
      <c r="H23">
        <v>0</v>
      </c>
      <c r="I23">
        <v>0</v>
      </c>
      <c r="J23">
        <v>1</v>
      </c>
      <c r="K23">
        <v>0</v>
      </c>
    </row>
    <row r="24" spans="1:11" x14ac:dyDescent="0.35">
      <c r="A24" t="s">
        <v>297</v>
      </c>
      <c r="B24" t="s">
        <v>296</v>
      </c>
      <c r="C24">
        <v>2</v>
      </c>
      <c r="D24">
        <v>1</v>
      </c>
      <c r="E24">
        <v>1</v>
      </c>
      <c r="F24">
        <v>2</v>
      </c>
      <c r="G24">
        <v>3</v>
      </c>
      <c r="H24">
        <v>1</v>
      </c>
      <c r="I24">
        <v>2</v>
      </c>
      <c r="J24">
        <v>3</v>
      </c>
      <c r="K24">
        <v>0</v>
      </c>
    </row>
    <row r="25" spans="1:11" x14ac:dyDescent="0.35">
      <c r="A25" t="s">
        <v>299</v>
      </c>
      <c r="B25" t="s">
        <v>298</v>
      </c>
      <c r="C25">
        <v>2</v>
      </c>
      <c r="D25">
        <v>3</v>
      </c>
      <c r="E25">
        <v>3</v>
      </c>
      <c r="F25">
        <v>1</v>
      </c>
      <c r="G25">
        <v>2</v>
      </c>
      <c r="H25">
        <v>0</v>
      </c>
      <c r="I25">
        <v>0</v>
      </c>
      <c r="J25">
        <v>0</v>
      </c>
      <c r="K25">
        <v>3</v>
      </c>
    </row>
    <row r="26" spans="1:11" x14ac:dyDescent="0.35">
      <c r="A26" t="s">
        <v>303</v>
      </c>
      <c r="B26" t="s">
        <v>302</v>
      </c>
      <c r="D26">
        <v>1</v>
      </c>
      <c r="G26">
        <v>2</v>
      </c>
      <c r="H26">
        <v>1</v>
      </c>
      <c r="I26">
        <v>0</v>
      </c>
      <c r="J26">
        <v>1</v>
      </c>
      <c r="K26">
        <v>0</v>
      </c>
    </row>
    <row r="27" spans="1:11" x14ac:dyDescent="0.35">
      <c r="A27" t="s">
        <v>305</v>
      </c>
      <c r="B27" t="s">
        <v>304</v>
      </c>
      <c r="C27">
        <v>2</v>
      </c>
      <c r="E27">
        <v>1</v>
      </c>
      <c r="F27">
        <v>1</v>
      </c>
      <c r="G27">
        <v>5</v>
      </c>
      <c r="H27">
        <v>2</v>
      </c>
      <c r="I27">
        <v>2</v>
      </c>
      <c r="J27">
        <v>5</v>
      </c>
      <c r="K27">
        <v>6</v>
      </c>
    </row>
    <row r="28" spans="1:11" x14ac:dyDescent="0.35">
      <c r="A28" t="s">
        <v>308</v>
      </c>
      <c r="B28" t="s">
        <v>307</v>
      </c>
      <c r="C28">
        <v>3</v>
      </c>
      <c r="E28">
        <v>1</v>
      </c>
      <c r="G28">
        <v>1</v>
      </c>
      <c r="H28">
        <v>0</v>
      </c>
      <c r="I28">
        <v>0</v>
      </c>
      <c r="J28">
        <v>0</v>
      </c>
      <c r="K28">
        <v>0</v>
      </c>
    </row>
    <row r="29" spans="1:11" x14ac:dyDescent="0.35">
      <c r="A29" t="s">
        <v>310</v>
      </c>
      <c r="B29" t="s">
        <v>309</v>
      </c>
      <c r="C29">
        <v>1</v>
      </c>
      <c r="E29">
        <v>2</v>
      </c>
      <c r="H29">
        <v>0</v>
      </c>
      <c r="I29">
        <v>1</v>
      </c>
      <c r="J29">
        <v>0</v>
      </c>
      <c r="K29">
        <v>4</v>
      </c>
    </row>
    <row r="30" spans="1:11" x14ac:dyDescent="0.35">
      <c r="A30" t="s">
        <v>312</v>
      </c>
      <c r="B30" t="s">
        <v>311</v>
      </c>
      <c r="C30">
        <v>3</v>
      </c>
      <c r="D30">
        <v>4</v>
      </c>
      <c r="E30">
        <v>5</v>
      </c>
      <c r="F30">
        <v>2</v>
      </c>
      <c r="G30">
        <v>2</v>
      </c>
      <c r="H30">
        <v>2</v>
      </c>
      <c r="I30">
        <v>7</v>
      </c>
      <c r="J30">
        <v>4</v>
      </c>
      <c r="K30">
        <v>6</v>
      </c>
    </row>
  </sheetData>
  <phoneticPr fontId="53" type="noConversion"/>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6">
    <tabColor theme="5" tint="0.39997558519241921"/>
    <pageSetUpPr fitToPage="1"/>
  </sheetPr>
  <dimension ref="A1:L45"/>
  <sheetViews>
    <sheetView showGridLines="0" zoomScaleNormal="100" workbookViewId="0">
      <pane ySplit="2" topLeftCell="A3" activePane="bottomLeft" state="frozen"/>
      <selection pane="bottomLeft" sqref="A1:B1"/>
    </sheetView>
  </sheetViews>
  <sheetFormatPr defaultRowHeight="14.5" x14ac:dyDescent="0.35"/>
  <cols>
    <col min="1" max="1" width="19.7265625" customWidth="1"/>
    <col min="2" max="2" width="21" bestFit="1" customWidth="1"/>
    <col min="3" max="3" width="9.453125" customWidth="1"/>
    <col min="4" max="4" width="9.1796875" customWidth="1"/>
    <col min="5" max="5" width="9.54296875" customWidth="1"/>
    <col min="6" max="6" width="9.81640625" customWidth="1"/>
    <col min="7" max="7" width="9" customWidth="1"/>
    <col min="8" max="8" width="8.81640625" customWidth="1"/>
    <col min="9" max="9" width="8.453125" customWidth="1"/>
  </cols>
  <sheetData>
    <row r="1" spans="1:12" ht="15.5" x14ac:dyDescent="0.35">
      <c r="A1" s="1011" t="s">
        <v>888</v>
      </c>
      <c r="B1" s="1011"/>
    </row>
    <row r="2" spans="1:12" ht="15.5" x14ac:dyDescent="0.35">
      <c r="A2" s="499" t="s">
        <v>201</v>
      </c>
      <c r="B2" s="441"/>
    </row>
    <row r="3" spans="1:12" x14ac:dyDescent="0.35">
      <c r="C3" s="213"/>
      <c r="D3" s="213"/>
      <c r="E3" s="213"/>
    </row>
    <row r="4" spans="1:12" ht="15.75" customHeight="1" x14ac:dyDescent="0.35">
      <c r="A4" s="1051" t="s">
        <v>910</v>
      </c>
      <c r="B4" s="1051"/>
      <c r="C4" s="1051"/>
      <c r="D4" s="1051"/>
      <c r="E4" s="1051"/>
      <c r="F4" s="1051"/>
      <c r="G4" s="1051"/>
      <c r="H4" s="1051"/>
      <c r="I4" s="1051"/>
      <c r="J4" s="1051"/>
      <c r="K4" s="1051"/>
    </row>
    <row r="5" spans="1:12" ht="15.75" customHeight="1" x14ac:dyDescent="0.35">
      <c r="A5" t="s">
        <v>202</v>
      </c>
      <c r="B5" t="s">
        <v>122</v>
      </c>
      <c r="C5" s="231"/>
      <c r="D5" s="231"/>
      <c r="E5" s="231"/>
    </row>
    <row r="6" spans="1:12" ht="15.75" customHeight="1" x14ac:dyDescent="0.35">
      <c r="A6" t="s">
        <v>203</v>
      </c>
      <c r="B6" t="s">
        <v>204</v>
      </c>
      <c r="C6" s="231"/>
      <c r="D6" s="231"/>
      <c r="E6" s="231"/>
    </row>
    <row r="7" spans="1:12" ht="15.75" customHeight="1" x14ac:dyDescent="0.35">
      <c r="A7" t="s">
        <v>205</v>
      </c>
      <c r="B7" t="s">
        <v>890</v>
      </c>
      <c r="C7" s="231"/>
      <c r="D7" s="231"/>
      <c r="E7" s="231"/>
    </row>
    <row r="8" spans="1:12" x14ac:dyDescent="0.35">
      <c r="B8" s="15"/>
      <c r="C8" s="15"/>
      <c r="D8" s="15"/>
      <c r="E8" s="212"/>
      <c r="F8" s="212"/>
      <c r="G8" s="212"/>
      <c r="H8" s="212"/>
      <c r="I8" s="212"/>
    </row>
    <row r="9" spans="1:12" x14ac:dyDescent="0.35">
      <c r="A9" s="601" t="s">
        <v>208</v>
      </c>
      <c r="B9" s="836" t="s">
        <v>32</v>
      </c>
      <c r="C9" s="526" t="s">
        <v>341</v>
      </c>
      <c r="D9" s="526" t="s">
        <v>342</v>
      </c>
      <c r="E9" s="526" t="s">
        <v>214</v>
      </c>
      <c r="F9" s="526" t="s">
        <v>313</v>
      </c>
      <c r="G9" s="526" t="s">
        <v>319</v>
      </c>
      <c r="H9" s="526" t="s">
        <v>321</v>
      </c>
      <c r="I9" s="526" t="s">
        <v>326</v>
      </c>
      <c r="J9" s="648" t="s">
        <v>327</v>
      </c>
      <c r="K9" s="648" t="s">
        <v>466</v>
      </c>
    </row>
    <row r="10" spans="1:12" x14ac:dyDescent="0.35">
      <c r="A10" s="721" t="s">
        <v>215</v>
      </c>
      <c r="B10" s="721" t="s">
        <v>216</v>
      </c>
      <c r="C10" s="602">
        <f>GETPIVOTDATA("Sum of 2016-17",AttacksAreaPivot!$B$4,"LA",B10)</f>
        <v>1</v>
      </c>
      <c r="D10" s="602">
        <f>GETPIVOTDATA("Sum of 2017-18",AttacksAreaPivot!$B$4,"LA",B10)</f>
        <v>1</v>
      </c>
      <c r="E10" s="602">
        <f>GETPIVOTDATA("Sum of 2018-19",AttacksAreaPivot!$B$4,"LA",B10)</f>
        <v>1</v>
      </c>
      <c r="F10" s="602">
        <f>GETPIVOTDATA("Sum of 2019-20",AttacksAreaPivot!$B$4,"LA",B10)</f>
        <v>0</v>
      </c>
      <c r="G10" s="602">
        <f>GETPIVOTDATA("Sum of 2020-21",AttacksAreaPivot!$B$4,"LA",B10)</f>
        <v>2</v>
      </c>
      <c r="H10" s="602">
        <f>GETPIVOTDATA("Sum of 2021-22",AttacksAreaPivot!$B$4,"LA",B10)</f>
        <v>1</v>
      </c>
      <c r="I10" s="602">
        <f>GETPIVOTDATA("Sum of 2022-23",AttacksAreaPivot!$B$4,"LA",B10)</f>
        <v>2</v>
      </c>
      <c r="J10" s="602">
        <f>GETPIVOTDATA("Sum of 2023-24",AttacksAreaPivot!$B$4,"LA",B10)</f>
        <v>0</v>
      </c>
      <c r="K10" s="602">
        <f>GETPIVOTDATA("Sum of 2024-25",AttacksAreaPivot!$B$4,"LA",B10)</f>
        <v>1</v>
      </c>
      <c r="L10" s="602"/>
    </row>
    <row r="11" spans="1:12" x14ac:dyDescent="0.35">
      <c r="A11" s="721" t="s">
        <v>220</v>
      </c>
      <c r="B11" s="721" t="s">
        <v>221</v>
      </c>
      <c r="C11" s="602">
        <f>GETPIVOTDATA("Sum of 2016-17",AttacksAreaPivot!$B$4,"LA",B11)</f>
        <v>3</v>
      </c>
      <c r="D11" s="602">
        <f>GETPIVOTDATA("Sum of 2017-18",AttacksAreaPivot!$B$4,"LA",B11)</f>
        <v>1</v>
      </c>
      <c r="E11" s="602">
        <f>GETPIVOTDATA("Sum of 2018-19",AttacksAreaPivot!$B$4,"LA",B11)</f>
        <v>1</v>
      </c>
      <c r="F11" s="602">
        <f>GETPIVOTDATA("Sum of 2019-20",AttacksAreaPivot!$B$4,"LA",B11)</f>
        <v>3</v>
      </c>
      <c r="G11" s="602">
        <f>GETPIVOTDATA("Sum of 2020-21",AttacksAreaPivot!$B$4,"LA",B11)</f>
        <v>1</v>
      </c>
      <c r="H11" s="602">
        <f>GETPIVOTDATA("Sum of 2021-22",AttacksAreaPivot!$B$4,"LA",B11)</f>
        <v>1</v>
      </c>
      <c r="I11" s="602">
        <f>GETPIVOTDATA("Sum of 2022-23",AttacksAreaPivot!$B$4,"LA",B11)</f>
        <v>0</v>
      </c>
      <c r="J11" s="602">
        <f>GETPIVOTDATA("Sum of 2023-24",AttacksAreaPivot!$B$4,"LA",B11)</f>
        <v>1</v>
      </c>
      <c r="K11" s="602">
        <f>GETPIVOTDATA("Sum of 2024-25",AttacksAreaPivot!$B$4,"LA",B11)</f>
        <v>0</v>
      </c>
      <c r="L11" s="602"/>
    </row>
    <row r="12" spans="1:12" x14ac:dyDescent="0.35">
      <c r="A12" s="721" t="s">
        <v>224</v>
      </c>
      <c r="B12" s="721" t="s">
        <v>225</v>
      </c>
      <c r="C12" s="602" t="str">
        <f>IFERROR(GETPIVOTDATA("Sum of 2016-17",AttacksAreaPivot!$B$4,"LA",B12), "-")</f>
        <v>-</v>
      </c>
      <c r="D12" s="602" t="str">
        <f>IFERROR(GETPIVOTDATA("Sum of 2017-18",AttacksAreaPivot!$B$4,"LA",B12), "-")</f>
        <v>-</v>
      </c>
      <c r="E12" s="602" t="str">
        <f>IFERROR(GETPIVOTDATA("Sum of 2018-19",AttacksAreaPivot!$B$4,"LA",B12), "-")</f>
        <v>-</v>
      </c>
      <c r="F12" s="602" t="str">
        <f>IFERROR(GETPIVOTDATA("Sum of 2019-20",AttacksAreaPivot!$B$4,"LA",B12), "-")</f>
        <v>-</v>
      </c>
      <c r="G12" s="602" t="str">
        <f>IFERROR(GETPIVOTDATA("Sum of 2020-21",AttacksAreaPivot!$B$4,"LA",B12), "-")</f>
        <v>-</v>
      </c>
      <c r="H12" s="602" t="str">
        <f>IFERROR(GETPIVOTDATA("Sum of 2021-22",AttacksAreaPivot!$B$4,"LA",B12), "-")</f>
        <v>-</v>
      </c>
      <c r="I12" s="602" t="str">
        <f>IFERROR(GETPIVOTDATA("Sum of 2022-23",AttacksAreaPivot!$B$4,"LA",B12), "-")</f>
        <v>-</v>
      </c>
      <c r="J12" s="602" t="str">
        <f>IFERROR(GETPIVOTDATA("Sum of 2023-24",AttacksAreaPivot!$B$4,"LA",B12), "-")</f>
        <v>-</v>
      </c>
      <c r="K12" s="602" t="str">
        <f>IFERROR(GETPIVOTDATA("Sum of 2024-25",AttacksAreaPivot!$B$4,"LA",B12), "-")</f>
        <v>-</v>
      </c>
      <c r="L12" s="602"/>
    </row>
    <row r="13" spans="1:12" x14ac:dyDescent="0.35">
      <c r="A13" s="721" t="s">
        <v>228</v>
      </c>
      <c r="B13" s="721" t="s">
        <v>229</v>
      </c>
      <c r="C13" s="602">
        <f>GETPIVOTDATA("Sum of 2016-17",AttacksAreaPivot!$B$4,"LA",B13)</f>
        <v>3</v>
      </c>
      <c r="D13" s="602">
        <f>GETPIVOTDATA("Sum of 2017-18",AttacksAreaPivot!$B$4,"LA",B13)</f>
        <v>0</v>
      </c>
      <c r="E13" s="602">
        <f>GETPIVOTDATA("Sum of 2018-19",AttacksAreaPivot!$B$4,"LA",B13)</f>
        <v>1</v>
      </c>
      <c r="F13" s="602">
        <f>GETPIVOTDATA("Sum of 2019-20",AttacksAreaPivot!$B$4,"LA",B13)</f>
        <v>0</v>
      </c>
      <c r="G13" s="602">
        <f>GETPIVOTDATA("Sum of 2020-21",AttacksAreaPivot!$B$4,"LA",B13)</f>
        <v>0</v>
      </c>
      <c r="H13" s="602">
        <f>GETPIVOTDATA("Sum of 2021-22",AttacksAreaPivot!$B$4,"LA",B13)</f>
        <v>1</v>
      </c>
      <c r="I13" s="602">
        <f>GETPIVOTDATA("Sum of 2022-23",AttacksAreaPivot!$B$4,"LA",B13)</f>
        <v>0</v>
      </c>
      <c r="J13" s="602">
        <f>GETPIVOTDATA("Sum of 2023-24",AttacksAreaPivot!$B$4,"LA",B13)</f>
        <v>0</v>
      </c>
      <c r="K13" s="602">
        <f>GETPIVOTDATA("Sum of 2024-25",AttacksAreaPivot!$B$4,"LA",B13)</f>
        <v>0</v>
      </c>
      <c r="L13" s="602"/>
    </row>
    <row r="14" spans="1:12" x14ac:dyDescent="0.35">
      <c r="A14" s="721" t="s">
        <v>234</v>
      </c>
      <c r="B14" s="721" t="s">
        <v>235</v>
      </c>
      <c r="C14" s="602">
        <f>GETPIVOTDATA("Sum of 2016-17",AttacksAreaPivot!$B$4,"LA",B14)</f>
        <v>4</v>
      </c>
      <c r="D14" s="602">
        <f>GETPIVOTDATA("Sum of 2017-18",AttacksAreaPivot!$B$4,"LA",B14)</f>
        <v>2</v>
      </c>
      <c r="E14" s="602">
        <f>GETPIVOTDATA("Sum of 2018-19",AttacksAreaPivot!$B$4,"LA",B14)</f>
        <v>8</v>
      </c>
      <c r="F14" s="602">
        <f>GETPIVOTDATA("Sum of 2019-20",AttacksAreaPivot!$B$4,"LA",B14)</f>
        <v>6</v>
      </c>
      <c r="G14" s="602">
        <f>GETPIVOTDATA("Sum of 2020-21",AttacksAreaPivot!$B$4,"LA",B14)</f>
        <v>3</v>
      </c>
      <c r="H14" s="602">
        <f>GETPIVOTDATA("Sum of 2021-22",AttacksAreaPivot!$B$4,"LA",B14)</f>
        <v>15</v>
      </c>
      <c r="I14" s="602">
        <f>GETPIVOTDATA("Sum of 2022-23",AttacksAreaPivot!$B$4,"LA",B14)</f>
        <v>9</v>
      </c>
      <c r="J14" s="602">
        <f>GETPIVOTDATA("Sum of 2023-24",AttacksAreaPivot!$B$4,"LA",B14)</f>
        <v>6</v>
      </c>
      <c r="K14" s="602">
        <f>GETPIVOTDATA("Sum of 2024-25",AttacksAreaPivot!$B$4,"LA",B14)</f>
        <v>7</v>
      </c>
      <c r="L14" s="602"/>
    </row>
    <row r="15" spans="1:12" x14ac:dyDescent="0.35">
      <c r="A15" s="721" t="s">
        <v>240</v>
      </c>
      <c r="B15" s="721" t="s">
        <v>241</v>
      </c>
      <c r="C15" s="602">
        <f>GETPIVOTDATA("Sum of 2016-17",AttacksAreaPivot!$B$4,"LA",B15)</f>
        <v>0</v>
      </c>
      <c r="D15" s="602">
        <f>GETPIVOTDATA("Sum of 2017-18",AttacksAreaPivot!$B$4,"LA",B15)</f>
        <v>0</v>
      </c>
      <c r="E15" s="602">
        <f>GETPIVOTDATA("Sum of 2018-19",AttacksAreaPivot!$B$4,"LA",B15)</f>
        <v>0</v>
      </c>
      <c r="F15" s="602">
        <f>GETPIVOTDATA("Sum of 2019-20",AttacksAreaPivot!$B$4,"LA",B15)</f>
        <v>0</v>
      </c>
      <c r="G15" s="602">
        <f>GETPIVOTDATA("Sum of 2020-21",AttacksAreaPivot!$B$4,"LA",B15)</f>
        <v>0</v>
      </c>
      <c r="H15" s="602">
        <f>GETPIVOTDATA("Sum of 2021-22",AttacksAreaPivot!$B$4,"LA",B15)</f>
        <v>0</v>
      </c>
      <c r="I15" s="602">
        <f>GETPIVOTDATA("Sum of 2022-23",AttacksAreaPivot!$B$4,"LA",B15)</f>
        <v>2</v>
      </c>
      <c r="J15" s="602">
        <f>GETPIVOTDATA("Sum of 2023-24",AttacksAreaPivot!$B$4,"LA",B15)</f>
        <v>0</v>
      </c>
      <c r="K15" s="602">
        <f>GETPIVOTDATA("Sum of 2024-25",AttacksAreaPivot!$B$4,"LA",B15)</f>
        <v>0</v>
      </c>
      <c r="L15" s="602"/>
    </row>
    <row r="16" spans="1:12" x14ac:dyDescent="0.35">
      <c r="A16" s="721" t="s">
        <v>244</v>
      </c>
      <c r="B16" s="721" t="s">
        <v>245</v>
      </c>
      <c r="C16" s="602">
        <f>GETPIVOTDATA("Sum of 2016-17",AttacksAreaPivot!$B$4,"LA",B16)</f>
        <v>1</v>
      </c>
      <c r="D16" s="602">
        <f>GETPIVOTDATA("Sum of 2017-18",AttacksAreaPivot!$B$4,"LA",B16)</f>
        <v>0</v>
      </c>
      <c r="E16" s="602">
        <f>GETPIVOTDATA("Sum of 2018-19",AttacksAreaPivot!$B$4,"LA",B16)</f>
        <v>0</v>
      </c>
      <c r="F16" s="602">
        <f>GETPIVOTDATA("Sum of 2019-20",AttacksAreaPivot!$B$4,"LA",B16)</f>
        <v>3</v>
      </c>
      <c r="G16" s="602">
        <f>GETPIVOTDATA("Sum of 2020-21",AttacksAreaPivot!$B$4,"LA",B16)</f>
        <v>2</v>
      </c>
      <c r="H16" s="602">
        <f>GETPIVOTDATA("Sum of 2021-22",AttacksAreaPivot!$B$4,"LA",B16)</f>
        <v>1</v>
      </c>
      <c r="I16" s="602">
        <f>GETPIVOTDATA("Sum of 2022-23",AttacksAreaPivot!$B$4,"LA",B16)</f>
        <v>1</v>
      </c>
      <c r="J16" s="602">
        <f>GETPIVOTDATA("Sum of 2023-24",AttacksAreaPivot!$B$4,"LA",B16)</f>
        <v>1</v>
      </c>
      <c r="K16" s="602">
        <f>GETPIVOTDATA("Sum of 2024-25",AttacksAreaPivot!$B$4,"LA",B16)</f>
        <v>1</v>
      </c>
      <c r="L16" s="602"/>
    </row>
    <row r="17" spans="1:12" x14ac:dyDescent="0.35">
      <c r="A17" s="721" t="s">
        <v>247</v>
      </c>
      <c r="B17" s="721" t="s">
        <v>248</v>
      </c>
      <c r="C17" s="602">
        <f>GETPIVOTDATA("Sum of 2016-17",AttacksAreaPivot!$B$4,"LA",B17)</f>
        <v>9</v>
      </c>
      <c r="D17" s="602">
        <f>GETPIVOTDATA("Sum of 2017-18",AttacksAreaPivot!$B$4,"LA",B17)</f>
        <v>3</v>
      </c>
      <c r="E17" s="602">
        <f>GETPIVOTDATA("Sum of 2018-19",AttacksAreaPivot!$B$4,"LA",B17)</f>
        <v>3</v>
      </c>
      <c r="F17" s="602">
        <f>GETPIVOTDATA("Sum of 2019-20",AttacksAreaPivot!$B$4,"LA",B17)</f>
        <v>3</v>
      </c>
      <c r="G17" s="602">
        <f>GETPIVOTDATA("Sum of 2020-21",AttacksAreaPivot!$B$4,"LA",B17)</f>
        <v>5</v>
      </c>
      <c r="H17" s="602">
        <f>GETPIVOTDATA("Sum of 2021-22",AttacksAreaPivot!$B$4,"LA",B17)</f>
        <v>13</v>
      </c>
      <c r="I17" s="602">
        <f>GETPIVOTDATA("Sum of 2022-23",AttacksAreaPivot!$B$4,"LA",B17)</f>
        <v>6</v>
      </c>
      <c r="J17" s="602">
        <f>GETPIVOTDATA("Sum of 2023-24",AttacksAreaPivot!$B$4,"LA",B17)</f>
        <v>0</v>
      </c>
      <c r="K17" s="602">
        <f>GETPIVOTDATA("Sum of 2024-25",AttacksAreaPivot!$B$4,"LA",B17)</f>
        <v>2</v>
      </c>
      <c r="L17" s="602"/>
    </row>
    <row r="18" spans="1:12" x14ac:dyDescent="0.35">
      <c r="A18" s="721" t="s">
        <v>249</v>
      </c>
      <c r="B18" s="721" t="s">
        <v>250</v>
      </c>
      <c r="C18" s="602">
        <f>GETPIVOTDATA("Sum of 2016-17",AttacksAreaPivot!$B$4,"LA",B18)</f>
        <v>1</v>
      </c>
      <c r="D18" s="602">
        <f>GETPIVOTDATA("Sum of 2017-18",AttacksAreaPivot!$B$4,"LA",B18)</f>
        <v>1</v>
      </c>
      <c r="E18" s="602">
        <f>GETPIVOTDATA("Sum of 2018-19",AttacksAreaPivot!$B$4,"LA",B18)</f>
        <v>3</v>
      </c>
      <c r="F18" s="602">
        <f>GETPIVOTDATA("Sum of 2019-20",AttacksAreaPivot!$B$4,"LA",B18)</f>
        <v>0</v>
      </c>
      <c r="G18" s="602">
        <f>GETPIVOTDATA("Sum of 2020-21",AttacksAreaPivot!$B$4,"LA",B18)</f>
        <v>1</v>
      </c>
      <c r="H18" s="602">
        <f>GETPIVOTDATA("Sum of 2021-22",AttacksAreaPivot!$B$4,"LA",B18)</f>
        <v>1</v>
      </c>
      <c r="I18" s="602">
        <f>GETPIVOTDATA("Sum of 2022-23",AttacksAreaPivot!$B$4,"LA",B18)</f>
        <v>0</v>
      </c>
      <c r="J18" s="602">
        <f>GETPIVOTDATA("Sum of 2023-24",AttacksAreaPivot!$B$4,"LA",B18)</f>
        <v>1</v>
      </c>
      <c r="K18" s="602">
        <f>GETPIVOTDATA("Sum of 2024-25",AttacksAreaPivot!$B$4,"LA",B18)</f>
        <v>0</v>
      </c>
      <c r="L18" s="602"/>
    </row>
    <row r="19" spans="1:12" x14ac:dyDescent="0.35">
      <c r="A19" s="721" t="s">
        <v>253</v>
      </c>
      <c r="B19" s="721" t="s">
        <v>254</v>
      </c>
      <c r="C19" s="602">
        <f>GETPIVOTDATA("Sum of 2016-17",AttacksAreaPivot!$B$4,"LA",B19)</f>
        <v>3</v>
      </c>
      <c r="D19" s="602">
        <f>GETPIVOTDATA("Sum of 2017-18",AttacksAreaPivot!$B$4,"LA",B19)</f>
        <v>0</v>
      </c>
      <c r="E19" s="602">
        <f>GETPIVOTDATA("Sum of 2018-19",AttacksAreaPivot!$B$4,"LA",B19)</f>
        <v>4</v>
      </c>
      <c r="F19" s="602">
        <f>GETPIVOTDATA("Sum of 2019-20",AttacksAreaPivot!$B$4,"LA",B19)</f>
        <v>0</v>
      </c>
      <c r="G19" s="602">
        <f>GETPIVOTDATA("Sum of 2020-21",AttacksAreaPivot!$B$4,"LA",B19)</f>
        <v>1</v>
      </c>
      <c r="H19" s="602">
        <f>GETPIVOTDATA("Sum of 2021-22",AttacksAreaPivot!$B$4,"LA",B19)</f>
        <v>0</v>
      </c>
      <c r="I19" s="602">
        <f>GETPIVOTDATA("Sum of 2022-23",AttacksAreaPivot!$B$4,"LA",B19)</f>
        <v>1</v>
      </c>
      <c r="J19" s="602">
        <f>GETPIVOTDATA("Sum of 2023-24",AttacksAreaPivot!$B$4,"LA",B19)</f>
        <v>0</v>
      </c>
      <c r="K19" s="602">
        <f>GETPIVOTDATA("Sum of 2024-25",AttacksAreaPivot!$B$4,"LA",B19)</f>
        <v>0</v>
      </c>
      <c r="L19" s="602"/>
    </row>
    <row r="20" spans="1:12" x14ac:dyDescent="0.35">
      <c r="A20" s="721" t="s">
        <v>255</v>
      </c>
      <c r="B20" s="721" t="s">
        <v>256</v>
      </c>
      <c r="C20" s="602">
        <f>GETPIVOTDATA("Sum of 2016-17",AttacksAreaPivot!$B$4,"LA",B20)</f>
        <v>2</v>
      </c>
      <c r="D20" s="602">
        <f>GETPIVOTDATA("Sum of 2017-18",AttacksAreaPivot!$B$4,"LA",B20)</f>
        <v>0</v>
      </c>
      <c r="E20" s="602">
        <f>GETPIVOTDATA("Sum of 2018-19",AttacksAreaPivot!$B$4,"LA",B20)</f>
        <v>0</v>
      </c>
      <c r="F20" s="602">
        <f>GETPIVOTDATA("Sum of 2019-20",AttacksAreaPivot!$B$4,"LA",B20)</f>
        <v>0</v>
      </c>
      <c r="G20" s="602">
        <f>GETPIVOTDATA("Sum of 2020-21",AttacksAreaPivot!$B$4,"LA",B20)</f>
        <v>2</v>
      </c>
      <c r="H20" s="602">
        <f>GETPIVOTDATA("Sum of 2021-22",AttacksAreaPivot!$B$4,"LA",B20)</f>
        <v>1</v>
      </c>
      <c r="I20" s="602">
        <f>GETPIVOTDATA("Sum of 2022-23",AttacksAreaPivot!$B$4,"LA",B20)</f>
        <v>1</v>
      </c>
      <c r="J20" s="602">
        <f>GETPIVOTDATA("Sum of 2023-24",AttacksAreaPivot!$B$4,"LA",B20)</f>
        <v>1</v>
      </c>
      <c r="K20" s="602">
        <f>GETPIVOTDATA("Sum of 2024-25",AttacksAreaPivot!$B$4,"LA",B20)</f>
        <v>1</v>
      </c>
      <c r="L20" s="602"/>
    </row>
    <row r="21" spans="1:12" x14ac:dyDescent="0.35">
      <c r="A21" s="721" t="s">
        <v>259</v>
      </c>
      <c r="B21" s="721" t="s">
        <v>260</v>
      </c>
      <c r="C21" s="602">
        <f>GETPIVOTDATA("Sum of 2016-17",AttacksAreaPivot!$B$4,"LA",B21)</f>
        <v>0</v>
      </c>
      <c r="D21" s="602">
        <f>GETPIVOTDATA("Sum of 2017-18",AttacksAreaPivot!$B$4,"LA",B21)</f>
        <v>0</v>
      </c>
      <c r="E21" s="602">
        <f>GETPIVOTDATA("Sum of 2018-19",AttacksAreaPivot!$B$4,"LA",B21)</f>
        <v>0</v>
      </c>
      <c r="F21" s="602">
        <f>GETPIVOTDATA("Sum of 2019-20",AttacksAreaPivot!$B$4,"LA",B21)</f>
        <v>0</v>
      </c>
      <c r="G21" s="602">
        <f>GETPIVOTDATA("Sum of 2020-21",AttacksAreaPivot!$B$4,"LA",B21)</f>
        <v>0</v>
      </c>
      <c r="H21" s="602">
        <f>GETPIVOTDATA("Sum of 2021-22",AttacksAreaPivot!$B$4,"LA",B21)</f>
        <v>0</v>
      </c>
      <c r="I21" s="602">
        <f>GETPIVOTDATA("Sum of 2022-23",AttacksAreaPivot!$B$4,"LA",B21)</f>
        <v>2</v>
      </c>
      <c r="J21" s="602">
        <f>GETPIVOTDATA("Sum of 2023-24",AttacksAreaPivot!$B$4,"LA",B21)</f>
        <v>0</v>
      </c>
      <c r="K21" s="602">
        <f>GETPIVOTDATA("Sum of 2024-25",AttacksAreaPivot!$B$4,"LA",B21)</f>
        <v>1</v>
      </c>
      <c r="L21" s="602"/>
    </row>
    <row r="22" spans="1:12" x14ac:dyDescent="0.35">
      <c r="A22" s="721" t="s">
        <v>263</v>
      </c>
      <c r="B22" s="721" t="s">
        <v>264</v>
      </c>
      <c r="C22" s="602">
        <f>GETPIVOTDATA("Sum of 2016-17",AttacksAreaPivot!$B$4,"LA",B22)</f>
        <v>2</v>
      </c>
      <c r="D22" s="602">
        <f>GETPIVOTDATA("Sum of 2017-18",AttacksAreaPivot!$B$4,"LA",B22)</f>
        <v>0</v>
      </c>
      <c r="E22" s="602">
        <f>GETPIVOTDATA("Sum of 2018-19",AttacksAreaPivot!$B$4,"LA",B22)</f>
        <v>0</v>
      </c>
      <c r="F22" s="602">
        <f>GETPIVOTDATA("Sum of 2019-20",AttacksAreaPivot!$B$4,"LA",B22)</f>
        <v>0</v>
      </c>
      <c r="G22" s="602">
        <f>GETPIVOTDATA("Sum of 2020-21",AttacksAreaPivot!$B$4,"LA",B22)</f>
        <v>2</v>
      </c>
      <c r="H22" s="602">
        <f>GETPIVOTDATA("Sum of 2021-22",AttacksAreaPivot!$B$4,"LA",B22)</f>
        <v>3</v>
      </c>
      <c r="I22" s="602">
        <f>GETPIVOTDATA("Sum of 2022-23",AttacksAreaPivot!$B$4,"LA",B22)</f>
        <v>4</v>
      </c>
      <c r="J22" s="602">
        <f>GETPIVOTDATA("Sum of 2023-24",AttacksAreaPivot!$B$4,"LA",B22)</f>
        <v>1</v>
      </c>
      <c r="K22" s="602">
        <f>GETPIVOTDATA("Sum of 2024-25",AttacksAreaPivot!$B$4,"LA",B22)</f>
        <v>1</v>
      </c>
      <c r="L22" s="602"/>
    </row>
    <row r="23" spans="1:12" x14ac:dyDescent="0.35">
      <c r="A23" s="721" t="s">
        <v>267</v>
      </c>
      <c r="B23" s="721" t="s">
        <v>268</v>
      </c>
      <c r="C23" s="602">
        <f>GETPIVOTDATA("Sum of 2016-17",AttacksAreaPivot!$B$4,"LA",B23)</f>
        <v>0</v>
      </c>
      <c r="D23" s="602">
        <f>GETPIVOTDATA("Sum of 2017-18",AttacksAreaPivot!$B$4,"LA",B23)</f>
        <v>3</v>
      </c>
      <c r="E23" s="602">
        <f>GETPIVOTDATA("Sum of 2018-19",AttacksAreaPivot!$B$4,"LA",B23)</f>
        <v>6</v>
      </c>
      <c r="F23" s="602">
        <f>GETPIVOTDATA("Sum of 2019-20",AttacksAreaPivot!$B$4,"LA",B23)</f>
        <v>2</v>
      </c>
      <c r="G23" s="602">
        <f>GETPIVOTDATA("Sum of 2020-21",AttacksAreaPivot!$B$4,"LA",B23)</f>
        <v>7</v>
      </c>
      <c r="H23" s="602">
        <f>GETPIVOTDATA("Sum of 2021-22",AttacksAreaPivot!$B$4,"LA",B23)</f>
        <v>1</v>
      </c>
      <c r="I23" s="602">
        <f>GETPIVOTDATA("Sum of 2022-23",AttacksAreaPivot!$B$4,"LA",B23)</f>
        <v>7</v>
      </c>
      <c r="J23" s="602">
        <f>GETPIVOTDATA("Sum of 2023-24",AttacksAreaPivot!$B$4,"LA",B23)</f>
        <v>2</v>
      </c>
      <c r="K23" s="602">
        <f>GETPIVOTDATA("Sum of 2024-25",AttacksAreaPivot!$B$4,"LA",B23)</f>
        <v>2</v>
      </c>
      <c r="L23" s="602"/>
    </row>
    <row r="24" spans="1:12" x14ac:dyDescent="0.35">
      <c r="A24" s="721" t="s">
        <v>315</v>
      </c>
      <c r="B24" s="721" t="s">
        <v>271</v>
      </c>
      <c r="C24" s="602">
        <f>GETPIVOTDATA("Sum of 2016-17",AttacksAreaPivot!$B$4,"LA",B24)</f>
        <v>19</v>
      </c>
      <c r="D24" s="602">
        <f>GETPIVOTDATA("Sum of 2017-18",AttacksAreaPivot!$B$4,"LA",B24)</f>
        <v>20</v>
      </c>
      <c r="E24" s="602">
        <f>GETPIVOTDATA("Sum of 2018-19",AttacksAreaPivot!$B$4,"LA",B24)</f>
        <v>23</v>
      </c>
      <c r="F24" s="602">
        <f>GETPIVOTDATA("Sum of 2019-20",AttacksAreaPivot!$B$4,"LA",B24)</f>
        <v>12</v>
      </c>
      <c r="G24" s="602">
        <f>GETPIVOTDATA("Sum of 2020-21",AttacksAreaPivot!$B$4,"LA",B24)</f>
        <v>14</v>
      </c>
      <c r="H24" s="602">
        <f>GETPIVOTDATA("Sum of 2021-22",AttacksAreaPivot!$B$4,"LA",B24)</f>
        <v>9</v>
      </c>
      <c r="I24" s="602">
        <f>GETPIVOTDATA("Sum of 2022-23",AttacksAreaPivot!$B$4,"LA",B24)</f>
        <v>8</v>
      </c>
      <c r="J24" s="602">
        <f>GETPIVOTDATA("Sum of 2023-24",AttacksAreaPivot!$B$4,"LA",B24)</f>
        <v>9</v>
      </c>
      <c r="K24" s="602">
        <f>GETPIVOTDATA("Sum of 2024-25",AttacksAreaPivot!$B$4,"LA",B24)</f>
        <v>11</v>
      </c>
      <c r="L24" s="602"/>
    </row>
    <row r="25" spans="1:12" x14ac:dyDescent="0.35">
      <c r="A25" s="721" t="s">
        <v>273</v>
      </c>
      <c r="B25" s="721" t="s">
        <v>274</v>
      </c>
      <c r="C25" s="602">
        <f>GETPIVOTDATA("Sum of 2016-17",AttacksAreaPivot!$B$4,"LA",B25)</f>
        <v>1</v>
      </c>
      <c r="D25" s="602">
        <f>GETPIVOTDATA("Sum of 2017-18",AttacksAreaPivot!$B$4,"LA",B25)</f>
        <v>0</v>
      </c>
      <c r="E25" s="602">
        <f>GETPIVOTDATA("Sum of 2018-19",AttacksAreaPivot!$B$4,"LA",B25)</f>
        <v>0</v>
      </c>
      <c r="F25" s="602">
        <f>GETPIVOTDATA("Sum of 2019-20",AttacksAreaPivot!$B$4,"LA",B25)</f>
        <v>0</v>
      </c>
      <c r="G25" s="602">
        <f>GETPIVOTDATA("Sum of 2020-21",AttacksAreaPivot!$B$4,"LA",B25)</f>
        <v>0</v>
      </c>
      <c r="H25" s="602">
        <f>GETPIVOTDATA("Sum of 2021-22",AttacksAreaPivot!$B$4,"LA",B25)</f>
        <v>1</v>
      </c>
      <c r="I25" s="602">
        <f>GETPIVOTDATA("Sum of 2022-23",AttacksAreaPivot!$B$4,"LA",B25)</f>
        <v>1</v>
      </c>
      <c r="J25" s="602">
        <f>GETPIVOTDATA("Sum of 2023-24",AttacksAreaPivot!$B$4,"LA",B25)</f>
        <v>0</v>
      </c>
      <c r="K25" s="602">
        <f>GETPIVOTDATA("Sum of 2024-25",AttacksAreaPivot!$B$4,"LA",B25)</f>
        <v>2</v>
      </c>
      <c r="L25" s="602"/>
    </row>
    <row r="26" spans="1:12" x14ac:dyDescent="0.35">
      <c r="A26" s="721" t="s">
        <v>277</v>
      </c>
      <c r="B26" s="721" t="s">
        <v>278</v>
      </c>
      <c r="C26" s="602">
        <f>GETPIVOTDATA("Sum of 2016-17",AttacksAreaPivot!$B$4,"LA",B26)</f>
        <v>4</v>
      </c>
      <c r="D26" s="602">
        <f>GETPIVOTDATA("Sum of 2017-18",AttacksAreaPivot!$B$4,"LA",B26)</f>
        <v>3</v>
      </c>
      <c r="E26" s="602">
        <f>GETPIVOTDATA("Sum of 2018-19",AttacksAreaPivot!$B$4,"LA",B26)</f>
        <v>2</v>
      </c>
      <c r="F26" s="602">
        <f>GETPIVOTDATA("Sum of 2019-20",AttacksAreaPivot!$B$4,"LA",B26)</f>
        <v>1</v>
      </c>
      <c r="G26" s="602">
        <f>GETPIVOTDATA("Sum of 2020-21",AttacksAreaPivot!$B$4,"LA",B26)</f>
        <v>2</v>
      </c>
      <c r="H26" s="602">
        <f>GETPIVOTDATA("Sum of 2021-22",AttacksAreaPivot!$B$4,"LA",B26)</f>
        <v>2</v>
      </c>
      <c r="I26" s="602">
        <f>GETPIVOTDATA("Sum of 2022-23",AttacksAreaPivot!$B$4,"LA",B26)</f>
        <v>2</v>
      </c>
      <c r="J26" s="602">
        <f>GETPIVOTDATA("Sum of 2023-24",AttacksAreaPivot!$B$4,"LA",B26)</f>
        <v>2</v>
      </c>
      <c r="K26" s="602">
        <f>GETPIVOTDATA("Sum of 2024-25",AttacksAreaPivot!$B$4,"LA",B26)</f>
        <v>0</v>
      </c>
      <c r="L26" s="602"/>
    </row>
    <row r="27" spans="1:12" x14ac:dyDescent="0.35">
      <c r="A27" s="721" t="s">
        <v>279</v>
      </c>
      <c r="B27" s="721" t="s">
        <v>280</v>
      </c>
      <c r="C27" s="602">
        <f>GETPIVOTDATA("Sum of 2016-17",AttacksAreaPivot!$B$4,"LA",B27)</f>
        <v>3</v>
      </c>
      <c r="D27" s="602">
        <f>GETPIVOTDATA("Sum of 2017-18",AttacksAreaPivot!$B$4,"LA",B27)</f>
        <v>2</v>
      </c>
      <c r="E27" s="602">
        <f>GETPIVOTDATA("Sum of 2018-19",AttacksAreaPivot!$B$4,"LA",B27)</f>
        <v>1</v>
      </c>
      <c r="F27" s="602">
        <f>GETPIVOTDATA("Sum of 2019-20",AttacksAreaPivot!$B$4,"LA",B27)</f>
        <v>3</v>
      </c>
      <c r="G27" s="602">
        <f>GETPIVOTDATA("Sum of 2020-21",AttacksAreaPivot!$B$4,"LA",B27)</f>
        <v>1</v>
      </c>
      <c r="H27" s="602">
        <f>GETPIVOTDATA("Sum of 2021-22",AttacksAreaPivot!$B$4,"LA",B27)</f>
        <v>0</v>
      </c>
      <c r="I27" s="602">
        <f>GETPIVOTDATA("Sum of 2022-23",AttacksAreaPivot!$B$4,"LA",B27)</f>
        <v>1</v>
      </c>
      <c r="J27" s="602">
        <f>GETPIVOTDATA("Sum of 2023-24",AttacksAreaPivot!$B$4,"LA",B27)</f>
        <v>0</v>
      </c>
      <c r="K27" s="602">
        <f>GETPIVOTDATA("Sum of 2024-25",AttacksAreaPivot!$B$4,"LA",B27)</f>
        <v>0</v>
      </c>
      <c r="L27" s="602"/>
    </row>
    <row r="28" spans="1:12" x14ac:dyDescent="0.35">
      <c r="A28" s="721" t="s">
        <v>281</v>
      </c>
      <c r="B28" s="721" t="s">
        <v>282</v>
      </c>
      <c r="C28" s="602">
        <f>GETPIVOTDATA("Sum of 2016-17",AttacksAreaPivot!$B$4,"LA",B28)</f>
        <v>0</v>
      </c>
      <c r="D28" s="602">
        <f>GETPIVOTDATA("Sum of 2017-18",AttacksAreaPivot!$B$4,"LA",B28)</f>
        <v>0</v>
      </c>
      <c r="E28" s="602">
        <f>GETPIVOTDATA("Sum of 2018-19",AttacksAreaPivot!$B$4,"LA",B28)</f>
        <v>1</v>
      </c>
      <c r="F28" s="602">
        <f>GETPIVOTDATA("Sum of 2019-20",AttacksAreaPivot!$B$4,"LA",B28)</f>
        <v>3</v>
      </c>
      <c r="G28" s="602">
        <f>GETPIVOTDATA("Sum of 2020-21",AttacksAreaPivot!$B$4,"LA",B28)</f>
        <v>0</v>
      </c>
      <c r="H28" s="602">
        <f>GETPIVOTDATA("Sum of 2021-22",AttacksAreaPivot!$B$4,"LA",B28)</f>
        <v>2</v>
      </c>
      <c r="I28" s="602">
        <f>GETPIVOTDATA("Sum of 2022-23",AttacksAreaPivot!$B$4,"LA",B28)</f>
        <v>1</v>
      </c>
      <c r="J28" s="602">
        <f>GETPIVOTDATA("Sum of 2023-24",AttacksAreaPivot!$B$4,"LA",B28)</f>
        <v>1</v>
      </c>
      <c r="K28" s="602">
        <f>GETPIVOTDATA("Sum of 2024-25",AttacksAreaPivot!$B$4,"LA",B28)</f>
        <v>0</v>
      </c>
      <c r="L28" s="602"/>
    </row>
    <row r="29" spans="1:12" x14ac:dyDescent="0.35">
      <c r="A29" s="721" t="s">
        <v>283</v>
      </c>
      <c r="B29" s="721" t="s">
        <v>284</v>
      </c>
      <c r="C29" s="602" t="str">
        <f>IFERROR(GETPIVOTDATA("Sum of 2016-17",AttacksAreaPivot!$B$4,"LA",B29), "-")</f>
        <v>-</v>
      </c>
      <c r="D29" s="602" t="str">
        <f>IFERROR(GETPIVOTDATA("Sum of 2017-18",AttacksAreaPivot!$B$4,"LA",B29), "-")</f>
        <v>-</v>
      </c>
      <c r="E29" s="602" t="str">
        <f>IFERROR(GETPIVOTDATA("Sum of 2018-19",AttacksAreaPivot!$B$4,"LA",B29), "-")</f>
        <v>-</v>
      </c>
      <c r="F29" s="602" t="str">
        <f>IFERROR(GETPIVOTDATA("Sum of 2019-20",AttacksAreaPivot!$B$4,"LA",B29), "-")</f>
        <v>-</v>
      </c>
      <c r="G29" s="602" t="str">
        <f>IFERROR(GETPIVOTDATA("Sum of 2020-21",AttacksAreaPivot!$B$4,"LA",B29), "-")</f>
        <v>-</v>
      </c>
      <c r="H29" s="602" t="str">
        <f>IFERROR(GETPIVOTDATA("Sum of 2021-22",AttacksAreaPivot!$B$4,"LA",B29), "-")</f>
        <v>-</v>
      </c>
      <c r="I29" s="602" t="str">
        <f>IFERROR(GETPIVOTDATA("Sum of 2022-23",AttacksAreaPivot!$B$4,"LA",B29), "-")</f>
        <v>-</v>
      </c>
      <c r="J29" s="602" t="str">
        <f>IFERROR(GETPIVOTDATA("Sum of 2023-24",AttacksAreaPivot!$B$4,"LA",B29), "-")</f>
        <v>-</v>
      </c>
      <c r="K29" s="602" t="str">
        <f>IFERROR(GETPIVOTDATA("Sum of 2024-25",AttacksAreaPivot!$B$4,"LA",B29), "-")</f>
        <v>-</v>
      </c>
      <c r="L29" s="602"/>
    </row>
    <row r="30" spans="1:12" x14ac:dyDescent="0.35">
      <c r="A30" s="721" t="s">
        <v>287</v>
      </c>
      <c r="B30" s="721" t="s">
        <v>288</v>
      </c>
      <c r="C30" s="602">
        <f>GETPIVOTDATA("Sum of 2016-17",AttacksAreaPivot!$B$4,"LA",B30)</f>
        <v>5</v>
      </c>
      <c r="D30" s="602">
        <f>GETPIVOTDATA("Sum of 2017-18",AttacksAreaPivot!$B$4,"LA",B30)</f>
        <v>2</v>
      </c>
      <c r="E30" s="602">
        <f>GETPIVOTDATA("Sum of 2018-19",AttacksAreaPivot!$B$4,"LA",B30)</f>
        <v>2</v>
      </c>
      <c r="F30" s="602">
        <f>GETPIVOTDATA("Sum of 2019-20",AttacksAreaPivot!$B$4,"LA",B30)</f>
        <v>3</v>
      </c>
      <c r="G30" s="602">
        <f>GETPIVOTDATA("Sum of 2020-21",AttacksAreaPivot!$B$4,"LA",B30)</f>
        <v>1</v>
      </c>
      <c r="H30" s="602">
        <f>GETPIVOTDATA("Sum of 2021-22",AttacksAreaPivot!$B$4,"LA",B30)</f>
        <v>3</v>
      </c>
      <c r="I30" s="602">
        <f>GETPIVOTDATA("Sum of 2022-23",AttacksAreaPivot!$B$4,"LA",B30)</f>
        <v>2</v>
      </c>
      <c r="J30" s="602">
        <f>GETPIVOTDATA("Sum of 2023-24",AttacksAreaPivot!$B$4,"LA",B30)</f>
        <v>5</v>
      </c>
      <c r="K30" s="602">
        <f>GETPIVOTDATA("Sum of 2024-25",AttacksAreaPivot!$B$4,"LA",B30)</f>
        <v>2</v>
      </c>
      <c r="L30" s="602"/>
    </row>
    <row r="31" spans="1:12" x14ac:dyDescent="0.35">
      <c r="A31" s="721" t="s">
        <v>317</v>
      </c>
      <c r="B31" s="721" t="s">
        <v>290</v>
      </c>
      <c r="C31" s="602">
        <f>GETPIVOTDATA("Sum of 2016-17",AttacksAreaPivot!$B$4,"LA",B31)</f>
        <v>3</v>
      </c>
      <c r="D31" s="602">
        <f>GETPIVOTDATA("Sum of 2017-18",AttacksAreaPivot!$B$4,"LA",B31)</f>
        <v>6</v>
      </c>
      <c r="E31" s="602">
        <f>GETPIVOTDATA("Sum of 2018-19",AttacksAreaPivot!$B$4,"LA",B31)</f>
        <v>3</v>
      </c>
      <c r="F31" s="602">
        <f>GETPIVOTDATA("Sum of 2019-20",AttacksAreaPivot!$B$4,"LA",B31)</f>
        <v>8</v>
      </c>
      <c r="G31" s="602">
        <f>GETPIVOTDATA("Sum of 2020-21",AttacksAreaPivot!$B$4,"LA",B31)</f>
        <v>4</v>
      </c>
      <c r="H31" s="602">
        <f>GETPIVOTDATA("Sum of 2021-22",AttacksAreaPivot!$B$4,"LA",B31)</f>
        <v>5</v>
      </c>
      <c r="I31" s="602">
        <f>GETPIVOTDATA("Sum of 2022-23",AttacksAreaPivot!$B$4,"LA",B31)</f>
        <v>8</v>
      </c>
      <c r="J31" s="602">
        <f>GETPIVOTDATA("Sum of 2023-24",AttacksAreaPivot!$B$4,"LA",B31)</f>
        <v>7</v>
      </c>
      <c r="K31" s="602">
        <f>GETPIVOTDATA("Sum of 2024-25",AttacksAreaPivot!$B$4,"LA",B31)</f>
        <v>1</v>
      </c>
      <c r="L31" s="602"/>
    </row>
    <row r="32" spans="1:12" x14ac:dyDescent="0.35">
      <c r="A32" s="721" t="s">
        <v>292</v>
      </c>
      <c r="B32" s="721" t="s">
        <v>293</v>
      </c>
      <c r="C32" s="602" t="str">
        <f>IFERROR(GETPIVOTDATA("Sum of 2016-17",AttacksAreaPivot!$B$4,"LA",B32), "-")</f>
        <v>-</v>
      </c>
      <c r="D32" s="602" t="str">
        <f>IFERROR(GETPIVOTDATA("Sum of 2017-18",AttacksAreaPivot!$B$4,"LA",B32), "-")</f>
        <v>-</v>
      </c>
      <c r="E32" s="602" t="str">
        <f>IFERROR(GETPIVOTDATA("Sum of 2018-19",AttacksAreaPivot!$B$4,"LA",B32), "-")</f>
        <v>-</v>
      </c>
      <c r="F32" s="602" t="str">
        <f>IFERROR(GETPIVOTDATA("Sum of 2019-20",AttacksAreaPivot!$B$4,"LA",B32), "-")</f>
        <v>-</v>
      </c>
      <c r="G32" s="602" t="str">
        <f>IFERROR(GETPIVOTDATA("Sum of 2020-21",AttacksAreaPivot!$B$4,"LA",B32), "-")</f>
        <v>-</v>
      </c>
      <c r="H32" s="602" t="str">
        <f>IFERROR(GETPIVOTDATA("Sum of 2021-22",AttacksAreaPivot!$B$4,"LA",B32), "-")</f>
        <v>-</v>
      </c>
      <c r="I32" s="602" t="str">
        <f>IFERROR(GETPIVOTDATA("Sum of 2022-23",AttacksAreaPivot!$B$4,"LA",B32), "-")</f>
        <v>-</v>
      </c>
      <c r="J32" s="602" t="str">
        <f>IFERROR(GETPIVOTDATA("Sum of 2023-24",AttacksAreaPivot!$B$4,"LA",B32), "-")</f>
        <v>-</v>
      </c>
      <c r="K32" s="602" t="str">
        <f>IFERROR(GETPIVOTDATA("Sum of 2024-25",AttacksAreaPivot!$B$4,"LA",B32), "-")</f>
        <v>-</v>
      </c>
      <c r="L32" s="602"/>
    </row>
    <row r="33" spans="1:12" x14ac:dyDescent="0.35">
      <c r="A33" s="721" t="s">
        <v>294</v>
      </c>
      <c r="B33" s="835" t="s">
        <v>295</v>
      </c>
      <c r="C33" s="602">
        <f>GETPIVOTDATA("Sum of 2016-17",AttacksAreaPivot!$B$4,"LA",B33)</f>
        <v>0</v>
      </c>
      <c r="D33" s="602">
        <f>GETPIVOTDATA("Sum of 2017-18",AttacksAreaPivot!$B$4,"LA",B33)</f>
        <v>0</v>
      </c>
      <c r="E33" s="602">
        <f>GETPIVOTDATA("Sum of 2018-19",AttacksAreaPivot!$B$4,"LA",B33)</f>
        <v>0</v>
      </c>
      <c r="F33" s="602">
        <f>GETPIVOTDATA("Sum of 2019-20",AttacksAreaPivot!$B$4,"LA",B33)</f>
        <v>0</v>
      </c>
      <c r="G33" s="602">
        <f>GETPIVOTDATA("Sum of 2020-21",AttacksAreaPivot!$B$4,"LA",B33)</f>
        <v>0</v>
      </c>
      <c r="H33" s="602">
        <f>GETPIVOTDATA("Sum of 2021-22",AttacksAreaPivot!$B$4,"LA",B33)</f>
        <v>0</v>
      </c>
      <c r="I33" s="602">
        <f>GETPIVOTDATA("Sum of 2022-23",AttacksAreaPivot!$B$4,"LA",B33)</f>
        <v>0</v>
      </c>
      <c r="J33" s="602">
        <f>GETPIVOTDATA("Sum of 2023-24",AttacksAreaPivot!$B$4,"LA",B33)</f>
        <v>1</v>
      </c>
      <c r="K33" s="602">
        <f>GETPIVOTDATA("Sum of 2024-25",AttacksAreaPivot!$B$4,"LA",B33)</f>
        <v>0</v>
      </c>
      <c r="L33" s="602"/>
    </row>
    <row r="34" spans="1:12" x14ac:dyDescent="0.35">
      <c r="A34" s="721" t="s">
        <v>296</v>
      </c>
      <c r="B34" s="835" t="s">
        <v>297</v>
      </c>
      <c r="C34" s="602">
        <f>GETPIVOTDATA("Sum of 2016-17",AttacksAreaPivot!$B$4,"LA",B34)</f>
        <v>2</v>
      </c>
      <c r="D34" s="602">
        <f>GETPIVOTDATA("Sum of 2017-18",AttacksAreaPivot!$B$4,"LA",B34)</f>
        <v>1</v>
      </c>
      <c r="E34" s="602">
        <f>GETPIVOTDATA("Sum of 2018-19",AttacksAreaPivot!$B$4,"LA",B34)</f>
        <v>1</v>
      </c>
      <c r="F34" s="602">
        <f>GETPIVOTDATA("Sum of 2019-20",AttacksAreaPivot!$B$4,"LA",B34)</f>
        <v>2</v>
      </c>
      <c r="G34" s="602">
        <f>GETPIVOTDATA("Sum of 2020-21",AttacksAreaPivot!$B$4,"LA",B34)</f>
        <v>3</v>
      </c>
      <c r="H34" s="602">
        <f>GETPIVOTDATA("Sum of 2021-22",AttacksAreaPivot!$B$4,"LA",B34)</f>
        <v>1</v>
      </c>
      <c r="I34" s="602">
        <f>GETPIVOTDATA("Sum of 2022-23",AttacksAreaPivot!$B$4,"LA",B34)</f>
        <v>2</v>
      </c>
      <c r="J34" s="602">
        <f>GETPIVOTDATA("Sum of 2023-24",AttacksAreaPivot!$B$4,"LA",B34)</f>
        <v>3</v>
      </c>
      <c r="K34" s="602">
        <f>GETPIVOTDATA("Sum of 2024-25",AttacksAreaPivot!$B$4,"LA",B34)</f>
        <v>0</v>
      </c>
      <c r="L34" s="602"/>
    </row>
    <row r="35" spans="1:12" x14ac:dyDescent="0.35">
      <c r="A35" s="721" t="s">
        <v>298</v>
      </c>
      <c r="B35" s="835" t="s">
        <v>299</v>
      </c>
      <c r="C35" s="602">
        <f>GETPIVOTDATA("Sum of 2016-17",AttacksAreaPivot!$B$4,"LA",B35)</f>
        <v>2</v>
      </c>
      <c r="D35" s="602">
        <f>GETPIVOTDATA("Sum of 2017-18",AttacksAreaPivot!$B$4,"LA",B35)</f>
        <v>3</v>
      </c>
      <c r="E35" s="602">
        <f>GETPIVOTDATA("Sum of 2018-19",AttacksAreaPivot!$B$4,"LA",B35)</f>
        <v>3</v>
      </c>
      <c r="F35" s="602">
        <f>GETPIVOTDATA("Sum of 2019-20",AttacksAreaPivot!$B$4,"LA",B35)</f>
        <v>1</v>
      </c>
      <c r="G35" s="602">
        <f>GETPIVOTDATA("Sum of 2020-21",AttacksAreaPivot!$B$4,"LA",B35)</f>
        <v>2</v>
      </c>
      <c r="H35" s="602">
        <f>GETPIVOTDATA("Sum of 2021-22",AttacksAreaPivot!$B$4,"LA",B35)</f>
        <v>0</v>
      </c>
      <c r="I35" s="602">
        <f>GETPIVOTDATA("Sum of 2022-23",AttacksAreaPivot!$B$4,"LA",B35)</f>
        <v>0</v>
      </c>
      <c r="J35" s="602">
        <f>GETPIVOTDATA("Sum of 2023-24",AttacksAreaPivot!$B$4,"LA",B35)</f>
        <v>0</v>
      </c>
      <c r="K35" s="602">
        <f>GETPIVOTDATA("Sum of 2024-25",AttacksAreaPivot!$B$4,"LA",B35)</f>
        <v>3</v>
      </c>
      <c r="L35" s="602"/>
    </row>
    <row r="36" spans="1:12" x14ac:dyDescent="0.35">
      <c r="A36" s="721" t="s">
        <v>300</v>
      </c>
      <c r="B36" s="835" t="s">
        <v>301</v>
      </c>
      <c r="C36" s="602" t="str">
        <f>IFERROR(GETPIVOTDATA("Sum of 2016-17",AttacksAreaPivot!$B$4,"LA",B36), "-")</f>
        <v>-</v>
      </c>
      <c r="D36" s="602" t="str">
        <f>IFERROR(GETPIVOTDATA("Sum of 2017-18",AttacksAreaPivot!$B$4,"LA",B36), "-")</f>
        <v>-</v>
      </c>
      <c r="E36" s="602" t="str">
        <f>IFERROR(GETPIVOTDATA("Sum of 2018-19",AttacksAreaPivot!$B$4,"LA",B36), "-")</f>
        <v>-</v>
      </c>
      <c r="F36" s="602" t="str">
        <f>IFERROR(GETPIVOTDATA("Sum of 2019-20",AttacksAreaPivot!$B$4,"LA",B36), "-")</f>
        <v>-</v>
      </c>
      <c r="G36" s="602" t="str">
        <f>IFERROR(GETPIVOTDATA("Sum of 2020-21",AttacksAreaPivot!$B$4,"LA",B36), "-")</f>
        <v>-</v>
      </c>
      <c r="H36" s="602" t="str">
        <f>IFERROR(GETPIVOTDATA("Sum of 2021-22",AttacksAreaPivot!$B$4,"LA",B36), "-")</f>
        <v>-</v>
      </c>
      <c r="I36" s="602" t="str">
        <f>IFERROR(GETPIVOTDATA("Sum of 2022-23",AttacksAreaPivot!$B$4,"LA",B36), "-")</f>
        <v>-</v>
      </c>
      <c r="J36" s="602" t="str">
        <f>IFERROR(GETPIVOTDATA("Sum of 2023-24",AttacksAreaPivot!$B$4,"LA",B36), "-")</f>
        <v>-</v>
      </c>
      <c r="K36" s="602" t="str">
        <f>IFERROR(GETPIVOTDATA("Sum of 2024-25",AttacksAreaPivot!$B$4,"LA",B36), "-")</f>
        <v>-</v>
      </c>
      <c r="L36" s="602"/>
    </row>
    <row r="37" spans="1:12" x14ac:dyDescent="0.35">
      <c r="A37" s="721" t="s">
        <v>302</v>
      </c>
      <c r="B37" s="835" t="s">
        <v>303</v>
      </c>
      <c r="C37" s="602">
        <f>GETPIVOTDATA("Sum of 2016-17",AttacksAreaPivot!$B$4,"LA",B37)</f>
        <v>0</v>
      </c>
      <c r="D37" s="602">
        <f>GETPIVOTDATA("Sum of 2017-18",AttacksAreaPivot!$B$4,"LA",B37)</f>
        <v>1</v>
      </c>
      <c r="E37" s="602">
        <f>GETPIVOTDATA("Sum of 2018-19",AttacksAreaPivot!$B$4,"LA",B37)</f>
        <v>0</v>
      </c>
      <c r="F37" s="602">
        <f>GETPIVOTDATA("Sum of 2019-20",AttacksAreaPivot!$B$4,"LA",B37)</f>
        <v>0</v>
      </c>
      <c r="G37" s="602">
        <f>GETPIVOTDATA("Sum of 2020-21",AttacksAreaPivot!$B$4,"LA",B37)</f>
        <v>2</v>
      </c>
      <c r="H37" s="602">
        <f>GETPIVOTDATA("Sum of 2021-22",AttacksAreaPivot!$B$4,"LA",B37)</f>
        <v>1</v>
      </c>
      <c r="I37" s="602">
        <f>GETPIVOTDATA("Sum of 2022-23",AttacksAreaPivot!$B$4,"LA",B37)</f>
        <v>0</v>
      </c>
      <c r="J37" s="602">
        <f>GETPIVOTDATA("Sum of 2023-24",AttacksAreaPivot!$B$4,"LA",B37)</f>
        <v>1</v>
      </c>
      <c r="K37" s="602">
        <f>GETPIVOTDATA("Sum of 2024-25",AttacksAreaPivot!$B$4,"LA",B37)</f>
        <v>0</v>
      </c>
      <c r="L37" s="602"/>
    </row>
    <row r="38" spans="1:12" x14ac:dyDescent="0.35">
      <c r="A38" s="721" t="s">
        <v>304</v>
      </c>
      <c r="B38" s="835" t="s">
        <v>305</v>
      </c>
      <c r="C38" s="602">
        <f>GETPIVOTDATA("Sum of 2016-17",AttacksAreaPivot!$B$4,"LA",B38)</f>
        <v>2</v>
      </c>
      <c r="D38" s="602">
        <f>GETPIVOTDATA("Sum of 2017-18",AttacksAreaPivot!$B$4,"LA",B38)</f>
        <v>0</v>
      </c>
      <c r="E38" s="602">
        <f>GETPIVOTDATA("Sum of 2018-19",AttacksAreaPivot!$B$4,"LA",B38)</f>
        <v>1</v>
      </c>
      <c r="F38" s="602">
        <f>GETPIVOTDATA("Sum of 2019-20",AttacksAreaPivot!$B$4,"LA",B38)</f>
        <v>1</v>
      </c>
      <c r="G38" s="602">
        <f>GETPIVOTDATA("Sum of 2020-21",AttacksAreaPivot!$B$4,"LA",B38)</f>
        <v>5</v>
      </c>
      <c r="H38" s="602">
        <f>GETPIVOTDATA("Sum of 2021-22",AttacksAreaPivot!$B$4,"LA",B38)</f>
        <v>2</v>
      </c>
      <c r="I38" s="602">
        <f>GETPIVOTDATA("Sum of 2022-23",AttacksAreaPivot!$B$4,"LA",B38)</f>
        <v>2</v>
      </c>
      <c r="J38" s="602">
        <f>GETPIVOTDATA("Sum of 2023-24",AttacksAreaPivot!$B$4,"LA",B38)</f>
        <v>5</v>
      </c>
      <c r="K38" s="602">
        <f>GETPIVOTDATA("Sum of 2024-25",AttacksAreaPivot!$B$4,"LA",B38)</f>
        <v>6</v>
      </c>
      <c r="L38" s="602"/>
    </row>
    <row r="39" spans="1:12" x14ac:dyDescent="0.35">
      <c r="A39" s="721" t="s">
        <v>307</v>
      </c>
      <c r="B39" s="835" t="s">
        <v>308</v>
      </c>
      <c r="C39" s="602">
        <f>GETPIVOTDATA("Sum of 2016-17",AttacksAreaPivot!$B$4,"LA",B39)</f>
        <v>3</v>
      </c>
      <c r="D39" s="602">
        <f>GETPIVOTDATA("Sum of 2017-18",AttacksAreaPivot!$B$4,"LA",B39)</f>
        <v>0</v>
      </c>
      <c r="E39" s="602">
        <f>GETPIVOTDATA("Sum of 2018-19",AttacksAreaPivot!$B$4,"LA",B39)</f>
        <v>1</v>
      </c>
      <c r="F39" s="602">
        <f>GETPIVOTDATA("Sum of 2019-20",AttacksAreaPivot!$B$4,"LA",B39)</f>
        <v>0</v>
      </c>
      <c r="G39" s="602">
        <f>GETPIVOTDATA("Sum of 2020-21",AttacksAreaPivot!$B$4,"LA",B39)</f>
        <v>1</v>
      </c>
      <c r="H39" s="602">
        <f>GETPIVOTDATA("Sum of 2021-22",AttacksAreaPivot!$B$4,"LA",B39)</f>
        <v>0</v>
      </c>
      <c r="I39" s="602">
        <f>GETPIVOTDATA("Sum of 2022-23",AttacksAreaPivot!$B$4,"LA",B39)</f>
        <v>0</v>
      </c>
      <c r="J39" s="602">
        <f>GETPIVOTDATA("Sum of 2023-24",AttacksAreaPivot!$B$4,"LA",B39)</f>
        <v>0</v>
      </c>
      <c r="K39" s="602">
        <f>GETPIVOTDATA("Sum of 2024-25",AttacksAreaPivot!$B$4,"LA",B39)</f>
        <v>0</v>
      </c>
      <c r="L39" s="602"/>
    </row>
    <row r="40" spans="1:12" x14ac:dyDescent="0.35">
      <c r="A40" s="721" t="s">
        <v>309</v>
      </c>
      <c r="B40" s="835" t="s">
        <v>310</v>
      </c>
      <c r="C40" s="602">
        <f>GETPIVOTDATA("Sum of 2016-17",AttacksAreaPivot!$B$4,"LA",B40)</f>
        <v>1</v>
      </c>
      <c r="D40" s="602">
        <f>GETPIVOTDATA("Sum of 2017-18",AttacksAreaPivot!$B$4,"LA",B40)</f>
        <v>0</v>
      </c>
      <c r="E40" s="602">
        <f>GETPIVOTDATA("Sum of 2018-19",AttacksAreaPivot!$B$4,"LA",B40)</f>
        <v>2</v>
      </c>
      <c r="F40" s="602">
        <f>GETPIVOTDATA("Sum of 2019-20",AttacksAreaPivot!$B$4,"LA",B40)</f>
        <v>0</v>
      </c>
      <c r="G40" s="602">
        <f>GETPIVOTDATA("Sum of 2020-21",AttacksAreaPivot!$B$4,"LA",B40)</f>
        <v>0</v>
      </c>
      <c r="H40" s="602">
        <f>GETPIVOTDATA("Sum of 2021-22",AttacksAreaPivot!$B$4,"LA",B40)</f>
        <v>0</v>
      </c>
      <c r="I40" s="602">
        <f>GETPIVOTDATA("Sum of 2022-23",AttacksAreaPivot!$B$4,"LA",B40)</f>
        <v>1</v>
      </c>
      <c r="J40" s="602">
        <f>GETPIVOTDATA("Sum of 2023-24",AttacksAreaPivot!$B$4,"LA",B40)</f>
        <v>0</v>
      </c>
      <c r="K40" s="602">
        <f>GETPIVOTDATA("Sum of 2024-25",AttacksAreaPivot!$B$4,"LA",B40)</f>
        <v>4</v>
      </c>
      <c r="L40" s="602"/>
    </row>
    <row r="41" spans="1:12" x14ac:dyDescent="0.35">
      <c r="A41" s="601" t="s">
        <v>311</v>
      </c>
      <c r="B41" s="836" t="s">
        <v>312</v>
      </c>
      <c r="C41" s="602">
        <f>GETPIVOTDATA("Sum of 2016-17",AttacksAreaPivot!$B$4,"LA",B41)</f>
        <v>3</v>
      </c>
      <c r="D41" s="602">
        <f>GETPIVOTDATA("Sum of 2017-18",AttacksAreaPivot!$B$4,"LA",B41)</f>
        <v>4</v>
      </c>
      <c r="E41" s="602">
        <f>GETPIVOTDATA("Sum of 2018-19",AttacksAreaPivot!$B$4,"LA",B41)</f>
        <v>5</v>
      </c>
      <c r="F41" s="602">
        <f>GETPIVOTDATA("Sum of 2019-20",AttacksAreaPivot!$B$4,"LA",B41)</f>
        <v>2</v>
      </c>
      <c r="G41" s="602">
        <f>GETPIVOTDATA("Sum of 2020-21",AttacksAreaPivot!$B$4,"LA",B41)</f>
        <v>2</v>
      </c>
      <c r="H41" s="602">
        <f>GETPIVOTDATA("Sum of 2021-22",AttacksAreaPivot!$B$4,"LA",B41)</f>
        <v>2</v>
      </c>
      <c r="I41" s="602">
        <f>GETPIVOTDATA("Sum of 2022-23",AttacksAreaPivot!$B$4,"LA",B41)</f>
        <v>7</v>
      </c>
      <c r="J41" s="602">
        <f>GETPIVOTDATA("Sum of 2023-24",AttacksAreaPivot!$B$4,"LA",B41)</f>
        <v>4</v>
      </c>
      <c r="K41" s="602">
        <f>GETPIVOTDATA("Sum of 2024-25",AttacksAreaPivot!$B$4,"LA",B41)</f>
        <v>6</v>
      </c>
      <c r="L41" s="602"/>
    </row>
    <row r="42" spans="1:12" ht="15" thickBot="1" x14ac:dyDescent="0.4">
      <c r="A42" s="539"/>
      <c r="B42" s="722" t="s">
        <v>348</v>
      </c>
      <c r="C42" s="684">
        <f t="shared" ref="C42:K42" si="0">SUM(C10:C41)</f>
        <v>77</v>
      </c>
      <c r="D42" s="684">
        <f t="shared" si="0"/>
        <v>53</v>
      </c>
      <c r="E42" s="684">
        <f t="shared" si="0"/>
        <v>72</v>
      </c>
      <c r="F42" s="684">
        <f t="shared" si="0"/>
        <v>53</v>
      </c>
      <c r="G42" s="684">
        <f t="shared" si="0"/>
        <v>63</v>
      </c>
      <c r="H42" s="684">
        <f t="shared" si="0"/>
        <v>66</v>
      </c>
      <c r="I42" s="684">
        <f t="shared" si="0"/>
        <v>70</v>
      </c>
      <c r="J42" s="684">
        <f t="shared" si="0"/>
        <v>51</v>
      </c>
      <c r="K42" s="684">
        <f t="shared" si="0"/>
        <v>51</v>
      </c>
      <c r="L42" s="602"/>
    </row>
    <row r="43" spans="1:12" x14ac:dyDescent="0.35">
      <c r="B43" s="215"/>
      <c r="C43" s="274"/>
      <c r="D43" s="29"/>
      <c r="E43" s="275"/>
    </row>
    <row r="44" spans="1:12" x14ac:dyDescent="0.35">
      <c r="A44" s="358" t="s">
        <v>329</v>
      </c>
      <c r="C44" s="361"/>
      <c r="D44" s="257"/>
      <c r="E44" s="362"/>
    </row>
    <row r="45" spans="1:12" ht="46" customHeight="1" x14ac:dyDescent="0.35">
      <c r="A45" s="1028" t="s">
        <v>896</v>
      </c>
      <c r="B45" s="1028"/>
      <c r="C45" s="1028"/>
      <c r="D45" s="1028"/>
      <c r="E45" s="1028"/>
      <c r="F45" s="1028"/>
      <c r="G45" s="422"/>
      <c r="H45" s="422"/>
      <c r="I45" s="422"/>
    </row>
  </sheetData>
  <sheetProtection algorithmName="SHA-512" hashValue="Nx0Bra3ekQuV9Nnh55LWCETjNewMjbiTGqU4zxlxTFyxV1GfLbLXqO6q2h3s2bpwRnnyM6zZk+e+xi7qN1UFiQ==" saltValue="6XX064sWP9qS9OtCO9CYBA==" spinCount="100000" sheet="1" scenarios="1" formatCells="0" sort="0" autoFilter="0" pivotTables="0"/>
  <mergeCells count="3">
    <mergeCell ref="A1:B1"/>
    <mergeCell ref="A4:K4"/>
    <mergeCell ref="A45:F45"/>
  </mergeCells>
  <phoneticPr fontId="53" type="noConversion"/>
  <hyperlinks>
    <hyperlink ref="A2" location="'Table of Contents'!A1" display="Back to Table of Contents" xr:uid="{00000000-0004-0000-7B00-000000000000}"/>
  </hyperlinks>
  <pageMargins left="0.70866141732283472" right="0.70866141732283472" top="0.74803149606299213" bottom="0.74803149606299213" header="0.31496062992125984" footer="0.31496062992125984"/>
  <pageSetup paperSize="9" scale="98"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75" customHeight="1" x14ac:dyDescent="0.35">
      <c r="A1" s="514" t="s">
        <v>888</v>
      </c>
      <c r="B1" s="514"/>
      <c r="C1" s="514"/>
    </row>
    <row r="2" spans="1:8" ht="15.5" x14ac:dyDescent="0.35">
      <c r="A2" s="499" t="s">
        <v>201</v>
      </c>
      <c r="B2" s="441"/>
      <c r="C2" s="441"/>
    </row>
    <row r="4" spans="1:8" ht="15.5" x14ac:dyDescent="0.35">
      <c r="A4" s="1012" t="s">
        <v>911</v>
      </c>
      <c r="B4" s="1012"/>
      <c r="C4" s="1012"/>
      <c r="D4" s="1012"/>
      <c r="E4" s="1012"/>
      <c r="F4" s="1012"/>
      <c r="G4" s="1012"/>
      <c r="H4" s="1012"/>
    </row>
    <row r="5" spans="1:8" x14ac:dyDescent="0.35">
      <c r="A5" s="561" t="s">
        <v>451</v>
      </c>
    </row>
    <row r="6" spans="1:8" x14ac:dyDescent="0.35">
      <c r="A6" s="561" t="s">
        <v>125</v>
      </c>
    </row>
  </sheetData>
  <sheetProtection algorithmName="SHA-512" hashValue="hWAZzkpCupCWMhDLJOwES3IH8s9bCQ2dolC9kk6GZD40woHTrnmDze5Bcbp54X73b4qPBJCE8+0b9w6MknValA==" saltValue="qlBgJaRcuNG+nn0ajVX4ag==" spinCount="100000" sheet="1" scenarios="1" formatCells="0" sort="0" autoFilter="0" pivotTables="0"/>
  <mergeCells count="1">
    <mergeCell ref="A4:H4"/>
  </mergeCells>
  <hyperlinks>
    <hyperlink ref="A2" location="'Table of Contents'!A1" display="Back to Table of Contents" xr:uid="{00000000-0004-0000-7D00-000000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75" customHeight="1" x14ac:dyDescent="0.35">
      <c r="A1" s="514" t="s">
        <v>888</v>
      </c>
      <c r="B1" s="514"/>
      <c r="C1" s="514"/>
    </row>
    <row r="2" spans="1:8" ht="15.5" x14ac:dyDescent="0.35">
      <c r="A2" s="499" t="s">
        <v>201</v>
      </c>
      <c r="B2" s="441"/>
      <c r="C2" s="441"/>
    </row>
    <row r="4" spans="1:8" ht="15.5" x14ac:dyDescent="0.35">
      <c r="A4" s="515" t="s">
        <v>912</v>
      </c>
      <c r="B4" s="515"/>
      <c r="C4" s="515"/>
      <c r="D4" s="515"/>
      <c r="E4" s="515"/>
      <c r="F4" s="515"/>
      <c r="G4" s="515"/>
      <c r="H4" s="515"/>
    </row>
    <row r="5" spans="1:8" x14ac:dyDescent="0.35">
      <c r="A5" s="561" t="s">
        <v>451</v>
      </c>
    </row>
    <row r="6" spans="1:8" x14ac:dyDescent="0.35">
      <c r="A6" s="561" t="s">
        <v>127</v>
      </c>
    </row>
  </sheetData>
  <sheetProtection algorithmName="SHA-512" hashValue="zEsJADr21uxit1gW255dslrl9BHh/fOFvUpKQ0vD/IVAG7dHn3Fad2OiCSq/E4u+Oiwaio+wugYFk4hlheBY8Q==" saltValue="q2xxJjh1jmkceGKEa9O2GQ==" spinCount="100000" sheet="1" scenarios="1" formatCells="0" sort="0" autoFilter="0" pivotTables="0"/>
  <hyperlinks>
    <hyperlink ref="A2" location="'Table of Contents'!A1" display="Back to Table of Contents" xr:uid="{00000000-0004-0000-7E00-000000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5" tint="0.39997558519241921"/>
  </sheetPr>
  <dimension ref="A1:E6"/>
  <sheetViews>
    <sheetView showGridLines="0" workbookViewId="0">
      <pane ySplit="2" topLeftCell="A3" activePane="bottomLeft" state="frozen"/>
      <selection pane="bottomLeft"/>
    </sheetView>
  </sheetViews>
  <sheetFormatPr defaultRowHeight="14.5" x14ac:dyDescent="0.35"/>
  <sheetData>
    <row r="1" spans="1:5" ht="15.5" x14ac:dyDescent="0.35">
      <c r="A1" s="514" t="s">
        <v>888</v>
      </c>
      <c r="B1" s="514"/>
      <c r="C1" s="514"/>
    </row>
    <row r="2" spans="1:5" ht="15.5" x14ac:dyDescent="0.35">
      <c r="A2" s="499" t="s">
        <v>201</v>
      </c>
      <c r="B2" s="441"/>
      <c r="C2" s="441"/>
    </row>
    <row r="4" spans="1:5" ht="15.5" x14ac:dyDescent="0.35">
      <c r="A4" s="515" t="s">
        <v>911</v>
      </c>
      <c r="B4" s="515"/>
      <c r="C4" s="515"/>
      <c r="D4" s="515"/>
      <c r="E4" s="515"/>
    </row>
    <row r="5" spans="1:5" x14ac:dyDescent="0.35">
      <c r="A5" s="561" t="s">
        <v>451</v>
      </c>
    </row>
    <row r="6" spans="1:5" x14ac:dyDescent="0.35">
      <c r="A6" s="561" t="s">
        <v>129</v>
      </c>
    </row>
  </sheetData>
  <sheetProtection algorithmName="SHA-512" hashValue="mRhfk2WtDvAYS4xHvxcftXJLmc6XCGdrR1aK4SzDn/e3MzL1xq3BGXRtIEL/VjDf2QnOLndkOYASIYiXNQegnA==" saltValue="oQt5raYhTqMxhrhacJaXUQ==" spinCount="100000" sheet="1" scenarios="1" formatCells="0" sort="0" autoFilter="0" pivotTables="0"/>
  <hyperlinks>
    <hyperlink ref="A2" location="'Table of Contents'!A1" display="Back to Table of Contents" xr:uid="{00000000-0004-0000-7F00-000000000000}"/>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B5EB-1E24-4302-9472-41B27FDFCF6C}">
  <dimension ref="B3:H19"/>
  <sheetViews>
    <sheetView topLeftCell="B1" workbookViewId="0">
      <selection activeCell="D10" sqref="D10"/>
    </sheetView>
  </sheetViews>
  <sheetFormatPr defaultRowHeight="14.5" x14ac:dyDescent="0.35"/>
  <cols>
    <col min="2" max="2" width="12.6328125" bestFit="1" customWidth="1"/>
    <col min="3" max="3" width="11.1796875" bestFit="1" customWidth="1"/>
    <col min="4" max="4" width="18.6328125" bestFit="1" customWidth="1"/>
    <col min="5" max="5" width="18.54296875" bestFit="1" customWidth="1"/>
    <col min="6" max="6" width="17" bestFit="1" customWidth="1"/>
    <col min="7" max="7" width="22.6328125" bestFit="1" customWidth="1"/>
    <col min="8" max="8" width="26.26953125" bestFit="1" customWidth="1"/>
  </cols>
  <sheetData>
    <row r="3" spans="2:8" x14ac:dyDescent="0.35">
      <c r="B3" s="387" t="s">
        <v>350</v>
      </c>
      <c r="C3" t="s">
        <v>913</v>
      </c>
      <c r="D3" t="s">
        <v>914</v>
      </c>
      <c r="E3" t="s">
        <v>915</v>
      </c>
      <c r="F3" t="s">
        <v>916</v>
      </c>
      <c r="G3" t="s">
        <v>917</v>
      </c>
      <c r="H3" t="s">
        <v>918</v>
      </c>
    </row>
    <row r="4" spans="2:8" x14ac:dyDescent="0.35">
      <c r="B4" s="388" t="s">
        <v>508</v>
      </c>
      <c r="F4">
        <v>52730</v>
      </c>
      <c r="G4">
        <v>18732</v>
      </c>
      <c r="H4">
        <v>33998</v>
      </c>
    </row>
    <row r="5" spans="2:8" x14ac:dyDescent="0.35">
      <c r="B5" s="388" t="s">
        <v>362</v>
      </c>
      <c r="E5">
        <v>46395</v>
      </c>
      <c r="F5">
        <v>56545</v>
      </c>
      <c r="G5">
        <v>27699</v>
      </c>
      <c r="H5">
        <v>28846</v>
      </c>
    </row>
    <row r="6" spans="2:8" x14ac:dyDescent="0.35">
      <c r="B6" s="388" t="s">
        <v>363</v>
      </c>
      <c r="E6">
        <v>44122</v>
      </c>
      <c r="F6">
        <v>56251</v>
      </c>
      <c r="G6">
        <v>30238</v>
      </c>
      <c r="H6">
        <v>26013</v>
      </c>
    </row>
    <row r="7" spans="2:8" x14ac:dyDescent="0.35">
      <c r="B7" s="388" t="s">
        <v>364</v>
      </c>
      <c r="C7">
        <v>30359</v>
      </c>
      <c r="D7">
        <v>15805</v>
      </c>
      <c r="E7">
        <v>46164</v>
      </c>
      <c r="F7">
        <v>71048</v>
      </c>
      <c r="G7">
        <v>41472</v>
      </c>
      <c r="H7">
        <v>29576</v>
      </c>
    </row>
    <row r="8" spans="2:8" x14ac:dyDescent="0.35">
      <c r="B8" s="388" t="s">
        <v>365</v>
      </c>
      <c r="C8">
        <v>28032</v>
      </c>
      <c r="D8">
        <v>13800</v>
      </c>
      <c r="E8">
        <v>41832</v>
      </c>
      <c r="F8">
        <v>65715</v>
      </c>
      <c r="G8">
        <v>38729</v>
      </c>
      <c r="H8">
        <v>26986</v>
      </c>
    </row>
    <row r="9" spans="2:8" x14ac:dyDescent="0.35">
      <c r="B9" s="388" t="s">
        <v>366</v>
      </c>
      <c r="C9">
        <v>28897</v>
      </c>
      <c r="D9">
        <v>14813</v>
      </c>
      <c r="E9">
        <v>43710</v>
      </c>
      <c r="F9">
        <v>71717</v>
      </c>
      <c r="G9">
        <v>43379</v>
      </c>
      <c r="H9">
        <v>28338</v>
      </c>
    </row>
    <row r="10" spans="2:8" x14ac:dyDescent="0.35">
      <c r="B10" s="388" t="s">
        <v>341</v>
      </c>
      <c r="C10">
        <v>27955</v>
      </c>
      <c r="D10">
        <v>16366</v>
      </c>
      <c r="E10">
        <v>44321</v>
      </c>
      <c r="F10">
        <v>70801</v>
      </c>
      <c r="G10">
        <v>41785</v>
      </c>
      <c r="H10">
        <v>29016</v>
      </c>
    </row>
    <row r="11" spans="2:8" x14ac:dyDescent="0.35">
      <c r="B11" s="388" t="s">
        <v>342</v>
      </c>
      <c r="C11">
        <v>28114</v>
      </c>
      <c r="D11">
        <v>14271</v>
      </c>
      <c r="E11">
        <v>42385</v>
      </c>
      <c r="F11">
        <v>69831</v>
      </c>
      <c r="G11">
        <v>42077</v>
      </c>
      <c r="H11">
        <v>27754</v>
      </c>
    </row>
    <row r="12" spans="2:8" x14ac:dyDescent="0.35">
      <c r="B12" s="388" t="s">
        <v>214</v>
      </c>
      <c r="C12">
        <v>25645</v>
      </c>
      <c r="D12">
        <v>11904</v>
      </c>
      <c r="E12">
        <v>37549</v>
      </c>
      <c r="F12">
        <v>69202</v>
      </c>
      <c r="G12">
        <v>44740</v>
      </c>
      <c r="H12">
        <v>24462</v>
      </c>
    </row>
    <row r="13" spans="2:8" x14ac:dyDescent="0.35">
      <c r="B13" s="388" t="s">
        <v>313</v>
      </c>
      <c r="C13">
        <v>24016</v>
      </c>
      <c r="D13">
        <v>10594</v>
      </c>
      <c r="E13">
        <v>34610</v>
      </c>
      <c r="F13">
        <v>69237</v>
      </c>
      <c r="G13">
        <v>46945</v>
      </c>
      <c r="H13">
        <v>22292</v>
      </c>
    </row>
    <row r="14" spans="2:8" x14ac:dyDescent="0.35">
      <c r="B14" s="388" t="s">
        <v>319</v>
      </c>
      <c r="C14">
        <v>8696</v>
      </c>
      <c r="D14">
        <v>3839</v>
      </c>
      <c r="E14">
        <v>12535</v>
      </c>
      <c r="F14">
        <v>19998</v>
      </c>
      <c r="G14">
        <v>12319</v>
      </c>
      <c r="H14">
        <v>7679</v>
      </c>
    </row>
    <row r="15" spans="2:8" x14ac:dyDescent="0.35">
      <c r="B15" s="388" t="s">
        <v>326</v>
      </c>
      <c r="E15">
        <v>15690</v>
      </c>
      <c r="F15">
        <v>38699</v>
      </c>
      <c r="G15">
        <v>31935</v>
      </c>
      <c r="H15">
        <v>6764</v>
      </c>
    </row>
    <row r="16" spans="2:8" x14ac:dyDescent="0.35">
      <c r="B16" s="388" t="s">
        <v>327</v>
      </c>
      <c r="C16">
        <v>11486</v>
      </c>
      <c r="D16">
        <v>4308</v>
      </c>
      <c r="E16">
        <v>15794</v>
      </c>
      <c r="F16">
        <v>36742</v>
      </c>
      <c r="G16">
        <v>30802</v>
      </c>
      <c r="H16">
        <v>5940</v>
      </c>
    </row>
    <row r="17" spans="2:8" x14ac:dyDescent="0.35">
      <c r="B17" s="388" t="s">
        <v>321</v>
      </c>
      <c r="E17">
        <v>45586</v>
      </c>
      <c r="F17">
        <v>44196</v>
      </c>
      <c r="G17">
        <v>27692</v>
      </c>
      <c r="H17">
        <v>16504</v>
      </c>
    </row>
    <row r="18" spans="2:8" x14ac:dyDescent="0.35">
      <c r="B18" s="388" t="s">
        <v>466</v>
      </c>
      <c r="C18">
        <v>7881</v>
      </c>
      <c r="D18">
        <v>2913</v>
      </c>
      <c r="E18">
        <v>11728</v>
      </c>
      <c r="F18">
        <v>34089</v>
      </c>
      <c r="G18">
        <v>29848</v>
      </c>
      <c r="H18">
        <v>4241</v>
      </c>
    </row>
    <row r="19" spans="2:8" x14ac:dyDescent="0.35">
      <c r="B19" s="388" t="s">
        <v>357</v>
      </c>
      <c r="C19">
        <v>221081</v>
      </c>
      <c r="D19">
        <v>108613</v>
      </c>
      <c r="E19">
        <v>482421</v>
      </c>
      <c r="F19">
        <v>826801</v>
      </c>
      <c r="G19">
        <v>508392</v>
      </c>
      <c r="H19">
        <v>318409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H24"/>
  <sheetViews>
    <sheetView showGridLines="0" workbookViewId="0">
      <pane ySplit="2" topLeftCell="A3" activePane="bottomLeft" state="frozen"/>
      <selection pane="bottomLeft" sqref="A1:C1"/>
    </sheetView>
  </sheetViews>
  <sheetFormatPr defaultRowHeight="14.5" x14ac:dyDescent="0.35"/>
  <cols>
    <col min="1" max="1" width="17.1796875" customWidth="1"/>
    <col min="2" max="2" width="14.453125" style="580" customWidth="1"/>
    <col min="3" max="3" width="11.453125" style="580" customWidth="1"/>
    <col min="4" max="4" width="14.453125" style="580" customWidth="1"/>
    <col min="5" max="5" width="14.1796875" style="580" customWidth="1"/>
    <col min="6" max="6" width="14.453125" style="580" customWidth="1"/>
  </cols>
  <sheetData>
    <row r="1" spans="1:6" ht="15.5" x14ac:dyDescent="0.35">
      <c r="A1" s="1011" t="s">
        <v>333</v>
      </c>
      <c r="B1" s="1011"/>
      <c r="C1" s="1011"/>
    </row>
    <row r="2" spans="1:6" ht="15.5" x14ac:dyDescent="0.35">
      <c r="A2" s="499" t="s">
        <v>201</v>
      </c>
      <c r="B2" s="581"/>
      <c r="C2" s="581"/>
    </row>
    <row r="4" spans="1:6" ht="15.5" x14ac:dyDescent="0.35">
      <c r="A4" s="1012" t="s">
        <v>370</v>
      </c>
      <c r="B4" s="1012"/>
      <c r="C4" s="1012"/>
      <c r="D4" s="1012"/>
      <c r="E4" s="1012"/>
      <c r="F4" s="1012"/>
    </row>
    <row r="5" spans="1:6" x14ac:dyDescent="0.35">
      <c r="A5" t="s">
        <v>202</v>
      </c>
      <c r="B5" t="s">
        <v>38</v>
      </c>
    </row>
    <row r="6" spans="1:6" x14ac:dyDescent="0.35">
      <c r="A6" t="s">
        <v>203</v>
      </c>
      <c r="B6" s="388" t="s">
        <v>204</v>
      </c>
    </row>
    <row r="7" spans="1:6" x14ac:dyDescent="0.35">
      <c r="A7" t="s">
        <v>205</v>
      </c>
      <c r="B7" s="388" t="s">
        <v>206</v>
      </c>
    </row>
    <row r="8" spans="1:6" ht="15.5" x14ac:dyDescent="0.35">
      <c r="A8" s="572"/>
    </row>
    <row r="9" spans="1:6" x14ac:dyDescent="0.35">
      <c r="A9" s="586" t="s">
        <v>207</v>
      </c>
      <c r="B9" s="587" t="s">
        <v>335</v>
      </c>
      <c r="C9" s="588" t="s">
        <v>371</v>
      </c>
      <c r="D9" s="588" t="s">
        <v>338</v>
      </c>
      <c r="E9" s="589" t="s">
        <v>339</v>
      </c>
      <c r="F9" s="589" t="s">
        <v>340</v>
      </c>
    </row>
    <row r="10" spans="1:6" x14ac:dyDescent="0.35">
      <c r="A10" s="583" t="s">
        <v>341</v>
      </c>
      <c r="B10" s="584">
        <v>116</v>
      </c>
      <c r="C10" s="584">
        <v>1</v>
      </c>
      <c r="D10" s="584">
        <v>311</v>
      </c>
      <c r="E10" s="584">
        <v>43</v>
      </c>
      <c r="F10" s="585">
        <f>SUM(B10:E10)</f>
        <v>471</v>
      </c>
    </row>
    <row r="11" spans="1:6" x14ac:dyDescent="0.35">
      <c r="A11" s="583" t="s">
        <v>342</v>
      </c>
      <c r="B11" s="584">
        <v>116</v>
      </c>
      <c r="C11" s="584">
        <v>1</v>
      </c>
      <c r="D11" s="584">
        <v>311</v>
      </c>
      <c r="E11" s="584">
        <v>43</v>
      </c>
      <c r="F11" s="585">
        <f t="shared" ref="F11:F14" si="0">SUM(B11:E11)</f>
        <v>471</v>
      </c>
    </row>
    <row r="12" spans="1:6" x14ac:dyDescent="0.35">
      <c r="A12" s="583" t="s">
        <v>214</v>
      </c>
      <c r="B12" s="584">
        <v>116</v>
      </c>
      <c r="C12" s="584">
        <v>1</v>
      </c>
      <c r="D12" s="584">
        <v>311</v>
      </c>
      <c r="E12" s="584">
        <v>43</v>
      </c>
      <c r="F12" s="585">
        <f t="shared" si="0"/>
        <v>471</v>
      </c>
    </row>
    <row r="13" spans="1:6" x14ac:dyDescent="0.35">
      <c r="A13" s="583" t="s">
        <v>313</v>
      </c>
      <c r="B13" s="584">
        <v>116</v>
      </c>
      <c r="C13" s="584">
        <v>1</v>
      </c>
      <c r="D13" s="584">
        <v>311</v>
      </c>
      <c r="E13" s="584">
        <v>43</v>
      </c>
      <c r="F13" s="585">
        <f t="shared" ref="F13" si="1">SUM(B13:E13)</f>
        <v>471</v>
      </c>
    </row>
    <row r="14" spans="1:6" x14ac:dyDescent="0.35">
      <c r="A14" s="176" t="s">
        <v>319</v>
      </c>
      <c r="B14" s="142">
        <v>116</v>
      </c>
      <c r="C14" s="142">
        <v>1</v>
      </c>
      <c r="D14" s="142">
        <v>311</v>
      </c>
      <c r="E14" s="142">
        <v>43</v>
      </c>
      <c r="F14" s="107">
        <f t="shared" si="0"/>
        <v>471</v>
      </c>
    </row>
    <row r="15" spans="1:6" x14ac:dyDescent="0.35">
      <c r="A15" s="176" t="s">
        <v>321</v>
      </c>
      <c r="B15" s="142">
        <v>116</v>
      </c>
      <c r="C15" s="142">
        <v>1</v>
      </c>
      <c r="D15" s="142">
        <v>311</v>
      </c>
      <c r="E15" s="142">
        <v>43</v>
      </c>
      <c r="F15" s="107">
        <f t="shared" ref="F15" si="2">SUM(B15:E15)</f>
        <v>471</v>
      </c>
    </row>
    <row r="16" spans="1:6" x14ac:dyDescent="0.35">
      <c r="A16" s="176" t="s">
        <v>326</v>
      </c>
      <c r="B16" s="142">
        <v>116</v>
      </c>
      <c r="C16" s="142">
        <v>1</v>
      </c>
      <c r="D16" s="142">
        <v>311</v>
      </c>
      <c r="E16" s="142">
        <v>43</v>
      </c>
      <c r="F16" s="107">
        <f t="shared" ref="F16" si="3">SUM(B16:E16)</f>
        <v>471</v>
      </c>
    </row>
    <row r="17" spans="1:8" x14ac:dyDescent="0.35">
      <c r="A17" s="176" t="s">
        <v>327</v>
      </c>
      <c r="B17" s="142">
        <v>116</v>
      </c>
      <c r="C17" s="142">
        <v>1</v>
      </c>
      <c r="D17" s="142">
        <v>311</v>
      </c>
      <c r="E17" s="142">
        <v>42</v>
      </c>
      <c r="F17" s="107">
        <f t="shared" ref="F17" si="4">SUM(B17:E17)</f>
        <v>470</v>
      </c>
    </row>
    <row r="18" spans="1:8" ht="15" thickBot="1" x14ac:dyDescent="0.4">
      <c r="A18" s="184" t="s">
        <v>466</v>
      </c>
      <c r="B18" s="190">
        <v>116</v>
      </c>
      <c r="C18" s="190">
        <v>1</v>
      </c>
      <c r="D18" s="190">
        <v>311</v>
      </c>
      <c r="E18" s="190">
        <v>42</v>
      </c>
      <c r="F18" s="579">
        <f t="shared" ref="F18" si="5">SUM(B18:E18)</f>
        <v>470</v>
      </c>
    </row>
    <row r="19" spans="1:8" x14ac:dyDescent="0.35">
      <c r="A19" s="176"/>
      <c r="B19" s="142"/>
      <c r="C19" s="142"/>
      <c r="D19" s="142"/>
      <c r="E19" s="142"/>
      <c r="F19" s="107"/>
    </row>
    <row r="20" spans="1:8" x14ac:dyDescent="0.35">
      <c r="A20" s="334" t="s">
        <v>329</v>
      </c>
      <c r="B20" s="582"/>
      <c r="C20" s="582"/>
      <c r="D20" s="582"/>
      <c r="E20" s="582"/>
      <c r="F20" s="582"/>
      <c r="G20" s="312"/>
      <c r="H20" s="312"/>
    </row>
    <row r="21" spans="1:8" ht="15" customHeight="1" x14ac:dyDescent="0.35">
      <c r="A21" t="s">
        <v>372</v>
      </c>
      <c r="B21" s="582"/>
      <c r="C21" s="582"/>
      <c r="D21" s="582"/>
      <c r="E21" s="582"/>
      <c r="F21" s="582"/>
      <c r="G21" s="312"/>
      <c r="H21" s="312"/>
    </row>
    <row r="22" spans="1:8" ht="15" customHeight="1" x14ac:dyDescent="0.35">
      <c r="A22" t="s">
        <v>373</v>
      </c>
      <c r="B22" s="582"/>
      <c r="C22" s="582"/>
      <c r="D22" s="582"/>
      <c r="E22" s="582"/>
      <c r="F22" s="582"/>
      <c r="G22" s="312"/>
      <c r="H22" s="312"/>
    </row>
    <row r="23" spans="1:8" x14ac:dyDescent="0.35">
      <c r="A23" t="s">
        <v>374</v>
      </c>
      <c r="B23"/>
      <c r="C23"/>
      <c r="D23"/>
      <c r="E23"/>
      <c r="F23"/>
    </row>
    <row r="24" spans="1:8" x14ac:dyDescent="0.35">
      <c r="A24" t="s">
        <v>375</v>
      </c>
    </row>
  </sheetData>
  <sheetProtection algorithmName="SHA-512" hashValue="rPmZ+G7uVOQT/JkaD0p4I/qm8i3ybMlzQTaFEtPTO9SPjE3phasLVTJ6dRPFq5YHGexOM68gvTNDLJ4oEOevig==" saltValue="Je9Mk7F8nKcomfjR7cZeQw==" spinCount="100000" sheet="1" scenarios="1" formatCells="0" sort="0" autoFilter="0" pivotTables="0"/>
  <mergeCells count="2">
    <mergeCell ref="A1:C1"/>
    <mergeCell ref="A4:F4"/>
  </mergeCells>
  <phoneticPr fontId="53" type="noConversion"/>
  <hyperlinks>
    <hyperlink ref="A2" location="'Table of Contents'!A1" display="Back to Table of Contents" xr:uid="{00000000-0004-0000-0D00-00000000000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E67B-0033-483E-811F-6D3CAD72BC28}">
  <dimension ref="A1:G16"/>
  <sheetViews>
    <sheetView workbookViewId="0">
      <selection activeCell="A8" sqref="A8:XFD8"/>
    </sheetView>
  </sheetViews>
  <sheetFormatPr defaultRowHeight="14.5" x14ac:dyDescent="0.35"/>
  <cols>
    <col min="1" max="1" width="7.453125" bestFit="1" customWidth="1"/>
    <col min="2" max="2" width="22.08984375" bestFit="1" customWidth="1"/>
    <col min="3" max="3" width="18.36328125" bestFit="1" customWidth="1"/>
    <col min="4" max="4" width="12.81640625" bestFit="1" customWidth="1"/>
    <col min="5" max="5" width="14.26953125" bestFit="1" customWidth="1"/>
    <col min="6" max="6" width="7.1796875" bestFit="1" customWidth="1"/>
    <col min="7" max="7" width="14.453125" bestFit="1" customWidth="1"/>
  </cols>
  <sheetData>
    <row r="1" spans="1:7" x14ac:dyDescent="0.35">
      <c r="A1" t="s">
        <v>207</v>
      </c>
      <c r="B1" t="s">
        <v>919</v>
      </c>
      <c r="C1" t="s">
        <v>920</v>
      </c>
      <c r="D1" t="s">
        <v>921</v>
      </c>
      <c r="E1" t="s">
        <v>922</v>
      </c>
      <c r="F1" t="s">
        <v>923</v>
      </c>
      <c r="G1" t="s">
        <v>924</v>
      </c>
    </row>
    <row r="2" spans="1:7" x14ac:dyDescent="0.35">
      <c r="A2" t="s">
        <v>341</v>
      </c>
      <c r="B2">
        <v>29016</v>
      </c>
      <c r="C2">
        <v>41785</v>
      </c>
      <c r="D2">
        <v>70801</v>
      </c>
      <c r="E2">
        <v>44321</v>
      </c>
      <c r="F2">
        <v>27955</v>
      </c>
      <c r="G2">
        <v>16366</v>
      </c>
    </row>
    <row r="3" spans="1:7" x14ac:dyDescent="0.35">
      <c r="A3" t="s">
        <v>214</v>
      </c>
      <c r="B3">
        <v>24462</v>
      </c>
      <c r="C3">
        <v>44740</v>
      </c>
      <c r="D3">
        <v>69202</v>
      </c>
      <c r="E3">
        <v>37549</v>
      </c>
      <c r="F3">
        <v>25645</v>
      </c>
      <c r="G3">
        <v>11904</v>
      </c>
    </row>
    <row r="4" spans="1:7" x14ac:dyDescent="0.35">
      <c r="A4" t="s">
        <v>319</v>
      </c>
      <c r="B4">
        <v>7679</v>
      </c>
      <c r="C4">
        <v>12319</v>
      </c>
      <c r="D4">
        <v>19998</v>
      </c>
      <c r="E4">
        <v>12535</v>
      </c>
      <c r="F4">
        <v>8696</v>
      </c>
      <c r="G4">
        <v>3839</v>
      </c>
    </row>
    <row r="5" spans="1:7" x14ac:dyDescent="0.35">
      <c r="A5" t="s">
        <v>342</v>
      </c>
      <c r="B5">
        <v>27754</v>
      </c>
      <c r="C5">
        <v>42077</v>
      </c>
      <c r="D5">
        <v>69831</v>
      </c>
      <c r="E5">
        <v>42385</v>
      </c>
      <c r="F5">
        <v>28114</v>
      </c>
      <c r="G5">
        <v>14271</v>
      </c>
    </row>
    <row r="6" spans="1:7" x14ac:dyDescent="0.35">
      <c r="A6" t="s">
        <v>313</v>
      </c>
      <c r="B6">
        <v>22292</v>
      </c>
      <c r="C6">
        <v>46945</v>
      </c>
      <c r="D6">
        <v>69237</v>
      </c>
      <c r="E6">
        <v>34610</v>
      </c>
      <c r="F6">
        <v>24016</v>
      </c>
      <c r="G6">
        <v>10594</v>
      </c>
    </row>
    <row r="7" spans="1:7" x14ac:dyDescent="0.35">
      <c r="A7" t="s">
        <v>363</v>
      </c>
      <c r="B7">
        <v>26013</v>
      </c>
      <c r="C7">
        <v>30238</v>
      </c>
      <c r="D7">
        <v>56251</v>
      </c>
      <c r="E7">
        <v>44122</v>
      </c>
    </row>
    <row r="8" spans="1:7" x14ac:dyDescent="0.35">
      <c r="A8" t="s">
        <v>327</v>
      </c>
      <c r="B8">
        <v>5940</v>
      </c>
      <c r="C8">
        <v>30802</v>
      </c>
      <c r="D8">
        <v>36742</v>
      </c>
      <c r="E8">
        <v>15794</v>
      </c>
      <c r="F8">
        <v>11486</v>
      </c>
      <c r="G8">
        <v>4308</v>
      </c>
    </row>
    <row r="9" spans="1:7" x14ac:dyDescent="0.35">
      <c r="A9" t="s">
        <v>466</v>
      </c>
      <c r="B9">
        <v>4241</v>
      </c>
      <c r="C9">
        <v>29848</v>
      </c>
      <c r="D9">
        <v>34089</v>
      </c>
      <c r="E9">
        <v>11728</v>
      </c>
      <c r="F9">
        <v>7881</v>
      </c>
      <c r="G9">
        <v>2913</v>
      </c>
    </row>
    <row r="10" spans="1:7" x14ac:dyDescent="0.35">
      <c r="A10" t="s">
        <v>364</v>
      </c>
      <c r="B10">
        <v>29576</v>
      </c>
      <c r="C10">
        <v>41472</v>
      </c>
      <c r="D10">
        <v>71048</v>
      </c>
      <c r="E10">
        <v>46164</v>
      </c>
      <c r="F10">
        <v>30359</v>
      </c>
      <c r="G10">
        <v>15805</v>
      </c>
    </row>
    <row r="11" spans="1:7" x14ac:dyDescent="0.35">
      <c r="A11" t="s">
        <v>326</v>
      </c>
      <c r="B11">
        <v>6764</v>
      </c>
      <c r="C11">
        <v>31935</v>
      </c>
      <c r="D11">
        <v>38699</v>
      </c>
      <c r="E11">
        <v>15690</v>
      </c>
    </row>
    <row r="12" spans="1:7" x14ac:dyDescent="0.35">
      <c r="A12" t="s">
        <v>508</v>
      </c>
      <c r="B12">
        <v>33998</v>
      </c>
      <c r="C12">
        <v>18732</v>
      </c>
      <c r="D12">
        <v>52730</v>
      </c>
    </row>
    <row r="13" spans="1:7" x14ac:dyDescent="0.35">
      <c r="A13" t="s">
        <v>365</v>
      </c>
      <c r="B13">
        <v>26986</v>
      </c>
      <c r="C13">
        <v>38729</v>
      </c>
      <c r="D13">
        <v>65715</v>
      </c>
      <c r="E13">
        <v>41832</v>
      </c>
      <c r="F13">
        <v>28032</v>
      </c>
      <c r="G13">
        <v>13800</v>
      </c>
    </row>
    <row r="14" spans="1:7" x14ac:dyDescent="0.35">
      <c r="A14" t="s">
        <v>362</v>
      </c>
      <c r="B14">
        <v>28846</v>
      </c>
      <c r="C14">
        <v>27699</v>
      </c>
      <c r="D14">
        <v>56545</v>
      </c>
      <c r="E14">
        <v>46395</v>
      </c>
    </row>
    <row r="15" spans="1:7" x14ac:dyDescent="0.35">
      <c r="A15" t="s">
        <v>366</v>
      </c>
      <c r="B15">
        <v>28338</v>
      </c>
      <c r="C15">
        <v>43379</v>
      </c>
      <c r="D15">
        <v>71717</v>
      </c>
      <c r="E15">
        <v>43710</v>
      </c>
      <c r="F15">
        <v>28897</v>
      </c>
      <c r="G15">
        <v>14813</v>
      </c>
    </row>
    <row r="16" spans="1:7" x14ac:dyDescent="0.35">
      <c r="A16" t="s">
        <v>321</v>
      </c>
      <c r="B16">
        <v>16504</v>
      </c>
      <c r="C16">
        <v>27692</v>
      </c>
      <c r="D16">
        <v>44196</v>
      </c>
      <c r="E16">
        <v>45586</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2C371-7B96-4616-A0A7-C2E280814A85}">
  <dimension ref="A1:K31"/>
  <sheetViews>
    <sheetView workbookViewId="0">
      <selection activeCell="K18" sqref="K18"/>
    </sheetView>
  </sheetViews>
  <sheetFormatPr defaultRowHeight="14.5" x14ac:dyDescent="0.35"/>
  <cols>
    <col min="1" max="1" width="9.54296875" bestFit="1" customWidth="1"/>
    <col min="2" max="2" width="7.08984375" bestFit="1" customWidth="1"/>
    <col min="3" max="3" width="13.1796875" bestFit="1" customWidth="1"/>
    <col min="10" max="10" width="12.6328125" bestFit="1" customWidth="1"/>
    <col min="11" max="11" width="17.453125" bestFit="1" customWidth="1"/>
    <col min="12" max="12" width="17.1796875" bestFit="1" customWidth="1"/>
  </cols>
  <sheetData>
    <row r="1" spans="1:11" x14ac:dyDescent="0.35">
      <c r="A1" t="s">
        <v>925</v>
      </c>
      <c r="B1" t="s">
        <v>207</v>
      </c>
      <c r="C1" t="s">
        <v>926</v>
      </c>
    </row>
    <row r="2" spans="1:11" x14ac:dyDescent="0.35">
      <c r="A2" t="s">
        <v>544</v>
      </c>
      <c r="B2">
        <v>1991</v>
      </c>
      <c r="C2">
        <v>2042809</v>
      </c>
    </row>
    <row r="3" spans="1:11" x14ac:dyDescent="0.35">
      <c r="A3" t="s">
        <v>544</v>
      </c>
      <c r="B3">
        <v>2001</v>
      </c>
      <c r="C3">
        <v>2194564</v>
      </c>
    </row>
    <row r="4" spans="1:11" x14ac:dyDescent="0.35">
      <c r="A4" t="s">
        <v>544</v>
      </c>
      <c r="B4">
        <v>2002</v>
      </c>
      <c r="C4">
        <v>2211430</v>
      </c>
    </row>
    <row r="5" spans="1:11" x14ac:dyDescent="0.35">
      <c r="A5" t="s">
        <v>544</v>
      </c>
      <c r="B5">
        <v>2003</v>
      </c>
      <c r="C5">
        <v>2230797</v>
      </c>
      <c r="J5" s="387" t="s">
        <v>350</v>
      </c>
      <c r="K5" t="s">
        <v>927</v>
      </c>
    </row>
    <row r="6" spans="1:11" x14ac:dyDescent="0.35">
      <c r="A6" t="s">
        <v>544</v>
      </c>
      <c r="B6">
        <v>2004</v>
      </c>
      <c r="C6">
        <v>2251262</v>
      </c>
      <c r="J6" s="388">
        <v>1991</v>
      </c>
      <c r="K6">
        <v>2042809</v>
      </c>
    </row>
    <row r="7" spans="1:11" x14ac:dyDescent="0.35">
      <c r="A7" t="s">
        <v>544</v>
      </c>
      <c r="B7">
        <v>2005</v>
      </c>
      <c r="C7">
        <v>2274283</v>
      </c>
      <c r="J7" s="388">
        <v>2001</v>
      </c>
      <c r="K7">
        <v>2194564</v>
      </c>
    </row>
    <row r="8" spans="1:11" x14ac:dyDescent="0.35">
      <c r="A8" t="s">
        <v>544</v>
      </c>
      <c r="B8">
        <v>2006</v>
      </c>
      <c r="C8">
        <v>2295185</v>
      </c>
      <c r="J8" s="388">
        <v>2002</v>
      </c>
      <c r="K8">
        <v>2211430</v>
      </c>
    </row>
    <row r="9" spans="1:11" x14ac:dyDescent="0.35">
      <c r="A9" t="s">
        <v>544</v>
      </c>
      <c r="B9">
        <v>2007</v>
      </c>
      <c r="C9">
        <v>2318966</v>
      </c>
      <c r="J9" s="388">
        <v>2003</v>
      </c>
      <c r="K9">
        <v>2230797</v>
      </c>
    </row>
    <row r="10" spans="1:11" x14ac:dyDescent="0.35">
      <c r="A10" t="s">
        <v>544</v>
      </c>
      <c r="B10">
        <v>2008</v>
      </c>
      <c r="C10">
        <v>2337967</v>
      </c>
      <c r="J10" s="388">
        <v>2004</v>
      </c>
      <c r="K10">
        <v>2251262</v>
      </c>
    </row>
    <row r="11" spans="1:11" x14ac:dyDescent="0.35">
      <c r="A11" t="s">
        <v>544</v>
      </c>
      <c r="B11">
        <v>2009</v>
      </c>
      <c r="C11">
        <v>2351780</v>
      </c>
      <c r="J11" s="388">
        <v>2005</v>
      </c>
      <c r="K11">
        <v>2274283</v>
      </c>
    </row>
    <row r="12" spans="1:11" x14ac:dyDescent="0.35">
      <c r="A12" t="s">
        <v>544</v>
      </c>
      <c r="B12">
        <v>2010</v>
      </c>
      <c r="C12">
        <v>2364850</v>
      </c>
      <c r="J12" s="388">
        <v>2006</v>
      </c>
      <c r="K12">
        <v>2295185</v>
      </c>
    </row>
    <row r="13" spans="1:11" x14ac:dyDescent="0.35">
      <c r="A13" t="s">
        <v>544</v>
      </c>
      <c r="B13">
        <v>2011</v>
      </c>
      <c r="C13">
        <v>2376424</v>
      </c>
      <c r="J13" s="388">
        <v>2007</v>
      </c>
      <c r="K13">
        <v>2318966</v>
      </c>
    </row>
    <row r="14" spans="1:11" x14ac:dyDescent="0.35">
      <c r="A14" t="s">
        <v>544</v>
      </c>
      <c r="B14">
        <v>2012</v>
      </c>
      <c r="C14">
        <v>2386660</v>
      </c>
      <c r="J14" s="388">
        <v>2008</v>
      </c>
      <c r="K14">
        <v>2337967</v>
      </c>
    </row>
    <row r="15" spans="1:11" x14ac:dyDescent="0.35">
      <c r="A15" t="s">
        <v>544</v>
      </c>
      <c r="B15">
        <v>2013</v>
      </c>
      <c r="C15">
        <v>2400342</v>
      </c>
      <c r="J15" s="388">
        <v>2009</v>
      </c>
      <c r="K15">
        <v>2351780</v>
      </c>
    </row>
    <row r="16" spans="1:11" x14ac:dyDescent="0.35">
      <c r="A16" t="s">
        <v>544</v>
      </c>
      <c r="B16">
        <v>2014</v>
      </c>
      <c r="C16">
        <v>2416014</v>
      </c>
      <c r="J16" s="388">
        <v>2010</v>
      </c>
      <c r="K16">
        <v>2364850</v>
      </c>
    </row>
    <row r="17" spans="1:11" x14ac:dyDescent="0.35">
      <c r="A17" t="s">
        <v>544</v>
      </c>
      <c r="B17">
        <v>2015</v>
      </c>
      <c r="C17">
        <v>2429943</v>
      </c>
      <c r="J17" s="388">
        <v>2011</v>
      </c>
      <c r="K17">
        <v>2376424</v>
      </c>
    </row>
    <row r="18" spans="1:11" x14ac:dyDescent="0.35">
      <c r="A18" t="s">
        <v>544</v>
      </c>
      <c r="B18">
        <v>2016</v>
      </c>
      <c r="C18">
        <v>2446171</v>
      </c>
      <c r="J18" s="388">
        <v>2012</v>
      </c>
      <c r="K18">
        <v>2386660</v>
      </c>
    </row>
    <row r="19" spans="1:11" x14ac:dyDescent="0.35">
      <c r="A19" t="s">
        <v>544</v>
      </c>
      <c r="B19">
        <v>2017</v>
      </c>
      <c r="C19">
        <v>2462736</v>
      </c>
      <c r="J19" s="388">
        <v>2013</v>
      </c>
      <c r="K19">
        <v>2400342</v>
      </c>
    </row>
    <row r="20" spans="1:11" x14ac:dyDescent="0.35">
      <c r="A20" t="s">
        <v>544</v>
      </c>
      <c r="B20">
        <v>2018</v>
      </c>
      <c r="C20">
        <v>2477275</v>
      </c>
      <c r="J20" s="388">
        <v>2014</v>
      </c>
      <c r="K20">
        <v>2416014</v>
      </c>
    </row>
    <row r="21" spans="1:11" x14ac:dyDescent="0.35">
      <c r="A21" t="s">
        <v>544</v>
      </c>
      <c r="B21">
        <v>2019</v>
      </c>
      <c r="C21">
        <v>2495623</v>
      </c>
      <c r="J21" s="388">
        <v>2015</v>
      </c>
      <c r="K21">
        <v>2429943</v>
      </c>
    </row>
    <row r="22" spans="1:11" x14ac:dyDescent="0.35">
      <c r="A22" t="s">
        <v>544</v>
      </c>
      <c r="B22">
        <v>2020</v>
      </c>
      <c r="C22">
        <v>2507625</v>
      </c>
      <c r="J22" s="388">
        <v>2016</v>
      </c>
      <c r="K22">
        <v>2446171</v>
      </c>
    </row>
    <row r="23" spans="1:11" x14ac:dyDescent="0.35">
      <c r="A23" t="s">
        <v>544</v>
      </c>
      <c r="B23">
        <v>2021</v>
      </c>
      <c r="C23">
        <v>2528823</v>
      </c>
      <c r="J23" s="388">
        <v>2017</v>
      </c>
      <c r="K23">
        <v>2462736</v>
      </c>
    </row>
    <row r="24" spans="1:11" x14ac:dyDescent="0.35">
      <c r="A24" t="s">
        <v>544</v>
      </c>
      <c r="B24">
        <v>2022</v>
      </c>
      <c r="C24">
        <v>2549797</v>
      </c>
      <c r="J24" s="388">
        <v>2018</v>
      </c>
      <c r="K24">
        <v>2477275</v>
      </c>
    </row>
    <row r="25" spans="1:11" x14ac:dyDescent="0.35">
      <c r="A25" t="s">
        <v>544</v>
      </c>
      <c r="B25">
        <v>2023</v>
      </c>
      <c r="C25">
        <v>2535310</v>
      </c>
      <c r="J25" s="388">
        <v>2019</v>
      </c>
      <c r="K25">
        <v>2495623</v>
      </c>
    </row>
    <row r="26" spans="1:11" x14ac:dyDescent="0.35">
      <c r="A26" t="s">
        <v>544</v>
      </c>
      <c r="B26">
        <v>2024</v>
      </c>
      <c r="C26">
        <v>2552388.2351710973</v>
      </c>
      <c r="J26" s="388">
        <v>2020</v>
      </c>
      <c r="K26">
        <v>2507625</v>
      </c>
    </row>
    <row r="27" spans="1:11" x14ac:dyDescent="0.35">
      <c r="J27" s="388">
        <v>2021</v>
      </c>
      <c r="K27">
        <v>2528823</v>
      </c>
    </row>
    <row r="28" spans="1:11" x14ac:dyDescent="0.35">
      <c r="J28" s="388">
        <v>2022</v>
      </c>
      <c r="K28">
        <v>2549797</v>
      </c>
    </row>
    <row r="29" spans="1:11" x14ac:dyDescent="0.35">
      <c r="J29" s="388">
        <v>2023</v>
      </c>
      <c r="K29">
        <v>2535310</v>
      </c>
    </row>
    <row r="30" spans="1:11" x14ac:dyDescent="0.35">
      <c r="J30" s="388">
        <v>2024</v>
      </c>
      <c r="K30">
        <v>2552388.2351710973</v>
      </c>
    </row>
    <row r="31" spans="1:11" x14ac:dyDescent="0.35">
      <c r="J31" s="388" t="s">
        <v>357</v>
      </c>
      <c r="K31">
        <v>59439024.235171095</v>
      </c>
    </row>
  </sheetData>
  <pageMargins left="0.7" right="0.7" top="0.75" bottom="0.75" header="0.3" footer="0.3"/>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7">
    <tabColor theme="7" tint="-0.249977111117893"/>
    <pageSetUpPr fitToPage="1"/>
  </sheetPr>
  <dimension ref="A1:K103"/>
  <sheetViews>
    <sheetView showGridLines="0" zoomScaleNormal="100" workbookViewId="0">
      <pane ySplit="2" topLeftCell="A3" activePane="bottomLeft" state="frozen"/>
      <selection pane="bottomLeft"/>
    </sheetView>
  </sheetViews>
  <sheetFormatPr defaultRowHeight="14.5" x14ac:dyDescent="0.35"/>
  <cols>
    <col min="1" max="1" width="33.54296875" customWidth="1"/>
    <col min="2" max="2" width="20.54296875" bestFit="1" customWidth="1"/>
    <col min="3" max="3" width="19.453125" customWidth="1"/>
    <col min="4" max="4" width="9.81640625" bestFit="1" customWidth="1"/>
    <col min="5" max="5" width="31.7265625" bestFit="1" customWidth="1"/>
    <col min="6" max="6" width="13.1796875" customWidth="1"/>
    <col min="7" max="7" width="23.26953125" customWidth="1"/>
    <col min="8" max="8" width="9.1796875" style="371"/>
    <col min="12" max="12" width="16.1796875" bestFit="1" customWidth="1"/>
    <col min="13" max="13" width="14.7265625" bestFit="1" customWidth="1"/>
  </cols>
  <sheetData>
    <row r="1" spans="1:8" ht="15.5" x14ac:dyDescent="0.35">
      <c r="A1" s="514" t="s">
        <v>928</v>
      </c>
    </row>
    <row r="2" spans="1:8" x14ac:dyDescent="0.35">
      <c r="A2" s="499" t="s">
        <v>201</v>
      </c>
    </row>
    <row r="3" spans="1:8" x14ac:dyDescent="0.35">
      <c r="A3" s="25"/>
      <c r="B3" s="25"/>
      <c r="C3" s="25"/>
      <c r="D3" s="25"/>
      <c r="E3" s="25"/>
      <c r="F3" s="25"/>
      <c r="G3" s="25"/>
    </row>
    <row r="4" spans="1:8" ht="15.75" customHeight="1" x14ac:dyDescent="0.35">
      <c r="A4" s="426" t="s">
        <v>929</v>
      </c>
      <c r="B4" s="426"/>
      <c r="C4" s="426"/>
      <c r="D4" s="426"/>
      <c r="E4" s="426"/>
      <c r="F4" s="426"/>
      <c r="G4" s="426"/>
    </row>
    <row r="5" spans="1:8" ht="15.75" customHeight="1" x14ac:dyDescent="0.35">
      <c r="A5" t="s">
        <v>202</v>
      </c>
      <c r="B5" t="s">
        <v>132</v>
      </c>
      <c r="C5" s="233"/>
      <c r="D5" s="233"/>
      <c r="E5" s="233"/>
      <c r="F5" s="233"/>
      <c r="G5" s="233"/>
    </row>
    <row r="6" spans="1:8" ht="15.75" customHeight="1" x14ac:dyDescent="0.35">
      <c r="A6" t="s">
        <v>203</v>
      </c>
      <c r="B6" t="s">
        <v>204</v>
      </c>
      <c r="C6" s="233"/>
      <c r="D6" s="233"/>
      <c r="E6" s="233"/>
      <c r="G6" s="233"/>
    </row>
    <row r="7" spans="1:8" ht="15.75" customHeight="1" x14ac:dyDescent="0.35">
      <c r="A7" t="s">
        <v>205</v>
      </c>
      <c r="B7" t="s">
        <v>930</v>
      </c>
      <c r="C7" s="233"/>
      <c r="D7" s="233"/>
      <c r="E7" s="233"/>
      <c r="F7" s="233"/>
      <c r="G7" s="233"/>
    </row>
    <row r="8" spans="1:8" ht="15.65" customHeight="1" x14ac:dyDescent="0.35">
      <c r="A8" s="25"/>
      <c r="B8" s="25"/>
      <c r="C8" s="25"/>
      <c r="D8" s="25"/>
      <c r="E8" s="25"/>
      <c r="F8" s="1054" t="s">
        <v>931</v>
      </c>
      <c r="G8" s="1054"/>
    </row>
    <row r="9" spans="1:8" s="460" customFormat="1" ht="29" x14ac:dyDescent="0.35">
      <c r="A9" s="599" t="s">
        <v>207</v>
      </c>
      <c r="B9" s="496" t="s">
        <v>932</v>
      </c>
      <c r="C9" s="496" t="s">
        <v>933</v>
      </c>
      <c r="D9" s="496" t="s">
        <v>934</v>
      </c>
      <c r="E9" s="496" t="s">
        <v>935</v>
      </c>
      <c r="F9" s="644" t="s">
        <v>923</v>
      </c>
      <c r="G9" s="644" t="s">
        <v>924</v>
      </c>
    </row>
    <row r="10" spans="1:8" x14ac:dyDescent="0.35">
      <c r="A10" s="596" t="s">
        <v>508</v>
      </c>
      <c r="B10" s="602">
        <f>GETPIVOTDATA("Sum of HFSV_AlarmsInstalled",HFSVPivot!$B$3,"Year",Table_s_srs_v01_pds_RAP_HFSV_Outcome[[#This Row],[Year]])</f>
        <v>33998</v>
      </c>
      <c r="C10" s="602">
        <f>GETPIVOTDATA("Sum of HFSV_AdviceOnly",HFSVPivot!$B$3,"Year",Table_s_srs_v01_pds_RAP_HFSV_Outcome[[#This Row],[Year]])</f>
        <v>18732</v>
      </c>
      <c r="D10" s="603">
        <f>GETPIVOTDATA("Sum of Total_HFSV",HFSVPivot!$B$3,"Year",Table_s_srs_v01_pds_RAP_HFSV_Outcome[[#This Row],[Year]])</f>
        <v>52730</v>
      </c>
      <c r="E10" s="702"/>
      <c r="F10" s="717"/>
      <c r="G10" s="702"/>
      <c r="H10"/>
    </row>
    <row r="11" spans="1:8" x14ac:dyDescent="0.35">
      <c r="A11" s="596" t="s">
        <v>362</v>
      </c>
      <c r="B11" s="602">
        <f>GETPIVOTDATA("Sum of HFSV_AlarmsInstalled",HFSVPivot!$B$3,"Year",Table_s_srs_v01_pds_RAP_HFSV_Outcome[[#This Row],[Year]])</f>
        <v>28846</v>
      </c>
      <c r="C11" s="602">
        <f>GETPIVOTDATA("Sum of HFSV_AdviceOnly",HFSVPivot!$B$3,"Year",Table_s_srs_v01_pds_RAP_HFSV_Outcome[[#This Row],[Year]])</f>
        <v>27699</v>
      </c>
      <c r="D11" s="603">
        <f>GETPIVOTDATA("Sum of Total_HFSV",HFSVPivot!$B$3,"Year",Table_s_srs_v01_pds_RAP_HFSV_Outcome[[#This Row],[Year]])</f>
        <v>56545</v>
      </c>
      <c r="E11" s="602">
        <f>GETPIVOTDATA("Sum of Total_Alarms",HFSVPivot!$B$3,"Year",Table_s_srs_v01_pds_RAP_HFSV_Outcome[[#This Row],[Year]])</f>
        <v>46395</v>
      </c>
      <c r="F11" s="717"/>
      <c r="G11" s="702"/>
      <c r="H11"/>
    </row>
    <row r="12" spans="1:8" x14ac:dyDescent="0.35">
      <c r="A12" s="596" t="s">
        <v>363</v>
      </c>
      <c r="B12" s="602">
        <f>GETPIVOTDATA("Sum of HFSV_AlarmsInstalled",HFSVPivot!$B$3,"Year",Table_s_srs_v01_pds_RAP_HFSV_Outcome[[#This Row],[Year]])</f>
        <v>26013</v>
      </c>
      <c r="C12" s="602">
        <f>GETPIVOTDATA("Sum of HFSV_AdviceOnly",HFSVPivot!$B$3,"Year",Table_s_srs_v01_pds_RAP_HFSV_Outcome[[#This Row],[Year]])</f>
        <v>30238</v>
      </c>
      <c r="D12" s="603">
        <f>GETPIVOTDATA("Sum of Total_HFSV",HFSVPivot!$B$3,"Year",Table_s_srs_v01_pds_RAP_HFSV_Outcome[[#This Row],[Year]])</f>
        <v>56251</v>
      </c>
      <c r="E12" s="602">
        <f>GETPIVOTDATA("Sum of Total_Alarms",HFSVPivot!$B$3,"Year",Table_s_srs_v01_pds_RAP_HFSV_Outcome[[#This Row],[Year]])</f>
        <v>44122</v>
      </c>
      <c r="F12" s="717"/>
      <c r="G12" s="702"/>
      <c r="H12"/>
    </row>
    <row r="13" spans="1:8" x14ac:dyDescent="0.35">
      <c r="A13" s="596" t="s">
        <v>364</v>
      </c>
      <c r="B13" s="602">
        <f>GETPIVOTDATA("Sum of HFSV_AlarmsInstalled",HFSVPivot!$B$3,"Year",Table_s_srs_v01_pds_RAP_HFSV_Outcome[[#This Row],[Year]])</f>
        <v>29576</v>
      </c>
      <c r="C13" s="602">
        <f>GETPIVOTDATA("Sum of HFSV_AdviceOnly",HFSVPivot!$B$3,"Year",Table_s_srs_v01_pds_RAP_HFSV_Outcome[[#This Row],[Year]])</f>
        <v>41472</v>
      </c>
      <c r="D13" s="603">
        <f>GETPIVOTDATA("Sum of Total_HFSV",HFSVPivot!$B$3,"Year",Table_s_srs_v01_pds_RAP_HFSV_Outcome[[#This Row],[Year]])</f>
        <v>71048</v>
      </c>
      <c r="E13" s="602">
        <f>GETPIVOTDATA("Sum of Total_Alarms",HFSVPivot!$B$3,"Year",Table_s_srs_v01_pds_RAP_HFSV_Outcome[[#This Row],[Year]])</f>
        <v>46164</v>
      </c>
      <c r="F13" s="610">
        <f>GETPIVOTDATA("Sum of New",HFSVPivot!$B$3,"Year",Table_s_srs_v01_pds_RAP_HFSV_Outcome[[#This Row],[Year]])</f>
        <v>30359</v>
      </c>
      <c r="G13" s="602">
        <f>GETPIVOTDATA("Sum of Replacement",HFSVPivot!$B$3,"Year",Table_s_srs_v01_pds_RAP_HFSV_Outcome[[#This Row],[Year]])</f>
        <v>15805</v>
      </c>
      <c r="H13"/>
    </row>
    <row r="14" spans="1:8" x14ac:dyDescent="0.35">
      <c r="A14" s="596" t="s">
        <v>365</v>
      </c>
      <c r="B14" s="602">
        <f>GETPIVOTDATA("Sum of HFSV_AlarmsInstalled",HFSVPivot!$B$3,"Year",Table_s_srs_v01_pds_RAP_HFSV_Outcome[[#This Row],[Year]])</f>
        <v>26986</v>
      </c>
      <c r="C14" s="602">
        <f>GETPIVOTDATA("Sum of HFSV_AdviceOnly",HFSVPivot!$B$3,"Year",Table_s_srs_v01_pds_RAP_HFSV_Outcome[[#This Row],[Year]])</f>
        <v>38729</v>
      </c>
      <c r="D14" s="603">
        <f>GETPIVOTDATA("Sum of Total_HFSV",HFSVPivot!$B$3,"Year",Table_s_srs_v01_pds_RAP_HFSV_Outcome[[#This Row],[Year]])</f>
        <v>65715</v>
      </c>
      <c r="E14" s="602">
        <f>GETPIVOTDATA("Sum of Total_Alarms",HFSVPivot!$B$3,"Year",Table_s_srs_v01_pds_RAP_HFSV_Outcome[[#This Row],[Year]])</f>
        <v>41832</v>
      </c>
      <c r="F14" s="610">
        <f>GETPIVOTDATA("Sum of New",HFSVPivot!$B$3,"Year",Table_s_srs_v01_pds_RAP_HFSV_Outcome[[#This Row],[Year]])</f>
        <v>28032</v>
      </c>
      <c r="G14" s="602">
        <f>GETPIVOTDATA("Sum of Replacement",HFSVPivot!$B$3,"Year",Table_s_srs_v01_pds_RAP_HFSV_Outcome[[#This Row],[Year]])</f>
        <v>13800</v>
      </c>
      <c r="H14"/>
    </row>
    <row r="15" spans="1:8" x14ac:dyDescent="0.35">
      <c r="A15" s="596" t="s">
        <v>366</v>
      </c>
      <c r="B15" s="602">
        <f>GETPIVOTDATA("Sum of HFSV_AlarmsInstalled",HFSVPivot!$B$3,"Year",Table_s_srs_v01_pds_RAP_HFSV_Outcome[[#This Row],[Year]])</f>
        <v>28338</v>
      </c>
      <c r="C15" s="602">
        <f>GETPIVOTDATA("Sum of HFSV_AdviceOnly",HFSVPivot!$B$3,"Year",Table_s_srs_v01_pds_RAP_HFSV_Outcome[[#This Row],[Year]])</f>
        <v>43379</v>
      </c>
      <c r="D15" s="603">
        <f>GETPIVOTDATA("Sum of Total_HFSV",HFSVPivot!$B$3,"Year",Table_s_srs_v01_pds_RAP_HFSV_Outcome[[#This Row],[Year]])</f>
        <v>71717</v>
      </c>
      <c r="E15" s="602">
        <f>GETPIVOTDATA("Sum of Total_Alarms",HFSVPivot!$B$3,"Year",Table_s_srs_v01_pds_RAP_HFSV_Outcome[[#This Row],[Year]])</f>
        <v>43710</v>
      </c>
      <c r="F15" s="610">
        <f>GETPIVOTDATA("Sum of New",HFSVPivot!$B$3,"Year",Table_s_srs_v01_pds_RAP_HFSV_Outcome[[#This Row],[Year]])</f>
        <v>28897</v>
      </c>
      <c r="G15" s="602">
        <f>GETPIVOTDATA("Sum of Replacement",HFSVPivot!$B$3,"Year",Table_s_srs_v01_pds_RAP_HFSV_Outcome[[#This Row],[Year]])</f>
        <v>14813</v>
      </c>
      <c r="H15"/>
    </row>
    <row r="16" spans="1:8" x14ac:dyDescent="0.35">
      <c r="A16" s="596" t="s">
        <v>341</v>
      </c>
      <c r="B16" s="602">
        <f>GETPIVOTDATA("Sum of HFSV_AlarmsInstalled",HFSVPivot!$B$3,"Year",Table_s_srs_v01_pds_RAP_HFSV_Outcome[[#This Row],[Year]])</f>
        <v>29016</v>
      </c>
      <c r="C16" s="602">
        <f>GETPIVOTDATA("Sum of HFSV_AdviceOnly",HFSVPivot!$B$3,"Year",Table_s_srs_v01_pds_RAP_HFSV_Outcome[[#This Row],[Year]])</f>
        <v>41785</v>
      </c>
      <c r="D16" s="603">
        <f>GETPIVOTDATA("Sum of Total_HFSV",HFSVPivot!$B$3,"Year",Table_s_srs_v01_pds_RAP_HFSV_Outcome[[#This Row],[Year]])</f>
        <v>70801</v>
      </c>
      <c r="E16" s="602">
        <f>GETPIVOTDATA("Sum of Total_Alarms",HFSVPivot!$B$3,"Year",Table_s_srs_v01_pds_RAP_HFSV_Outcome[[#This Row],[Year]])</f>
        <v>44321</v>
      </c>
      <c r="F16" s="610">
        <f>GETPIVOTDATA("Sum of New",HFSVPivot!$B$3,"Year",Table_s_srs_v01_pds_RAP_HFSV_Outcome[[#This Row],[Year]])</f>
        <v>27955</v>
      </c>
      <c r="G16" s="602">
        <f>GETPIVOTDATA("Sum of Replacement",HFSVPivot!$B$3,"Year",Table_s_srs_v01_pds_RAP_HFSV_Outcome[[#This Row],[Year]])</f>
        <v>16366</v>
      </c>
      <c r="H16"/>
    </row>
    <row r="17" spans="1:8" x14ac:dyDescent="0.35">
      <c r="A17" s="596" t="s">
        <v>342</v>
      </c>
      <c r="B17" s="602">
        <f>GETPIVOTDATA("Sum of HFSV_AlarmsInstalled",HFSVPivot!$B$3,"Year",Table_s_srs_v01_pds_RAP_HFSV_Outcome[[#This Row],[Year]])</f>
        <v>27754</v>
      </c>
      <c r="C17" s="602">
        <f>GETPIVOTDATA("Sum of HFSV_AdviceOnly",HFSVPivot!$B$3,"Year",Table_s_srs_v01_pds_RAP_HFSV_Outcome[[#This Row],[Year]])</f>
        <v>42077</v>
      </c>
      <c r="D17" s="603">
        <f>GETPIVOTDATA("Sum of Total_HFSV",HFSVPivot!$B$3,"Year",Table_s_srs_v01_pds_RAP_HFSV_Outcome[[#This Row],[Year]])</f>
        <v>69831</v>
      </c>
      <c r="E17" s="602">
        <f>GETPIVOTDATA("Sum of Total_Alarms",HFSVPivot!$B$3,"Year",Table_s_srs_v01_pds_RAP_HFSV_Outcome[[#This Row],[Year]])</f>
        <v>42385</v>
      </c>
      <c r="F17" s="610">
        <f>GETPIVOTDATA("Sum of New",HFSVPivot!$B$3,"Year",Table_s_srs_v01_pds_RAP_HFSV_Outcome[[#This Row],[Year]])</f>
        <v>28114</v>
      </c>
      <c r="G17" s="602">
        <f>GETPIVOTDATA("Sum of Replacement",HFSVPivot!$B$3,"Year",Table_s_srs_v01_pds_RAP_HFSV_Outcome[[#This Row],[Year]])</f>
        <v>14271</v>
      </c>
      <c r="H17"/>
    </row>
    <row r="18" spans="1:8" x14ac:dyDescent="0.35">
      <c r="A18" s="596" t="s">
        <v>214</v>
      </c>
      <c r="B18" s="602">
        <f>GETPIVOTDATA("Sum of HFSV_AlarmsInstalled",HFSVPivot!$B$3,"Year",Table_s_srs_v01_pds_RAP_HFSV_Outcome[[#This Row],[Year]])</f>
        <v>24462</v>
      </c>
      <c r="C18" s="602">
        <f>GETPIVOTDATA("Sum of HFSV_AdviceOnly",HFSVPivot!$B$3,"Year",Table_s_srs_v01_pds_RAP_HFSV_Outcome[[#This Row],[Year]])</f>
        <v>44740</v>
      </c>
      <c r="D18" s="603">
        <f>GETPIVOTDATA("Sum of Total_HFSV",HFSVPivot!$B$3,"Year",Table_s_srs_v01_pds_RAP_HFSV_Outcome[[#This Row],[Year]])</f>
        <v>69202</v>
      </c>
      <c r="E18" s="602">
        <f>GETPIVOTDATA("Sum of Total_Alarms",HFSVPivot!$B$3,"Year",Table_s_srs_v01_pds_RAP_HFSV_Outcome[[#This Row],[Year]])</f>
        <v>37549</v>
      </c>
      <c r="F18" s="610">
        <f>GETPIVOTDATA("Sum of New",HFSVPivot!$B$3,"Year",Table_s_srs_v01_pds_RAP_HFSV_Outcome[[#This Row],[Year]])</f>
        <v>25645</v>
      </c>
      <c r="G18" s="602">
        <f>GETPIVOTDATA("Sum of Replacement",HFSVPivot!$B$3,"Year",Table_s_srs_v01_pds_RAP_HFSV_Outcome[[#This Row],[Year]])</f>
        <v>11904</v>
      </c>
      <c r="H18"/>
    </row>
    <row r="19" spans="1:8" x14ac:dyDescent="0.35">
      <c r="A19" s="596" t="s">
        <v>313</v>
      </c>
      <c r="B19" s="602">
        <f>GETPIVOTDATA("Sum of HFSV_AlarmsInstalled",HFSVPivot!$B$3,"Year",Table_s_srs_v01_pds_RAP_HFSV_Outcome[[#This Row],[Year]])</f>
        <v>22292</v>
      </c>
      <c r="C19" s="602">
        <f>GETPIVOTDATA("Sum of HFSV_AdviceOnly",HFSVPivot!$B$3,"Year",Table_s_srs_v01_pds_RAP_HFSV_Outcome[[#This Row],[Year]])</f>
        <v>46945</v>
      </c>
      <c r="D19" s="603">
        <f>GETPIVOTDATA("Sum of Total_HFSV",HFSVPivot!$B$3,"Year",Table_s_srs_v01_pds_RAP_HFSV_Outcome[[#This Row],[Year]])</f>
        <v>69237</v>
      </c>
      <c r="E19" s="602">
        <f>GETPIVOTDATA("Sum of Total_Alarms",HFSVPivot!$B$3,"Year",Table_s_srs_v01_pds_RAP_HFSV_Outcome[[#This Row],[Year]])</f>
        <v>34610</v>
      </c>
      <c r="F19" s="610">
        <f>GETPIVOTDATA("Sum of New",HFSVPivot!$B$3,"Year",Table_s_srs_v01_pds_RAP_HFSV_Outcome[[#This Row],[Year]])</f>
        <v>24016</v>
      </c>
      <c r="G19" s="602">
        <f>GETPIVOTDATA("Sum of Replacement",HFSVPivot!$B$3,"Year",Table_s_srs_v01_pds_RAP_HFSV_Outcome[[#This Row],[Year]])</f>
        <v>10594</v>
      </c>
      <c r="H19"/>
    </row>
    <row r="20" spans="1:8" x14ac:dyDescent="0.35">
      <c r="A20" s="596" t="s">
        <v>319</v>
      </c>
      <c r="B20" s="602">
        <f>GETPIVOTDATA("Sum of HFSV_AlarmsInstalled",HFSVPivot!$B$3,"Year",Table_s_srs_v01_pds_RAP_HFSV_Outcome[[#This Row],[Year]])</f>
        <v>7679</v>
      </c>
      <c r="C20" s="602">
        <f>GETPIVOTDATA("Sum of HFSV_AdviceOnly",HFSVPivot!$B$3,"Year",Table_s_srs_v01_pds_RAP_HFSV_Outcome[[#This Row],[Year]])</f>
        <v>12319</v>
      </c>
      <c r="D20" s="603">
        <f>GETPIVOTDATA("Sum of Total_HFSV",HFSVPivot!$B$3,"Year",Table_s_srs_v01_pds_RAP_HFSV_Outcome[[#This Row],[Year]])</f>
        <v>19998</v>
      </c>
      <c r="E20" s="602">
        <f>GETPIVOTDATA("Sum of Total_Alarms",HFSVPivot!$B$3,"Year",Table_s_srs_v01_pds_RAP_HFSV_Outcome[[#This Row],[Year]])</f>
        <v>12535</v>
      </c>
      <c r="F20" s="610">
        <f>GETPIVOTDATA("Sum of New",HFSVPivot!$B$3,"Year",Table_s_srs_v01_pds_RAP_HFSV_Outcome[[#This Row],[Year]])</f>
        <v>8696</v>
      </c>
      <c r="G20" s="602">
        <f>GETPIVOTDATA("Sum of Replacement",HFSVPivot!$B$3,"Year",Table_s_srs_v01_pds_RAP_HFSV_Outcome[[#This Row],[Year]])</f>
        <v>3839</v>
      </c>
      <c r="H20"/>
    </row>
    <row r="21" spans="1:8" x14ac:dyDescent="0.35">
      <c r="A21" s="596" t="s">
        <v>321</v>
      </c>
      <c r="B21" s="702">
        <f>GETPIVOTDATA("Sum of HFSV_AlarmsInstalled",HFSVPivot!$B$3,"Year",Table_s_srs_v01_pds_RAP_HFSV_Outcome[[#This Row],[Year]])</f>
        <v>16504</v>
      </c>
      <c r="C21" s="702">
        <f>GETPIVOTDATA("Sum of HFSV_AdviceOnly",HFSVPivot!$B$3,"Year",Table_s_srs_v01_pds_RAP_HFSV_Outcome[[#This Row],[Year]])</f>
        <v>27692</v>
      </c>
      <c r="D21" s="603">
        <f>GETPIVOTDATA("Sum of Total_HFSV",HFSVPivot!$B$3,"Year",Table_s_srs_v01_pds_RAP_HFSV_Outcome[[#This Row],[Year]])</f>
        <v>44196</v>
      </c>
      <c r="E21" s="702">
        <f>GETPIVOTDATA("Sum of Total_Alarms",HFSVPivot!$B$3,"Year",Table_s_srs_v01_pds_RAP_HFSV_Outcome[[#This Row],[Year]])</f>
        <v>45586</v>
      </c>
      <c r="F21" s="717"/>
      <c r="G21" s="702"/>
    </row>
    <row r="22" spans="1:8" x14ac:dyDescent="0.35">
      <c r="A22" s="596" t="s">
        <v>326</v>
      </c>
      <c r="B22" s="702">
        <f>GETPIVOTDATA("Sum of HFSV_AlarmsInstalled",HFSVPivot!$B$3,"Year",Table_s_srs_v01_pds_RAP_HFSV_Outcome[[#This Row],[Year]])</f>
        <v>6764</v>
      </c>
      <c r="C22" s="702">
        <f>GETPIVOTDATA("Sum of HFSV_AdviceOnly",HFSVPivot!$B$3,"Year",Table_s_srs_v01_pds_RAP_HFSV_Outcome[[#This Row],[Year]])</f>
        <v>31935</v>
      </c>
      <c r="D22" s="603">
        <f>GETPIVOTDATA("Sum of Total_HFSV",HFSVPivot!$B$3,"Year",Table_s_srs_v01_pds_RAP_HFSV_Outcome[[#This Row],[Year]])</f>
        <v>38699</v>
      </c>
      <c r="E22" s="702">
        <f>GETPIVOTDATA("Sum of Total_Alarms",HFSVPivot!$B$3,"Year",Table_s_srs_v01_pds_RAP_HFSV_Outcome[[#This Row],[Year]])</f>
        <v>15690</v>
      </c>
      <c r="F22" s="717"/>
      <c r="G22" s="702"/>
    </row>
    <row r="23" spans="1:8" ht="15" customHeight="1" x14ac:dyDescent="0.35">
      <c r="A23" s="862" t="s">
        <v>327</v>
      </c>
      <c r="B23" s="602">
        <f>GETPIVOTDATA("Sum of HFSV_AlarmsInstalled",HFSVPivot!$B$3,"Year",Table_s_srs_v01_pds_RAP_HFSV_Outcome[[#This Row],[Year]])</f>
        <v>5940</v>
      </c>
      <c r="C23" s="602">
        <f>GETPIVOTDATA("Sum of HFSV_AdviceOnly",HFSVPivot!$B$3,"Year",Table_s_srs_v01_pds_RAP_HFSV_Outcome[[#This Row],[Year]])</f>
        <v>30802</v>
      </c>
      <c r="D23" s="603">
        <f>GETPIVOTDATA("Sum of Total_HFSV",HFSVPivot!$B$3,"Year",Table_s_srs_v01_pds_RAP_HFSV_Outcome[[#This Row],[Year]])</f>
        <v>36742</v>
      </c>
      <c r="E23" s="602">
        <f>GETPIVOTDATA("Sum of Total_Alarms",HFSVPivot!$B$3,"Year",Table_s_srs_v01_pds_RAP_HFSV_Outcome[[#This Row],[Year]])</f>
        <v>15794</v>
      </c>
      <c r="F23" s="610">
        <f>GETPIVOTDATA("Sum of New",HFSVPivot!$B$3,"Year",Table_s_srs_v01_pds_RAP_HFSV_Outcome[[#This Row],[Year]])</f>
        <v>11486</v>
      </c>
      <c r="G23" s="602">
        <f>GETPIVOTDATA("Sum of Replacement",HFSVPivot!$B$3,"Year",Table_s_srs_v01_pds_RAP_HFSV_Outcome[[#This Row],[Year]])</f>
        <v>4308</v>
      </c>
    </row>
    <row r="24" spans="1:8" ht="15" customHeight="1" x14ac:dyDescent="0.35">
      <c r="A24" s="862" t="s">
        <v>466</v>
      </c>
      <c r="B24" s="602">
        <f>GETPIVOTDATA("Sum of HFSV_AlarmsInstalled",HFSVPivot!$B$3,"Year",Table_s_srs_v01_pds_RAP_HFSV_Outcome[[#This Row],[Year]])</f>
        <v>4241</v>
      </c>
      <c r="C24" s="602">
        <f>GETPIVOTDATA("Sum of HFSV_AdviceOnly",HFSVPivot!$B$3,"Year",Table_s_srs_v01_pds_RAP_HFSV_Outcome[[#This Row],[Year]])</f>
        <v>29848</v>
      </c>
      <c r="D24" s="603">
        <f>GETPIVOTDATA("Sum of Total_HFSV",HFSVPivot!$B$3,"Year",Table_s_srs_v01_pds_RAP_HFSV_Outcome[[#This Row],[Year]])</f>
        <v>34089</v>
      </c>
      <c r="E24" s="602">
        <f>GETPIVOTDATA("Sum of Total_Alarms",HFSVPivot!$B$3,"Year",Table_s_srs_v01_pds_RAP_HFSV_Outcome[[#This Row],[Year]])</f>
        <v>11728</v>
      </c>
      <c r="F24" s="1003">
        <f>GETPIVOTDATA("Sum of New",HFSVPivot!$B$3,"Year",Table_s_srs_v01_pds_RAP_HFSV_Outcome[[#This Row],[Year]])</f>
        <v>7881</v>
      </c>
      <c r="G24" s="1004">
        <f>GETPIVOTDATA("Sum of Replacement",HFSVPivot!$B$3,"Year",Table_s_srs_v01_pds_RAP_HFSV_Outcome[[#This Row],[Year]])</f>
        <v>2913</v>
      </c>
    </row>
    <row r="25" spans="1:8" ht="15" customHeight="1" x14ac:dyDescent="0.35">
      <c r="A25" s="176"/>
      <c r="B25" s="202"/>
      <c r="C25" s="202"/>
      <c r="D25" s="597"/>
      <c r="E25" s="202"/>
      <c r="F25" s="202"/>
      <c r="G25" s="202"/>
    </row>
    <row r="26" spans="1:8" x14ac:dyDescent="0.35">
      <c r="A26" s="774" t="str">
        <f xml:space="preserve"> "One Year Change " &amp; A23 &amp; " to " &amp;A24</f>
        <v>One Year Change 2023-24 to 2024-25</v>
      </c>
      <c r="B26" s="774"/>
      <c r="C26" s="774"/>
      <c r="D26" s="774"/>
      <c r="E26" s="202"/>
      <c r="F26" s="25"/>
      <c r="G26" s="25"/>
    </row>
    <row r="27" spans="1:8" x14ac:dyDescent="0.35">
      <c r="A27" s="218" t="s">
        <v>346</v>
      </c>
      <c r="B27" s="941">
        <f>B24-B23</f>
        <v>-1699</v>
      </c>
      <c r="C27" s="941">
        <f>C24-C23</f>
        <v>-954</v>
      </c>
      <c r="D27" s="941">
        <f>D24-D23</f>
        <v>-2653</v>
      </c>
      <c r="E27" s="941">
        <f>E24-E23</f>
        <v>-4066</v>
      </c>
      <c r="F27" s="863"/>
      <c r="G27" s="863"/>
    </row>
    <row r="28" spans="1:8" ht="14.5" customHeight="1" thickBot="1" x14ac:dyDescent="0.4">
      <c r="A28" s="219" t="s">
        <v>92</v>
      </c>
      <c r="B28" s="942">
        <f>B27/B23</f>
        <v>-0.28602693602693602</v>
      </c>
      <c r="C28" s="942">
        <f t="shared" ref="C28:E28" si="0">C27/C23</f>
        <v>-3.0972014804233491E-2</v>
      </c>
      <c r="D28" s="942">
        <f t="shared" si="0"/>
        <v>-7.2206194545751459E-2</v>
      </c>
      <c r="E28" s="942">
        <f t="shared" si="0"/>
        <v>-0.25743953400025327</v>
      </c>
      <c r="F28" s="864"/>
      <c r="G28" s="864"/>
    </row>
    <row r="29" spans="1:8" ht="14.5" customHeight="1" x14ac:dyDescent="0.35"/>
    <row r="30" spans="1:8" ht="29.15" customHeight="1" x14ac:dyDescent="0.35">
      <c r="A30" s="774" t="str">
        <f>"Five Year Change " &amp; A19 &amp; " to " &amp; A24</f>
        <v>Five Year Change 2019-20 to 2024-25</v>
      </c>
      <c r="B30" s="774"/>
      <c r="C30" s="774"/>
      <c r="D30" s="774"/>
      <c r="E30" s="202"/>
      <c r="F30" s="25"/>
      <c r="G30" s="25"/>
    </row>
    <row r="31" spans="1:8" x14ac:dyDescent="0.35">
      <c r="A31" s="218" t="s">
        <v>346</v>
      </c>
      <c r="B31" s="863">
        <f>B24-B19</f>
        <v>-18051</v>
      </c>
      <c r="C31" s="863">
        <f>C24-C19</f>
        <v>-17097</v>
      </c>
      <c r="D31" s="863">
        <f t="shared" ref="D31:E31" si="1">D24-D19</f>
        <v>-35148</v>
      </c>
      <c r="E31" s="863">
        <f t="shared" si="1"/>
        <v>-22882</v>
      </c>
      <c r="F31" s="865"/>
      <c r="G31" s="865"/>
    </row>
    <row r="32" spans="1:8" ht="15" thickBot="1" x14ac:dyDescent="0.4">
      <c r="A32" s="219" t="s">
        <v>92</v>
      </c>
      <c r="B32" s="864">
        <f>B31/B19</f>
        <v>-0.80975237753454155</v>
      </c>
      <c r="C32" s="864">
        <f t="shared" ref="C32:E32" si="2">C31/C19</f>
        <v>-0.36419213973799125</v>
      </c>
      <c r="D32" s="864">
        <f t="shared" si="2"/>
        <v>-0.50764764504527926</v>
      </c>
      <c r="E32" s="864">
        <f t="shared" si="2"/>
        <v>-0.66113839930655882</v>
      </c>
      <c r="F32" s="866"/>
      <c r="G32" s="866"/>
    </row>
    <row r="33" spans="1:8" ht="30" customHeight="1" x14ac:dyDescent="0.35">
      <c r="A33" s="378"/>
      <c r="B33" s="379"/>
      <c r="C33" s="379"/>
      <c r="D33" s="380"/>
      <c r="E33" s="379"/>
      <c r="F33" s="379"/>
      <c r="G33" s="379"/>
    </row>
    <row r="34" spans="1:8" x14ac:dyDescent="0.35">
      <c r="A34" s="661" t="s">
        <v>329</v>
      </c>
      <c r="B34" s="379"/>
      <c r="C34" s="379"/>
      <c r="D34" s="380"/>
      <c r="E34" s="379"/>
      <c r="F34" s="379"/>
      <c r="G34" s="379"/>
      <c r="H34" s="558"/>
    </row>
    <row r="35" spans="1:8" ht="60.65" customHeight="1" x14ac:dyDescent="0.35">
      <c r="A35" s="1055" t="s">
        <v>936</v>
      </c>
      <c r="B35" s="1055"/>
      <c r="C35" s="1055"/>
      <c r="D35" s="1055"/>
      <c r="E35" s="1055"/>
      <c r="F35" s="1055"/>
      <c r="G35" s="415"/>
    </row>
    <row r="36" spans="1:8" ht="27.65" customHeight="1" x14ac:dyDescent="0.35">
      <c r="A36" s="1044" t="s">
        <v>937</v>
      </c>
      <c r="B36" s="1044"/>
      <c r="C36" s="1044"/>
      <c r="D36" s="1044"/>
      <c r="E36" s="1044"/>
      <c r="F36" s="1044"/>
      <c r="G36" s="1044"/>
      <c r="H36" s="297"/>
    </row>
    <row r="37" spans="1:8" ht="45.65" customHeight="1" x14ac:dyDescent="0.35">
      <c r="A37" s="1014" t="s">
        <v>1298</v>
      </c>
      <c r="B37" s="1014"/>
      <c r="C37" s="1014"/>
      <c r="D37" s="1014"/>
      <c r="E37" s="1014"/>
      <c r="F37" s="1014"/>
      <c r="G37" s="1014"/>
      <c r="H37" s="297"/>
    </row>
    <row r="38" spans="1:8" ht="31" customHeight="1" x14ac:dyDescent="0.35">
      <c r="A38" s="1056" t="s">
        <v>938</v>
      </c>
      <c r="B38" s="1056"/>
      <c r="C38" s="1056"/>
      <c r="D38" s="1056"/>
      <c r="E38" s="1056"/>
      <c r="F38" s="1056"/>
      <c r="G38" s="1056"/>
      <c r="H38" s="297"/>
    </row>
    <row r="39" spans="1:8" ht="24" customHeight="1" x14ac:dyDescent="0.35">
      <c r="A39" s="172"/>
      <c r="B39" s="220"/>
      <c r="C39" s="220"/>
      <c r="D39" s="220"/>
      <c r="E39" s="220"/>
      <c r="F39" s="25"/>
      <c r="G39" s="25"/>
      <c r="H39" s="297"/>
    </row>
    <row r="40" spans="1:8" ht="41.5" customHeight="1" x14ac:dyDescent="0.35">
      <c r="A40" s="1042" t="s">
        <v>939</v>
      </c>
      <c r="B40" s="1042"/>
      <c r="C40" s="1042"/>
      <c r="D40" s="1042"/>
      <c r="E40" s="297"/>
      <c r="F40" s="297"/>
      <c r="G40" s="297"/>
      <c r="H40" s="297"/>
    </row>
    <row r="41" spans="1:8" ht="15.5" x14ac:dyDescent="0.35">
      <c r="A41" t="s">
        <v>202</v>
      </c>
      <c r="B41" t="s">
        <v>134</v>
      </c>
      <c r="C41" s="297"/>
      <c r="D41" s="297"/>
      <c r="E41" s="297"/>
      <c r="F41" s="297"/>
      <c r="G41" s="297"/>
      <c r="H41" s="297"/>
    </row>
    <row r="42" spans="1:8" ht="15.5" x14ac:dyDescent="0.35">
      <c r="A42" t="s">
        <v>203</v>
      </c>
      <c r="B42" t="s">
        <v>204</v>
      </c>
      <c r="C42" s="297"/>
      <c r="D42" s="297"/>
      <c r="E42" s="297"/>
      <c r="F42" s="297"/>
      <c r="G42" s="297"/>
      <c r="H42" s="297"/>
    </row>
    <row r="43" spans="1:8" ht="15.5" x14ac:dyDescent="0.35">
      <c r="A43" t="s">
        <v>205</v>
      </c>
      <c r="B43" t="s">
        <v>930</v>
      </c>
      <c r="C43" s="297"/>
      <c r="D43" s="297"/>
      <c r="E43" s="297"/>
      <c r="F43" s="297"/>
      <c r="G43" s="297"/>
    </row>
    <row r="44" spans="1:8" ht="15.5" x14ac:dyDescent="0.35">
      <c r="C44" s="297"/>
      <c r="D44" s="297"/>
      <c r="E44" s="297"/>
      <c r="F44" s="297"/>
      <c r="G44" s="297"/>
    </row>
    <row r="45" spans="1:8" x14ac:dyDescent="0.35">
      <c r="A45" s="131"/>
      <c r="B45" s="221" t="s">
        <v>92</v>
      </c>
      <c r="C45" s="300"/>
      <c r="D45" s="502"/>
      <c r="E45" s="502" t="s">
        <v>940</v>
      </c>
      <c r="G45" s="25"/>
    </row>
    <row r="46" spans="1:8" ht="26.5" x14ac:dyDescent="0.35">
      <c r="A46" s="222" t="s">
        <v>207</v>
      </c>
      <c r="B46" s="216" t="s">
        <v>932</v>
      </c>
      <c r="C46" s="170" t="s">
        <v>933</v>
      </c>
      <c r="D46" s="531" t="s">
        <v>941</v>
      </c>
      <c r="E46" s="533" t="s">
        <v>942</v>
      </c>
    </row>
    <row r="47" spans="1:8" x14ac:dyDescent="0.35">
      <c r="A47" s="236" t="str">
        <f t="shared" ref="A47:A59" si="3">A10</f>
        <v>2010-11</v>
      </c>
      <c r="B47" s="700">
        <f t="shared" ref="B47:C61" si="4">B10/$D10%</f>
        <v>64.47563057083255</v>
      </c>
      <c r="C47" s="700">
        <f t="shared" si="4"/>
        <v>35.524369429167457</v>
      </c>
      <c r="D47" s="534"/>
      <c r="E47" s="686"/>
      <c r="G47" s="25"/>
    </row>
    <row r="48" spans="1:8" x14ac:dyDescent="0.35">
      <c r="A48" s="236" t="str">
        <f t="shared" si="3"/>
        <v>2011-12</v>
      </c>
      <c r="B48" s="700">
        <f t="shared" si="4"/>
        <v>51.014236448846049</v>
      </c>
      <c r="C48" s="700">
        <f t="shared" si="4"/>
        <v>48.985763551153944</v>
      </c>
      <c r="D48" s="535">
        <f t="shared" ref="D48:D61" si="5">E11/D11</f>
        <v>0.82049694933239015</v>
      </c>
      <c r="E48" s="687">
        <f t="shared" ref="E48:E61" si="6">E11/B11</f>
        <v>1.6083685779657491</v>
      </c>
      <c r="G48" s="25"/>
    </row>
    <row r="49" spans="1:10" x14ac:dyDescent="0.35">
      <c r="A49" s="236" t="str">
        <f t="shared" si="3"/>
        <v>2012-13</v>
      </c>
      <c r="B49" s="700">
        <f t="shared" si="4"/>
        <v>46.244511208689623</v>
      </c>
      <c r="C49" s="700">
        <f t="shared" si="4"/>
        <v>53.755488791310377</v>
      </c>
      <c r="D49" s="535">
        <f t="shared" si="5"/>
        <v>0.78437716662814883</v>
      </c>
      <c r="E49" s="687">
        <f t="shared" si="6"/>
        <v>1.696151924037981</v>
      </c>
      <c r="G49" s="25"/>
    </row>
    <row r="50" spans="1:10" x14ac:dyDescent="0.35">
      <c r="A50" s="236" t="str">
        <f t="shared" si="3"/>
        <v>2013-14</v>
      </c>
      <c r="B50" s="700">
        <f t="shared" si="4"/>
        <v>41.628195023082988</v>
      </c>
      <c r="C50" s="700">
        <f t="shared" si="4"/>
        <v>58.371804976917012</v>
      </c>
      <c r="D50" s="535">
        <f t="shared" si="5"/>
        <v>0.64975791014525386</v>
      </c>
      <c r="E50" s="687">
        <f t="shared" si="6"/>
        <v>1.56086015688396</v>
      </c>
      <c r="G50" s="25"/>
    </row>
    <row r="51" spans="1:10" ht="15" customHeight="1" x14ac:dyDescent="0.35">
      <c r="A51" s="236" t="str">
        <f t="shared" si="3"/>
        <v>2014-15</v>
      </c>
      <c r="B51" s="700">
        <f t="shared" si="4"/>
        <v>41.065205812980295</v>
      </c>
      <c r="C51" s="700">
        <f t="shared" si="4"/>
        <v>58.934794187019712</v>
      </c>
      <c r="D51" s="535">
        <f t="shared" si="5"/>
        <v>0.63656699383702353</v>
      </c>
      <c r="E51" s="687">
        <f t="shared" si="6"/>
        <v>1.5501371081301416</v>
      </c>
      <c r="G51" s="25"/>
    </row>
    <row r="52" spans="1:10" x14ac:dyDescent="0.35">
      <c r="A52" s="236" t="str">
        <f t="shared" si="3"/>
        <v>2015-16</v>
      </c>
      <c r="B52" s="700">
        <f t="shared" si="4"/>
        <v>39.513643905907948</v>
      </c>
      <c r="C52" s="700">
        <f t="shared" si="4"/>
        <v>60.486356094092059</v>
      </c>
      <c r="D52" s="535">
        <f t="shared" si="5"/>
        <v>0.60947892410446614</v>
      </c>
      <c r="E52" s="687">
        <f t="shared" si="6"/>
        <v>1.5424518314630531</v>
      </c>
      <c r="G52" s="25"/>
    </row>
    <row r="53" spans="1:10" x14ac:dyDescent="0.35">
      <c r="A53" s="236" t="str">
        <f t="shared" si="3"/>
        <v>2016-17</v>
      </c>
      <c r="B53" s="700">
        <f t="shared" si="4"/>
        <v>40.982471998983065</v>
      </c>
      <c r="C53" s="700">
        <f t="shared" si="4"/>
        <v>59.017528001016935</v>
      </c>
      <c r="D53" s="535">
        <f t="shared" si="5"/>
        <v>0.62599398313583143</v>
      </c>
      <c r="E53" s="687">
        <f t="shared" si="6"/>
        <v>1.5274676040805073</v>
      </c>
      <c r="G53" s="25"/>
    </row>
    <row r="54" spans="1:10" x14ac:dyDescent="0.35">
      <c r="A54" s="236" t="str">
        <f t="shared" si="3"/>
        <v>2017-18</v>
      </c>
      <c r="B54" s="700">
        <f t="shared" si="4"/>
        <v>39.744526070083488</v>
      </c>
      <c r="C54" s="700">
        <f t="shared" si="4"/>
        <v>60.255473929916519</v>
      </c>
      <c r="D54" s="535">
        <f t="shared" si="5"/>
        <v>0.60696538786498833</v>
      </c>
      <c r="E54" s="687">
        <f t="shared" si="6"/>
        <v>1.5271672551704258</v>
      </c>
      <c r="G54" s="25"/>
    </row>
    <row r="55" spans="1:10" x14ac:dyDescent="0.35">
      <c r="A55" s="236" t="str">
        <f t="shared" si="3"/>
        <v>2018-19</v>
      </c>
      <c r="B55" s="700">
        <f t="shared" si="4"/>
        <v>35.348689344238608</v>
      </c>
      <c r="C55" s="700">
        <f t="shared" si="4"/>
        <v>64.651310655761392</v>
      </c>
      <c r="D55" s="535">
        <f t="shared" si="5"/>
        <v>0.54259992485766306</v>
      </c>
      <c r="E55" s="687">
        <f t="shared" si="6"/>
        <v>1.5349930504455891</v>
      </c>
      <c r="G55" s="25"/>
    </row>
    <row r="56" spans="1:10" x14ac:dyDescent="0.35">
      <c r="A56" s="236" t="str">
        <f t="shared" si="3"/>
        <v>2019-20</v>
      </c>
      <c r="B56" s="700">
        <f t="shared" si="4"/>
        <v>32.196657856348487</v>
      </c>
      <c r="C56" s="700">
        <f t="shared" si="4"/>
        <v>67.80334214365152</v>
      </c>
      <c r="D56" s="535">
        <f t="shared" si="5"/>
        <v>0.49987723327122779</v>
      </c>
      <c r="E56" s="687">
        <f t="shared" si="6"/>
        <v>1.5525749147676295</v>
      </c>
      <c r="G56" s="25"/>
    </row>
    <row r="57" spans="1:10" x14ac:dyDescent="0.35">
      <c r="A57" s="236" t="str">
        <f t="shared" si="3"/>
        <v>2020-21</v>
      </c>
      <c r="B57" s="700">
        <f t="shared" si="4"/>
        <v>38.398839883988401</v>
      </c>
      <c r="C57" s="700">
        <f t="shared" si="4"/>
        <v>61.601160116011606</v>
      </c>
      <c r="D57" s="535">
        <f t="shared" si="5"/>
        <v>0.62681268126812684</v>
      </c>
      <c r="E57" s="687">
        <f t="shared" si="6"/>
        <v>1.6323740070321657</v>
      </c>
    </row>
    <row r="58" spans="1:10" ht="15.75" customHeight="1" x14ac:dyDescent="0.35">
      <c r="A58" s="236" t="str">
        <f t="shared" si="3"/>
        <v>2021-22</v>
      </c>
      <c r="B58" s="874">
        <f t="shared" si="4"/>
        <v>37.342745949859719</v>
      </c>
      <c r="C58" s="924">
        <f t="shared" si="4"/>
        <v>62.657254050140288</v>
      </c>
      <c r="D58" s="775">
        <f t="shared" si="5"/>
        <v>1.0314508100280568</v>
      </c>
      <c r="E58" s="776">
        <f t="shared" si="6"/>
        <v>2.7621182743577313</v>
      </c>
      <c r="H58" s="297"/>
      <c r="I58" s="297"/>
      <c r="J58" s="297"/>
    </row>
    <row r="59" spans="1:10" ht="15.75" customHeight="1" x14ac:dyDescent="0.35">
      <c r="A59" s="236" t="str">
        <f t="shared" si="3"/>
        <v>2022-23</v>
      </c>
      <c r="B59" s="874">
        <f t="shared" si="4"/>
        <v>17.478487816222643</v>
      </c>
      <c r="C59" s="924">
        <f t="shared" si="4"/>
        <v>82.521512183777361</v>
      </c>
      <c r="D59" s="776">
        <f t="shared" si="5"/>
        <v>0.40543683299310057</v>
      </c>
      <c r="E59" s="776">
        <f t="shared" si="6"/>
        <v>2.3196333530455351</v>
      </c>
      <c r="F59" s="518"/>
      <c r="G59" s="25"/>
      <c r="H59" s="297"/>
      <c r="I59" s="297"/>
      <c r="J59" s="297"/>
    </row>
    <row r="60" spans="1:10" ht="15.75" customHeight="1" x14ac:dyDescent="0.35">
      <c r="A60" s="236" t="s">
        <v>327</v>
      </c>
      <c r="B60" s="700">
        <f t="shared" si="4"/>
        <v>16.166784606172772</v>
      </c>
      <c r="C60" s="943">
        <f t="shared" si="4"/>
        <v>83.833215393827217</v>
      </c>
      <c r="D60" s="687">
        <f t="shared" si="5"/>
        <v>0.42986228294594742</v>
      </c>
      <c r="E60" s="944">
        <f t="shared" si="6"/>
        <v>2.6589225589225589</v>
      </c>
      <c r="F60" s="518"/>
      <c r="G60" s="25"/>
      <c r="H60" s="297"/>
      <c r="I60" s="297"/>
      <c r="J60" s="297"/>
    </row>
    <row r="61" spans="1:10" ht="15.75" customHeight="1" thickBot="1" x14ac:dyDescent="0.4">
      <c r="A61" s="685" t="s">
        <v>466</v>
      </c>
      <c r="B61" s="873">
        <f t="shared" si="4"/>
        <v>12.440963360614862</v>
      </c>
      <c r="C61" s="925">
        <f t="shared" si="4"/>
        <v>87.559036639385141</v>
      </c>
      <c r="D61" s="867">
        <f t="shared" si="5"/>
        <v>0.3440405996069113</v>
      </c>
      <c r="E61" s="868">
        <f t="shared" si="6"/>
        <v>2.7653855222824806</v>
      </c>
      <c r="F61" s="518"/>
      <c r="G61" s="25"/>
      <c r="H61" s="297"/>
      <c r="I61" s="297"/>
      <c r="J61" s="297"/>
    </row>
    <row r="62" spans="1:10" ht="15.75" customHeight="1" x14ac:dyDescent="0.35">
      <c r="A62" s="236"/>
      <c r="B62" s="100"/>
      <c r="C62" s="100"/>
      <c r="D62" s="945"/>
      <c r="E62" s="945"/>
      <c r="F62" s="518"/>
      <c r="G62" s="25"/>
      <c r="H62" s="297"/>
      <c r="I62" s="297"/>
      <c r="J62" s="297"/>
    </row>
    <row r="63" spans="1:10" ht="15.5" x14ac:dyDescent="0.35">
      <c r="A63" s="312" t="s">
        <v>329</v>
      </c>
      <c r="B63" s="220"/>
      <c r="C63" s="220"/>
      <c r="D63" s="517"/>
      <c r="E63" s="518"/>
      <c r="F63" s="518"/>
      <c r="G63" s="25"/>
      <c r="H63" s="297"/>
      <c r="I63" s="297"/>
      <c r="J63" s="297"/>
    </row>
    <row r="64" spans="1:10" ht="60" customHeight="1" x14ac:dyDescent="0.35">
      <c r="A64" s="1014" t="s">
        <v>943</v>
      </c>
      <c r="B64" s="1014"/>
      <c r="C64" s="1014"/>
      <c r="D64" s="1014"/>
      <c r="E64" s="1014"/>
      <c r="F64" s="1014"/>
      <c r="G64" s="25"/>
      <c r="H64" s="297"/>
      <c r="I64" s="297"/>
      <c r="J64" s="297"/>
    </row>
    <row r="65" spans="1:10" ht="27.65" customHeight="1" x14ac:dyDescent="0.35">
      <c r="A65" s="1044" t="s">
        <v>937</v>
      </c>
      <c r="B65" s="1044"/>
      <c r="C65" s="1044"/>
      <c r="D65" s="1044"/>
      <c r="E65" s="1044"/>
      <c r="F65" s="1044"/>
      <c r="G65" s="1044"/>
      <c r="H65" s="297"/>
    </row>
    <row r="66" spans="1:10" ht="47.15" customHeight="1" x14ac:dyDescent="0.35">
      <c r="A66" s="1014" t="s">
        <v>1299</v>
      </c>
      <c r="B66" s="1014"/>
      <c r="C66" s="1014"/>
      <c r="D66" s="1014"/>
      <c r="E66" s="1014"/>
      <c r="F66" s="1014"/>
      <c r="G66" s="1014"/>
      <c r="H66" s="297"/>
    </row>
    <row r="67" spans="1:10" ht="15.75" customHeight="1" x14ac:dyDescent="0.35">
      <c r="A67" s="559"/>
      <c r="B67" s="559"/>
      <c r="C67" s="559"/>
      <c r="D67" s="559"/>
      <c r="E67" s="559"/>
      <c r="F67" s="559"/>
      <c r="G67" s="25"/>
      <c r="H67" s="297"/>
      <c r="I67" s="297"/>
      <c r="J67" s="297"/>
    </row>
    <row r="68" spans="1:10" ht="15.75" customHeight="1" x14ac:dyDescent="0.35">
      <c r="A68" s="1057" t="s">
        <v>944</v>
      </c>
      <c r="B68" s="1057"/>
      <c r="C68" s="1057"/>
      <c r="D68" s="232"/>
      <c r="E68" s="232"/>
      <c r="F68" s="232"/>
      <c r="G68" s="297"/>
      <c r="H68" s="297"/>
      <c r="I68" s="297"/>
      <c r="J68" s="297"/>
    </row>
    <row r="69" spans="1:10" ht="15.5" x14ac:dyDescent="0.35">
      <c r="A69" t="s">
        <v>202</v>
      </c>
      <c r="B69" t="s">
        <v>137</v>
      </c>
      <c r="C69" s="297"/>
      <c r="D69" s="297"/>
      <c r="E69" s="297"/>
      <c r="F69" s="297"/>
      <c r="G69" s="297"/>
    </row>
    <row r="70" spans="1:10" ht="15.5" x14ac:dyDescent="0.35">
      <c r="A70" t="s">
        <v>203</v>
      </c>
      <c r="B70" t="s">
        <v>204</v>
      </c>
      <c r="C70" s="297"/>
      <c r="D70" s="297"/>
      <c r="E70" s="297"/>
      <c r="F70" s="297"/>
      <c r="G70" s="297"/>
    </row>
    <row r="71" spans="1:10" x14ac:dyDescent="0.35">
      <c r="A71" t="s">
        <v>205</v>
      </c>
      <c r="B71" t="s">
        <v>930</v>
      </c>
      <c r="C71" s="25"/>
      <c r="D71" s="107"/>
      <c r="E71" s="25"/>
      <c r="F71" s="25"/>
      <c r="G71" s="25"/>
    </row>
    <row r="72" spans="1:10" x14ac:dyDescent="0.35">
      <c r="A72" s="25"/>
      <c r="B72" s="25"/>
      <c r="C72" s="131"/>
      <c r="D72" s="131"/>
      <c r="E72" s="228" t="s">
        <v>945</v>
      </c>
      <c r="F72" s="555" t="s">
        <v>346</v>
      </c>
      <c r="G72" s="25"/>
    </row>
    <row r="73" spans="1:10" ht="26.5" x14ac:dyDescent="0.35">
      <c r="A73" s="173" t="s">
        <v>207</v>
      </c>
      <c r="B73" s="216" t="s">
        <v>946</v>
      </c>
      <c r="C73" s="170" t="s">
        <v>933</v>
      </c>
      <c r="D73" s="170" t="s">
        <v>947</v>
      </c>
      <c r="E73" s="224" t="s">
        <v>948</v>
      </c>
      <c r="F73" s="556" t="s">
        <v>926</v>
      </c>
      <c r="G73" s="25"/>
    </row>
    <row r="74" spans="1:10" x14ac:dyDescent="0.35">
      <c r="A74" s="176" t="str">
        <f t="shared" ref="A74:A86" si="7">A10</f>
        <v>2010-11</v>
      </c>
      <c r="B74" s="394">
        <f t="shared" ref="B74:B87" si="8">B10/F74*100</f>
        <v>1.4376387508721484</v>
      </c>
      <c r="C74" s="394">
        <f t="shared" ref="C74:C87" si="9">C10/F74*100</f>
        <v>0.79210097892043896</v>
      </c>
      <c r="D74" s="395">
        <f t="shared" ref="D74:D87" si="10">D10/F74*100</f>
        <v>2.2297397297925872</v>
      </c>
      <c r="E74" s="688"/>
      <c r="F74" s="369">
        <f>GETPIVOTDATA("Households",ReferenceHouseholds!$J$5,"Year",2010)</f>
        <v>2364850</v>
      </c>
      <c r="G74" s="25"/>
    </row>
    <row r="75" spans="1:10" x14ac:dyDescent="0.35">
      <c r="A75" s="176" t="str">
        <f t="shared" si="7"/>
        <v>2011-12</v>
      </c>
      <c r="B75" s="394">
        <f t="shared" si="8"/>
        <v>1.2138406277667622</v>
      </c>
      <c r="C75" s="394">
        <f t="shared" si="9"/>
        <v>1.1655748300808273</v>
      </c>
      <c r="D75" s="395">
        <f t="shared" si="10"/>
        <v>2.3794154578475895</v>
      </c>
      <c r="E75" s="394">
        <f t="shared" ref="E75:E87" si="11">E11/F75*100</f>
        <v>1.9523031243582796</v>
      </c>
      <c r="F75" s="369">
        <f>GETPIVOTDATA("Households",ReferenceHouseholds!$J$5,"Year",2011)</f>
        <v>2376424</v>
      </c>
      <c r="G75" s="25"/>
    </row>
    <row r="76" spans="1:10" x14ac:dyDescent="0.35">
      <c r="A76" s="176" t="str">
        <f t="shared" si="7"/>
        <v>2012-13</v>
      </c>
      <c r="B76" s="394">
        <f t="shared" si="8"/>
        <v>1.0899332121039444</v>
      </c>
      <c r="C76" s="394">
        <f t="shared" si="9"/>
        <v>1.2669588462537604</v>
      </c>
      <c r="D76" s="395">
        <f t="shared" si="10"/>
        <v>2.3568920583577047</v>
      </c>
      <c r="E76" s="394">
        <f t="shared" si="11"/>
        <v>1.8486923147830021</v>
      </c>
      <c r="F76" s="369">
        <f>GETPIVOTDATA("Households",ReferenceHouseholds!$J$5,"Year",2012)</f>
        <v>2386660</v>
      </c>
      <c r="G76" s="25"/>
    </row>
    <row r="77" spans="1:10" x14ac:dyDescent="0.35">
      <c r="A77" s="176" t="str">
        <f t="shared" si="7"/>
        <v>2013-14</v>
      </c>
      <c r="B77" s="394">
        <f t="shared" si="8"/>
        <v>1.2321577508538366</v>
      </c>
      <c r="C77" s="394">
        <f t="shared" si="9"/>
        <v>1.7277537950842006</v>
      </c>
      <c r="D77" s="395">
        <f t="shared" si="10"/>
        <v>2.9599115459380374</v>
      </c>
      <c r="E77" s="394">
        <f t="shared" si="11"/>
        <v>1.9232259403035068</v>
      </c>
      <c r="F77" s="369">
        <f>GETPIVOTDATA("Households",ReferenceHouseholds!$J$5,"Year",2013)</f>
        <v>2400342</v>
      </c>
      <c r="G77" s="25"/>
    </row>
    <row r="78" spans="1:10" ht="15" customHeight="1" x14ac:dyDescent="0.35">
      <c r="A78" s="176" t="str">
        <f t="shared" si="7"/>
        <v>2014-15</v>
      </c>
      <c r="B78" s="394">
        <f t="shared" si="8"/>
        <v>1.1169637262035732</v>
      </c>
      <c r="C78" s="394">
        <f t="shared" si="9"/>
        <v>1.6030122342006297</v>
      </c>
      <c r="D78" s="395">
        <f t="shared" si="10"/>
        <v>2.7199759604042031</v>
      </c>
      <c r="E78" s="394">
        <f t="shared" si="11"/>
        <v>1.7314469204234744</v>
      </c>
      <c r="F78" s="369">
        <f>GETPIVOTDATA("Households",ReferenceHouseholds!$J$5,"Year",2014)</f>
        <v>2416014</v>
      </c>
      <c r="G78" s="25"/>
    </row>
    <row r="79" spans="1:10" ht="15" customHeight="1" x14ac:dyDescent="0.35">
      <c r="A79" s="176" t="str">
        <f t="shared" si="7"/>
        <v>2015-16</v>
      </c>
      <c r="B79" s="394">
        <f t="shared" si="8"/>
        <v>1.1662001948193845</v>
      </c>
      <c r="C79" s="394">
        <f t="shared" si="9"/>
        <v>1.7851859076529779</v>
      </c>
      <c r="D79" s="395">
        <f t="shared" si="10"/>
        <v>2.9513861024723624</v>
      </c>
      <c r="E79" s="394">
        <f t="shared" si="11"/>
        <v>1.7988076263517294</v>
      </c>
      <c r="F79" s="369">
        <f>GETPIVOTDATA("Households",ReferenceHouseholds!$J$5,"Year",2015)</f>
        <v>2429943</v>
      </c>
      <c r="G79" s="25"/>
    </row>
    <row r="80" spans="1:10" ht="15" customHeight="1" x14ac:dyDescent="0.35">
      <c r="A80" s="176" t="str">
        <f t="shared" si="7"/>
        <v>2016-17</v>
      </c>
      <c r="B80" s="394">
        <f t="shared" si="8"/>
        <v>1.1861803610622479</v>
      </c>
      <c r="C80" s="394">
        <f t="shared" si="9"/>
        <v>1.7081798451539159</v>
      </c>
      <c r="D80" s="395">
        <f t="shared" si="10"/>
        <v>2.894360206216164</v>
      </c>
      <c r="E80" s="394">
        <f t="shared" si="11"/>
        <v>1.8118520741191029</v>
      </c>
      <c r="F80" s="369">
        <f>GETPIVOTDATA("Households",ReferenceHouseholds!$J$5,"Year",2016)</f>
        <v>2446171</v>
      </c>
      <c r="G80" s="25"/>
    </row>
    <row r="81" spans="1:11" ht="15" customHeight="1" x14ac:dyDescent="0.35">
      <c r="A81" s="176" t="str">
        <f t="shared" si="7"/>
        <v>2017-18</v>
      </c>
      <c r="B81" s="394">
        <f t="shared" si="8"/>
        <v>1.1269579849403264</v>
      </c>
      <c r="C81" s="394">
        <f t="shared" si="9"/>
        <v>1.7085469169249159</v>
      </c>
      <c r="D81" s="395">
        <f t="shared" si="10"/>
        <v>2.8355049018652427</v>
      </c>
      <c r="E81" s="394">
        <f t="shared" si="11"/>
        <v>1.7210533325537125</v>
      </c>
      <c r="F81" s="369">
        <f>GETPIVOTDATA("Households",ReferenceHouseholds!$J$5,"Year",2017)</f>
        <v>2462736</v>
      </c>
      <c r="G81" s="25"/>
    </row>
    <row r="82" spans="1:11" x14ac:dyDescent="0.35">
      <c r="A82" s="176" t="str">
        <f t="shared" si="7"/>
        <v>2018-19</v>
      </c>
      <c r="B82" s="394">
        <f t="shared" si="8"/>
        <v>0.98745597481103231</v>
      </c>
      <c r="C82" s="394">
        <f t="shared" si="9"/>
        <v>1.8060166917278058</v>
      </c>
      <c r="D82" s="395">
        <f t="shared" si="10"/>
        <v>2.7934726665388379</v>
      </c>
      <c r="E82" s="394">
        <f t="shared" si="11"/>
        <v>1.5157380589559093</v>
      </c>
      <c r="F82" s="369">
        <f>GETPIVOTDATA("Households",ReferenceHouseholds!$J$5,"Year",2018)</f>
        <v>2477275</v>
      </c>
      <c r="G82" s="25"/>
    </row>
    <row r="83" spans="1:11" x14ac:dyDescent="0.35">
      <c r="A83" s="176" t="str">
        <f t="shared" si="7"/>
        <v>2019-20</v>
      </c>
      <c r="B83" s="394">
        <f t="shared" si="8"/>
        <v>0.89324389140507199</v>
      </c>
      <c r="C83" s="394">
        <f t="shared" si="9"/>
        <v>1.8810934183568593</v>
      </c>
      <c r="D83" s="395">
        <f t="shared" si="10"/>
        <v>2.7743373097619308</v>
      </c>
      <c r="E83" s="394">
        <f t="shared" si="11"/>
        <v>1.3868280585649355</v>
      </c>
      <c r="F83" s="369">
        <f>GETPIVOTDATA("Households",ReferenceHouseholds!$J$5,"Year",2019)</f>
        <v>2495623</v>
      </c>
      <c r="G83" s="25"/>
    </row>
    <row r="84" spans="1:11" x14ac:dyDescent="0.35">
      <c r="A84" s="176" t="str">
        <f t="shared" si="7"/>
        <v>2020-21</v>
      </c>
      <c r="B84" s="394">
        <f t="shared" si="8"/>
        <v>0.30622601066746424</v>
      </c>
      <c r="C84" s="394">
        <f t="shared" si="9"/>
        <v>0.49126165196151739</v>
      </c>
      <c r="D84" s="395">
        <f t="shared" si="10"/>
        <v>0.79748766262898152</v>
      </c>
      <c r="E84" s="394">
        <f t="shared" si="11"/>
        <v>0.4998753800907233</v>
      </c>
      <c r="F84" s="369">
        <f>GETPIVOTDATA("Households",ReferenceHouseholds!$J$5,"Year",2020)</f>
        <v>2507625</v>
      </c>
      <c r="G84" s="25"/>
    </row>
    <row r="85" spans="1:11" x14ac:dyDescent="0.35">
      <c r="A85" s="176" t="str">
        <f t="shared" si="7"/>
        <v>2021-22</v>
      </c>
      <c r="B85" s="688">
        <f t="shared" si="8"/>
        <v>0.65263563325705276</v>
      </c>
      <c r="C85" s="688">
        <f t="shared" si="9"/>
        <v>1.0950548931261697</v>
      </c>
      <c r="D85" s="777">
        <f t="shared" si="10"/>
        <v>1.7476905263832225</v>
      </c>
      <c r="E85" s="688">
        <f t="shared" si="11"/>
        <v>1.8026568091163357</v>
      </c>
      <c r="F85" s="369">
        <f>GETPIVOTDATA("Households",ReferenceHouseholds!$J$5,"Year",2021)</f>
        <v>2528823</v>
      </c>
      <c r="G85" s="25"/>
    </row>
    <row r="86" spans="1:11" x14ac:dyDescent="0.35">
      <c r="A86" s="176" t="str">
        <f t="shared" si="7"/>
        <v>2022-23</v>
      </c>
      <c r="B86" s="688">
        <f t="shared" si="8"/>
        <v>0.26527602001257355</v>
      </c>
      <c r="C86" s="688">
        <f t="shared" si="9"/>
        <v>1.2524526462302685</v>
      </c>
      <c r="D86" s="777">
        <f t="shared" si="10"/>
        <v>1.5177286662428422</v>
      </c>
      <c r="E86" s="688">
        <f t="shared" si="11"/>
        <v>0.61534310378434043</v>
      </c>
      <c r="F86" s="369">
        <f>GETPIVOTDATA("Households",ReferenceHouseholds!$J$5,"Year",2022)</f>
        <v>2549797</v>
      </c>
      <c r="G86" s="25"/>
      <c r="K86" s="176"/>
    </row>
    <row r="87" spans="1:11" x14ac:dyDescent="0.35">
      <c r="A87" s="176" t="s">
        <v>327</v>
      </c>
      <c r="B87" s="394">
        <f t="shared" si="8"/>
        <v>0.23429087567200854</v>
      </c>
      <c r="C87" s="394">
        <f t="shared" si="9"/>
        <v>1.2149204633752875</v>
      </c>
      <c r="D87" s="395">
        <f t="shared" si="10"/>
        <v>1.449211339047296</v>
      </c>
      <c r="E87" s="394">
        <f t="shared" si="11"/>
        <v>0.62296129467402406</v>
      </c>
      <c r="F87" s="369">
        <f>GETPIVOTDATA("Households",ReferenceHouseholds!$J$5,"Year",2023)</f>
        <v>2535310</v>
      </c>
      <c r="G87" s="25"/>
      <c r="K87" s="176"/>
    </row>
    <row r="88" spans="1:11" ht="15" thickBot="1" x14ac:dyDescent="0.4">
      <c r="A88" s="184" t="s">
        <v>466</v>
      </c>
      <c r="B88" s="869">
        <f t="shared" ref="B88" si="12">B24/F88*100</f>
        <v>0.16615810798531236</v>
      </c>
      <c r="C88" s="869">
        <f t="shared" ref="C88" si="13">C24/F88*100</f>
        <v>1.1694145737197836</v>
      </c>
      <c r="D88" s="870">
        <f t="shared" ref="D88" si="14">D24/F88*100</f>
        <v>1.3355726817050961</v>
      </c>
      <c r="E88" s="869">
        <f t="shared" ref="E88" si="15">E24/F88*100</f>
        <v>0.45949122623243183</v>
      </c>
      <c r="F88" s="758">
        <f>GETPIVOTDATA("Households",ReferenceHouseholds!$J$5,"Year",2024)</f>
        <v>2552388.2351710973</v>
      </c>
      <c r="G88" s="25"/>
      <c r="K88" s="176"/>
    </row>
    <row r="89" spans="1:11" x14ac:dyDescent="0.35">
      <c r="A89" s="176"/>
      <c r="B89" s="778"/>
      <c r="C89" s="778"/>
      <c r="D89" s="779"/>
      <c r="E89" s="778"/>
      <c r="F89" s="369"/>
      <c r="G89" s="25"/>
      <c r="K89" s="176"/>
    </row>
    <row r="90" spans="1:11" x14ac:dyDescent="0.35">
      <c r="A90" s="334" t="s">
        <v>329</v>
      </c>
      <c r="B90" s="339"/>
      <c r="C90" s="339"/>
      <c r="D90" s="339"/>
      <c r="E90" s="339"/>
      <c r="F90" s="339"/>
      <c r="G90" s="339"/>
      <c r="K90" s="176"/>
    </row>
    <row r="91" spans="1:11" ht="61.5" customHeight="1" x14ac:dyDescent="0.35">
      <c r="A91" s="1014" t="s">
        <v>949</v>
      </c>
      <c r="B91" s="1014"/>
      <c r="C91" s="1014"/>
      <c r="D91" s="1014"/>
      <c r="E91" s="1014"/>
      <c r="F91" s="559"/>
      <c r="G91" s="339"/>
      <c r="K91" s="176"/>
    </row>
    <row r="92" spans="1:11" ht="27.65" customHeight="1" x14ac:dyDescent="0.35">
      <c r="A92" s="1044" t="s">
        <v>937</v>
      </c>
      <c r="B92" s="1044"/>
      <c r="C92" s="1044"/>
      <c r="D92" s="1044"/>
      <c r="E92" s="1044"/>
      <c r="F92" s="1044"/>
      <c r="G92" s="1044"/>
      <c r="H92" s="297"/>
    </row>
    <row r="93" spans="1:11" ht="47.15" customHeight="1" x14ac:dyDescent="0.35">
      <c r="A93" s="1014" t="s">
        <v>1298</v>
      </c>
      <c r="B93" s="1014"/>
      <c r="C93" s="1014"/>
      <c r="D93" s="1014"/>
      <c r="E93" s="1014"/>
      <c r="F93" s="1014"/>
      <c r="G93" s="1014"/>
      <c r="H93" s="297"/>
    </row>
    <row r="94" spans="1:11" x14ac:dyDescent="0.35">
      <c r="A94" s="516" t="s">
        <v>950</v>
      </c>
      <c r="B94" s="419"/>
      <c r="C94" s="419"/>
      <c r="D94" s="419"/>
      <c r="E94" s="419"/>
      <c r="F94" s="419"/>
      <c r="G94" s="419"/>
      <c r="K94" s="176"/>
    </row>
    <row r="95" spans="1:11" x14ac:dyDescent="0.35">
      <c r="A95" s="499" t="s">
        <v>951</v>
      </c>
      <c r="B95" s="364"/>
      <c r="C95" s="558"/>
      <c r="D95" s="558"/>
      <c r="E95" s="558"/>
      <c r="F95" s="558"/>
      <c r="G95" s="365"/>
      <c r="K95" s="176"/>
    </row>
    <row r="96" spans="1:11" x14ac:dyDescent="0.35">
      <c r="J96" s="176"/>
      <c r="K96" s="176"/>
    </row>
    <row r="97" spans="1:11" x14ac:dyDescent="0.35">
      <c r="J97" s="176"/>
      <c r="K97" s="176"/>
    </row>
    <row r="98" spans="1:11" x14ac:dyDescent="0.35">
      <c r="J98" s="176"/>
      <c r="K98" s="176"/>
    </row>
    <row r="99" spans="1:11" x14ac:dyDescent="0.35">
      <c r="J99" s="176"/>
    </row>
    <row r="100" spans="1:11" x14ac:dyDescent="0.35">
      <c r="J100" s="176"/>
    </row>
    <row r="101" spans="1:11" x14ac:dyDescent="0.35">
      <c r="A101" s="357"/>
      <c r="J101" s="176"/>
    </row>
    <row r="102" spans="1:11" x14ac:dyDescent="0.35">
      <c r="J102" s="176"/>
    </row>
    <row r="103" spans="1:11" x14ac:dyDescent="0.35">
      <c r="J103" s="176"/>
    </row>
  </sheetData>
  <sheetProtection algorithmName="SHA-512" hashValue="Ayzl2c/n3xka8BWLjp4aEbzd1yV2/UZy0nqX0QDXwWZbabOmvGBc61L86myqVcymCASBWET4bXKWesJBqOpmvA==" saltValue="Ct6ALoFYjbVZ5VZT/kM6cQ==" spinCount="100000" sheet="1" scenarios="1" formatCells="0" sort="0" autoFilter="0" pivotTables="0"/>
  <mergeCells count="13">
    <mergeCell ref="A92:G92"/>
    <mergeCell ref="A93:G93"/>
    <mergeCell ref="A40:D40"/>
    <mergeCell ref="A68:C68"/>
    <mergeCell ref="A91:E91"/>
    <mergeCell ref="A64:F64"/>
    <mergeCell ref="A66:G66"/>
    <mergeCell ref="F8:G8"/>
    <mergeCell ref="A35:F35"/>
    <mergeCell ref="A36:G36"/>
    <mergeCell ref="A37:G37"/>
    <mergeCell ref="A65:G65"/>
    <mergeCell ref="A38:G38"/>
  </mergeCells>
  <phoneticPr fontId="53" type="noConversion"/>
  <hyperlinks>
    <hyperlink ref="A94:G94" r:id="rId1" display="https://www.nrscotland.gov.uk/statistics-and-data/statistics/statistics-by-theme/households/household-estimates/2016/list-of-tables" xr:uid="{00000000-0004-0000-8000-000000000000}"/>
    <hyperlink ref="A2" location="'Table of Contents'!A1" display="Back to Table of Contents" xr:uid="{00000000-0004-0000-8000-000001000000}"/>
    <hyperlink ref="A95" r:id="rId2" xr:uid="{00000000-0004-0000-8000-000002000000}"/>
  </hyperlinks>
  <pageMargins left="0.70866141732283472" right="0.70866141732283472" top="0.74803149606299213" bottom="0.74803149606299213" header="0.31496062992125984" footer="0.31496062992125984"/>
  <pageSetup paperSize="9" scale="61" orientation="portrait" r:id="rId3"/>
  <tableParts count="1">
    <tablePart r:id="rId4"/>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48CB-879C-4EB2-9243-573977D07D53}">
  <sheetPr>
    <tabColor theme="7" tint="-0.249977111117893"/>
  </sheetPr>
  <dimension ref="B4:F30"/>
  <sheetViews>
    <sheetView workbookViewId="0">
      <selection activeCell="C9" sqref="C9"/>
    </sheetView>
  </sheetViews>
  <sheetFormatPr defaultRowHeight="14.5" x14ac:dyDescent="0.35"/>
  <cols>
    <col min="2" max="2" width="19.54296875" bestFit="1" customWidth="1"/>
    <col min="3" max="3" width="18.81640625" bestFit="1" customWidth="1"/>
    <col min="4" max="4" width="20.1796875" bestFit="1" customWidth="1"/>
    <col min="5" max="5" width="18.6328125" bestFit="1" customWidth="1"/>
    <col min="6" max="6" width="22.6328125" bestFit="1" customWidth="1"/>
  </cols>
  <sheetData>
    <row r="4" spans="2:6" x14ac:dyDescent="0.35">
      <c r="B4" s="387" t="s">
        <v>350</v>
      </c>
      <c r="C4" t="s">
        <v>952</v>
      </c>
      <c r="D4" t="s">
        <v>953</v>
      </c>
      <c r="E4" t="s">
        <v>954</v>
      </c>
      <c r="F4" t="s">
        <v>955</v>
      </c>
    </row>
    <row r="5" spans="2:6" x14ac:dyDescent="0.35">
      <c r="B5" s="388" t="s">
        <v>713</v>
      </c>
      <c r="C5">
        <v>633572</v>
      </c>
      <c r="D5">
        <v>1419390</v>
      </c>
      <c r="E5">
        <v>1759140</v>
      </c>
      <c r="F5">
        <v>310410</v>
      </c>
    </row>
    <row r="6" spans="2:6" x14ac:dyDescent="0.35">
      <c r="B6" s="389" t="s">
        <v>364</v>
      </c>
      <c r="C6">
        <v>66828</v>
      </c>
    </row>
    <row r="7" spans="2:6" x14ac:dyDescent="0.35">
      <c r="B7" s="389" t="s">
        <v>365</v>
      </c>
      <c r="C7">
        <v>63640</v>
      </c>
    </row>
    <row r="8" spans="2:6" x14ac:dyDescent="0.35">
      <c r="B8" s="389" t="s">
        <v>366</v>
      </c>
      <c r="C8">
        <v>69038</v>
      </c>
      <c r="D8">
        <v>176331</v>
      </c>
    </row>
    <row r="9" spans="2:6" x14ac:dyDescent="0.35">
      <c r="B9" s="389" t="s">
        <v>341</v>
      </c>
      <c r="C9">
        <v>68202</v>
      </c>
      <c r="D9">
        <v>177208</v>
      </c>
      <c r="F9">
        <v>45412</v>
      </c>
    </row>
    <row r="10" spans="2:6" x14ac:dyDescent="0.35">
      <c r="B10" s="389" t="s">
        <v>342</v>
      </c>
      <c r="C10">
        <v>67131</v>
      </c>
      <c r="D10">
        <v>180398</v>
      </c>
      <c r="E10">
        <v>264044</v>
      </c>
      <c r="F10">
        <v>45808</v>
      </c>
    </row>
    <row r="11" spans="2:6" x14ac:dyDescent="0.35">
      <c r="B11" s="389" t="s">
        <v>214</v>
      </c>
      <c r="C11">
        <v>66180</v>
      </c>
      <c r="D11">
        <v>176578</v>
      </c>
      <c r="E11">
        <v>267536</v>
      </c>
      <c r="F11">
        <v>47304</v>
      </c>
    </row>
    <row r="12" spans="2:6" x14ac:dyDescent="0.35">
      <c r="B12" s="389" t="s">
        <v>313</v>
      </c>
      <c r="C12">
        <v>66056</v>
      </c>
      <c r="D12">
        <v>174615</v>
      </c>
      <c r="E12">
        <v>272384</v>
      </c>
      <c r="F12">
        <v>47485</v>
      </c>
    </row>
    <row r="13" spans="2:6" x14ac:dyDescent="0.35">
      <c r="B13" s="389" t="s">
        <v>319</v>
      </c>
      <c r="C13">
        <v>19380</v>
      </c>
      <c r="D13">
        <v>135928</v>
      </c>
      <c r="E13">
        <v>235923</v>
      </c>
      <c r="F13">
        <v>12799</v>
      </c>
    </row>
    <row r="14" spans="2:6" x14ac:dyDescent="0.35">
      <c r="B14" s="389" t="s">
        <v>321</v>
      </c>
      <c r="C14">
        <v>42606</v>
      </c>
      <c r="D14">
        <v>116376</v>
      </c>
      <c r="E14">
        <v>217787</v>
      </c>
      <c r="F14">
        <v>32582</v>
      </c>
    </row>
    <row r="15" spans="2:6" x14ac:dyDescent="0.35">
      <c r="B15" s="389" t="s">
        <v>326</v>
      </c>
      <c r="C15">
        <v>36957</v>
      </c>
      <c r="D15">
        <v>87999</v>
      </c>
      <c r="E15">
        <v>193539</v>
      </c>
      <c r="F15">
        <v>26709</v>
      </c>
    </row>
    <row r="16" spans="2:6" x14ac:dyDescent="0.35">
      <c r="B16" s="389" t="s">
        <v>327</v>
      </c>
      <c r="C16">
        <v>35004</v>
      </c>
      <c r="D16">
        <v>100837</v>
      </c>
      <c r="E16">
        <v>168448</v>
      </c>
      <c r="F16">
        <v>27140</v>
      </c>
    </row>
    <row r="17" spans="2:6" x14ac:dyDescent="0.35">
      <c r="B17" s="389" t="s">
        <v>466</v>
      </c>
      <c r="C17">
        <v>32550</v>
      </c>
      <c r="D17">
        <v>93120</v>
      </c>
      <c r="E17">
        <v>139479</v>
      </c>
      <c r="F17">
        <v>25171</v>
      </c>
    </row>
    <row r="18" spans="2:6" x14ac:dyDescent="0.35">
      <c r="B18" s="388" t="s">
        <v>956</v>
      </c>
      <c r="C18">
        <v>208509</v>
      </c>
      <c r="D18">
        <v>495409</v>
      </c>
      <c r="E18">
        <v>610921</v>
      </c>
    </row>
    <row r="19" spans="2:6" x14ac:dyDescent="0.35">
      <c r="B19" s="389" t="s">
        <v>364</v>
      </c>
      <c r="C19">
        <v>29094</v>
      </c>
    </row>
    <row r="20" spans="2:6" x14ac:dyDescent="0.35">
      <c r="B20" s="389" t="s">
        <v>365</v>
      </c>
      <c r="C20">
        <v>26541</v>
      </c>
    </row>
    <row r="21" spans="2:6" x14ac:dyDescent="0.35">
      <c r="B21" s="389" t="s">
        <v>366</v>
      </c>
      <c r="C21">
        <v>27846</v>
      </c>
      <c r="D21">
        <v>79298</v>
      </c>
    </row>
    <row r="22" spans="2:6" x14ac:dyDescent="0.35">
      <c r="B22" s="389" t="s">
        <v>341</v>
      </c>
      <c r="C22">
        <v>28400</v>
      </c>
      <c r="D22">
        <v>78665</v>
      </c>
    </row>
    <row r="23" spans="2:6" x14ac:dyDescent="0.35">
      <c r="B23" s="389" t="s">
        <v>342</v>
      </c>
      <c r="C23">
        <v>27184</v>
      </c>
      <c r="D23">
        <v>79049</v>
      </c>
      <c r="E23">
        <v>121558</v>
      </c>
    </row>
    <row r="24" spans="2:6" x14ac:dyDescent="0.35">
      <c r="B24" s="389" t="s">
        <v>214</v>
      </c>
      <c r="C24">
        <v>23995</v>
      </c>
      <c r="D24">
        <v>75250</v>
      </c>
      <c r="E24">
        <v>119658</v>
      </c>
    </row>
    <row r="25" spans="2:6" x14ac:dyDescent="0.35">
      <c r="B25" s="389" t="s">
        <v>313</v>
      </c>
      <c r="C25">
        <v>21868</v>
      </c>
      <c r="D25">
        <v>69792</v>
      </c>
      <c r="E25">
        <v>117387</v>
      </c>
    </row>
    <row r="26" spans="2:6" x14ac:dyDescent="0.35">
      <c r="B26" s="389" t="s">
        <v>319</v>
      </c>
      <c r="C26">
        <v>7589</v>
      </c>
      <c r="D26">
        <v>51886</v>
      </c>
      <c r="E26">
        <v>100274</v>
      </c>
    </row>
    <row r="27" spans="2:6" x14ac:dyDescent="0.35">
      <c r="B27" s="389" t="s">
        <v>321</v>
      </c>
      <c r="C27">
        <v>5932</v>
      </c>
      <c r="D27">
        <v>34580</v>
      </c>
      <c r="E27">
        <v>81267</v>
      </c>
    </row>
    <row r="28" spans="2:6" x14ac:dyDescent="0.35">
      <c r="B28" s="389" t="s">
        <v>327</v>
      </c>
      <c r="C28">
        <v>5807</v>
      </c>
      <c r="D28">
        <v>10280</v>
      </c>
      <c r="E28">
        <v>38667</v>
      </c>
    </row>
    <row r="29" spans="2:6" x14ac:dyDescent="0.35">
      <c r="B29" s="389" t="s">
        <v>466</v>
      </c>
      <c r="C29">
        <v>4253</v>
      </c>
      <c r="D29">
        <v>16609</v>
      </c>
      <c r="E29">
        <v>32110</v>
      </c>
    </row>
    <row r="30" spans="2:6" x14ac:dyDescent="0.35">
      <c r="B30" s="388" t="s">
        <v>357</v>
      </c>
      <c r="C30">
        <v>842081</v>
      </c>
      <c r="D30">
        <v>1914799</v>
      </c>
      <c r="E30">
        <v>2370061</v>
      </c>
      <c r="F30">
        <v>310410</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06E77-72F2-4933-BDB2-1D2C42641947}">
  <sheetPr>
    <tabColor theme="7" tint="-0.249977111117893"/>
  </sheetPr>
  <dimension ref="A1:L24"/>
  <sheetViews>
    <sheetView workbookViewId="0">
      <selection activeCell="D8" sqref="D8"/>
    </sheetView>
  </sheetViews>
  <sheetFormatPr defaultRowHeight="14.5" x14ac:dyDescent="0.35"/>
  <cols>
    <col min="1" max="1" width="7.453125" bestFit="1" customWidth="1"/>
    <col min="2" max="2" width="17.54296875" bestFit="1" customWidth="1"/>
    <col min="3" max="3" width="14.6328125" bestFit="1" customWidth="1"/>
    <col min="4" max="4" width="16.08984375" bestFit="1" customWidth="1"/>
    <col min="5" max="5" width="14.453125" bestFit="1" customWidth="1"/>
    <col min="6" max="6" width="18.453125" bestFit="1" customWidth="1"/>
    <col min="7" max="7" width="16.26953125" bestFit="1" customWidth="1"/>
    <col min="8" max="8" width="21.7265625" bestFit="1" customWidth="1"/>
    <col min="9" max="9" width="20.1796875" bestFit="1" customWidth="1"/>
    <col min="10" max="10" width="9.90625" bestFit="1" customWidth="1"/>
    <col min="11" max="11" width="9.54296875" bestFit="1" customWidth="1"/>
    <col min="12" max="12" width="9.453125" bestFit="1" customWidth="1"/>
  </cols>
  <sheetData>
    <row r="1" spans="1:12" x14ac:dyDescent="0.35">
      <c r="A1" t="s">
        <v>606</v>
      </c>
      <c r="B1" t="s">
        <v>957</v>
      </c>
      <c r="C1" t="s">
        <v>958</v>
      </c>
      <c r="D1" t="s">
        <v>959</v>
      </c>
      <c r="E1" t="s">
        <v>960</v>
      </c>
      <c r="F1" t="s">
        <v>961</v>
      </c>
      <c r="G1" t="s">
        <v>962</v>
      </c>
      <c r="H1" t="s">
        <v>963</v>
      </c>
      <c r="I1" t="s">
        <v>964</v>
      </c>
      <c r="J1" t="s">
        <v>965</v>
      </c>
      <c r="K1" t="s">
        <v>966</v>
      </c>
      <c r="L1" t="s">
        <v>967</v>
      </c>
    </row>
    <row r="2" spans="1:12" x14ac:dyDescent="0.35">
      <c r="A2" t="s">
        <v>364</v>
      </c>
      <c r="B2" t="s">
        <v>713</v>
      </c>
      <c r="C2">
        <v>66828</v>
      </c>
      <c r="G2">
        <v>2400342</v>
      </c>
      <c r="H2">
        <v>2387809</v>
      </c>
      <c r="I2">
        <v>2376011</v>
      </c>
      <c r="J2">
        <v>2.7800000000000002</v>
      </c>
    </row>
    <row r="3" spans="1:12" x14ac:dyDescent="0.35">
      <c r="A3" t="s">
        <v>364</v>
      </c>
      <c r="B3" t="s">
        <v>956</v>
      </c>
      <c r="C3">
        <v>29094</v>
      </c>
      <c r="G3">
        <v>2400342</v>
      </c>
      <c r="H3">
        <v>2387809</v>
      </c>
      <c r="I3">
        <v>2376011</v>
      </c>
      <c r="J3">
        <v>1.21</v>
      </c>
    </row>
    <row r="4" spans="1:12" x14ac:dyDescent="0.35">
      <c r="A4" t="s">
        <v>365</v>
      </c>
      <c r="B4" t="s">
        <v>713</v>
      </c>
      <c r="C4">
        <v>63640</v>
      </c>
      <c r="G4">
        <v>2416014</v>
      </c>
      <c r="H4">
        <v>2401005</v>
      </c>
      <c r="I4">
        <v>2388858</v>
      </c>
      <c r="J4">
        <v>2.63</v>
      </c>
    </row>
    <row r="5" spans="1:12" x14ac:dyDescent="0.35">
      <c r="A5" t="s">
        <v>365</v>
      </c>
      <c r="B5" t="s">
        <v>956</v>
      </c>
      <c r="C5">
        <v>26541</v>
      </c>
      <c r="G5">
        <v>2416014</v>
      </c>
      <c r="H5">
        <v>2401005</v>
      </c>
      <c r="I5">
        <v>2388858</v>
      </c>
      <c r="J5">
        <v>1.1000000000000001</v>
      </c>
    </row>
    <row r="6" spans="1:12" x14ac:dyDescent="0.35">
      <c r="A6" t="s">
        <v>366</v>
      </c>
      <c r="B6" t="s">
        <v>713</v>
      </c>
      <c r="C6">
        <v>69038</v>
      </c>
      <c r="D6">
        <v>176331</v>
      </c>
      <c r="G6">
        <v>2429943</v>
      </c>
      <c r="H6">
        <v>2415433</v>
      </c>
      <c r="I6">
        <v>2401877</v>
      </c>
      <c r="J6">
        <v>2.84</v>
      </c>
      <c r="K6">
        <v>7.3</v>
      </c>
    </row>
    <row r="7" spans="1:12" x14ac:dyDescent="0.35">
      <c r="A7" t="s">
        <v>366</v>
      </c>
      <c r="B7" t="s">
        <v>956</v>
      </c>
      <c r="C7">
        <v>27846</v>
      </c>
      <c r="D7">
        <v>79298</v>
      </c>
      <c r="G7">
        <v>2429943</v>
      </c>
      <c r="H7">
        <v>2415433</v>
      </c>
      <c r="I7">
        <v>2401877</v>
      </c>
      <c r="J7">
        <v>1.1499999999999999</v>
      </c>
      <c r="K7">
        <v>3.2800000000000002</v>
      </c>
    </row>
    <row r="8" spans="1:12" x14ac:dyDescent="0.35">
      <c r="A8" t="s">
        <v>341</v>
      </c>
      <c r="B8" t="s">
        <v>713</v>
      </c>
      <c r="C8">
        <v>68202</v>
      </c>
      <c r="D8">
        <v>177208</v>
      </c>
      <c r="F8">
        <v>45412</v>
      </c>
      <c r="G8">
        <v>2446171</v>
      </c>
      <c r="H8">
        <v>2430709</v>
      </c>
      <c r="I8">
        <v>2415826</v>
      </c>
      <c r="J8">
        <v>2.79</v>
      </c>
      <c r="K8">
        <v>7.29</v>
      </c>
    </row>
    <row r="9" spans="1:12" x14ac:dyDescent="0.35">
      <c r="A9" t="s">
        <v>341</v>
      </c>
      <c r="B9" t="s">
        <v>956</v>
      </c>
      <c r="C9">
        <v>28400</v>
      </c>
      <c r="D9">
        <v>78665</v>
      </c>
      <c r="G9">
        <v>2446171</v>
      </c>
      <c r="H9">
        <v>2430709</v>
      </c>
      <c r="I9">
        <v>2415826</v>
      </c>
      <c r="J9">
        <v>1.1599999999999999</v>
      </c>
      <c r="K9">
        <v>3.24</v>
      </c>
    </row>
    <row r="10" spans="1:12" x14ac:dyDescent="0.35">
      <c r="A10" t="s">
        <v>342</v>
      </c>
      <c r="B10" t="s">
        <v>713</v>
      </c>
      <c r="C10">
        <v>67131</v>
      </c>
      <c r="D10">
        <v>180398</v>
      </c>
      <c r="E10">
        <v>264044</v>
      </c>
      <c r="F10">
        <v>45808</v>
      </c>
      <c r="G10">
        <v>2462736</v>
      </c>
      <c r="H10">
        <v>2446283</v>
      </c>
      <c r="I10">
        <v>2431041</v>
      </c>
      <c r="J10">
        <v>2.73</v>
      </c>
      <c r="K10">
        <v>7.37</v>
      </c>
      <c r="L10">
        <v>10.79</v>
      </c>
    </row>
    <row r="11" spans="1:12" x14ac:dyDescent="0.35">
      <c r="A11" t="s">
        <v>342</v>
      </c>
      <c r="B11" t="s">
        <v>956</v>
      </c>
      <c r="C11">
        <v>27184</v>
      </c>
      <c r="D11">
        <v>79049</v>
      </c>
      <c r="E11">
        <v>121558</v>
      </c>
      <c r="G11">
        <v>2462736</v>
      </c>
      <c r="H11">
        <v>2446283</v>
      </c>
      <c r="I11">
        <v>2431041</v>
      </c>
      <c r="J11">
        <v>1.1000000000000001</v>
      </c>
      <c r="K11">
        <v>3.23</v>
      </c>
      <c r="L11">
        <v>4.97</v>
      </c>
    </row>
    <row r="12" spans="1:12" x14ac:dyDescent="0.35">
      <c r="A12" t="s">
        <v>214</v>
      </c>
      <c r="B12" t="s">
        <v>713</v>
      </c>
      <c r="C12">
        <v>66180</v>
      </c>
      <c r="D12">
        <v>176578</v>
      </c>
      <c r="E12">
        <v>267536</v>
      </c>
      <c r="F12">
        <v>47304</v>
      </c>
      <c r="G12">
        <v>2477275</v>
      </c>
      <c r="H12">
        <v>2462061</v>
      </c>
      <c r="I12">
        <v>2446428</v>
      </c>
      <c r="J12">
        <v>2.67</v>
      </c>
      <c r="K12">
        <v>7.17</v>
      </c>
      <c r="L12">
        <v>10.87</v>
      </c>
    </row>
    <row r="13" spans="1:12" x14ac:dyDescent="0.35">
      <c r="A13" t="s">
        <v>214</v>
      </c>
      <c r="B13" t="s">
        <v>956</v>
      </c>
      <c r="C13">
        <v>23995</v>
      </c>
      <c r="D13">
        <v>75250</v>
      </c>
      <c r="E13">
        <v>119658</v>
      </c>
      <c r="G13">
        <v>2477275</v>
      </c>
      <c r="H13">
        <v>2462061</v>
      </c>
      <c r="I13">
        <v>2446428</v>
      </c>
      <c r="J13">
        <v>0.97</v>
      </c>
      <c r="K13">
        <v>3.06</v>
      </c>
      <c r="L13">
        <v>4.8600000000000003</v>
      </c>
    </row>
    <row r="14" spans="1:12" x14ac:dyDescent="0.35">
      <c r="A14" t="s">
        <v>313</v>
      </c>
      <c r="B14" t="s">
        <v>713</v>
      </c>
      <c r="C14">
        <v>66056</v>
      </c>
      <c r="D14">
        <v>174615</v>
      </c>
      <c r="E14">
        <v>272384</v>
      </c>
      <c r="F14">
        <v>47485</v>
      </c>
      <c r="G14">
        <v>2495623</v>
      </c>
      <c r="H14">
        <v>2478545</v>
      </c>
      <c r="I14">
        <v>2462350</v>
      </c>
      <c r="J14">
        <v>2.65</v>
      </c>
      <c r="K14">
        <v>7.05</v>
      </c>
      <c r="L14">
        <v>10.99</v>
      </c>
    </row>
    <row r="15" spans="1:12" x14ac:dyDescent="0.35">
      <c r="A15" t="s">
        <v>313</v>
      </c>
      <c r="B15" t="s">
        <v>956</v>
      </c>
      <c r="C15">
        <v>21868</v>
      </c>
      <c r="D15">
        <v>69792</v>
      </c>
      <c r="E15">
        <v>117387</v>
      </c>
      <c r="G15">
        <v>2495623</v>
      </c>
      <c r="H15">
        <v>2478545</v>
      </c>
      <c r="I15">
        <v>2462350</v>
      </c>
      <c r="J15">
        <v>0.88</v>
      </c>
      <c r="K15">
        <v>2.82</v>
      </c>
      <c r="L15">
        <v>4.74</v>
      </c>
    </row>
    <row r="16" spans="1:12" x14ac:dyDescent="0.35">
      <c r="A16" t="s">
        <v>319</v>
      </c>
      <c r="B16" t="s">
        <v>713</v>
      </c>
      <c r="C16">
        <v>19380</v>
      </c>
      <c r="D16">
        <v>135928</v>
      </c>
      <c r="E16">
        <v>235923</v>
      </c>
      <c r="F16">
        <v>12799</v>
      </c>
      <c r="G16">
        <v>2507625</v>
      </c>
      <c r="H16">
        <v>2493508</v>
      </c>
      <c r="I16">
        <v>2477886</v>
      </c>
      <c r="J16">
        <v>0.77</v>
      </c>
      <c r="K16">
        <v>5.45</v>
      </c>
      <c r="L16">
        <v>9.4600000000000009</v>
      </c>
    </row>
    <row r="17" spans="1:12" x14ac:dyDescent="0.35">
      <c r="A17" t="s">
        <v>319</v>
      </c>
      <c r="B17" t="s">
        <v>956</v>
      </c>
      <c r="C17">
        <v>7589</v>
      </c>
      <c r="D17">
        <v>51886</v>
      </c>
      <c r="E17">
        <v>100274</v>
      </c>
      <c r="G17">
        <v>2507625</v>
      </c>
      <c r="H17">
        <v>2493508</v>
      </c>
      <c r="I17">
        <v>2477886</v>
      </c>
      <c r="J17">
        <v>0.3</v>
      </c>
      <c r="K17">
        <v>2.08</v>
      </c>
      <c r="L17">
        <v>4.0199999999999996</v>
      </c>
    </row>
    <row r="18" spans="1:12" x14ac:dyDescent="0.35">
      <c r="A18" t="s">
        <v>321</v>
      </c>
      <c r="B18" t="s">
        <v>713</v>
      </c>
      <c r="C18">
        <v>42606</v>
      </c>
      <c r="D18">
        <v>116376</v>
      </c>
      <c r="E18">
        <v>217787</v>
      </c>
      <c r="F18">
        <v>32582</v>
      </c>
      <c r="G18">
        <v>2528823</v>
      </c>
      <c r="H18">
        <v>2510690</v>
      </c>
      <c r="I18">
        <v>2494416</v>
      </c>
      <c r="J18">
        <v>1.6800000000000002</v>
      </c>
      <c r="K18">
        <v>4.6399999999999997</v>
      </c>
      <c r="L18">
        <v>8.67</v>
      </c>
    </row>
    <row r="19" spans="1:12" x14ac:dyDescent="0.35">
      <c r="A19" t="s">
        <v>321</v>
      </c>
      <c r="B19" t="s">
        <v>956</v>
      </c>
      <c r="C19">
        <v>5932</v>
      </c>
      <c r="D19">
        <v>34580</v>
      </c>
      <c r="E19">
        <v>81267</v>
      </c>
      <c r="G19">
        <v>2528823</v>
      </c>
      <c r="H19">
        <v>2510690</v>
      </c>
      <c r="I19">
        <v>2494416</v>
      </c>
      <c r="J19">
        <v>0.23</v>
      </c>
      <c r="K19">
        <v>1.38</v>
      </c>
      <c r="L19">
        <v>3.24</v>
      </c>
    </row>
    <row r="20" spans="1:12" x14ac:dyDescent="0.35">
      <c r="A20" t="s">
        <v>326</v>
      </c>
      <c r="B20" t="s">
        <v>713</v>
      </c>
      <c r="C20">
        <v>36957</v>
      </c>
      <c r="D20">
        <v>87999</v>
      </c>
      <c r="E20">
        <v>193539</v>
      </c>
      <c r="F20">
        <v>26709</v>
      </c>
      <c r="G20">
        <v>2549797</v>
      </c>
      <c r="H20">
        <v>2528748</v>
      </c>
      <c r="I20">
        <v>2511829</v>
      </c>
      <c r="J20">
        <v>1.45</v>
      </c>
      <c r="K20">
        <v>3.48</v>
      </c>
      <c r="L20">
        <v>7.65</v>
      </c>
    </row>
    <row r="21" spans="1:12" x14ac:dyDescent="0.35">
      <c r="A21" t="s">
        <v>327</v>
      </c>
      <c r="B21" t="s">
        <v>713</v>
      </c>
      <c r="C21">
        <v>35004</v>
      </c>
      <c r="D21">
        <v>100837</v>
      </c>
      <c r="E21">
        <v>168448</v>
      </c>
      <c r="F21">
        <v>27140</v>
      </c>
      <c r="G21">
        <v>2535310</v>
      </c>
      <c r="H21">
        <v>2537977</v>
      </c>
      <c r="I21">
        <v>2523436</v>
      </c>
      <c r="J21">
        <v>1.38</v>
      </c>
      <c r="K21">
        <v>3.9699999999999998</v>
      </c>
      <c r="L21">
        <v>6.64</v>
      </c>
    </row>
    <row r="22" spans="1:12" x14ac:dyDescent="0.35">
      <c r="A22" t="s">
        <v>327</v>
      </c>
      <c r="B22" t="s">
        <v>956</v>
      </c>
      <c r="C22">
        <v>5807</v>
      </c>
      <c r="D22">
        <v>10280</v>
      </c>
      <c r="E22">
        <v>38667</v>
      </c>
      <c r="G22">
        <v>2535310</v>
      </c>
      <c r="H22">
        <v>2537977</v>
      </c>
      <c r="I22">
        <v>2523436</v>
      </c>
      <c r="J22">
        <v>0.23</v>
      </c>
      <c r="K22">
        <v>0.41</v>
      </c>
      <c r="L22">
        <v>1.52</v>
      </c>
    </row>
    <row r="23" spans="1:12" x14ac:dyDescent="0.35">
      <c r="A23" t="s">
        <v>466</v>
      </c>
      <c r="B23" t="s">
        <v>713</v>
      </c>
      <c r="C23">
        <v>32550</v>
      </c>
      <c r="D23">
        <v>93120</v>
      </c>
      <c r="E23">
        <v>139479</v>
      </c>
      <c r="F23">
        <v>25171</v>
      </c>
      <c r="G23">
        <v>2552388.2351710973</v>
      </c>
      <c r="H23">
        <v>2545832</v>
      </c>
      <c r="I23">
        <v>2534789</v>
      </c>
      <c r="J23">
        <v>1.28</v>
      </c>
      <c r="K23">
        <v>3.66</v>
      </c>
      <c r="L23">
        <v>5.48</v>
      </c>
    </row>
    <row r="24" spans="1:12" x14ac:dyDescent="0.35">
      <c r="A24" t="s">
        <v>466</v>
      </c>
      <c r="B24" t="s">
        <v>956</v>
      </c>
      <c r="C24">
        <v>4253</v>
      </c>
      <c r="D24">
        <v>16609</v>
      </c>
      <c r="E24">
        <v>32110</v>
      </c>
      <c r="G24">
        <v>2552388.2351710973</v>
      </c>
      <c r="H24">
        <v>2545832</v>
      </c>
      <c r="I24">
        <v>2534789</v>
      </c>
      <c r="J24">
        <v>0.17</v>
      </c>
      <c r="K24">
        <v>0.65</v>
      </c>
      <c r="L24">
        <v>1.26</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7" tint="-0.249977111117893"/>
  </sheetPr>
  <dimension ref="A1:K50"/>
  <sheetViews>
    <sheetView showGridLines="0" zoomScaleNormal="100" workbookViewId="0">
      <pane ySplit="2" topLeftCell="A3" activePane="bottomLeft" state="frozen"/>
      <selection pane="bottomLeft"/>
    </sheetView>
  </sheetViews>
  <sheetFormatPr defaultRowHeight="14.5" x14ac:dyDescent="0.35"/>
  <cols>
    <col min="1" max="1" width="19.453125" customWidth="1"/>
    <col min="2" max="2" width="16.453125" customWidth="1"/>
    <col min="3" max="3" width="18.1796875" customWidth="1"/>
    <col min="4" max="4" width="16.54296875" customWidth="1"/>
    <col min="5" max="5" width="10.7265625" bestFit="1" customWidth="1"/>
    <col min="6" max="6" width="16.453125" bestFit="1" customWidth="1"/>
  </cols>
  <sheetData>
    <row r="1" spans="1:11" ht="15.5" x14ac:dyDescent="0.35">
      <c r="A1" s="514" t="s">
        <v>928</v>
      </c>
      <c r="B1" s="514"/>
      <c r="C1" s="514"/>
    </row>
    <row r="2" spans="1:11" ht="15.5" x14ac:dyDescent="0.35">
      <c r="A2" s="499" t="s">
        <v>201</v>
      </c>
      <c r="B2" s="441"/>
      <c r="C2" s="441"/>
    </row>
    <row r="3" spans="1:11" x14ac:dyDescent="0.35">
      <c r="A3" s="25"/>
      <c r="B3" s="25"/>
      <c r="C3" s="25"/>
      <c r="D3" s="25"/>
      <c r="E3" s="25"/>
      <c r="F3" s="25"/>
      <c r="G3" s="25"/>
      <c r="H3" s="25"/>
      <c r="I3" s="25"/>
      <c r="J3" s="25"/>
      <c r="K3" s="25"/>
    </row>
    <row r="4" spans="1:11" ht="15.5" x14ac:dyDescent="0.35">
      <c r="A4" s="1051" t="s">
        <v>968</v>
      </c>
      <c r="B4" s="1051"/>
      <c r="C4" s="1051"/>
      <c r="D4" s="1051"/>
      <c r="E4" s="1051"/>
      <c r="F4" s="1051"/>
      <c r="G4" s="1051"/>
      <c r="H4" s="1051"/>
      <c r="I4" s="1051"/>
      <c r="J4" s="1051"/>
      <c r="K4" s="1051"/>
    </row>
    <row r="5" spans="1:11" ht="15.5" x14ac:dyDescent="0.35">
      <c r="A5" t="s">
        <v>202</v>
      </c>
      <c r="B5" t="s">
        <v>139</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930</v>
      </c>
      <c r="C7" s="500"/>
      <c r="D7" s="500"/>
      <c r="E7" s="500"/>
      <c r="F7" s="500"/>
      <c r="G7" s="500"/>
      <c r="H7" s="500"/>
      <c r="I7" s="500"/>
      <c r="J7" s="500"/>
      <c r="K7" s="500"/>
    </row>
    <row r="8" spans="1:11" ht="15.5" x14ac:dyDescent="0.35">
      <c r="C8" s="500"/>
      <c r="D8" s="500"/>
      <c r="E8" s="500"/>
      <c r="F8" s="500"/>
      <c r="G8" s="500"/>
      <c r="H8" s="500"/>
      <c r="I8" s="500"/>
      <c r="J8" s="500"/>
      <c r="K8" s="500"/>
    </row>
    <row r="9" spans="1:11" ht="15.5" x14ac:dyDescent="0.35">
      <c r="A9" s="312"/>
      <c r="B9" s="1058" t="s">
        <v>969</v>
      </c>
      <c r="C9" s="1058"/>
      <c r="D9" s="1058"/>
      <c r="E9" s="500"/>
      <c r="F9" s="500"/>
      <c r="G9" s="500"/>
      <c r="H9" s="500"/>
      <c r="I9" s="500"/>
      <c r="J9" s="500"/>
      <c r="K9" s="500"/>
    </row>
    <row r="10" spans="1:11" ht="29" x14ac:dyDescent="0.35">
      <c r="A10" s="526" t="s">
        <v>207</v>
      </c>
      <c r="B10" s="692" t="s">
        <v>970</v>
      </c>
      <c r="C10" s="912" t="s">
        <v>971</v>
      </c>
      <c r="D10" s="911" t="s">
        <v>972</v>
      </c>
      <c r="E10" s="689" t="s">
        <v>973</v>
      </c>
      <c r="F10" s="911" t="s">
        <v>974</v>
      </c>
      <c r="G10" s="500"/>
      <c r="H10" s="500"/>
      <c r="I10" s="500"/>
      <c r="J10" s="500"/>
      <c r="K10" s="500"/>
    </row>
    <row r="11" spans="1:11" ht="15.5" x14ac:dyDescent="0.35">
      <c r="A11" s="917" t="s">
        <v>364</v>
      </c>
      <c r="B11" s="369">
        <f>GETPIVOTDATA("Sum of OneYrDistinct",DistinctPropertiesPivot!$B$4,"FisYr",A11,"Counted","All")</f>
        <v>66828</v>
      </c>
      <c r="C11" s="909"/>
      <c r="D11" s="913"/>
      <c r="E11" s="918"/>
      <c r="F11" s="921"/>
      <c r="G11" s="500"/>
      <c r="H11" s="500"/>
      <c r="I11" s="500"/>
      <c r="J11" s="500"/>
      <c r="K11" s="500"/>
    </row>
    <row r="12" spans="1:11" ht="15.5" x14ac:dyDescent="0.35">
      <c r="A12" s="721" t="s">
        <v>365</v>
      </c>
      <c r="B12" s="369">
        <f>GETPIVOTDATA("Sum of OneYrDistinct",DistinctPropertiesPivot!$B$4,"FisYr",A12,"Counted","All")</f>
        <v>63640</v>
      </c>
      <c r="C12" s="909"/>
      <c r="D12" s="914"/>
      <c r="E12" s="918"/>
      <c r="F12" s="922"/>
      <c r="G12" s="500"/>
      <c r="H12" s="500"/>
      <c r="I12" s="500"/>
      <c r="J12" s="500"/>
      <c r="K12" s="500"/>
    </row>
    <row r="13" spans="1:11" ht="15.5" x14ac:dyDescent="0.35">
      <c r="A13" s="721" t="s">
        <v>366</v>
      </c>
      <c r="B13" s="369">
        <f>GETPIVOTDATA("Sum of OneYrDistinct",DistinctPropertiesPivot!$B$4,"FisYr",A13,"Counted","All")</f>
        <v>69038</v>
      </c>
      <c r="C13" s="908">
        <f>GETPIVOTDATA("Sum of ThreeYrDistinct",DistinctPropertiesPivot!$B$4,"FisYr",A13,"Counted","All")</f>
        <v>176331</v>
      </c>
      <c r="D13" s="914"/>
      <c r="E13" s="918"/>
      <c r="F13" s="922"/>
      <c r="G13" s="500"/>
      <c r="H13" s="500"/>
      <c r="I13" s="500"/>
      <c r="J13" s="500"/>
      <c r="K13" s="500"/>
    </row>
    <row r="14" spans="1:11" ht="15.5" x14ac:dyDescent="0.35">
      <c r="A14" s="721" t="s">
        <v>341</v>
      </c>
      <c r="B14" s="369">
        <f>GETPIVOTDATA("Sum of OneYrDistinct",DistinctPropertiesPivot!$B$4,"FisYr",A14,"Counted","All")</f>
        <v>68202</v>
      </c>
      <c r="C14" s="908">
        <f>GETPIVOTDATA("Sum of ThreeYrDistinct",DistinctPropertiesPivot!$B$4,"FisYr",A14,"Counted","All")</f>
        <v>177208</v>
      </c>
      <c r="D14" s="914"/>
      <c r="E14" s="920">
        <f>GETPIVOTDATA("Sum of OneYrDistinctNew",DistinctPropertiesPivot!$B$4,"FisYr",A14,"Counted","All")</f>
        <v>45412</v>
      </c>
      <c r="F14" s="919">
        <f>E14/HFSVs!D16</f>
        <v>0.64140337000889813</v>
      </c>
      <c r="G14" s="500"/>
      <c r="H14" s="500"/>
      <c r="I14" s="500"/>
      <c r="J14" s="500"/>
      <c r="K14" s="500"/>
    </row>
    <row r="15" spans="1:11" ht="15.5" x14ac:dyDescent="0.35">
      <c r="A15" s="721" t="s">
        <v>342</v>
      </c>
      <c r="B15" s="369">
        <f>GETPIVOTDATA("Sum of OneYrDistinct",DistinctPropertiesPivot!$B$4,"FisYr",A15,"Counted","All")</f>
        <v>67131</v>
      </c>
      <c r="C15" s="908">
        <f>GETPIVOTDATA("Sum of ThreeYrDistinct",DistinctPropertiesPivot!$B$4,"FisYr",A15,"Counted","All")</f>
        <v>180398</v>
      </c>
      <c r="D15" s="915">
        <f>GETPIVOTDATA("Sum of FiveYrDistinct",DistinctPropertiesPivot!$B$4,"FisYr",A15,"Counted","All")</f>
        <v>264044</v>
      </c>
      <c r="E15" s="920">
        <f>GETPIVOTDATA("Sum of OneYrDistinctNew",DistinctPropertiesPivot!$B$4,"FisYr",A15,"Counted","All")</f>
        <v>45808</v>
      </c>
      <c r="F15" s="919">
        <f>E15/HFSVs!D17</f>
        <v>0.6559837321533416</v>
      </c>
      <c r="G15" s="500"/>
      <c r="H15" s="500"/>
      <c r="I15" s="500"/>
      <c r="J15" s="500"/>
      <c r="K15" s="500"/>
    </row>
    <row r="16" spans="1:11" ht="15.5" x14ac:dyDescent="0.35">
      <c r="A16" s="721" t="s">
        <v>214</v>
      </c>
      <c r="B16" s="369">
        <f>GETPIVOTDATA("Sum of OneYrDistinct",DistinctPropertiesPivot!$B$4,"FisYr",A16,"Counted","All")</f>
        <v>66180</v>
      </c>
      <c r="C16" s="908">
        <f>GETPIVOTDATA("Sum of ThreeYrDistinct",DistinctPropertiesPivot!$B$4,"FisYr",A16,"Counted","All")</f>
        <v>176578</v>
      </c>
      <c r="D16" s="915">
        <f>GETPIVOTDATA("Sum of FiveYrDistinct",DistinctPropertiesPivot!$B$4,"FisYr",A16,"Counted","All")</f>
        <v>267536</v>
      </c>
      <c r="E16" s="920">
        <f>GETPIVOTDATA("Sum of OneYrDistinctNew",DistinctPropertiesPivot!$B$4,"FisYr",A16,"Counted","All")</f>
        <v>47304</v>
      </c>
      <c r="F16" s="919">
        <f>E16/HFSVs!D18</f>
        <v>0.68356405884223004</v>
      </c>
      <c r="G16" s="500"/>
      <c r="H16" s="500"/>
      <c r="I16" s="500"/>
      <c r="J16" s="500"/>
      <c r="K16" s="500"/>
    </row>
    <row r="17" spans="1:11" ht="15.5" x14ac:dyDescent="0.35">
      <c r="A17" s="721" t="s">
        <v>313</v>
      </c>
      <c r="B17" s="369">
        <f>GETPIVOTDATA("Sum of OneYrDistinct",DistinctPropertiesPivot!$B$4,"FisYr",A17,"Counted","All")</f>
        <v>66056</v>
      </c>
      <c r="C17" s="908">
        <f>GETPIVOTDATA("Sum of ThreeYrDistinct",DistinctPropertiesPivot!$B$4,"FisYr",A17,"Counted","All")</f>
        <v>174615</v>
      </c>
      <c r="D17" s="915">
        <f>GETPIVOTDATA("Sum of FiveYrDistinct",DistinctPropertiesPivot!$B$4,"FisYr",A17,"Counted","All")</f>
        <v>272384</v>
      </c>
      <c r="E17" s="920">
        <f>GETPIVOTDATA("Sum of OneYrDistinctNew",DistinctPropertiesPivot!$B$4,"FisYr",A17,"Counted","All")</f>
        <v>47485</v>
      </c>
      <c r="F17" s="919">
        <f>E17/HFSVs!D19</f>
        <v>0.68583271949968949</v>
      </c>
      <c r="G17" s="500"/>
      <c r="H17" s="500"/>
      <c r="I17" s="500"/>
      <c r="J17" s="500"/>
      <c r="K17" s="500"/>
    </row>
    <row r="18" spans="1:11" ht="15.5" x14ac:dyDescent="0.35">
      <c r="A18" s="721" t="s">
        <v>319</v>
      </c>
      <c r="B18" s="369">
        <f>GETPIVOTDATA("Sum of OneYrDistinct",DistinctPropertiesPivot!$B$4,"FisYr",A18,"Counted","All")</f>
        <v>19380</v>
      </c>
      <c r="C18" s="908">
        <f>GETPIVOTDATA("Sum of ThreeYrDistinct",DistinctPropertiesPivot!$B$4,"FisYr",A18,"Counted","All")</f>
        <v>135928</v>
      </c>
      <c r="D18" s="915">
        <f>GETPIVOTDATA("Sum of FiveYrDistinct",DistinctPropertiesPivot!$B$4,"FisYr",A18,"Counted","All")</f>
        <v>235923</v>
      </c>
      <c r="E18" s="920">
        <f>GETPIVOTDATA("Sum of OneYrDistinctNew",DistinctPropertiesPivot!$B$4,"FisYr",A18,"Counted","All")</f>
        <v>12799</v>
      </c>
      <c r="F18" s="919">
        <f>E18/HFSVs!D20</f>
        <v>0.64001400140013998</v>
      </c>
      <c r="G18" s="500"/>
      <c r="H18" s="500"/>
      <c r="I18" s="500"/>
      <c r="J18" s="500"/>
      <c r="K18" s="500"/>
    </row>
    <row r="19" spans="1:11" ht="15.5" x14ac:dyDescent="0.35">
      <c r="A19" s="721" t="s">
        <v>321</v>
      </c>
      <c r="B19" s="369">
        <f>GETPIVOTDATA("Sum of OneYrDistinct",DistinctPropertiesPivot!$B$4,"FisYr",A19,"Counted","All")</f>
        <v>42606</v>
      </c>
      <c r="C19" s="908">
        <f>GETPIVOTDATA("Sum of ThreeYrDistinct",DistinctPropertiesPivot!$B$4,"FisYr",A19,"Counted","All")</f>
        <v>116376</v>
      </c>
      <c r="D19" s="915">
        <f>GETPIVOTDATA("Sum of FiveYrDistinct",DistinctPropertiesPivot!$B$4,"FisYr",A19,"Counted","All")</f>
        <v>217787</v>
      </c>
      <c r="E19" s="920">
        <f>GETPIVOTDATA("Sum of OneYrDistinctNew",DistinctPropertiesPivot!$B$4,"FisYr",A19,"Counted","All")</f>
        <v>32582</v>
      </c>
      <c r="F19" s="919">
        <f>E19/HFSVs!D21</f>
        <v>0.73721603765046606</v>
      </c>
      <c r="G19" s="500"/>
      <c r="H19" s="500"/>
      <c r="I19" s="500"/>
      <c r="J19" s="500"/>
      <c r="K19" s="500"/>
    </row>
    <row r="20" spans="1:11" ht="15.5" x14ac:dyDescent="0.35">
      <c r="A20" s="721" t="s">
        <v>326</v>
      </c>
      <c r="B20" s="369">
        <f>GETPIVOTDATA("Sum of OneYrDistinct",DistinctPropertiesPivot!$B$4,"FisYr",A20,"Counted","All")</f>
        <v>36957</v>
      </c>
      <c r="C20" s="908">
        <f>GETPIVOTDATA("Sum of ThreeYrDistinct",DistinctPropertiesPivot!$B$4,"FisYr",A20,"Counted","All")</f>
        <v>87999</v>
      </c>
      <c r="D20" s="915">
        <f>GETPIVOTDATA("Sum of FiveYrDistinct",DistinctPropertiesPivot!$B$4,"FisYr",A20,"Counted","All")</f>
        <v>193539</v>
      </c>
      <c r="E20" s="920">
        <f>GETPIVOTDATA("Sum of OneYrDistinctNew",DistinctPropertiesPivot!$B$4,"FisYr",A20,"Counted","All")</f>
        <v>26709</v>
      </c>
      <c r="F20" s="919">
        <f>E20/HFSVs!D22</f>
        <v>0.6901728726840487</v>
      </c>
      <c r="G20" s="500"/>
      <c r="H20" s="500"/>
      <c r="I20" s="500"/>
      <c r="J20" s="500"/>
      <c r="K20" s="500"/>
    </row>
    <row r="21" spans="1:11" ht="15.5" x14ac:dyDescent="0.35">
      <c r="A21" s="721" t="s">
        <v>327</v>
      </c>
      <c r="B21" s="369">
        <f>GETPIVOTDATA("Sum of OneYrDistinct",DistinctPropertiesPivot!$B$4,"FisYr",A21,"Counted","All")</f>
        <v>35004</v>
      </c>
      <c r="C21" s="908">
        <f>GETPIVOTDATA("Sum of ThreeYrDistinct",DistinctPropertiesPivot!$B$4,"FisYr",A21,"Counted","All")</f>
        <v>100837</v>
      </c>
      <c r="D21" s="915">
        <f>GETPIVOTDATA("Sum of FiveYrDistinct",DistinctPropertiesPivot!$B$4,"FisYr",A21,"Counted","All")</f>
        <v>168448</v>
      </c>
      <c r="E21" s="920">
        <f>GETPIVOTDATA("Sum of OneYrDistinctNew",DistinctPropertiesPivot!$B$4,"FisYr",A21,"Counted","All")</f>
        <v>27140</v>
      </c>
      <c r="F21" s="919">
        <f>E21/HFSVs!D23</f>
        <v>0.73866419900930813</v>
      </c>
      <c r="G21" s="500"/>
      <c r="H21" s="500"/>
      <c r="I21" s="500"/>
      <c r="J21" s="500"/>
      <c r="K21" s="500"/>
    </row>
    <row r="22" spans="1:11" ht="16" thickBot="1" x14ac:dyDescent="0.4">
      <c r="A22" s="786" t="s">
        <v>466</v>
      </c>
      <c r="B22" s="758">
        <f>GETPIVOTDATA("Sum of OneYrDistinct",DistinctPropertiesPivot!$B$4,"FisYr",A22,"Counted","All")</f>
        <v>32550</v>
      </c>
      <c r="C22" s="910">
        <f>GETPIVOTDATA("Sum of ThreeYrDistinct",DistinctPropertiesPivot!$B$4,"FisYr",A22,"Counted","All")</f>
        <v>93120</v>
      </c>
      <c r="D22" s="916">
        <f>GETPIVOTDATA("Sum of FiveYrDistinct",DistinctPropertiesPivot!$B$4,"FisYr",A22,"Counted","All")</f>
        <v>139479</v>
      </c>
      <c r="E22" s="985">
        <f>GETPIVOTDATA("Sum of OneYrDistinctNew",DistinctPropertiesPivot!$B$4,"FisYr",A22,"Counted","All")</f>
        <v>25171</v>
      </c>
      <c r="F22" s="923">
        <f>E22/HFSVs!D24</f>
        <v>0.73839068321159318</v>
      </c>
      <c r="G22" s="500"/>
      <c r="H22" s="500"/>
      <c r="I22" s="500"/>
      <c r="J22" s="500"/>
      <c r="K22" s="500"/>
    </row>
    <row r="23" spans="1:11" ht="15.5" x14ac:dyDescent="0.35">
      <c r="C23" s="500"/>
      <c r="D23" s="500"/>
      <c r="E23" s="500"/>
      <c r="F23" s="500"/>
      <c r="G23" s="500"/>
      <c r="H23" s="500"/>
      <c r="I23" s="500"/>
      <c r="J23" s="500"/>
      <c r="K23" s="500"/>
    </row>
    <row r="24" spans="1:11" x14ac:dyDescent="0.35">
      <c r="A24" s="312" t="s">
        <v>329</v>
      </c>
    </row>
    <row r="25" spans="1:11" ht="30.65" customHeight="1" x14ac:dyDescent="0.35">
      <c r="A25" s="1010" t="s">
        <v>975</v>
      </c>
      <c r="B25" s="1010"/>
      <c r="C25" s="1010"/>
      <c r="D25" s="1010"/>
      <c r="E25" s="1010"/>
      <c r="F25" s="1010"/>
    </row>
    <row r="26" spans="1:11" ht="17.5" customHeight="1" x14ac:dyDescent="0.35">
      <c r="A26" t="s">
        <v>976</v>
      </c>
    </row>
    <row r="27" spans="1:11" ht="15.5" x14ac:dyDescent="0.35">
      <c r="G27" s="500"/>
      <c r="H27" s="500"/>
      <c r="I27" s="500"/>
      <c r="J27" s="500"/>
      <c r="K27" s="500"/>
    </row>
    <row r="28" spans="1:11" ht="15.5" x14ac:dyDescent="0.35">
      <c r="A28" s="1053" t="s">
        <v>977</v>
      </c>
      <c r="B28" s="1053"/>
      <c r="C28" s="1053"/>
      <c r="D28" s="1053"/>
      <c r="E28" s="1053"/>
      <c r="F28" s="500"/>
      <c r="G28" s="500"/>
      <c r="H28" s="500"/>
      <c r="I28" s="500"/>
      <c r="J28" s="500"/>
      <c r="K28" s="500"/>
    </row>
    <row r="29" spans="1:11" ht="15.5" x14ac:dyDescent="0.35">
      <c r="A29" t="s">
        <v>202</v>
      </c>
      <c r="B29" t="s">
        <v>141</v>
      </c>
      <c r="C29" s="500"/>
      <c r="D29" s="500"/>
      <c r="E29" s="500"/>
      <c r="F29" s="500"/>
      <c r="G29" s="500"/>
      <c r="H29" s="500"/>
      <c r="I29" s="500"/>
      <c r="J29" s="500"/>
      <c r="K29" s="500"/>
    </row>
    <row r="30" spans="1:11" ht="15.5" x14ac:dyDescent="0.35">
      <c r="A30" t="s">
        <v>203</v>
      </c>
      <c r="B30" t="s">
        <v>204</v>
      </c>
      <c r="C30" s="500"/>
      <c r="D30" s="500"/>
      <c r="E30" s="500"/>
      <c r="F30" s="500"/>
    </row>
    <row r="31" spans="1:11" ht="16.5" customHeight="1" x14ac:dyDescent="0.35">
      <c r="A31" t="s">
        <v>205</v>
      </c>
      <c r="B31" t="s">
        <v>930</v>
      </c>
      <c r="C31" s="500"/>
      <c r="D31" s="500"/>
      <c r="E31" s="500"/>
      <c r="F31" s="500"/>
    </row>
    <row r="32" spans="1:11" ht="17.5" customHeight="1" x14ac:dyDescent="0.35"/>
    <row r="33" spans="1:6" x14ac:dyDescent="0.35">
      <c r="A33" s="312"/>
      <c r="B33" s="312" t="s">
        <v>978</v>
      </c>
      <c r="C33" s="312"/>
      <c r="D33" s="312"/>
    </row>
    <row r="34" spans="1:6" x14ac:dyDescent="0.35">
      <c r="A34" s="601" t="s">
        <v>207</v>
      </c>
      <c r="B34" s="692" t="s">
        <v>970</v>
      </c>
      <c r="C34" s="692" t="s">
        <v>971</v>
      </c>
      <c r="D34" s="693" t="s">
        <v>972</v>
      </c>
    </row>
    <row r="35" spans="1:6" x14ac:dyDescent="0.35">
      <c r="A35" s="721" t="s">
        <v>364</v>
      </c>
      <c r="B35" s="602">
        <f>GETPIVOTDATA("Sum of OneYrDistinct",DistinctPropertiesPivot!$B$4,"FisYr",A35,"Counted","withAlarmsInstalled")</f>
        <v>29094</v>
      </c>
      <c r="C35" s="702"/>
      <c r="D35" s="817"/>
    </row>
    <row r="36" spans="1:6" x14ac:dyDescent="0.35">
      <c r="A36" s="721" t="s">
        <v>365</v>
      </c>
      <c r="B36" s="602">
        <f>GETPIVOTDATA("Sum of OneYrDistinct",DistinctPropertiesPivot!$B$4,"FisYr",A36,"Counted","withAlarmsInstalled")</f>
        <v>26541</v>
      </c>
      <c r="C36" s="702"/>
      <c r="D36" s="817"/>
    </row>
    <row r="37" spans="1:6" x14ac:dyDescent="0.35">
      <c r="A37" s="721" t="s">
        <v>366</v>
      </c>
      <c r="B37" s="602">
        <f>GETPIVOTDATA("Sum of OneYrDistinct",DistinctPropertiesPivot!$B$4,"FisYr",A37,"Counted","withAlarmsInstalled")</f>
        <v>27846</v>
      </c>
      <c r="C37" s="602">
        <f>GETPIVOTDATA("Sum of ThreeYrDistinct",DistinctPropertiesPivot!$B$4,"FisYr","2015-16","Counted","withAlarmsInstalled")</f>
        <v>79298</v>
      </c>
      <c r="D37" s="817"/>
    </row>
    <row r="38" spans="1:6" x14ac:dyDescent="0.35">
      <c r="A38" s="721" t="s">
        <v>341</v>
      </c>
      <c r="B38" s="602">
        <f>GETPIVOTDATA("Sum of OneYrDistinct",DistinctPropertiesPivot!$B$4,"FisYr",A38,"Counted","withAlarmsInstalled")</f>
        <v>28400</v>
      </c>
      <c r="C38" s="602">
        <f>GETPIVOTDATA("Sum of ThreeYrDistinct",DistinctPropertiesPivot!$B$4,"FisYr","2015-16","Counted","withAlarmsInstalled")</f>
        <v>79298</v>
      </c>
      <c r="D38" s="817"/>
    </row>
    <row r="39" spans="1:6" x14ac:dyDescent="0.35">
      <c r="A39" s="721" t="s">
        <v>342</v>
      </c>
      <c r="B39" s="602">
        <f>GETPIVOTDATA("Sum of OneYrDistinct",DistinctPropertiesPivot!$B$4,"FisYr",A39,"Counted","withAlarmsInstalled")</f>
        <v>27184</v>
      </c>
      <c r="C39" s="602">
        <f>GETPIVOTDATA("Sum of ThreeYrDistinct",DistinctPropertiesPivot!$B$4,"FisYr","2015-16","Counted","withAlarmsInstalled")</f>
        <v>79298</v>
      </c>
      <c r="D39" s="608">
        <f>GETPIVOTDATA("Sum of FiveYrDistinct",DistinctPropertiesPivot!$B$4,"FisYr","2017-18","Counted","withAlarmsInstalled")</f>
        <v>121558</v>
      </c>
    </row>
    <row r="40" spans="1:6" x14ac:dyDescent="0.35">
      <c r="A40" s="721" t="s">
        <v>214</v>
      </c>
      <c r="B40" s="602">
        <f>GETPIVOTDATA("Sum of OneYrDistinct",DistinctPropertiesPivot!$B$4,"FisYr",A40,"Counted","withAlarmsInstalled")</f>
        <v>23995</v>
      </c>
      <c r="C40" s="602">
        <f>GETPIVOTDATA("Sum of ThreeYrDistinct",DistinctPropertiesPivot!$B$4,"FisYr","2015-16","Counted","withAlarmsInstalled")</f>
        <v>79298</v>
      </c>
      <c r="D40" s="608">
        <f>GETPIVOTDATA("Sum of FiveYrDistinct",DistinctPropertiesPivot!$B$4,"FisYr","2017-18","Counted","withAlarmsInstalled")</f>
        <v>121558</v>
      </c>
    </row>
    <row r="41" spans="1:6" x14ac:dyDescent="0.35">
      <c r="A41" s="721" t="s">
        <v>313</v>
      </c>
      <c r="B41" s="602">
        <f>GETPIVOTDATA("Sum of OneYrDistinct",DistinctPropertiesPivot!$B$4,"FisYr",A41,"Counted","withAlarmsInstalled")</f>
        <v>21868</v>
      </c>
      <c r="C41" s="602">
        <f>GETPIVOTDATA("Sum of ThreeYrDistinct",DistinctPropertiesPivot!$B$4,"FisYr","2015-16","Counted","withAlarmsInstalled")</f>
        <v>79298</v>
      </c>
      <c r="D41" s="608">
        <f>GETPIVOTDATA("Sum of FiveYrDistinct",DistinctPropertiesPivot!$B$4,"FisYr","2017-18","Counted","withAlarmsInstalled")</f>
        <v>121558</v>
      </c>
    </row>
    <row r="42" spans="1:6" x14ac:dyDescent="0.35">
      <c r="A42" s="721" t="s">
        <v>319</v>
      </c>
      <c r="B42" s="602">
        <f>GETPIVOTDATA("Sum of OneYrDistinct",DistinctPropertiesPivot!$B$4,"FisYr",A42,"Counted","withAlarmsInstalled")</f>
        <v>7589</v>
      </c>
      <c r="C42" s="602">
        <f>GETPIVOTDATA("Sum of ThreeYrDistinct",DistinctPropertiesPivot!$B$4,"FisYr","2015-16","Counted","withAlarmsInstalled")</f>
        <v>79298</v>
      </c>
      <c r="D42" s="608">
        <f>GETPIVOTDATA("Sum of FiveYrDistinct",DistinctPropertiesPivot!$B$4,"FisYr","2017-18","Counted","withAlarmsInstalled")</f>
        <v>121558</v>
      </c>
    </row>
    <row r="43" spans="1:6" x14ac:dyDescent="0.35">
      <c r="A43" s="721" t="s">
        <v>321</v>
      </c>
      <c r="B43" s="702"/>
      <c r="C43" s="702"/>
      <c r="D43" s="817"/>
    </row>
    <row r="44" spans="1:6" x14ac:dyDescent="0.35">
      <c r="A44" s="721" t="s">
        <v>326</v>
      </c>
      <c r="B44" s="702"/>
      <c r="C44" s="702"/>
      <c r="D44" s="817"/>
    </row>
    <row r="45" spans="1:6" x14ac:dyDescent="0.35">
      <c r="A45" s="721" t="s">
        <v>327</v>
      </c>
      <c r="B45" s="602">
        <f>GETPIVOTDATA("Sum of OneYrDistinct",DistinctPropertiesPivot!$B$4,"FisYr","2023-24","Counted","withAlarmsInstalled")</f>
        <v>5807</v>
      </c>
      <c r="C45" s="702"/>
      <c r="D45" s="817"/>
      <c r="E45" s="415"/>
      <c r="F45" s="415"/>
    </row>
    <row r="46" spans="1:6" ht="15" thickBot="1" x14ac:dyDescent="0.4">
      <c r="A46" s="786" t="s">
        <v>466</v>
      </c>
      <c r="B46" s="607">
        <f>GETPIVOTDATA("Sum of OneYrDistinct",DistinctPropertiesPivot!$B$4,"FisYr","2024-25","Counted","withAlarmsInstalled")</f>
        <v>4253</v>
      </c>
      <c r="C46" s="1002"/>
      <c r="D46" s="986"/>
      <c r="E46" s="415"/>
      <c r="F46" s="415"/>
    </row>
    <row r="47" spans="1:6" x14ac:dyDescent="0.35">
      <c r="E47" s="415"/>
      <c r="F47" s="415"/>
    </row>
    <row r="48" spans="1:6" ht="14.5" customHeight="1" x14ac:dyDescent="0.35">
      <c r="A48" s="312" t="s">
        <v>329</v>
      </c>
      <c r="E48" s="415"/>
      <c r="F48" s="415"/>
    </row>
    <row r="49" spans="1:8" ht="33" customHeight="1" x14ac:dyDescent="0.35">
      <c r="A49" s="1010" t="s">
        <v>979</v>
      </c>
      <c r="B49" s="1010"/>
      <c r="C49" s="1010"/>
      <c r="D49" s="1010"/>
      <c r="E49" s="1010"/>
      <c r="F49" s="1010"/>
      <c r="G49" s="1010"/>
      <c r="H49" s="1010"/>
    </row>
    <row r="50" spans="1:8" ht="15" customHeight="1" x14ac:dyDescent="0.35">
      <c r="A50" t="s">
        <v>980</v>
      </c>
    </row>
  </sheetData>
  <sheetProtection algorithmName="SHA-512" hashValue="wAfNStGMa13GKxBak9mfqguSNQ1rvb776/bV6GkSmD9PEu3Y+3aJ1uPBxXRYp1DiHd4JDVWeb6HXVIAGKqU7vQ==" saltValue="tzaLu0WXkpB50wk67OK3Gg==" spinCount="100000" sheet="1" scenarios="1" formatCells="0" sort="0" autoFilter="0" pivotTables="0"/>
  <mergeCells count="5">
    <mergeCell ref="A49:H49"/>
    <mergeCell ref="A4:K4"/>
    <mergeCell ref="A25:F25"/>
    <mergeCell ref="A28:E28"/>
    <mergeCell ref="B9:D9"/>
  </mergeCells>
  <phoneticPr fontId="53" type="noConversion"/>
  <hyperlinks>
    <hyperlink ref="A2" location="'Table of Contents'!A1" display="Back to Table of Contents" xr:uid="{00000000-0004-0000-81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92B8-1EBF-4874-BA9F-AD29C1610575}">
  <sheetPr>
    <tabColor theme="7" tint="-0.249977111117893"/>
  </sheetPr>
  <dimension ref="B4:E17"/>
  <sheetViews>
    <sheetView workbookViewId="0">
      <selection activeCell="B4" sqref="B4"/>
    </sheetView>
  </sheetViews>
  <sheetFormatPr defaultRowHeight="14.5" x14ac:dyDescent="0.35"/>
  <cols>
    <col min="2" max="2" width="12.54296875" bestFit="1" customWidth="1"/>
    <col min="3" max="3" width="17.26953125" bestFit="1" customWidth="1"/>
    <col min="4" max="4" width="22.1796875" bestFit="1" customWidth="1"/>
    <col min="5" max="5" width="20.7265625" bestFit="1" customWidth="1"/>
  </cols>
  <sheetData>
    <row r="4" spans="2:5" x14ac:dyDescent="0.35">
      <c r="B4" s="387" t="s">
        <v>350</v>
      </c>
      <c r="C4" t="s">
        <v>981</v>
      </c>
      <c r="D4" t="s">
        <v>982</v>
      </c>
      <c r="E4" t="s">
        <v>983</v>
      </c>
    </row>
    <row r="5" spans="2:5" x14ac:dyDescent="0.35">
      <c r="B5" s="388" t="s">
        <v>364</v>
      </c>
      <c r="C5">
        <v>2.7800000000000002E-2</v>
      </c>
    </row>
    <row r="6" spans="2:5" x14ac:dyDescent="0.35">
      <c r="B6" s="388" t="s">
        <v>365</v>
      </c>
      <c r="C6">
        <v>2.63E-2</v>
      </c>
    </row>
    <row r="7" spans="2:5" x14ac:dyDescent="0.35">
      <c r="B7" s="388" t="s">
        <v>366</v>
      </c>
      <c r="C7">
        <v>2.8399999999999998E-2</v>
      </c>
      <c r="D7">
        <v>7.2999999999999995E-2</v>
      </c>
    </row>
    <row r="8" spans="2:5" x14ac:dyDescent="0.35">
      <c r="B8" s="388" t="s">
        <v>341</v>
      </c>
      <c r="C8">
        <v>2.7900000000000001E-2</v>
      </c>
      <c r="D8">
        <v>7.2900000000000006E-2</v>
      </c>
    </row>
    <row r="9" spans="2:5" x14ac:dyDescent="0.35">
      <c r="B9" s="388" t="s">
        <v>342</v>
      </c>
      <c r="C9">
        <v>2.7300000000000001E-2</v>
      </c>
      <c r="D9">
        <v>7.3700000000000002E-2</v>
      </c>
      <c r="E9">
        <v>0.1079</v>
      </c>
    </row>
    <row r="10" spans="2:5" x14ac:dyDescent="0.35">
      <c r="B10" s="388" t="s">
        <v>214</v>
      </c>
      <c r="C10">
        <v>2.6699999999999998E-2</v>
      </c>
      <c r="D10">
        <v>7.17E-2</v>
      </c>
      <c r="E10">
        <v>0.10869999999999999</v>
      </c>
    </row>
    <row r="11" spans="2:5" x14ac:dyDescent="0.35">
      <c r="B11" s="388" t="s">
        <v>313</v>
      </c>
      <c r="C11">
        <v>2.6499999999999999E-2</v>
      </c>
      <c r="D11">
        <v>7.0499999999999993E-2</v>
      </c>
      <c r="E11">
        <v>0.1099</v>
      </c>
    </row>
    <row r="12" spans="2:5" x14ac:dyDescent="0.35">
      <c r="B12" s="388" t="s">
        <v>319</v>
      </c>
      <c r="C12">
        <v>7.7000000000000002E-3</v>
      </c>
      <c r="D12">
        <v>5.45E-2</v>
      </c>
      <c r="E12">
        <v>9.4600000000000004E-2</v>
      </c>
    </row>
    <row r="13" spans="2:5" x14ac:dyDescent="0.35">
      <c r="B13" s="388" t="s">
        <v>321</v>
      </c>
      <c r="C13">
        <v>1.6800000000000002E-2</v>
      </c>
      <c r="D13">
        <v>4.6399999999999997E-2</v>
      </c>
      <c r="E13">
        <v>8.6699999999999999E-2</v>
      </c>
    </row>
    <row r="14" spans="2:5" x14ac:dyDescent="0.35">
      <c r="B14" s="388" t="s">
        <v>326</v>
      </c>
      <c r="C14">
        <v>1.4499999999999999E-2</v>
      </c>
      <c r="D14">
        <v>3.4799999999999998E-2</v>
      </c>
      <c r="E14">
        <v>7.6499999999999999E-2</v>
      </c>
    </row>
    <row r="15" spans="2:5" x14ac:dyDescent="0.35">
      <c r="B15" s="388" t="s">
        <v>327</v>
      </c>
      <c r="C15">
        <v>1.38E-2</v>
      </c>
      <c r="D15">
        <v>3.9699999999999999E-2</v>
      </c>
      <c r="E15">
        <v>6.6400000000000001E-2</v>
      </c>
    </row>
    <row r="16" spans="2:5" x14ac:dyDescent="0.35">
      <c r="B16" s="388" t="s">
        <v>466</v>
      </c>
      <c r="C16">
        <v>1.2800000000000001E-2</v>
      </c>
      <c r="D16">
        <v>3.6600000000000001E-2</v>
      </c>
      <c r="E16">
        <v>5.4800000000000001E-2</v>
      </c>
    </row>
    <row r="17" spans="2:5" x14ac:dyDescent="0.35">
      <c r="B17" s="388" t="s">
        <v>357</v>
      </c>
      <c r="C17">
        <v>0.25650000000000001</v>
      </c>
      <c r="D17">
        <v>0.57379999999999998</v>
      </c>
      <c r="E17">
        <v>0.70550000000000002</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6555-7E6F-4D0D-9BD4-AF9A194DDA55}">
  <sheetPr>
    <tabColor theme="7" tint="-0.249977111117893"/>
  </sheetPr>
  <dimension ref="B4:E16"/>
  <sheetViews>
    <sheetView workbookViewId="0">
      <selection activeCell="C10" sqref="C10"/>
    </sheetView>
  </sheetViews>
  <sheetFormatPr defaultRowHeight="14.5" x14ac:dyDescent="0.35"/>
  <cols>
    <col min="2" max="2" width="7.453125" bestFit="1" customWidth="1"/>
    <col min="3" max="3" width="13.1796875" bestFit="1" customWidth="1"/>
    <col min="4" max="4" width="17.81640625" bestFit="1" customWidth="1"/>
    <col min="5" max="5" width="16.453125" bestFit="1" customWidth="1"/>
  </cols>
  <sheetData>
    <row r="4" spans="2:5" x14ac:dyDescent="0.35">
      <c r="B4" t="s">
        <v>207</v>
      </c>
      <c r="C4" t="s">
        <v>970</v>
      </c>
      <c r="D4" t="s">
        <v>971</v>
      </c>
      <c r="E4" t="s">
        <v>972</v>
      </c>
    </row>
    <row r="5" spans="2:5" x14ac:dyDescent="0.35">
      <c r="B5" t="s">
        <v>364</v>
      </c>
      <c r="C5">
        <v>2.7800000000000002E-2</v>
      </c>
    </row>
    <row r="6" spans="2:5" x14ac:dyDescent="0.35">
      <c r="B6" t="s">
        <v>365</v>
      </c>
      <c r="C6">
        <v>2.63E-2</v>
      </c>
    </row>
    <row r="7" spans="2:5" x14ac:dyDescent="0.35">
      <c r="B7" t="s">
        <v>366</v>
      </c>
      <c r="C7">
        <v>2.8399999999999998E-2</v>
      </c>
      <c r="D7">
        <v>7.2999999999999995E-2</v>
      </c>
    </row>
    <row r="8" spans="2:5" x14ac:dyDescent="0.35">
      <c r="B8" t="s">
        <v>341</v>
      </c>
      <c r="C8">
        <v>2.7900000000000001E-2</v>
      </c>
      <c r="D8">
        <v>7.2900000000000006E-2</v>
      </c>
    </row>
    <row r="9" spans="2:5" x14ac:dyDescent="0.35">
      <c r="B9" t="s">
        <v>342</v>
      </c>
      <c r="C9">
        <v>2.7300000000000001E-2</v>
      </c>
      <c r="D9">
        <v>7.3700000000000002E-2</v>
      </c>
      <c r="E9">
        <v>0.1079</v>
      </c>
    </row>
    <row r="10" spans="2:5" x14ac:dyDescent="0.35">
      <c r="B10" t="s">
        <v>214</v>
      </c>
      <c r="C10">
        <v>2.6699999999999998E-2</v>
      </c>
      <c r="D10">
        <v>7.17E-2</v>
      </c>
      <c r="E10">
        <v>0.10869999999999999</v>
      </c>
    </row>
    <row r="11" spans="2:5" x14ac:dyDescent="0.35">
      <c r="B11" t="s">
        <v>313</v>
      </c>
      <c r="C11">
        <v>2.6499999999999999E-2</v>
      </c>
      <c r="D11">
        <v>7.0499999999999993E-2</v>
      </c>
      <c r="E11">
        <v>0.1099</v>
      </c>
    </row>
    <row r="12" spans="2:5" x14ac:dyDescent="0.35">
      <c r="B12" t="s">
        <v>319</v>
      </c>
      <c r="C12">
        <v>7.7000000000000002E-3</v>
      </c>
      <c r="D12">
        <v>5.45E-2</v>
      </c>
      <c r="E12">
        <v>9.4600000000000004E-2</v>
      </c>
    </row>
    <row r="13" spans="2:5" x14ac:dyDescent="0.35">
      <c r="B13" t="s">
        <v>321</v>
      </c>
      <c r="C13">
        <v>1.6800000000000002E-2</v>
      </c>
      <c r="D13">
        <v>4.6399999999999997E-2</v>
      </c>
      <c r="E13">
        <v>8.6699999999999999E-2</v>
      </c>
    </row>
    <row r="14" spans="2:5" x14ac:dyDescent="0.35">
      <c r="B14" t="s">
        <v>326</v>
      </c>
      <c r="C14">
        <v>1.4499999999999999E-2</v>
      </c>
      <c r="D14">
        <v>3.4799999999999998E-2</v>
      </c>
      <c r="E14">
        <v>7.6499999999999999E-2</v>
      </c>
    </row>
    <row r="15" spans="2:5" x14ac:dyDescent="0.35">
      <c r="B15" t="s">
        <v>327</v>
      </c>
      <c r="C15">
        <v>1.38E-2</v>
      </c>
      <c r="D15">
        <v>3.9699999999999999E-2</v>
      </c>
      <c r="E15">
        <v>6.6400000000000001E-2</v>
      </c>
    </row>
    <row r="16" spans="2:5" x14ac:dyDescent="0.35">
      <c r="B16" t="s">
        <v>466</v>
      </c>
      <c r="C16">
        <v>1.2800000000000001E-2</v>
      </c>
      <c r="D16">
        <v>3.6600000000000001E-2</v>
      </c>
      <c r="E16">
        <v>5.4800000000000001E-2</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7" tint="-0.249977111117893"/>
  </sheetPr>
  <dimension ref="A1:K51"/>
  <sheetViews>
    <sheetView showGridLines="0" workbookViewId="0">
      <pane ySplit="2" topLeftCell="A3" activePane="bottomLeft" state="frozen"/>
      <selection pane="bottomLeft"/>
    </sheetView>
  </sheetViews>
  <sheetFormatPr defaultRowHeight="14.5" x14ac:dyDescent="0.35"/>
  <cols>
    <col min="1" max="1" width="21.54296875" customWidth="1"/>
    <col min="2" max="2" width="15.81640625" customWidth="1"/>
    <col min="3" max="3" width="20.1796875" customWidth="1"/>
    <col min="4" max="4" width="19.81640625" customWidth="1"/>
    <col min="5" max="5" width="11.453125" customWidth="1"/>
  </cols>
  <sheetData>
    <row r="1" spans="1:11" ht="15.5" x14ac:dyDescent="0.35">
      <c r="A1" s="514" t="s">
        <v>928</v>
      </c>
      <c r="B1" s="514"/>
      <c r="C1" s="514"/>
    </row>
    <row r="2" spans="1:11" ht="15.5" x14ac:dyDescent="0.35">
      <c r="A2" s="499" t="s">
        <v>201</v>
      </c>
      <c r="B2" s="441"/>
      <c r="C2" s="441"/>
    </row>
    <row r="3" spans="1:11" x14ac:dyDescent="0.35">
      <c r="A3" s="25"/>
      <c r="B3" s="25"/>
      <c r="C3" s="25"/>
      <c r="D3" s="25"/>
      <c r="E3" s="25"/>
      <c r="F3" s="25"/>
      <c r="G3" s="25"/>
      <c r="H3" s="25"/>
      <c r="I3" s="25"/>
      <c r="J3" s="25"/>
      <c r="K3" s="25"/>
    </row>
    <row r="4" spans="1:11" ht="15.75" customHeight="1" x14ac:dyDescent="0.35">
      <c r="A4" s="523" t="s">
        <v>984</v>
      </c>
      <c r="B4" s="523"/>
      <c r="C4" s="523"/>
      <c r="D4" s="523"/>
      <c r="E4" s="523"/>
      <c r="F4" s="523"/>
      <c r="G4" s="523"/>
      <c r="H4" s="523"/>
      <c r="I4" s="523"/>
      <c r="J4" s="523"/>
      <c r="K4" s="523"/>
    </row>
    <row r="5" spans="1:11" ht="15.5" x14ac:dyDescent="0.35">
      <c r="A5" t="s">
        <v>202</v>
      </c>
      <c r="B5" t="s">
        <v>142</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930</v>
      </c>
      <c r="C7" s="500"/>
      <c r="D7" s="500"/>
      <c r="E7" s="500"/>
      <c r="F7" s="500"/>
      <c r="G7" s="500"/>
      <c r="H7" s="500"/>
      <c r="I7" s="500"/>
      <c r="J7" s="500"/>
      <c r="K7" s="500"/>
    </row>
    <row r="9" spans="1:11" s="460" customFormat="1" x14ac:dyDescent="0.35">
      <c r="A9" s="312"/>
      <c r="B9" s="312"/>
      <c r="C9" s="312" t="s">
        <v>985</v>
      </c>
      <c r="D9" s="312"/>
    </row>
    <row r="10" spans="1:11" x14ac:dyDescent="0.35">
      <c r="A10" s="601" t="s">
        <v>207</v>
      </c>
      <c r="B10" s="693" t="s">
        <v>970</v>
      </c>
      <c r="C10" s="692" t="s">
        <v>971</v>
      </c>
      <c r="D10" s="693" t="s">
        <v>972</v>
      </c>
    </row>
    <row r="11" spans="1:11" x14ac:dyDescent="0.35">
      <c r="A11" s="721" t="s">
        <v>364</v>
      </c>
      <c r="B11" s="694">
        <f>GETPIVOTDATA("Sum of In One Year",DistinctPropertPopPivot!$B$4,"Year",A11)</f>
        <v>2.7800000000000002E-2</v>
      </c>
      <c r="C11" s="695"/>
      <c r="D11" s="696"/>
    </row>
    <row r="12" spans="1:11" x14ac:dyDescent="0.35">
      <c r="A12" s="721" t="s">
        <v>365</v>
      </c>
      <c r="B12" s="694">
        <f>GETPIVOTDATA("Sum of In One Year",DistinctPropertPopPivot!$B$4,"Year",A12)</f>
        <v>2.63E-2</v>
      </c>
      <c r="C12" s="695"/>
      <c r="D12" s="697"/>
    </row>
    <row r="13" spans="1:11" x14ac:dyDescent="0.35">
      <c r="A13" s="721" t="s">
        <v>366</v>
      </c>
      <c r="B13" s="694">
        <f>GETPIVOTDATA("Sum of In One Year",DistinctPropertPopPivot!$B$4,"Year",A13)</f>
        <v>2.8399999999999998E-2</v>
      </c>
      <c r="C13" s="694">
        <f>GETPIVOTDATA("Sum of Over Three Years",DistinctPropertPopPivot!$B$4,"Year",A13)</f>
        <v>7.2999999999999995E-2</v>
      </c>
      <c r="D13" s="697"/>
    </row>
    <row r="14" spans="1:11" x14ac:dyDescent="0.35">
      <c r="A14" s="721" t="s">
        <v>341</v>
      </c>
      <c r="B14" s="694">
        <f>GETPIVOTDATA("Sum of In One Year",DistinctPropertPopPivot!$B$4,"Year",A14)</f>
        <v>2.7900000000000001E-2</v>
      </c>
      <c r="C14" s="694">
        <f>GETPIVOTDATA("Sum of Over Three Years",DistinctPropertPopPivot!$B$4,"Year",A14)</f>
        <v>7.2900000000000006E-2</v>
      </c>
      <c r="D14" s="697"/>
    </row>
    <row r="15" spans="1:11" x14ac:dyDescent="0.35">
      <c r="A15" s="721" t="s">
        <v>342</v>
      </c>
      <c r="B15" s="694">
        <f>GETPIVOTDATA("Sum of In One Year",DistinctPropertPopPivot!$B$4,"Year",A15)</f>
        <v>2.7300000000000001E-2</v>
      </c>
      <c r="C15" s="694">
        <f>GETPIVOTDATA("Sum of Over Three Years",DistinctPropertPopPivot!$B$4,"Year",A15)</f>
        <v>7.3700000000000002E-2</v>
      </c>
      <c r="D15" s="690">
        <f>GETPIVOTDATA("Sum of Over Five Years",DistinctPropertPopPivot!$B$4,"Year",A15)</f>
        <v>0.1079</v>
      </c>
    </row>
    <row r="16" spans="1:11" x14ac:dyDescent="0.35">
      <c r="A16" s="721" t="s">
        <v>214</v>
      </c>
      <c r="B16" s="694">
        <f>GETPIVOTDATA("Sum of In One Year",DistinctPropertPopPivot!$B$4,"Year",A16)</f>
        <v>2.6699999999999998E-2</v>
      </c>
      <c r="C16" s="694">
        <f>GETPIVOTDATA("Sum of Over Three Years",DistinctPropertPopPivot!$B$4,"Year",A16)</f>
        <v>7.17E-2</v>
      </c>
      <c r="D16" s="690">
        <f>GETPIVOTDATA("Sum of Over Five Years",DistinctPropertPopPivot!$B$4,"Year",A16)</f>
        <v>0.10869999999999999</v>
      </c>
    </row>
    <row r="17" spans="1:11" x14ac:dyDescent="0.35">
      <c r="A17" s="721" t="s">
        <v>313</v>
      </c>
      <c r="B17" s="694">
        <f>GETPIVOTDATA("Sum of In One Year",DistinctPropertPopPivot!$B$4,"Year",A17)</f>
        <v>2.6499999999999999E-2</v>
      </c>
      <c r="C17" s="694">
        <f>GETPIVOTDATA("Sum of Over Three Years",DistinctPropertPopPivot!$B$4,"Year",A17)</f>
        <v>7.0499999999999993E-2</v>
      </c>
      <c r="D17" s="690">
        <f>GETPIVOTDATA("Sum of Over Five Years",DistinctPropertPopPivot!$B$4,"Year",A17)</f>
        <v>0.1099</v>
      </c>
    </row>
    <row r="18" spans="1:11" x14ac:dyDescent="0.35">
      <c r="A18" s="721" t="s">
        <v>319</v>
      </c>
      <c r="B18" s="694">
        <f>GETPIVOTDATA("Sum of In One Year",DistinctPropertPopPivot!$B$4,"Year",A18)</f>
        <v>7.7000000000000002E-3</v>
      </c>
      <c r="C18" s="694">
        <f>GETPIVOTDATA("Sum of Over Three Years",DistinctPropertPopPivot!$B$4,"Year",A18)</f>
        <v>5.45E-2</v>
      </c>
      <c r="D18" s="690">
        <f>GETPIVOTDATA("Sum of Over Five Years",DistinctPropertPopPivot!$B$4,"Year",A18)</f>
        <v>9.4600000000000004E-2</v>
      </c>
    </row>
    <row r="19" spans="1:11" x14ac:dyDescent="0.35">
      <c r="A19" s="721" t="s">
        <v>321</v>
      </c>
      <c r="B19" s="694">
        <f>GETPIVOTDATA("Sum of In One Year",DistinctPropertPopPivot!$B$4,"Year",A19)</f>
        <v>1.6800000000000002E-2</v>
      </c>
      <c r="C19" s="694">
        <f>GETPIVOTDATA("Sum of Over Three Years",DistinctPropertPopPivot!$B$4,"Year",A19)</f>
        <v>4.6399999999999997E-2</v>
      </c>
      <c r="D19" s="690">
        <f>GETPIVOTDATA("Sum of Over Five Years",DistinctPropertPopPivot!$B$4,"Year",A19)</f>
        <v>8.6699999999999999E-2</v>
      </c>
    </row>
    <row r="20" spans="1:11" x14ac:dyDescent="0.35">
      <c r="A20" s="721" t="s">
        <v>326</v>
      </c>
      <c r="B20" s="694">
        <f>GETPIVOTDATA("Sum of In One Year",DistinctPropertPopPivot!$B$4,"Year",A20)</f>
        <v>1.4499999999999999E-2</v>
      </c>
      <c r="C20" s="694">
        <f>GETPIVOTDATA("Sum of Over Three Years",DistinctPropertPopPivot!$B$4,"Year",A20)</f>
        <v>3.4799999999999998E-2</v>
      </c>
      <c r="D20" s="690">
        <f>GETPIVOTDATA("Sum of Over Five Years",DistinctPropertPopPivot!$B$4,"Year",A20)</f>
        <v>7.6499999999999999E-2</v>
      </c>
      <c r="E20" s="415"/>
      <c r="F20" s="415"/>
      <c r="G20" s="415"/>
      <c r="H20" s="415"/>
      <c r="I20" s="415"/>
    </row>
    <row r="21" spans="1:11" x14ac:dyDescent="0.35">
      <c r="A21" s="721" t="s">
        <v>327</v>
      </c>
      <c r="B21" s="694">
        <f>GETPIVOTDATA("Sum of In One Year",DistinctPropertPopPivot!$B$4,"Year",A21)</f>
        <v>1.38E-2</v>
      </c>
      <c r="C21" s="694">
        <f>GETPIVOTDATA("Sum of Over Three Years",DistinctPropertPopPivot!$B$4,"Year",A21)</f>
        <v>3.9699999999999999E-2</v>
      </c>
      <c r="D21" s="690">
        <f>GETPIVOTDATA("Sum of Over Five Years",DistinctPropertPopPivot!$B$4,"Year",A21)</f>
        <v>6.6400000000000001E-2</v>
      </c>
      <c r="E21" s="415"/>
      <c r="F21" s="415"/>
      <c r="G21" s="415"/>
      <c r="H21" s="415"/>
      <c r="I21" s="415"/>
    </row>
    <row r="22" spans="1:11" ht="15" thickBot="1" x14ac:dyDescent="0.4">
      <c r="A22" s="786" t="s">
        <v>466</v>
      </c>
      <c r="B22" s="698">
        <f>GETPIVOTDATA("Sum of In One Year",DistinctPropertPopPivot!$B$4,"Year",A22)</f>
        <v>1.2800000000000001E-2</v>
      </c>
      <c r="C22" s="698">
        <f>GETPIVOTDATA("Sum of Over Three Years",DistinctPropertPopPivot!$B$4,"Year",A22)</f>
        <v>3.6600000000000001E-2</v>
      </c>
      <c r="D22" s="691">
        <f>GETPIVOTDATA("Sum of Over Five Years",DistinctPropertPopPivot!$B$4,"Year",A22)</f>
        <v>5.4800000000000001E-2</v>
      </c>
      <c r="E22" s="415"/>
      <c r="F22" s="415"/>
      <c r="G22" s="415"/>
      <c r="H22" s="415"/>
      <c r="I22" s="415"/>
    </row>
    <row r="23" spans="1:11" ht="21.65" customHeight="1" x14ac:dyDescent="0.35">
      <c r="E23" s="415"/>
      <c r="F23" s="415"/>
      <c r="G23" s="415"/>
      <c r="H23" s="415"/>
      <c r="I23" s="415"/>
    </row>
    <row r="24" spans="1:11" x14ac:dyDescent="0.35">
      <c r="A24" s="312" t="s">
        <v>329</v>
      </c>
      <c r="E24" s="415"/>
      <c r="F24" s="415"/>
      <c r="G24" s="415"/>
    </row>
    <row r="25" spans="1:11" ht="28.5" customHeight="1" x14ac:dyDescent="0.35">
      <c r="A25" s="1010" t="s">
        <v>986</v>
      </c>
      <c r="B25" s="1010"/>
      <c r="C25" s="1010"/>
      <c r="D25" s="1010"/>
      <c r="E25" s="1010"/>
      <c r="F25" s="1010"/>
      <c r="G25" s="1010"/>
    </row>
    <row r="26" spans="1:11" ht="15.75" customHeight="1" x14ac:dyDescent="0.35">
      <c r="A26" s="499" t="s">
        <v>951</v>
      </c>
      <c r="E26" s="523"/>
      <c r="F26" s="523"/>
      <c r="G26" s="523"/>
      <c r="H26" s="523"/>
      <c r="I26" s="523"/>
      <c r="J26" s="523"/>
      <c r="K26" s="523"/>
    </row>
    <row r="27" spans="1:11" ht="15.5" x14ac:dyDescent="0.35">
      <c r="E27" s="500"/>
      <c r="F27" s="500"/>
      <c r="G27" s="500"/>
      <c r="H27" s="500"/>
      <c r="I27" s="500"/>
      <c r="J27" s="500"/>
      <c r="K27" s="500"/>
    </row>
    <row r="28" spans="1:11" ht="15.5" x14ac:dyDescent="0.35">
      <c r="A28" s="523" t="s">
        <v>987</v>
      </c>
      <c r="B28" s="523"/>
      <c r="C28" s="523"/>
      <c r="D28" s="523"/>
      <c r="E28" s="500"/>
      <c r="F28" s="500"/>
      <c r="G28" s="500"/>
      <c r="H28" s="500"/>
      <c r="I28" s="500"/>
      <c r="J28" s="500"/>
      <c r="K28" s="500"/>
    </row>
    <row r="29" spans="1:11" ht="15.5" x14ac:dyDescent="0.35">
      <c r="A29" t="s">
        <v>202</v>
      </c>
      <c r="B29" t="s">
        <v>143</v>
      </c>
      <c r="C29" s="500"/>
      <c r="D29" s="500"/>
      <c r="E29" s="500"/>
      <c r="F29" s="500"/>
      <c r="G29" s="500"/>
      <c r="H29" s="500"/>
      <c r="I29" s="500"/>
      <c r="J29" s="500"/>
      <c r="K29" s="500"/>
    </row>
    <row r="30" spans="1:11" ht="15.5" x14ac:dyDescent="0.35">
      <c r="A30" t="s">
        <v>203</v>
      </c>
      <c r="B30" t="s">
        <v>204</v>
      </c>
      <c r="C30" s="500"/>
      <c r="D30" s="500"/>
    </row>
    <row r="31" spans="1:11" ht="15.5" x14ac:dyDescent="0.35">
      <c r="A31" t="s">
        <v>205</v>
      </c>
      <c r="B31" t="s">
        <v>930</v>
      </c>
      <c r="C31" s="500"/>
      <c r="D31" s="500"/>
    </row>
    <row r="33" spans="1:7" ht="14.5" customHeight="1" x14ac:dyDescent="0.35">
      <c r="B33" s="312" t="s">
        <v>988</v>
      </c>
      <c r="C33" s="312"/>
      <c r="D33" s="312"/>
    </row>
    <row r="34" spans="1:7" x14ac:dyDescent="0.35">
      <c r="A34" s="601" t="s">
        <v>207</v>
      </c>
      <c r="B34" s="692" t="s">
        <v>970</v>
      </c>
      <c r="C34" s="692" t="s">
        <v>971</v>
      </c>
      <c r="D34" s="693" t="s">
        <v>972</v>
      </c>
    </row>
    <row r="35" spans="1:7" x14ac:dyDescent="0.35">
      <c r="A35" s="721" t="s">
        <v>364</v>
      </c>
      <c r="B35" s="694">
        <f>GETPIVOTDATA("Sum of In One Year",DistinctPropertPopPivot!$B$4,"Year",A35)</f>
        <v>2.7800000000000002E-2</v>
      </c>
      <c r="C35" s="695"/>
      <c r="D35" s="697"/>
    </row>
    <row r="36" spans="1:7" x14ac:dyDescent="0.35">
      <c r="A36" s="721" t="s">
        <v>365</v>
      </c>
      <c r="B36" s="694">
        <f>GETPIVOTDATA("Sum of In One Year",DistinctPropertPopPivot!$B$4,"Year",A36)</f>
        <v>2.63E-2</v>
      </c>
      <c r="C36" s="695"/>
      <c r="D36" s="697"/>
    </row>
    <row r="37" spans="1:7" x14ac:dyDescent="0.35">
      <c r="A37" s="721" t="s">
        <v>366</v>
      </c>
      <c r="B37" s="694">
        <f>GETPIVOTDATA("Sum of In One Year",DistinctPropertPopPivot!$B$4,"Year",A37)</f>
        <v>2.8399999999999998E-2</v>
      </c>
      <c r="C37" s="694">
        <v>3.2800000000000003E-2</v>
      </c>
      <c r="D37" s="697"/>
    </row>
    <row r="38" spans="1:7" x14ac:dyDescent="0.35">
      <c r="A38" s="721" t="s">
        <v>341</v>
      </c>
      <c r="B38" s="694">
        <f>GETPIVOTDATA("Sum of In One Year",DistinctPropertPopPivot!$B$4,"Year",A38)</f>
        <v>2.7900000000000001E-2</v>
      </c>
      <c r="C38" s="694">
        <v>3.2400000000000005E-2</v>
      </c>
      <c r="D38" s="697"/>
    </row>
    <row r="39" spans="1:7" x14ac:dyDescent="0.35">
      <c r="A39" s="721" t="s">
        <v>342</v>
      </c>
      <c r="B39" s="694">
        <f>GETPIVOTDATA("Sum of In One Year",DistinctPropertPopPivot!$B$4,"Year",A39)</f>
        <v>2.7300000000000001E-2</v>
      </c>
      <c r="C39" s="694">
        <v>3.2300000000000002E-2</v>
      </c>
      <c r="D39" s="690">
        <v>4.9699999999999994E-2</v>
      </c>
    </row>
    <row r="40" spans="1:7" x14ac:dyDescent="0.35">
      <c r="A40" s="721" t="s">
        <v>214</v>
      </c>
      <c r="B40" s="694">
        <f>GETPIVOTDATA("Sum of In One Year",DistinctPropertPopPivot!$B$4,"Year",A40)</f>
        <v>2.6699999999999998E-2</v>
      </c>
      <c r="C40" s="694">
        <v>3.0600000000000002E-2</v>
      </c>
      <c r="D40" s="690">
        <v>4.8600000000000004E-2</v>
      </c>
    </row>
    <row r="41" spans="1:7" x14ac:dyDescent="0.35">
      <c r="A41" s="721" t="s">
        <v>313</v>
      </c>
      <c r="B41" s="694">
        <f>GETPIVOTDATA("Sum of In One Year",DistinctPropertPopPivot!$B$4,"Year",A41)</f>
        <v>2.6499999999999999E-2</v>
      </c>
      <c r="C41" s="694">
        <v>2.8199999999999999E-2</v>
      </c>
      <c r="D41" s="690">
        <v>4.7400000000000005E-2</v>
      </c>
    </row>
    <row r="42" spans="1:7" x14ac:dyDescent="0.35">
      <c r="A42" s="721" t="s">
        <v>319</v>
      </c>
      <c r="B42" s="694">
        <f>GETPIVOTDATA("Sum of In One Year",DistinctPropertPopPivot!$B$4,"Year",A42)</f>
        <v>7.7000000000000002E-3</v>
      </c>
      <c r="C42" s="694">
        <v>2.0799999999999999E-2</v>
      </c>
      <c r="D42" s="690">
        <v>4.0199999999999993E-2</v>
      </c>
    </row>
    <row r="43" spans="1:7" x14ac:dyDescent="0.35">
      <c r="A43" s="721" t="s">
        <v>321</v>
      </c>
      <c r="B43" s="695"/>
      <c r="C43" s="695"/>
      <c r="D43" s="697"/>
    </row>
    <row r="44" spans="1:7" x14ac:dyDescent="0.35">
      <c r="A44" s="721" t="s">
        <v>326</v>
      </c>
      <c r="B44" s="695"/>
      <c r="C44" s="695"/>
      <c r="D44" s="697"/>
    </row>
    <row r="45" spans="1:7" x14ac:dyDescent="0.35">
      <c r="A45" s="721" t="s">
        <v>327</v>
      </c>
      <c r="B45" s="694">
        <f>GETPIVOTDATA("Sum of In One Year",DistinctPropertPopPivot!$B$4,"Year",A45)</f>
        <v>1.38E-2</v>
      </c>
      <c r="C45" s="695"/>
      <c r="D45" s="697"/>
    </row>
    <row r="46" spans="1:7" ht="15" thickBot="1" x14ac:dyDescent="0.4">
      <c r="A46" s="786" t="s">
        <v>466</v>
      </c>
      <c r="B46" s="698">
        <f>GETPIVOTDATA("Sum of In One Year",DistinctPropertPopPivot!$B$4,"Year",A46)</f>
        <v>1.2800000000000001E-2</v>
      </c>
      <c r="C46" s="1005"/>
      <c r="D46" s="986"/>
    </row>
    <row r="48" spans="1:7" x14ac:dyDescent="0.35">
      <c r="A48" s="312" t="s">
        <v>329</v>
      </c>
      <c r="E48" s="415"/>
      <c r="F48" s="415"/>
      <c r="G48" s="415"/>
    </row>
    <row r="49" spans="1:7" ht="32.15" customHeight="1" x14ac:dyDescent="0.35">
      <c r="A49" s="1010" t="s">
        <v>989</v>
      </c>
      <c r="B49" s="1010"/>
      <c r="C49" s="1010"/>
      <c r="D49" s="1010"/>
      <c r="E49" s="1010"/>
      <c r="F49" s="1010"/>
      <c r="G49" s="1010"/>
    </row>
    <row r="50" spans="1:7" x14ac:dyDescent="0.35">
      <c r="A50" s="499" t="s">
        <v>951</v>
      </c>
    </row>
    <row r="51" spans="1:7" x14ac:dyDescent="0.35">
      <c r="A51" t="s">
        <v>1295</v>
      </c>
    </row>
  </sheetData>
  <sheetProtection algorithmName="SHA-512" hashValue="8n4REmVvKvwK/in2t3etbOt0YxSytEuzqUIcq1UcyKttjx1vUQWQAQEt/j+HAwNEv0CQwLuS0IXYWjsErxzlcA==" saltValue="+vHkBIez0VZfcTdMhTikQw==" spinCount="100000" sheet="1" scenarios="1" formatCells="0" sort="0" autoFilter="0" pivotTables="0"/>
  <mergeCells count="2">
    <mergeCell ref="A49:G49"/>
    <mergeCell ref="A25:G25"/>
  </mergeCells>
  <hyperlinks>
    <hyperlink ref="A2" location="'Table of Contents'!A1" display="Back to Table of Contents" xr:uid="{00000000-0004-0000-8200-000000000000}"/>
    <hyperlink ref="A26" r:id="rId1" xr:uid="{00000000-0004-0000-8200-000001000000}"/>
    <hyperlink ref="A50" r:id="rId2" xr:uid="{00000000-0004-0000-8200-000002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9F9F7-7EFE-4BCF-A116-2BA65891D905}">
  <sheetPr>
    <tabColor theme="7" tint="-0.249977111117893"/>
  </sheetPr>
  <dimension ref="A1:H14"/>
  <sheetViews>
    <sheetView workbookViewId="0">
      <selection activeCell="C9" sqref="C9"/>
    </sheetView>
  </sheetViews>
  <sheetFormatPr defaultRowHeight="14.5" x14ac:dyDescent="0.35"/>
  <cols>
    <col min="1" max="1" width="12.54296875" bestFit="1" customWidth="1"/>
    <col min="2" max="2" width="14.81640625" bestFit="1" customWidth="1"/>
    <col min="3" max="3" width="12.81640625" bestFit="1" customWidth="1"/>
    <col min="4" max="6" width="13.81640625" bestFit="1" customWidth="1"/>
    <col min="7" max="7" width="13.7265625" bestFit="1" customWidth="1"/>
    <col min="8" max="8" width="18.54296875" bestFit="1" customWidth="1"/>
  </cols>
  <sheetData>
    <row r="1" spans="1:8" x14ac:dyDescent="0.35">
      <c r="A1" s="387" t="s">
        <v>350</v>
      </c>
      <c r="B1" t="s">
        <v>990</v>
      </c>
      <c r="C1" t="s">
        <v>991</v>
      </c>
      <c r="D1" t="s">
        <v>992</v>
      </c>
      <c r="E1" t="s">
        <v>993</v>
      </c>
      <c r="F1" t="s">
        <v>994</v>
      </c>
      <c r="G1" t="s">
        <v>995</v>
      </c>
      <c r="H1" t="s">
        <v>996</v>
      </c>
    </row>
    <row r="2" spans="1:8" x14ac:dyDescent="0.35">
      <c r="A2" s="388" t="s">
        <v>364</v>
      </c>
      <c r="B2">
        <v>9522</v>
      </c>
      <c r="C2">
        <v>8378</v>
      </c>
      <c r="D2">
        <v>6148</v>
      </c>
      <c r="E2">
        <v>21422</v>
      </c>
      <c r="F2">
        <v>45974</v>
      </c>
      <c r="G2">
        <v>43449</v>
      </c>
      <c r="H2">
        <v>134893</v>
      </c>
    </row>
    <row r="3" spans="1:8" x14ac:dyDescent="0.35">
      <c r="A3" s="388" t="s">
        <v>365</v>
      </c>
      <c r="B3">
        <v>9301</v>
      </c>
      <c r="C3">
        <v>8100</v>
      </c>
      <c r="D3">
        <v>5611</v>
      </c>
      <c r="E3">
        <v>17596</v>
      </c>
      <c r="F3">
        <v>41757</v>
      </c>
      <c r="G3">
        <v>43048</v>
      </c>
      <c r="H3">
        <v>125413</v>
      </c>
    </row>
    <row r="4" spans="1:8" x14ac:dyDescent="0.35">
      <c r="A4" s="388" t="s">
        <v>366</v>
      </c>
      <c r="B4">
        <v>9270</v>
      </c>
      <c r="C4">
        <v>8385</v>
      </c>
      <c r="D4">
        <v>5779</v>
      </c>
      <c r="E4">
        <v>17567</v>
      </c>
      <c r="F4">
        <v>43991</v>
      </c>
      <c r="G4">
        <v>49733</v>
      </c>
      <c r="H4">
        <v>134725</v>
      </c>
    </row>
    <row r="5" spans="1:8" x14ac:dyDescent="0.35">
      <c r="A5" s="388" t="s">
        <v>341</v>
      </c>
      <c r="B5">
        <v>7684</v>
      </c>
      <c r="C5">
        <v>7945</v>
      </c>
      <c r="D5">
        <v>5617</v>
      </c>
      <c r="E5">
        <v>13019</v>
      </c>
      <c r="F5">
        <v>42665</v>
      </c>
      <c r="G5">
        <v>52260</v>
      </c>
      <c r="H5">
        <v>129190</v>
      </c>
    </row>
    <row r="6" spans="1:8" x14ac:dyDescent="0.35">
      <c r="A6" s="388" t="s">
        <v>342</v>
      </c>
      <c r="B6">
        <v>7694</v>
      </c>
      <c r="C6">
        <v>7954</v>
      </c>
      <c r="D6">
        <v>5364</v>
      </c>
      <c r="E6">
        <v>13881</v>
      </c>
      <c r="F6">
        <v>42205</v>
      </c>
      <c r="G6">
        <v>50848</v>
      </c>
      <c r="H6">
        <v>127946</v>
      </c>
    </row>
    <row r="7" spans="1:8" x14ac:dyDescent="0.35">
      <c r="A7" s="388" t="s">
        <v>214</v>
      </c>
      <c r="B7">
        <v>7266</v>
      </c>
      <c r="C7">
        <v>7987</v>
      </c>
      <c r="D7">
        <v>5517</v>
      </c>
      <c r="E7">
        <v>13947</v>
      </c>
      <c r="F7">
        <v>41141</v>
      </c>
      <c r="G7">
        <v>48727</v>
      </c>
      <c r="H7">
        <v>124585</v>
      </c>
    </row>
    <row r="8" spans="1:8" x14ac:dyDescent="0.35">
      <c r="A8" s="388" t="s">
        <v>313</v>
      </c>
      <c r="B8">
        <v>7040</v>
      </c>
      <c r="C8">
        <v>7889</v>
      </c>
      <c r="D8">
        <v>5512</v>
      </c>
      <c r="E8">
        <v>13665</v>
      </c>
      <c r="F8">
        <v>40173</v>
      </c>
      <c r="G8">
        <v>48769</v>
      </c>
      <c r="H8">
        <v>123048</v>
      </c>
    </row>
    <row r="9" spans="1:8" x14ac:dyDescent="0.35">
      <c r="A9" s="388" t="s">
        <v>319</v>
      </c>
      <c r="B9">
        <v>1270</v>
      </c>
      <c r="C9">
        <v>1639</v>
      </c>
      <c r="D9">
        <v>1291</v>
      </c>
      <c r="E9">
        <v>2992</v>
      </c>
      <c r="F9">
        <v>9416</v>
      </c>
      <c r="G9">
        <v>16017</v>
      </c>
      <c r="H9">
        <v>32625</v>
      </c>
    </row>
    <row r="10" spans="1:8" x14ac:dyDescent="0.35">
      <c r="A10" s="388" t="s">
        <v>321</v>
      </c>
      <c r="B10">
        <v>2198</v>
      </c>
      <c r="C10">
        <v>2826</v>
      </c>
      <c r="D10">
        <v>2403</v>
      </c>
      <c r="E10">
        <v>5628</v>
      </c>
      <c r="F10">
        <v>18596</v>
      </c>
      <c r="G10">
        <v>39107</v>
      </c>
      <c r="H10">
        <v>70758</v>
      </c>
    </row>
    <row r="11" spans="1:8" x14ac:dyDescent="0.35">
      <c r="A11" s="388" t="s">
        <v>326</v>
      </c>
      <c r="B11">
        <v>2300</v>
      </c>
      <c r="C11">
        <v>3133</v>
      </c>
      <c r="D11">
        <v>2463</v>
      </c>
      <c r="E11">
        <v>5787</v>
      </c>
      <c r="F11">
        <v>18149</v>
      </c>
      <c r="G11">
        <v>30792</v>
      </c>
      <c r="H11">
        <v>62624</v>
      </c>
    </row>
    <row r="12" spans="1:8" x14ac:dyDescent="0.35">
      <c r="A12" s="388" t="s">
        <v>327</v>
      </c>
      <c r="B12">
        <v>2410</v>
      </c>
      <c r="C12">
        <v>3147</v>
      </c>
      <c r="D12">
        <v>2485</v>
      </c>
      <c r="E12">
        <v>6086</v>
      </c>
      <c r="F12">
        <v>18432</v>
      </c>
      <c r="G12">
        <v>28179</v>
      </c>
      <c r="H12">
        <v>60739</v>
      </c>
    </row>
    <row r="13" spans="1:8" x14ac:dyDescent="0.35">
      <c r="A13" s="388" t="s">
        <v>466</v>
      </c>
      <c r="B13">
        <v>1993</v>
      </c>
      <c r="C13">
        <v>2601</v>
      </c>
      <c r="D13">
        <v>2090</v>
      </c>
      <c r="E13">
        <v>5412</v>
      </c>
      <c r="F13">
        <v>16549</v>
      </c>
      <c r="G13">
        <v>25840</v>
      </c>
      <c r="H13">
        <v>54523</v>
      </c>
    </row>
    <row r="14" spans="1:8" x14ac:dyDescent="0.35">
      <c r="A14" s="388" t="s">
        <v>357</v>
      </c>
      <c r="B14">
        <v>67948</v>
      </c>
      <c r="C14">
        <v>69984</v>
      </c>
      <c r="D14">
        <v>50280</v>
      </c>
      <c r="E14">
        <v>137002</v>
      </c>
      <c r="F14">
        <v>379048</v>
      </c>
      <c r="G14">
        <v>476769</v>
      </c>
      <c r="H14">
        <v>1181069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80EBC-FD7E-4ADD-8E71-FA2D77AA6D18}">
  <sheetPr>
    <tabColor theme="4" tint="0.59999389629810485"/>
  </sheetPr>
  <dimension ref="A1:K132"/>
  <sheetViews>
    <sheetView workbookViewId="0">
      <selection activeCell="K24" sqref="K24"/>
    </sheetView>
  </sheetViews>
  <sheetFormatPr defaultRowHeight="14.5" x14ac:dyDescent="0.35"/>
  <cols>
    <col min="1" max="1" width="10.6328125" bestFit="1" customWidth="1"/>
    <col min="2" max="2" width="20.6328125" bestFit="1" customWidth="1"/>
    <col min="3" max="3" width="12.90625" bestFit="1" customWidth="1"/>
    <col min="4" max="5" width="8.1796875" bestFit="1" customWidth="1"/>
    <col min="9" max="9" width="11" bestFit="1" customWidth="1"/>
    <col min="10" max="10" width="21.453125" bestFit="1" customWidth="1"/>
    <col min="11" max="12" width="33.36328125" bestFit="1" customWidth="1"/>
  </cols>
  <sheetData>
    <row r="1" spans="1:11" x14ac:dyDescent="0.35">
      <c r="A1" t="s">
        <v>376</v>
      </c>
      <c r="B1" t="s">
        <v>377</v>
      </c>
      <c r="C1" t="s">
        <v>378</v>
      </c>
      <c r="D1" t="s">
        <v>379</v>
      </c>
    </row>
    <row r="2" spans="1:11" x14ac:dyDescent="0.35">
      <c r="A2" t="s">
        <v>313</v>
      </c>
      <c r="C2" t="s">
        <v>380</v>
      </c>
      <c r="D2">
        <v>4</v>
      </c>
    </row>
    <row r="3" spans="1:11" x14ac:dyDescent="0.35">
      <c r="A3" t="s">
        <v>313</v>
      </c>
      <c r="B3" t="s">
        <v>381</v>
      </c>
      <c r="C3" t="s">
        <v>382</v>
      </c>
      <c r="D3">
        <v>8</v>
      </c>
    </row>
    <row r="4" spans="1:11" x14ac:dyDescent="0.35">
      <c r="A4" t="s">
        <v>313</v>
      </c>
      <c r="B4" t="s">
        <v>381</v>
      </c>
      <c r="C4" t="s">
        <v>383</v>
      </c>
      <c r="D4">
        <v>4</v>
      </c>
    </row>
    <row r="5" spans="1:11" x14ac:dyDescent="0.35">
      <c r="A5" t="s">
        <v>313</v>
      </c>
      <c r="B5" t="s">
        <v>381</v>
      </c>
      <c r="C5" t="s">
        <v>384</v>
      </c>
      <c r="D5">
        <v>78</v>
      </c>
    </row>
    <row r="6" spans="1:11" x14ac:dyDescent="0.35">
      <c r="A6" t="s">
        <v>313</v>
      </c>
      <c r="B6" t="s">
        <v>381</v>
      </c>
      <c r="C6" t="s">
        <v>385</v>
      </c>
      <c r="D6">
        <v>1</v>
      </c>
      <c r="I6" t="s">
        <v>376</v>
      </c>
      <c r="J6" t="s">
        <v>377</v>
      </c>
      <c r="K6" t="s">
        <v>386</v>
      </c>
    </row>
    <row r="7" spans="1:11" x14ac:dyDescent="0.35">
      <c r="A7" t="s">
        <v>313</v>
      </c>
      <c r="B7" t="s">
        <v>381</v>
      </c>
      <c r="C7" t="s">
        <v>387</v>
      </c>
      <c r="D7">
        <v>4</v>
      </c>
      <c r="I7" t="s">
        <v>313</v>
      </c>
      <c r="J7" t="s">
        <v>388</v>
      </c>
      <c r="K7">
        <v>95</v>
      </c>
    </row>
    <row r="8" spans="1:11" x14ac:dyDescent="0.35">
      <c r="A8" t="s">
        <v>313</v>
      </c>
      <c r="B8" t="s">
        <v>381</v>
      </c>
      <c r="C8" t="s">
        <v>389</v>
      </c>
      <c r="D8">
        <v>5</v>
      </c>
      <c r="I8" t="s">
        <v>313</v>
      </c>
      <c r="J8" t="s">
        <v>390</v>
      </c>
      <c r="K8">
        <v>37</v>
      </c>
    </row>
    <row r="9" spans="1:11" x14ac:dyDescent="0.35">
      <c r="A9" t="s">
        <v>313</v>
      </c>
      <c r="B9" t="s">
        <v>381</v>
      </c>
      <c r="C9" t="s">
        <v>391</v>
      </c>
      <c r="D9">
        <v>3</v>
      </c>
      <c r="I9" t="s">
        <v>313</v>
      </c>
      <c r="J9" t="s">
        <v>392</v>
      </c>
      <c r="K9">
        <v>54</v>
      </c>
    </row>
    <row r="10" spans="1:11" x14ac:dyDescent="0.35">
      <c r="A10" t="s">
        <v>313</v>
      </c>
      <c r="B10" t="s">
        <v>381</v>
      </c>
      <c r="C10" t="s">
        <v>393</v>
      </c>
      <c r="D10">
        <v>20</v>
      </c>
      <c r="I10" t="s">
        <v>319</v>
      </c>
      <c r="J10" t="s">
        <v>388</v>
      </c>
      <c r="K10">
        <v>95</v>
      </c>
    </row>
    <row r="11" spans="1:11" x14ac:dyDescent="0.35">
      <c r="A11" t="s">
        <v>313</v>
      </c>
      <c r="B11" t="s">
        <v>381</v>
      </c>
      <c r="C11" t="s">
        <v>394</v>
      </c>
      <c r="D11">
        <v>10</v>
      </c>
      <c r="I11" t="s">
        <v>319</v>
      </c>
      <c r="J11" t="s">
        <v>390</v>
      </c>
      <c r="K11">
        <v>37</v>
      </c>
    </row>
    <row r="12" spans="1:11" x14ac:dyDescent="0.35">
      <c r="A12" t="s">
        <v>313</v>
      </c>
      <c r="B12" t="s">
        <v>390</v>
      </c>
      <c r="C12" t="s">
        <v>395</v>
      </c>
      <c r="D12">
        <v>5</v>
      </c>
      <c r="I12" t="s">
        <v>319</v>
      </c>
      <c r="J12" t="s">
        <v>392</v>
      </c>
      <c r="K12">
        <v>54</v>
      </c>
    </row>
    <row r="13" spans="1:11" x14ac:dyDescent="0.35">
      <c r="A13" t="s">
        <v>313</v>
      </c>
      <c r="B13" t="s">
        <v>390</v>
      </c>
      <c r="C13" t="s">
        <v>396</v>
      </c>
      <c r="D13">
        <v>25</v>
      </c>
      <c r="I13" t="s">
        <v>321</v>
      </c>
      <c r="J13" t="s">
        <v>388</v>
      </c>
      <c r="K13">
        <v>101</v>
      </c>
    </row>
    <row r="14" spans="1:11" x14ac:dyDescent="0.35">
      <c r="A14" t="s">
        <v>313</v>
      </c>
      <c r="B14" t="s">
        <v>390</v>
      </c>
      <c r="C14" t="s">
        <v>397</v>
      </c>
      <c r="D14">
        <v>8</v>
      </c>
      <c r="I14" t="s">
        <v>321</v>
      </c>
      <c r="J14" t="s">
        <v>390</v>
      </c>
      <c r="K14">
        <v>36</v>
      </c>
    </row>
    <row r="15" spans="1:11" x14ac:dyDescent="0.35">
      <c r="A15" t="s">
        <v>313</v>
      </c>
      <c r="B15" t="s">
        <v>390</v>
      </c>
      <c r="C15" t="s">
        <v>398</v>
      </c>
      <c r="D15">
        <v>17</v>
      </c>
      <c r="I15" t="s">
        <v>321</v>
      </c>
      <c r="J15" t="s">
        <v>392</v>
      </c>
      <c r="K15">
        <v>52</v>
      </c>
    </row>
    <row r="16" spans="1:11" x14ac:dyDescent="0.35">
      <c r="A16" t="s">
        <v>313</v>
      </c>
      <c r="B16" t="s">
        <v>390</v>
      </c>
      <c r="C16" t="s">
        <v>399</v>
      </c>
      <c r="D16">
        <v>3</v>
      </c>
      <c r="I16" t="s">
        <v>326</v>
      </c>
      <c r="J16" t="s">
        <v>388</v>
      </c>
      <c r="K16">
        <v>104</v>
      </c>
    </row>
    <row r="17" spans="1:11" x14ac:dyDescent="0.35">
      <c r="A17" t="s">
        <v>313</v>
      </c>
      <c r="B17" t="s">
        <v>390</v>
      </c>
      <c r="C17" t="s">
        <v>400</v>
      </c>
      <c r="D17">
        <v>7</v>
      </c>
      <c r="I17" t="s">
        <v>326</v>
      </c>
      <c r="J17" t="s">
        <v>390</v>
      </c>
      <c r="K17">
        <v>35</v>
      </c>
    </row>
    <row r="18" spans="1:11" x14ac:dyDescent="0.35">
      <c r="A18" t="s">
        <v>313</v>
      </c>
      <c r="B18" t="s">
        <v>392</v>
      </c>
      <c r="C18" t="s">
        <v>401</v>
      </c>
      <c r="D18">
        <v>6</v>
      </c>
      <c r="I18" t="s">
        <v>326</v>
      </c>
      <c r="J18" t="s">
        <v>392</v>
      </c>
      <c r="K18">
        <v>52</v>
      </c>
    </row>
    <row r="19" spans="1:11" x14ac:dyDescent="0.35">
      <c r="A19" t="s">
        <v>313</v>
      </c>
      <c r="B19" t="s">
        <v>392</v>
      </c>
      <c r="C19" t="s">
        <v>402</v>
      </c>
      <c r="D19">
        <v>21</v>
      </c>
      <c r="I19" t="s">
        <v>327</v>
      </c>
      <c r="J19" t="s">
        <v>388</v>
      </c>
      <c r="K19">
        <v>105</v>
      </c>
    </row>
    <row r="20" spans="1:11" x14ac:dyDescent="0.35">
      <c r="A20" t="s">
        <v>313</v>
      </c>
      <c r="B20" t="s">
        <v>392</v>
      </c>
      <c r="C20" t="s">
        <v>403</v>
      </c>
      <c r="D20">
        <v>35</v>
      </c>
      <c r="I20" t="s">
        <v>327</v>
      </c>
      <c r="J20" t="s">
        <v>390</v>
      </c>
      <c r="K20">
        <v>26</v>
      </c>
    </row>
    <row r="21" spans="1:11" x14ac:dyDescent="0.35">
      <c r="A21" t="s">
        <v>313</v>
      </c>
      <c r="B21" t="s">
        <v>392</v>
      </c>
      <c r="C21" t="s">
        <v>404</v>
      </c>
      <c r="D21">
        <v>5</v>
      </c>
      <c r="I21" t="s">
        <v>327</v>
      </c>
      <c r="J21" t="s">
        <v>392</v>
      </c>
      <c r="K21">
        <v>53</v>
      </c>
    </row>
    <row r="22" spans="1:11" x14ac:dyDescent="0.35">
      <c r="A22" t="s">
        <v>313</v>
      </c>
      <c r="B22" t="s">
        <v>392</v>
      </c>
      <c r="C22" t="s">
        <v>405</v>
      </c>
      <c r="D22">
        <v>19</v>
      </c>
      <c r="I22" t="s">
        <v>466</v>
      </c>
      <c r="K22">
        <v>1</v>
      </c>
    </row>
    <row r="23" spans="1:11" x14ac:dyDescent="0.35">
      <c r="A23" t="s">
        <v>313</v>
      </c>
      <c r="B23" t="s">
        <v>406</v>
      </c>
      <c r="C23" t="s">
        <v>407</v>
      </c>
      <c r="D23">
        <v>244</v>
      </c>
      <c r="I23" t="s">
        <v>466</v>
      </c>
      <c r="J23" t="s">
        <v>381</v>
      </c>
      <c r="K23">
        <v>115</v>
      </c>
    </row>
    <row r="24" spans="1:11" x14ac:dyDescent="0.35">
      <c r="A24" t="s">
        <v>313</v>
      </c>
      <c r="B24" t="s">
        <v>406</v>
      </c>
      <c r="C24" t="s">
        <v>408</v>
      </c>
      <c r="D24">
        <v>6</v>
      </c>
      <c r="I24" t="s">
        <v>466</v>
      </c>
      <c r="J24" t="s">
        <v>390</v>
      </c>
      <c r="K24">
        <v>26</v>
      </c>
    </row>
    <row r="25" spans="1:11" x14ac:dyDescent="0.35">
      <c r="A25" t="s">
        <v>313</v>
      </c>
      <c r="B25" t="s">
        <v>406</v>
      </c>
      <c r="C25" t="s">
        <v>409</v>
      </c>
      <c r="D25">
        <v>101</v>
      </c>
      <c r="I25" t="s">
        <v>466</v>
      </c>
      <c r="J25" t="s">
        <v>392</v>
      </c>
      <c r="K25">
        <v>68</v>
      </c>
    </row>
    <row r="26" spans="1:11" x14ac:dyDescent="0.35">
      <c r="A26" t="s">
        <v>319</v>
      </c>
      <c r="C26" t="s">
        <v>380</v>
      </c>
      <c r="D26">
        <v>4</v>
      </c>
    </row>
    <row r="27" spans="1:11" x14ac:dyDescent="0.35">
      <c r="A27" t="s">
        <v>319</v>
      </c>
      <c r="B27" t="s">
        <v>381</v>
      </c>
      <c r="C27" t="s">
        <v>382</v>
      </c>
      <c r="D27">
        <v>8</v>
      </c>
    </row>
    <row r="28" spans="1:11" x14ac:dyDescent="0.35">
      <c r="A28" t="s">
        <v>319</v>
      </c>
      <c r="B28" t="s">
        <v>381</v>
      </c>
      <c r="C28" t="s">
        <v>383</v>
      </c>
      <c r="D28">
        <v>4</v>
      </c>
    </row>
    <row r="29" spans="1:11" x14ac:dyDescent="0.35">
      <c r="A29" t="s">
        <v>319</v>
      </c>
      <c r="B29" t="s">
        <v>381</v>
      </c>
      <c r="C29" t="s">
        <v>384</v>
      </c>
      <c r="D29">
        <v>78</v>
      </c>
    </row>
    <row r="30" spans="1:11" x14ac:dyDescent="0.35">
      <c r="A30" t="s">
        <v>319</v>
      </c>
      <c r="B30" t="s">
        <v>381</v>
      </c>
      <c r="C30" t="s">
        <v>385</v>
      </c>
      <c r="D30">
        <v>1</v>
      </c>
    </row>
    <row r="31" spans="1:11" x14ac:dyDescent="0.35">
      <c r="A31" t="s">
        <v>319</v>
      </c>
      <c r="B31" t="s">
        <v>381</v>
      </c>
      <c r="C31" t="s">
        <v>387</v>
      </c>
      <c r="D31">
        <v>4</v>
      </c>
    </row>
    <row r="32" spans="1:11" x14ac:dyDescent="0.35">
      <c r="A32" t="s">
        <v>319</v>
      </c>
      <c r="B32" t="s">
        <v>381</v>
      </c>
      <c r="C32" t="s">
        <v>389</v>
      </c>
      <c r="D32">
        <v>5</v>
      </c>
    </row>
    <row r="33" spans="1:4" x14ac:dyDescent="0.35">
      <c r="A33" t="s">
        <v>319</v>
      </c>
      <c r="B33" t="s">
        <v>381</v>
      </c>
      <c r="C33" t="s">
        <v>391</v>
      </c>
      <c r="D33">
        <v>3</v>
      </c>
    </row>
    <row r="34" spans="1:4" x14ac:dyDescent="0.35">
      <c r="A34" t="s">
        <v>319</v>
      </c>
      <c r="B34" t="s">
        <v>381</v>
      </c>
      <c r="C34" t="s">
        <v>393</v>
      </c>
      <c r="D34">
        <v>20</v>
      </c>
    </row>
    <row r="35" spans="1:4" x14ac:dyDescent="0.35">
      <c r="A35" t="s">
        <v>319</v>
      </c>
      <c r="B35" t="s">
        <v>381</v>
      </c>
      <c r="C35" t="s">
        <v>394</v>
      </c>
      <c r="D35">
        <v>10</v>
      </c>
    </row>
    <row r="36" spans="1:4" x14ac:dyDescent="0.35">
      <c r="A36" t="s">
        <v>319</v>
      </c>
      <c r="B36" t="s">
        <v>390</v>
      </c>
      <c r="C36" t="s">
        <v>395</v>
      </c>
      <c r="D36">
        <v>5</v>
      </c>
    </row>
    <row r="37" spans="1:4" x14ac:dyDescent="0.35">
      <c r="A37" t="s">
        <v>319</v>
      </c>
      <c r="B37" t="s">
        <v>390</v>
      </c>
      <c r="C37" t="s">
        <v>396</v>
      </c>
      <c r="D37">
        <v>25</v>
      </c>
    </row>
    <row r="38" spans="1:4" x14ac:dyDescent="0.35">
      <c r="A38" t="s">
        <v>319</v>
      </c>
      <c r="B38" t="s">
        <v>390</v>
      </c>
      <c r="C38" t="s">
        <v>397</v>
      </c>
      <c r="D38">
        <v>8</v>
      </c>
    </row>
    <row r="39" spans="1:4" x14ac:dyDescent="0.35">
      <c r="A39" t="s">
        <v>319</v>
      </c>
      <c r="B39" t="s">
        <v>390</v>
      </c>
      <c r="C39" t="s">
        <v>398</v>
      </c>
      <c r="D39">
        <v>17</v>
      </c>
    </row>
    <row r="40" spans="1:4" x14ac:dyDescent="0.35">
      <c r="A40" t="s">
        <v>319</v>
      </c>
      <c r="B40" t="s">
        <v>390</v>
      </c>
      <c r="C40" t="s">
        <v>399</v>
      </c>
      <c r="D40">
        <v>3</v>
      </c>
    </row>
    <row r="41" spans="1:4" x14ac:dyDescent="0.35">
      <c r="A41" t="s">
        <v>319</v>
      </c>
      <c r="B41" t="s">
        <v>390</v>
      </c>
      <c r="C41" t="s">
        <v>400</v>
      </c>
      <c r="D41">
        <v>7</v>
      </c>
    </row>
    <row r="42" spans="1:4" x14ac:dyDescent="0.35">
      <c r="A42" t="s">
        <v>319</v>
      </c>
      <c r="B42" t="s">
        <v>392</v>
      </c>
      <c r="C42" t="s">
        <v>401</v>
      </c>
      <c r="D42">
        <v>6</v>
      </c>
    </row>
    <row r="43" spans="1:4" x14ac:dyDescent="0.35">
      <c r="A43" t="s">
        <v>319</v>
      </c>
      <c r="B43" t="s">
        <v>392</v>
      </c>
      <c r="C43" t="s">
        <v>402</v>
      </c>
      <c r="D43">
        <v>21</v>
      </c>
    </row>
    <row r="44" spans="1:4" x14ac:dyDescent="0.35">
      <c r="A44" t="s">
        <v>319</v>
      </c>
      <c r="B44" t="s">
        <v>392</v>
      </c>
      <c r="C44" t="s">
        <v>403</v>
      </c>
      <c r="D44">
        <v>35</v>
      </c>
    </row>
    <row r="45" spans="1:4" x14ac:dyDescent="0.35">
      <c r="A45" t="s">
        <v>319</v>
      </c>
      <c r="B45" t="s">
        <v>392</v>
      </c>
      <c r="C45" t="s">
        <v>404</v>
      </c>
      <c r="D45">
        <v>5</v>
      </c>
    </row>
    <row r="46" spans="1:4" x14ac:dyDescent="0.35">
      <c r="A46" t="s">
        <v>319</v>
      </c>
      <c r="B46" t="s">
        <v>392</v>
      </c>
      <c r="C46" t="s">
        <v>405</v>
      </c>
      <c r="D46">
        <v>19</v>
      </c>
    </row>
    <row r="47" spans="1:4" x14ac:dyDescent="0.35">
      <c r="A47" t="s">
        <v>319</v>
      </c>
      <c r="B47" t="s">
        <v>406</v>
      </c>
      <c r="C47" t="s">
        <v>407</v>
      </c>
      <c r="D47">
        <v>244</v>
      </c>
    </row>
    <row r="48" spans="1:4" x14ac:dyDescent="0.35">
      <c r="A48" t="s">
        <v>319</v>
      </c>
      <c r="B48" t="s">
        <v>406</v>
      </c>
      <c r="C48" t="s">
        <v>408</v>
      </c>
      <c r="D48">
        <v>6</v>
      </c>
    </row>
    <row r="49" spans="1:4" x14ac:dyDescent="0.35">
      <c r="A49" t="s">
        <v>319</v>
      </c>
      <c r="B49" t="s">
        <v>406</v>
      </c>
      <c r="C49" t="s">
        <v>409</v>
      </c>
      <c r="D49">
        <v>101</v>
      </c>
    </row>
    <row r="50" spans="1:4" x14ac:dyDescent="0.35">
      <c r="A50" t="s">
        <v>321</v>
      </c>
      <c r="B50" t="s">
        <v>381</v>
      </c>
      <c r="C50" t="s">
        <v>382</v>
      </c>
      <c r="D50">
        <v>8</v>
      </c>
    </row>
    <row r="51" spans="1:4" x14ac:dyDescent="0.35">
      <c r="A51" t="s">
        <v>321</v>
      </c>
      <c r="B51" t="s">
        <v>381</v>
      </c>
      <c r="C51" t="s">
        <v>383</v>
      </c>
      <c r="D51">
        <v>4</v>
      </c>
    </row>
    <row r="52" spans="1:4" x14ac:dyDescent="0.35">
      <c r="A52" t="s">
        <v>321</v>
      </c>
      <c r="B52" t="s">
        <v>381</v>
      </c>
      <c r="C52" t="s">
        <v>384</v>
      </c>
      <c r="D52">
        <v>83</v>
      </c>
    </row>
    <row r="53" spans="1:4" x14ac:dyDescent="0.35">
      <c r="A53" t="s">
        <v>321</v>
      </c>
      <c r="B53" t="s">
        <v>381</v>
      </c>
      <c r="C53" t="s">
        <v>385</v>
      </c>
      <c r="D53">
        <v>1</v>
      </c>
    </row>
    <row r="54" spans="1:4" x14ac:dyDescent="0.35">
      <c r="A54" t="s">
        <v>321</v>
      </c>
      <c r="B54" t="s">
        <v>381</v>
      </c>
      <c r="C54" t="s">
        <v>387</v>
      </c>
      <c r="D54">
        <v>4</v>
      </c>
    </row>
    <row r="55" spans="1:4" x14ac:dyDescent="0.35">
      <c r="A55" t="s">
        <v>321</v>
      </c>
      <c r="B55" t="s">
        <v>381</v>
      </c>
      <c r="C55" t="s">
        <v>389</v>
      </c>
      <c r="D55">
        <v>8</v>
      </c>
    </row>
    <row r="56" spans="1:4" x14ac:dyDescent="0.35">
      <c r="A56" t="s">
        <v>321</v>
      </c>
      <c r="B56" t="s">
        <v>381</v>
      </c>
      <c r="C56" t="s">
        <v>391</v>
      </c>
      <c r="D56">
        <v>4</v>
      </c>
    </row>
    <row r="57" spans="1:4" x14ac:dyDescent="0.35">
      <c r="A57" t="s">
        <v>321</v>
      </c>
      <c r="B57" t="s">
        <v>381</v>
      </c>
      <c r="C57" t="s">
        <v>393</v>
      </c>
      <c r="D57">
        <v>20</v>
      </c>
    </row>
    <row r="58" spans="1:4" x14ac:dyDescent="0.35">
      <c r="A58" t="s">
        <v>321</v>
      </c>
      <c r="B58" t="s">
        <v>381</v>
      </c>
      <c r="C58" t="s">
        <v>394</v>
      </c>
      <c r="D58">
        <v>7</v>
      </c>
    </row>
    <row r="59" spans="1:4" x14ac:dyDescent="0.35">
      <c r="A59" t="s">
        <v>321</v>
      </c>
      <c r="B59" t="s">
        <v>390</v>
      </c>
      <c r="C59" t="s">
        <v>395</v>
      </c>
      <c r="D59">
        <v>5</v>
      </c>
    </row>
    <row r="60" spans="1:4" x14ac:dyDescent="0.35">
      <c r="A60" t="s">
        <v>321</v>
      </c>
      <c r="B60" t="s">
        <v>390</v>
      </c>
      <c r="C60" t="s">
        <v>396</v>
      </c>
      <c r="D60">
        <v>25</v>
      </c>
    </row>
    <row r="61" spans="1:4" x14ac:dyDescent="0.35">
      <c r="A61" t="s">
        <v>321</v>
      </c>
      <c r="B61" t="s">
        <v>390</v>
      </c>
      <c r="C61" t="s">
        <v>397</v>
      </c>
      <c r="D61">
        <v>7</v>
      </c>
    </row>
    <row r="62" spans="1:4" x14ac:dyDescent="0.35">
      <c r="A62" t="s">
        <v>321</v>
      </c>
      <c r="B62" t="s">
        <v>390</v>
      </c>
      <c r="C62" t="s">
        <v>399</v>
      </c>
      <c r="D62">
        <v>4</v>
      </c>
    </row>
    <row r="63" spans="1:4" x14ac:dyDescent="0.35">
      <c r="A63" t="s">
        <v>321</v>
      </c>
      <c r="B63" t="s">
        <v>390</v>
      </c>
      <c r="C63" t="s">
        <v>400</v>
      </c>
      <c r="D63">
        <v>7</v>
      </c>
    </row>
    <row r="64" spans="1:4" x14ac:dyDescent="0.35">
      <c r="A64" t="s">
        <v>321</v>
      </c>
      <c r="B64" t="s">
        <v>392</v>
      </c>
      <c r="C64" t="s">
        <v>403</v>
      </c>
      <c r="D64">
        <v>34</v>
      </c>
    </row>
    <row r="65" spans="1:4" x14ac:dyDescent="0.35">
      <c r="A65" t="s">
        <v>321</v>
      </c>
      <c r="B65" t="s">
        <v>392</v>
      </c>
      <c r="C65" t="s">
        <v>404</v>
      </c>
      <c r="D65">
        <v>5</v>
      </c>
    </row>
    <row r="66" spans="1:4" x14ac:dyDescent="0.35">
      <c r="A66" t="s">
        <v>321</v>
      </c>
      <c r="B66" t="s">
        <v>392</v>
      </c>
      <c r="C66" t="s">
        <v>405</v>
      </c>
      <c r="D66">
        <v>15</v>
      </c>
    </row>
    <row r="67" spans="1:4" x14ac:dyDescent="0.35">
      <c r="A67" t="s">
        <v>321</v>
      </c>
      <c r="B67" t="s">
        <v>406</v>
      </c>
      <c r="C67" t="s">
        <v>407</v>
      </c>
      <c r="D67">
        <v>243</v>
      </c>
    </row>
    <row r="68" spans="1:4" x14ac:dyDescent="0.35">
      <c r="A68" t="s">
        <v>321</v>
      </c>
      <c r="B68" t="s">
        <v>406</v>
      </c>
      <c r="C68" t="s">
        <v>410</v>
      </c>
      <c r="D68">
        <v>1</v>
      </c>
    </row>
    <row r="69" spans="1:4" x14ac:dyDescent="0.35">
      <c r="A69" t="s">
        <v>321</v>
      </c>
      <c r="B69" t="s">
        <v>406</v>
      </c>
      <c r="C69" t="s">
        <v>408</v>
      </c>
      <c r="D69">
        <v>6</v>
      </c>
    </row>
    <row r="70" spans="1:4" x14ac:dyDescent="0.35">
      <c r="A70" t="s">
        <v>321</v>
      </c>
      <c r="B70" t="s">
        <v>406</v>
      </c>
      <c r="C70" t="s">
        <v>409</v>
      </c>
      <c r="D70">
        <v>102</v>
      </c>
    </row>
    <row r="71" spans="1:4" x14ac:dyDescent="0.35">
      <c r="A71" t="s">
        <v>326</v>
      </c>
      <c r="B71" t="s">
        <v>381</v>
      </c>
      <c r="C71" t="s">
        <v>382</v>
      </c>
      <c r="D71">
        <v>8</v>
      </c>
    </row>
    <row r="72" spans="1:4" x14ac:dyDescent="0.35">
      <c r="A72" t="s">
        <v>326</v>
      </c>
      <c r="B72" t="s">
        <v>381</v>
      </c>
      <c r="C72" t="s">
        <v>383</v>
      </c>
      <c r="D72">
        <v>4</v>
      </c>
    </row>
    <row r="73" spans="1:4" x14ac:dyDescent="0.35">
      <c r="A73" t="s">
        <v>326</v>
      </c>
      <c r="B73" t="s">
        <v>381</v>
      </c>
      <c r="C73" t="s">
        <v>384</v>
      </c>
      <c r="D73">
        <v>91</v>
      </c>
    </row>
    <row r="74" spans="1:4" x14ac:dyDescent="0.35">
      <c r="A74" t="s">
        <v>326</v>
      </c>
      <c r="B74" t="s">
        <v>381</v>
      </c>
      <c r="C74" t="s">
        <v>385</v>
      </c>
      <c r="D74">
        <v>1</v>
      </c>
    </row>
    <row r="75" spans="1:4" x14ac:dyDescent="0.35">
      <c r="A75" t="s">
        <v>326</v>
      </c>
      <c r="B75" t="s">
        <v>381</v>
      </c>
      <c r="C75" t="s">
        <v>387</v>
      </c>
      <c r="D75">
        <v>4</v>
      </c>
    </row>
    <row r="76" spans="1:4" x14ac:dyDescent="0.35">
      <c r="A76" t="s">
        <v>326</v>
      </c>
      <c r="B76" t="s">
        <v>381</v>
      </c>
      <c r="C76" t="s">
        <v>389</v>
      </c>
      <c r="D76">
        <v>7</v>
      </c>
    </row>
    <row r="77" spans="1:4" x14ac:dyDescent="0.35">
      <c r="A77" t="s">
        <v>326</v>
      </c>
      <c r="B77" t="s">
        <v>381</v>
      </c>
      <c r="C77" t="s">
        <v>391</v>
      </c>
      <c r="D77">
        <v>3</v>
      </c>
    </row>
    <row r="78" spans="1:4" x14ac:dyDescent="0.35">
      <c r="A78" t="s">
        <v>326</v>
      </c>
      <c r="B78" t="s">
        <v>381</v>
      </c>
      <c r="C78" t="s">
        <v>393</v>
      </c>
      <c r="D78">
        <v>20</v>
      </c>
    </row>
    <row r="79" spans="1:4" x14ac:dyDescent="0.35">
      <c r="A79" t="s">
        <v>326</v>
      </c>
      <c r="B79" t="s">
        <v>381</v>
      </c>
      <c r="C79" t="s">
        <v>394</v>
      </c>
      <c r="D79">
        <v>6</v>
      </c>
    </row>
    <row r="80" spans="1:4" x14ac:dyDescent="0.35">
      <c r="A80" t="s">
        <v>326</v>
      </c>
      <c r="B80" t="s">
        <v>390</v>
      </c>
      <c r="C80" t="s">
        <v>395</v>
      </c>
      <c r="D80">
        <v>5</v>
      </c>
    </row>
    <row r="81" spans="1:4" x14ac:dyDescent="0.35">
      <c r="A81" t="s">
        <v>326</v>
      </c>
      <c r="B81" t="s">
        <v>390</v>
      </c>
      <c r="C81" t="s">
        <v>396</v>
      </c>
      <c r="D81">
        <v>25</v>
      </c>
    </row>
    <row r="82" spans="1:4" x14ac:dyDescent="0.35">
      <c r="A82" t="s">
        <v>326</v>
      </c>
      <c r="B82" t="s">
        <v>390</v>
      </c>
      <c r="C82" t="s">
        <v>397</v>
      </c>
      <c r="D82">
        <v>7</v>
      </c>
    </row>
    <row r="83" spans="1:4" x14ac:dyDescent="0.35">
      <c r="A83" t="s">
        <v>326</v>
      </c>
      <c r="B83" t="s">
        <v>390</v>
      </c>
      <c r="C83" t="s">
        <v>399</v>
      </c>
      <c r="D83">
        <v>4</v>
      </c>
    </row>
    <row r="84" spans="1:4" x14ac:dyDescent="0.35">
      <c r="A84" t="s">
        <v>326</v>
      </c>
      <c r="B84" t="s">
        <v>390</v>
      </c>
      <c r="C84" t="s">
        <v>400</v>
      </c>
      <c r="D84">
        <v>8</v>
      </c>
    </row>
    <row r="85" spans="1:4" x14ac:dyDescent="0.35">
      <c r="A85" t="s">
        <v>326</v>
      </c>
      <c r="B85" t="s">
        <v>392</v>
      </c>
      <c r="C85" t="s">
        <v>403</v>
      </c>
      <c r="D85">
        <v>33</v>
      </c>
    </row>
    <row r="86" spans="1:4" x14ac:dyDescent="0.35">
      <c r="A86" t="s">
        <v>326</v>
      </c>
      <c r="B86" t="s">
        <v>392</v>
      </c>
      <c r="C86" t="s">
        <v>404</v>
      </c>
      <c r="D86">
        <v>5</v>
      </c>
    </row>
    <row r="87" spans="1:4" x14ac:dyDescent="0.35">
      <c r="A87" t="s">
        <v>326</v>
      </c>
      <c r="B87" t="s">
        <v>392</v>
      </c>
      <c r="C87" t="s">
        <v>405</v>
      </c>
      <c r="D87">
        <v>15</v>
      </c>
    </row>
    <row r="88" spans="1:4" x14ac:dyDescent="0.35">
      <c r="A88" t="s">
        <v>326</v>
      </c>
      <c r="B88" t="s">
        <v>406</v>
      </c>
      <c r="C88" t="s">
        <v>407</v>
      </c>
      <c r="D88">
        <v>244</v>
      </c>
    </row>
    <row r="89" spans="1:4" x14ac:dyDescent="0.35">
      <c r="A89" t="s">
        <v>326</v>
      </c>
      <c r="B89" t="s">
        <v>406</v>
      </c>
      <c r="C89" t="s">
        <v>408</v>
      </c>
      <c r="D89">
        <v>6</v>
      </c>
    </row>
    <row r="90" spans="1:4" x14ac:dyDescent="0.35">
      <c r="A90" t="s">
        <v>326</v>
      </c>
      <c r="B90" t="s">
        <v>406</v>
      </c>
      <c r="C90" t="s">
        <v>409</v>
      </c>
      <c r="D90">
        <v>101</v>
      </c>
    </row>
    <row r="91" spans="1:4" x14ac:dyDescent="0.35">
      <c r="A91" t="s">
        <v>327</v>
      </c>
      <c r="B91" t="s">
        <v>381</v>
      </c>
      <c r="C91" t="s">
        <v>382</v>
      </c>
      <c r="D91">
        <v>8</v>
      </c>
    </row>
    <row r="92" spans="1:4" x14ac:dyDescent="0.35">
      <c r="A92" t="s">
        <v>327</v>
      </c>
      <c r="B92" t="s">
        <v>381</v>
      </c>
      <c r="C92" t="s">
        <v>383</v>
      </c>
      <c r="D92">
        <v>4</v>
      </c>
    </row>
    <row r="93" spans="1:4" x14ac:dyDescent="0.35">
      <c r="A93" t="s">
        <v>327</v>
      </c>
      <c r="B93" t="s">
        <v>381</v>
      </c>
      <c r="C93" t="s">
        <v>384</v>
      </c>
      <c r="D93">
        <v>91</v>
      </c>
    </row>
    <row r="94" spans="1:4" x14ac:dyDescent="0.35">
      <c r="A94" t="s">
        <v>327</v>
      </c>
      <c r="B94" t="s">
        <v>381</v>
      </c>
      <c r="C94" t="s">
        <v>385</v>
      </c>
      <c r="D94">
        <v>1</v>
      </c>
    </row>
    <row r="95" spans="1:4" x14ac:dyDescent="0.35">
      <c r="A95" t="s">
        <v>327</v>
      </c>
      <c r="B95" t="s">
        <v>381</v>
      </c>
      <c r="C95" t="s">
        <v>387</v>
      </c>
      <c r="D95">
        <v>4</v>
      </c>
    </row>
    <row r="96" spans="1:4" x14ac:dyDescent="0.35">
      <c r="A96" t="s">
        <v>327</v>
      </c>
      <c r="B96" t="s">
        <v>381</v>
      </c>
      <c r="C96" t="s">
        <v>389</v>
      </c>
      <c r="D96">
        <v>7</v>
      </c>
    </row>
    <row r="97" spans="1:4" x14ac:dyDescent="0.35">
      <c r="A97" t="s">
        <v>327</v>
      </c>
      <c r="B97" t="s">
        <v>381</v>
      </c>
      <c r="C97" t="s">
        <v>391</v>
      </c>
      <c r="D97">
        <v>4</v>
      </c>
    </row>
    <row r="98" spans="1:4" x14ac:dyDescent="0.35">
      <c r="A98" t="s">
        <v>327</v>
      </c>
      <c r="B98" t="s">
        <v>381</v>
      </c>
      <c r="C98" t="s">
        <v>393</v>
      </c>
      <c r="D98">
        <v>20</v>
      </c>
    </row>
    <row r="99" spans="1:4" x14ac:dyDescent="0.35">
      <c r="A99" t="s">
        <v>327</v>
      </c>
      <c r="B99" t="s">
        <v>381</v>
      </c>
      <c r="C99" t="s">
        <v>394</v>
      </c>
      <c r="D99">
        <v>7</v>
      </c>
    </row>
    <row r="100" spans="1:4" x14ac:dyDescent="0.35">
      <c r="A100" t="s">
        <v>327</v>
      </c>
      <c r="B100" t="s">
        <v>390</v>
      </c>
      <c r="C100" t="s">
        <v>395</v>
      </c>
      <c r="D100">
        <v>5</v>
      </c>
    </row>
    <row r="101" spans="1:4" x14ac:dyDescent="0.35">
      <c r="A101" t="s">
        <v>327</v>
      </c>
      <c r="B101" t="s">
        <v>390</v>
      </c>
      <c r="C101" t="s">
        <v>396</v>
      </c>
      <c r="D101">
        <v>16</v>
      </c>
    </row>
    <row r="102" spans="1:4" x14ac:dyDescent="0.35">
      <c r="A102" t="s">
        <v>327</v>
      </c>
      <c r="B102" t="s">
        <v>390</v>
      </c>
      <c r="C102" t="s">
        <v>397</v>
      </c>
      <c r="D102">
        <v>5</v>
      </c>
    </row>
    <row r="103" spans="1:4" x14ac:dyDescent="0.35">
      <c r="A103" t="s">
        <v>327</v>
      </c>
      <c r="B103" t="s">
        <v>390</v>
      </c>
      <c r="C103" t="s">
        <v>399</v>
      </c>
      <c r="D103">
        <v>4</v>
      </c>
    </row>
    <row r="104" spans="1:4" x14ac:dyDescent="0.35">
      <c r="A104" t="s">
        <v>327</v>
      </c>
      <c r="B104" t="s">
        <v>390</v>
      </c>
      <c r="C104" t="s">
        <v>400</v>
      </c>
      <c r="D104">
        <v>7</v>
      </c>
    </row>
    <row r="105" spans="1:4" x14ac:dyDescent="0.35">
      <c r="A105" t="s">
        <v>327</v>
      </c>
      <c r="B105" t="s">
        <v>392</v>
      </c>
      <c r="C105" t="s">
        <v>403</v>
      </c>
      <c r="D105">
        <v>34</v>
      </c>
    </row>
    <row r="106" spans="1:4" x14ac:dyDescent="0.35">
      <c r="A106" t="s">
        <v>327</v>
      </c>
      <c r="B106" t="s">
        <v>392</v>
      </c>
      <c r="C106" t="s">
        <v>404</v>
      </c>
      <c r="D106">
        <v>5</v>
      </c>
    </row>
    <row r="107" spans="1:4" x14ac:dyDescent="0.35">
      <c r="A107" t="s">
        <v>327</v>
      </c>
      <c r="B107" t="s">
        <v>392</v>
      </c>
      <c r="C107" t="s">
        <v>405</v>
      </c>
      <c r="D107">
        <v>15</v>
      </c>
    </row>
    <row r="108" spans="1:4" x14ac:dyDescent="0.35">
      <c r="A108" t="s">
        <v>327</v>
      </c>
      <c r="B108" t="s">
        <v>406</v>
      </c>
      <c r="C108" t="s">
        <v>407</v>
      </c>
      <c r="D108">
        <v>251</v>
      </c>
    </row>
    <row r="109" spans="1:4" x14ac:dyDescent="0.35">
      <c r="A109" t="s">
        <v>327</v>
      </c>
      <c r="B109" t="s">
        <v>406</v>
      </c>
      <c r="C109" t="s">
        <v>408</v>
      </c>
      <c r="D109">
        <v>5</v>
      </c>
    </row>
    <row r="110" spans="1:4" x14ac:dyDescent="0.35">
      <c r="A110" t="s">
        <v>327</v>
      </c>
      <c r="B110" t="s">
        <v>406</v>
      </c>
      <c r="C110" t="s">
        <v>409</v>
      </c>
      <c r="D110">
        <v>95</v>
      </c>
    </row>
    <row r="111" spans="1:4" x14ac:dyDescent="0.35">
      <c r="A111" t="s">
        <v>466</v>
      </c>
      <c r="C111" t="s">
        <v>587</v>
      </c>
      <c r="D111">
        <v>1</v>
      </c>
    </row>
    <row r="112" spans="1:4" x14ac:dyDescent="0.35">
      <c r="A112" t="s">
        <v>466</v>
      </c>
      <c r="B112" t="s">
        <v>381</v>
      </c>
      <c r="C112" t="s">
        <v>382</v>
      </c>
      <c r="D112">
        <v>8</v>
      </c>
    </row>
    <row r="113" spans="1:4" x14ac:dyDescent="0.35">
      <c r="A113" t="s">
        <v>466</v>
      </c>
      <c r="B113" t="s">
        <v>381</v>
      </c>
      <c r="C113" t="s">
        <v>383</v>
      </c>
      <c r="D113">
        <v>4</v>
      </c>
    </row>
    <row r="114" spans="1:4" x14ac:dyDescent="0.35">
      <c r="A114" t="s">
        <v>466</v>
      </c>
      <c r="B114" t="s">
        <v>381</v>
      </c>
      <c r="C114" t="s">
        <v>384</v>
      </c>
      <c r="D114">
        <v>81</v>
      </c>
    </row>
    <row r="115" spans="1:4" x14ac:dyDescent="0.35">
      <c r="A115" t="s">
        <v>466</v>
      </c>
      <c r="B115" t="s">
        <v>381</v>
      </c>
      <c r="C115" t="s">
        <v>385</v>
      </c>
      <c r="D115">
        <v>1</v>
      </c>
    </row>
    <row r="116" spans="1:4" x14ac:dyDescent="0.35">
      <c r="A116" t="s">
        <v>466</v>
      </c>
      <c r="B116" t="s">
        <v>381</v>
      </c>
      <c r="C116" t="s">
        <v>387</v>
      </c>
      <c r="D116">
        <v>4</v>
      </c>
    </row>
    <row r="117" spans="1:4" x14ac:dyDescent="0.35">
      <c r="A117" t="s">
        <v>466</v>
      </c>
      <c r="B117" t="s">
        <v>381</v>
      </c>
      <c r="C117" t="s">
        <v>389</v>
      </c>
      <c r="D117">
        <v>8</v>
      </c>
    </row>
    <row r="118" spans="1:4" x14ac:dyDescent="0.35">
      <c r="A118" t="s">
        <v>466</v>
      </c>
      <c r="B118" t="s">
        <v>381</v>
      </c>
      <c r="C118" t="s">
        <v>391</v>
      </c>
      <c r="D118">
        <v>4</v>
      </c>
    </row>
    <row r="119" spans="1:4" x14ac:dyDescent="0.35">
      <c r="A119" t="s">
        <v>466</v>
      </c>
      <c r="B119" t="s">
        <v>381</v>
      </c>
      <c r="C119" t="s">
        <v>393</v>
      </c>
      <c r="D119">
        <v>20</v>
      </c>
    </row>
    <row r="120" spans="1:4" x14ac:dyDescent="0.35">
      <c r="A120" t="s">
        <v>466</v>
      </c>
      <c r="B120" t="s">
        <v>381</v>
      </c>
      <c r="C120" t="s">
        <v>394</v>
      </c>
      <c r="D120">
        <v>6</v>
      </c>
    </row>
    <row r="121" spans="1:4" x14ac:dyDescent="0.35">
      <c r="A121" t="s">
        <v>466</v>
      </c>
      <c r="B121" t="s">
        <v>390</v>
      </c>
      <c r="C121" t="s">
        <v>395</v>
      </c>
      <c r="D121">
        <v>4</v>
      </c>
    </row>
    <row r="122" spans="1:4" x14ac:dyDescent="0.35">
      <c r="A122" t="s">
        <v>466</v>
      </c>
      <c r="B122" t="s">
        <v>390</v>
      </c>
      <c r="C122" t="s">
        <v>396</v>
      </c>
      <c r="D122">
        <v>16</v>
      </c>
    </row>
    <row r="123" spans="1:4" x14ac:dyDescent="0.35">
      <c r="A123" t="s">
        <v>466</v>
      </c>
      <c r="B123" t="s">
        <v>390</v>
      </c>
      <c r="C123" t="s">
        <v>397</v>
      </c>
      <c r="D123">
        <v>1</v>
      </c>
    </row>
    <row r="124" spans="1:4" x14ac:dyDescent="0.35">
      <c r="A124" t="s">
        <v>466</v>
      </c>
      <c r="B124" t="s">
        <v>390</v>
      </c>
      <c r="C124" t="s">
        <v>397</v>
      </c>
      <c r="D124">
        <v>5</v>
      </c>
    </row>
    <row r="125" spans="1:4" x14ac:dyDescent="0.35">
      <c r="A125" t="s">
        <v>466</v>
      </c>
      <c r="B125" t="s">
        <v>390</v>
      </c>
      <c r="C125" t="s">
        <v>399</v>
      </c>
      <c r="D125">
        <v>4</v>
      </c>
    </row>
    <row r="126" spans="1:4" x14ac:dyDescent="0.35">
      <c r="A126" t="s">
        <v>466</v>
      </c>
      <c r="B126" t="s">
        <v>390</v>
      </c>
      <c r="C126" t="s">
        <v>400</v>
      </c>
      <c r="D126">
        <v>7</v>
      </c>
    </row>
    <row r="127" spans="1:4" x14ac:dyDescent="0.35">
      <c r="A127" t="s">
        <v>466</v>
      </c>
      <c r="B127" t="s">
        <v>392</v>
      </c>
      <c r="C127" t="s">
        <v>403</v>
      </c>
      <c r="D127">
        <v>33</v>
      </c>
    </row>
    <row r="128" spans="1:4" x14ac:dyDescent="0.35">
      <c r="A128" t="s">
        <v>466</v>
      </c>
      <c r="B128" t="s">
        <v>392</v>
      </c>
      <c r="C128" t="s">
        <v>404</v>
      </c>
      <c r="D128">
        <v>5</v>
      </c>
    </row>
    <row r="129" spans="1:4" x14ac:dyDescent="0.35">
      <c r="A129" t="s">
        <v>466</v>
      </c>
      <c r="B129" t="s">
        <v>392</v>
      </c>
      <c r="C129" t="s">
        <v>405</v>
      </c>
      <c r="D129">
        <v>31</v>
      </c>
    </row>
    <row r="130" spans="1:4" x14ac:dyDescent="0.35">
      <c r="A130" t="s">
        <v>466</v>
      </c>
      <c r="B130" t="s">
        <v>406</v>
      </c>
      <c r="C130" t="s">
        <v>407</v>
      </c>
      <c r="D130">
        <v>251</v>
      </c>
    </row>
    <row r="131" spans="1:4" x14ac:dyDescent="0.35">
      <c r="A131" t="s">
        <v>466</v>
      </c>
      <c r="B131" t="s">
        <v>406</v>
      </c>
      <c r="C131" t="s">
        <v>408</v>
      </c>
      <c r="D131">
        <v>6</v>
      </c>
    </row>
    <row r="132" spans="1:4" x14ac:dyDescent="0.35">
      <c r="A132" t="s">
        <v>466</v>
      </c>
      <c r="B132" t="s">
        <v>406</v>
      </c>
      <c r="C132" t="s">
        <v>409</v>
      </c>
      <c r="D132">
        <v>94</v>
      </c>
    </row>
  </sheetData>
  <pageMargins left="0.7" right="0.7" top="0.75" bottom="0.75" header="0.3" footer="0.3"/>
  <tableParts count="2">
    <tablePart r:id="rId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217C-4872-4DCE-915E-4384307FB649}">
  <sheetPr>
    <tabColor theme="7" tint="-0.249977111117893"/>
  </sheetPr>
  <dimension ref="A1:I13"/>
  <sheetViews>
    <sheetView workbookViewId="0">
      <selection activeCell="E6" sqref="E6"/>
    </sheetView>
  </sheetViews>
  <sheetFormatPr defaultRowHeight="14.5" x14ac:dyDescent="0.35"/>
  <cols>
    <col min="1" max="1" width="10.81640625" bestFit="1" customWidth="1"/>
    <col min="2" max="2" width="10.7265625" bestFit="1" customWidth="1"/>
    <col min="3" max="3" width="8.81640625" bestFit="1" customWidth="1"/>
    <col min="4" max="6" width="9.81640625" bestFit="1" customWidth="1"/>
    <col min="7" max="7" width="9.54296875" bestFit="1" customWidth="1"/>
    <col min="8" max="8" width="12.54296875" bestFit="1" customWidth="1"/>
    <col min="9" max="9" width="14.26953125" bestFit="1" customWidth="1"/>
  </cols>
  <sheetData>
    <row r="1" spans="1:9" x14ac:dyDescent="0.35">
      <c r="A1" t="s">
        <v>207</v>
      </c>
      <c r="B1" t="s">
        <v>997</v>
      </c>
      <c r="C1" t="s">
        <v>998</v>
      </c>
      <c r="D1" t="s">
        <v>999</v>
      </c>
      <c r="E1" t="s">
        <v>1000</v>
      </c>
      <c r="F1" t="s">
        <v>1001</v>
      </c>
      <c r="G1" t="s">
        <v>1002</v>
      </c>
      <c r="H1" t="s">
        <v>856</v>
      </c>
      <c r="I1" t="s">
        <v>1003</v>
      </c>
    </row>
    <row r="2" spans="1:9" x14ac:dyDescent="0.35">
      <c r="A2" t="s">
        <v>364</v>
      </c>
      <c r="B2">
        <v>9522</v>
      </c>
      <c r="C2">
        <v>8378</v>
      </c>
      <c r="D2">
        <v>6148</v>
      </c>
      <c r="E2">
        <v>21422</v>
      </c>
      <c r="F2">
        <v>45974</v>
      </c>
      <c r="G2">
        <v>43449</v>
      </c>
      <c r="H2">
        <v>0</v>
      </c>
      <c r="I2">
        <v>134893</v>
      </c>
    </row>
    <row r="3" spans="1:9" x14ac:dyDescent="0.35">
      <c r="A3" t="s">
        <v>365</v>
      </c>
      <c r="B3">
        <v>9301</v>
      </c>
      <c r="C3">
        <v>8100</v>
      </c>
      <c r="D3">
        <v>5611</v>
      </c>
      <c r="E3">
        <v>17596</v>
      </c>
      <c r="F3">
        <v>41757</v>
      </c>
      <c r="G3">
        <v>43048</v>
      </c>
      <c r="H3">
        <v>0</v>
      </c>
      <c r="I3">
        <v>125413</v>
      </c>
    </row>
    <row r="4" spans="1:9" x14ac:dyDescent="0.35">
      <c r="A4" t="s">
        <v>366</v>
      </c>
      <c r="B4">
        <v>9270</v>
      </c>
      <c r="C4">
        <v>8385</v>
      </c>
      <c r="D4">
        <v>5779</v>
      </c>
      <c r="E4">
        <v>17567</v>
      </c>
      <c r="F4">
        <v>43991</v>
      </c>
      <c r="G4">
        <v>49733</v>
      </c>
      <c r="H4">
        <v>0</v>
      </c>
      <c r="I4">
        <v>134725</v>
      </c>
    </row>
    <row r="5" spans="1:9" x14ac:dyDescent="0.35">
      <c r="A5" t="s">
        <v>341</v>
      </c>
      <c r="B5">
        <v>7684</v>
      </c>
      <c r="C5">
        <v>7945</v>
      </c>
      <c r="D5">
        <v>5617</v>
      </c>
      <c r="E5">
        <v>13019</v>
      </c>
      <c r="F5">
        <v>42665</v>
      </c>
      <c r="G5">
        <v>52260</v>
      </c>
      <c r="H5">
        <v>0</v>
      </c>
      <c r="I5">
        <v>129190</v>
      </c>
    </row>
    <row r="6" spans="1:9" x14ac:dyDescent="0.35">
      <c r="A6" t="s">
        <v>342</v>
      </c>
      <c r="B6">
        <v>7694</v>
      </c>
      <c r="C6">
        <v>7954</v>
      </c>
      <c r="D6">
        <v>5364</v>
      </c>
      <c r="E6">
        <v>13881</v>
      </c>
      <c r="F6">
        <v>42205</v>
      </c>
      <c r="G6">
        <v>50848</v>
      </c>
      <c r="H6">
        <v>0</v>
      </c>
      <c r="I6">
        <v>127946</v>
      </c>
    </row>
    <row r="7" spans="1:9" x14ac:dyDescent="0.35">
      <c r="A7" t="s">
        <v>214</v>
      </c>
      <c r="B7">
        <v>7266</v>
      </c>
      <c r="C7">
        <v>7987</v>
      </c>
      <c r="D7">
        <v>5517</v>
      </c>
      <c r="E7">
        <v>13947</v>
      </c>
      <c r="F7">
        <v>41141</v>
      </c>
      <c r="G7">
        <v>48727</v>
      </c>
      <c r="H7">
        <v>0</v>
      </c>
      <c r="I7">
        <v>124585</v>
      </c>
    </row>
    <row r="8" spans="1:9" x14ac:dyDescent="0.35">
      <c r="A8" t="s">
        <v>313</v>
      </c>
      <c r="B8">
        <v>7040</v>
      </c>
      <c r="C8">
        <v>7889</v>
      </c>
      <c r="D8">
        <v>5512</v>
      </c>
      <c r="E8">
        <v>13665</v>
      </c>
      <c r="F8">
        <v>40173</v>
      </c>
      <c r="G8">
        <v>48769</v>
      </c>
      <c r="H8">
        <v>0</v>
      </c>
      <c r="I8">
        <v>123048</v>
      </c>
    </row>
    <row r="9" spans="1:9" x14ac:dyDescent="0.35">
      <c r="A9" t="s">
        <v>319</v>
      </c>
      <c r="B9">
        <v>1270</v>
      </c>
      <c r="C9">
        <v>1639</v>
      </c>
      <c r="D9">
        <v>1291</v>
      </c>
      <c r="E9">
        <v>2992</v>
      </c>
      <c r="F9">
        <v>9416</v>
      </c>
      <c r="G9">
        <v>16017</v>
      </c>
      <c r="H9">
        <v>0</v>
      </c>
      <c r="I9">
        <v>32625</v>
      </c>
    </row>
    <row r="10" spans="1:9" x14ac:dyDescent="0.35">
      <c r="A10" t="s">
        <v>321</v>
      </c>
      <c r="B10">
        <v>2198</v>
      </c>
      <c r="C10">
        <v>2826</v>
      </c>
      <c r="D10">
        <v>2403</v>
      </c>
      <c r="E10">
        <v>5628</v>
      </c>
      <c r="F10">
        <v>18596</v>
      </c>
      <c r="G10">
        <v>39107</v>
      </c>
      <c r="H10">
        <v>0</v>
      </c>
      <c r="I10">
        <v>70758</v>
      </c>
    </row>
    <row r="11" spans="1:9" x14ac:dyDescent="0.35">
      <c r="A11" t="s">
        <v>326</v>
      </c>
      <c r="B11">
        <v>2300</v>
      </c>
      <c r="C11">
        <v>3133</v>
      </c>
      <c r="D11">
        <v>2463</v>
      </c>
      <c r="E11">
        <v>5787</v>
      </c>
      <c r="F11">
        <v>18149</v>
      </c>
      <c r="G11">
        <v>30792</v>
      </c>
      <c r="H11">
        <v>0</v>
      </c>
      <c r="I11">
        <v>62624</v>
      </c>
    </row>
    <row r="12" spans="1:9" x14ac:dyDescent="0.35">
      <c r="A12" t="s">
        <v>327</v>
      </c>
      <c r="B12">
        <v>2410</v>
      </c>
      <c r="C12">
        <v>3147</v>
      </c>
      <c r="D12">
        <v>2485</v>
      </c>
      <c r="E12">
        <v>6086</v>
      </c>
      <c r="F12">
        <v>18432</v>
      </c>
      <c r="G12">
        <v>28179</v>
      </c>
      <c r="H12">
        <v>0</v>
      </c>
      <c r="I12">
        <v>60739</v>
      </c>
    </row>
    <row r="13" spans="1:9" x14ac:dyDescent="0.35">
      <c r="A13" t="s">
        <v>466</v>
      </c>
      <c r="B13">
        <v>1993</v>
      </c>
      <c r="C13">
        <v>2601</v>
      </c>
      <c r="D13">
        <v>2090</v>
      </c>
      <c r="E13">
        <v>5412</v>
      </c>
      <c r="F13">
        <v>16549</v>
      </c>
      <c r="G13">
        <v>25840</v>
      </c>
      <c r="H13">
        <v>38</v>
      </c>
      <c r="I13">
        <v>54523</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DFAD-6417-488A-A832-30B5AFD9F152}">
  <sheetPr>
    <tabColor theme="7" tint="-0.249977111117893"/>
  </sheetPr>
  <dimension ref="B4:I17"/>
  <sheetViews>
    <sheetView workbookViewId="0">
      <selection activeCell="D8" sqref="D8"/>
    </sheetView>
  </sheetViews>
  <sheetFormatPr defaultRowHeight="14.5" x14ac:dyDescent="0.35"/>
  <cols>
    <col min="2" max="2" width="12.36328125" bestFit="1" customWidth="1"/>
    <col min="3" max="3" width="14.6328125" bestFit="1" customWidth="1"/>
    <col min="4" max="4" width="12.90625" bestFit="1" customWidth="1"/>
    <col min="5" max="7" width="13.90625" bestFit="1" customWidth="1"/>
    <col min="8" max="8" width="13.6328125" bestFit="1" customWidth="1"/>
    <col min="9" max="9" width="17.90625" bestFit="1" customWidth="1"/>
  </cols>
  <sheetData>
    <row r="4" spans="2:9" x14ac:dyDescent="0.35">
      <c r="B4" s="387" t="s">
        <v>350</v>
      </c>
      <c r="C4" t="s">
        <v>990</v>
      </c>
      <c r="D4" t="s">
        <v>991</v>
      </c>
      <c r="E4" t="s">
        <v>992</v>
      </c>
      <c r="F4" t="s">
        <v>993</v>
      </c>
      <c r="G4" t="s">
        <v>994</v>
      </c>
      <c r="H4" t="s">
        <v>995</v>
      </c>
      <c r="I4" t="s">
        <v>996</v>
      </c>
    </row>
    <row r="5" spans="2:9" x14ac:dyDescent="0.35">
      <c r="B5" s="388" t="s">
        <v>364</v>
      </c>
      <c r="C5">
        <v>3.2383018810173998</v>
      </c>
      <c r="D5">
        <v>2.4963871217651699</v>
      </c>
      <c r="E5">
        <v>1.7888109120957101</v>
      </c>
      <c r="F5">
        <v>2.17919399729813</v>
      </c>
      <c r="G5">
        <v>2.1170750711117798</v>
      </c>
      <c r="H5">
        <v>3.6214893874166001</v>
      </c>
      <c r="I5">
        <v>2.53191808848096</v>
      </c>
    </row>
    <row r="6" spans="2:9" x14ac:dyDescent="0.35">
      <c r="B6" s="388" t="s">
        <v>365</v>
      </c>
      <c r="C6">
        <v>3.1868346484751102</v>
      </c>
      <c r="D6">
        <v>2.3587378131879699</v>
      </c>
      <c r="E6">
        <v>1.6718611261747101</v>
      </c>
      <c r="F6">
        <v>1.78860036633983</v>
      </c>
      <c r="G6">
        <v>1.9208273399</v>
      </c>
      <c r="H6">
        <v>3.5313264951207199</v>
      </c>
      <c r="I6">
        <v>2.3452202857356599</v>
      </c>
    </row>
    <row r="7" spans="2:9" x14ac:dyDescent="0.35">
      <c r="B7" s="388" t="s">
        <v>366</v>
      </c>
      <c r="C7">
        <v>3.1836633765377398</v>
      </c>
      <c r="D7">
        <v>2.4072968224256099</v>
      </c>
      <c r="E7">
        <v>1.7431198195046</v>
      </c>
      <c r="F7">
        <v>1.77315129774044</v>
      </c>
      <c r="G7">
        <v>2.02073514685482</v>
      </c>
      <c r="H7">
        <v>4.0293256937670296</v>
      </c>
      <c r="I7">
        <v>2.5074446305602098</v>
      </c>
    </row>
    <row r="8" spans="2:9" x14ac:dyDescent="0.35">
      <c r="B8" s="388" t="s">
        <v>341</v>
      </c>
      <c r="C8">
        <v>2.6751335129753002</v>
      </c>
      <c r="D8">
        <v>2.23490559668745</v>
      </c>
      <c r="E8">
        <v>1.7018839798088801</v>
      </c>
      <c r="F8">
        <v>1.3071088286823001</v>
      </c>
      <c r="G8">
        <v>1.9537466004626001</v>
      </c>
      <c r="H8">
        <v>4.1736147049239998</v>
      </c>
      <c r="I8">
        <v>2.3903269376653702</v>
      </c>
    </row>
    <row r="9" spans="2:9" x14ac:dyDescent="0.35">
      <c r="B9" s="388" t="s">
        <v>342</v>
      </c>
      <c r="C9">
        <v>2.7273436226099399</v>
      </c>
      <c r="D9">
        <v>2.2093953467700702</v>
      </c>
      <c r="E9">
        <v>1.6209257770713299</v>
      </c>
      <c r="F9">
        <v>1.39846824355774</v>
      </c>
      <c r="G9">
        <v>1.92917123571634</v>
      </c>
      <c r="H9">
        <v>3.99921035100841</v>
      </c>
      <c r="I9">
        <v>2.35853856363368</v>
      </c>
    </row>
    <row r="10" spans="2:9" x14ac:dyDescent="0.35">
      <c r="B10" s="388" t="s">
        <v>214</v>
      </c>
      <c r="C10">
        <v>2.6244121620157301</v>
      </c>
      <c r="D10">
        <v>2.2083850613962599</v>
      </c>
      <c r="E10">
        <v>1.6496084534584401</v>
      </c>
      <c r="F10">
        <v>1.4152106479203099</v>
      </c>
      <c r="G10">
        <v>1.87941605212535</v>
      </c>
      <c r="H10">
        <v>3.77556001518685</v>
      </c>
      <c r="I10">
        <v>2.2909655946010599</v>
      </c>
    </row>
    <row r="11" spans="2:9" x14ac:dyDescent="0.35">
      <c r="B11" s="388" t="s">
        <v>313</v>
      </c>
      <c r="C11">
        <v>2.5909500763667817</v>
      </c>
      <c r="D11">
        <v>2.1887441563666123</v>
      </c>
      <c r="E11">
        <v>1.6055974529491785</v>
      </c>
      <c r="F11">
        <v>1.3978495723593021</v>
      </c>
      <c r="G11">
        <v>1.8302517057382788</v>
      </c>
      <c r="H11">
        <v>3.7077274669399558</v>
      </c>
      <c r="I11">
        <v>2.2522651144912418</v>
      </c>
    </row>
    <row r="12" spans="2:9" x14ac:dyDescent="0.35">
      <c r="B12" s="388" t="s">
        <v>319</v>
      </c>
      <c r="C12">
        <v>0.48141437268295645</v>
      </c>
      <c r="D12">
        <v>0.45840896568505429</v>
      </c>
      <c r="E12">
        <v>0.36746497554977431</v>
      </c>
      <c r="F12">
        <v>0.31022444614256844</v>
      </c>
      <c r="G12">
        <v>0.42915501219418262</v>
      </c>
      <c r="H12">
        <v>1.1999685342583262</v>
      </c>
      <c r="I12">
        <v>0.59687156970362243</v>
      </c>
    </row>
    <row r="13" spans="2:9" x14ac:dyDescent="0.35">
      <c r="B13" s="388" t="s">
        <v>321</v>
      </c>
      <c r="C13">
        <v>0.86048614726918959</v>
      </c>
      <c r="D13">
        <v>0.79249568838598416</v>
      </c>
      <c r="E13">
        <v>0.67354317907895844</v>
      </c>
      <c r="F13">
        <v>0.59173152968067744</v>
      </c>
      <c r="G13">
        <v>0.8446089414273964</v>
      </c>
      <c r="H13">
        <v>2.8791941466373943</v>
      </c>
      <c r="I13">
        <v>1.291227942115732</v>
      </c>
    </row>
    <row r="14" spans="2:9" x14ac:dyDescent="0.35">
      <c r="B14" s="388" t="s">
        <v>326</v>
      </c>
      <c r="C14">
        <v>0.90041771552281002</v>
      </c>
      <c r="D14">
        <v>0.87858775361404406</v>
      </c>
      <c r="E14">
        <v>0.69036073660901975</v>
      </c>
      <c r="F14">
        <v>0.60844889165992899</v>
      </c>
      <c r="G14">
        <v>0.82430671531328326</v>
      </c>
      <c r="H14">
        <v>2.2670147585664622</v>
      </c>
      <c r="I14">
        <v>1.1427945765433676</v>
      </c>
    </row>
    <row r="15" spans="2:9" x14ac:dyDescent="0.35">
      <c r="B15" s="388" t="s">
        <v>327</v>
      </c>
      <c r="C15">
        <v>0.97465098597473188</v>
      </c>
      <c r="D15">
        <v>0.92497068133922355</v>
      </c>
      <c r="E15">
        <v>0.67739227145847869</v>
      </c>
      <c r="F15">
        <v>0.64712737542319532</v>
      </c>
      <c r="G15">
        <v>0.84588756469098614</v>
      </c>
      <c r="H15">
        <v>1.989648939475245</v>
      </c>
      <c r="I15">
        <v>1.1063368608950657</v>
      </c>
    </row>
    <row r="16" spans="2:9" x14ac:dyDescent="0.35">
      <c r="B16" s="388" t="s">
        <v>466</v>
      </c>
      <c r="C16">
        <v>0.80937625640130129</v>
      </c>
      <c r="D16">
        <v>0.76244580654806393</v>
      </c>
      <c r="E16">
        <v>0.56198960453678881</v>
      </c>
      <c r="F16">
        <v>0.56558402402791552</v>
      </c>
      <c r="G16">
        <v>0.75715843914365921</v>
      </c>
      <c r="H16">
        <v>1.7881486709986367</v>
      </c>
      <c r="I16">
        <v>0.97440011537976179</v>
      </c>
    </row>
    <row r="17" spans="2:9" x14ac:dyDescent="0.35">
      <c r="B17" s="388" t="s">
        <v>357</v>
      </c>
      <c r="C17">
        <v>24.252984757848989</v>
      </c>
      <c r="D17">
        <v>19.920760814171519</v>
      </c>
      <c r="E17">
        <v>14.752558288295868</v>
      </c>
      <c r="F17">
        <v>13.982699220832338</v>
      </c>
      <c r="G17">
        <v>17.352339824678676</v>
      </c>
      <c r="H17">
        <v>36.962229164299636</v>
      </c>
      <c r="I17">
        <v>21.788310279805732</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28D-22C2-4887-9D9A-B17147022B7E}">
  <sheetPr>
    <tabColor theme="7" tint="-0.249977111117893"/>
  </sheetPr>
  <dimension ref="A1:H13"/>
  <sheetViews>
    <sheetView workbookViewId="0"/>
  </sheetViews>
  <sheetFormatPr defaultRowHeight="14.5" x14ac:dyDescent="0.35"/>
  <cols>
    <col min="1" max="1" width="7.453125" bestFit="1" customWidth="1"/>
    <col min="2" max="7" width="11.81640625" bestFit="1" customWidth="1"/>
    <col min="8" max="8" width="13.7265625" bestFit="1" customWidth="1"/>
  </cols>
  <sheetData>
    <row r="1" spans="1:8" x14ac:dyDescent="0.35">
      <c r="A1" t="s">
        <v>207</v>
      </c>
      <c r="B1" t="s">
        <v>997</v>
      </c>
      <c r="C1" t="s">
        <v>998</v>
      </c>
      <c r="D1" t="s">
        <v>999</v>
      </c>
      <c r="E1" t="s">
        <v>1000</v>
      </c>
      <c r="F1" t="s">
        <v>1001</v>
      </c>
      <c r="G1" t="s">
        <v>1002</v>
      </c>
      <c r="H1" t="s">
        <v>1003</v>
      </c>
    </row>
    <row r="2" spans="1:8" x14ac:dyDescent="0.35">
      <c r="A2" t="s">
        <v>364</v>
      </c>
      <c r="B2">
        <v>3.2383018810173998</v>
      </c>
      <c r="C2">
        <v>2.4963871217651699</v>
      </c>
      <c r="D2">
        <v>1.7888109120957101</v>
      </c>
      <c r="E2">
        <v>2.17919399729813</v>
      </c>
      <c r="F2">
        <v>2.1170750711117798</v>
      </c>
      <c r="G2">
        <v>3.6214893874166001</v>
      </c>
      <c r="H2">
        <v>2.53191808848096</v>
      </c>
    </row>
    <row r="3" spans="1:8" x14ac:dyDescent="0.35">
      <c r="A3" t="s">
        <v>365</v>
      </c>
      <c r="B3">
        <v>3.1868346484751102</v>
      </c>
      <c r="C3">
        <v>2.3587378131879699</v>
      </c>
      <c r="D3">
        <v>1.6718611261747101</v>
      </c>
      <c r="E3">
        <v>1.78860036633983</v>
      </c>
      <c r="F3">
        <v>1.9208273399</v>
      </c>
      <c r="G3">
        <v>3.5313264951207199</v>
      </c>
      <c r="H3">
        <v>2.3452202857356599</v>
      </c>
    </row>
    <row r="4" spans="1:8" x14ac:dyDescent="0.35">
      <c r="A4" t="s">
        <v>366</v>
      </c>
      <c r="B4">
        <v>3.1836633765377398</v>
      </c>
      <c r="C4">
        <v>2.4072968224256099</v>
      </c>
      <c r="D4">
        <v>1.7431198195046</v>
      </c>
      <c r="E4">
        <v>1.77315129774044</v>
      </c>
      <c r="F4">
        <v>2.02073514685482</v>
      </c>
      <c r="G4">
        <v>4.0293256937670296</v>
      </c>
      <c r="H4">
        <v>2.5074446305602098</v>
      </c>
    </row>
    <row r="5" spans="1:8" x14ac:dyDescent="0.35">
      <c r="A5" t="s">
        <v>341</v>
      </c>
      <c r="B5">
        <v>2.6751335129753002</v>
      </c>
      <c r="C5">
        <v>2.23490559668745</v>
      </c>
      <c r="D5">
        <v>1.7018839798088801</v>
      </c>
      <c r="E5">
        <v>1.3071088286823001</v>
      </c>
      <c r="F5">
        <v>1.9537466004626001</v>
      </c>
      <c r="G5">
        <v>4.1736147049239998</v>
      </c>
      <c r="H5">
        <v>2.3903269376653702</v>
      </c>
    </row>
    <row r="6" spans="1:8" x14ac:dyDescent="0.35">
      <c r="A6" t="s">
        <v>342</v>
      </c>
      <c r="B6">
        <v>2.7273436226099399</v>
      </c>
      <c r="C6">
        <v>2.2093953467700702</v>
      </c>
      <c r="D6">
        <v>1.6209257770713299</v>
      </c>
      <c r="E6">
        <v>1.39846824355774</v>
      </c>
      <c r="F6">
        <v>1.92917123571634</v>
      </c>
      <c r="G6">
        <v>3.99921035100841</v>
      </c>
      <c r="H6">
        <v>2.35853856363368</v>
      </c>
    </row>
    <row r="7" spans="1:8" x14ac:dyDescent="0.35">
      <c r="A7" t="s">
        <v>214</v>
      </c>
      <c r="B7">
        <v>2.6244121620157301</v>
      </c>
      <c r="C7">
        <v>2.2083850613962599</v>
      </c>
      <c r="D7">
        <v>1.6496084534584401</v>
      </c>
      <c r="E7">
        <v>1.4152106479203099</v>
      </c>
      <c r="F7">
        <v>1.87941605212535</v>
      </c>
      <c r="G7">
        <v>3.77556001518685</v>
      </c>
      <c r="H7">
        <v>2.2909655946010599</v>
      </c>
    </row>
    <row r="8" spans="1:8" x14ac:dyDescent="0.35">
      <c r="A8" t="s">
        <v>313</v>
      </c>
      <c r="B8">
        <v>2.5909500763667817</v>
      </c>
      <c r="C8">
        <v>2.1887441563666123</v>
      </c>
      <c r="D8">
        <v>1.6055974529491785</v>
      </c>
      <c r="E8">
        <v>1.3978495723593021</v>
      </c>
      <c r="F8">
        <v>1.8302517057382788</v>
      </c>
      <c r="G8">
        <v>3.7077274669399558</v>
      </c>
      <c r="H8">
        <v>2.2522651144912418</v>
      </c>
    </row>
    <row r="9" spans="1:8" x14ac:dyDescent="0.35">
      <c r="A9" t="s">
        <v>319</v>
      </c>
      <c r="B9">
        <v>0.48141437268295645</v>
      </c>
      <c r="C9">
        <v>0.45840896568505429</v>
      </c>
      <c r="D9">
        <v>0.36746497554977431</v>
      </c>
      <c r="E9">
        <v>0.31022444614256844</v>
      </c>
      <c r="F9">
        <v>0.42915501219418262</v>
      </c>
      <c r="G9">
        <v>1.1999685342583262</v>
      </c>
      <c r="H9">
        <v>0.59687156970362243</v>
      </c>
    </row>
    <row r="10" spans="1:8" x14ac:dyDescent="0.35">
      <c r="A10" t="s">
        <v>321</v>
      </c>
      <c r="B10">
        <v>0.86048614726918959</v>
      </c>
      <c r="C10">
        <v>0.79249568838598416</v>
      </c>
      <c r="D10">
        <v>0.67354317907895844</v>
      </c>
      <c r="E10">
        <v>0.59173152968067744</v>
      </c>
      <c r="F10">
        <v>0.8446089414273964</v>
      </c>
      <c r="G10">
        <v>2.8791941466373943</v>
      </c>
      <c r="H10">
        <v>1.291227942115732</v>
      </c>
    </row>
    <row r="11" spans="1:8" x14ac:dyDescent="0.35">
      <c r="A11" t="s">
        <v>326</v>
      </c>
      <c r="B11">
        <v>0.90041771552281002</v>
      </c>
      <c r="C11">
        <v>0.87858775361404406</v>
      </c>
      <c r="D11">
        <v>0.69036073660901975</v>
      </c>
      <c r="E11">
        <v>0.60844889165992899</v>
      </c>
      <c r="F11">
        <v>0.82430671531328326</v>
      </c>
      <c r="G11">
        <v>2.2670147585664622</v>
      </c>
      <c r="H11">
        <v>1.1427945765433676</v>
      </c>
    </row>
    <row r="12" spans="1:8" x14ac:dyDescent="0.35">
      <c r="A12" t="s">
        <v>327</v>
      </c>
      <c r="B12">
        <v>0.97465098597473188</v>
      </c>
      <c r="C12">
        <v>0.92497068133922355</v>
      </c>
      <c r="D12">
        <v>0.67739227145847869</v>
      </c>
      <c r="E12">
        <v>0.64712737542319532</v>
      </c>
      <c r="F12">
        <v>0.84588756469098614</v>
      </c>
      <c r="G12">
        <v>1.989648939475245</v>
      </c>
      <c r="H12">
        <v>1.1063368608950657</v>
      </c>
    </row>
    <row r="13" spans="1:8" x14ac:dyDescent="0.35">
      <c r="A13" t="s">
        <v>466</v>
      </c>
      <c r="B13">
        <v>0.80937625640130129</v>
      </c>
      <c r="C13">
        <v>0.76244580654806393</v>
      </c>
      <c r="D13">
        <v>0.56198960453678881</v>
      </c>
      <c r="E13">
        <v>0.56558402402791552</v>
      </c>
      <c r="F13">
        <v>0.75715843914365921</v>
      </c>
      <c r="G13">
        <v>1.7881486709986367</v>
      </c>
      <c r="H13">
        <v>0.97440011537976179</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7" tint="-0.249977111117893"/>
  </sheetPr>
  <dimension ref="A1:AA49"/>
  <sheetViews>
    <sheetView showGridLines="0" zoomScaleNormal="100" workbookViewId="0">
      <pane ySplit="2" topLeftCell="A3" activePane="bottomLeft" state="frozen"/>
      <selection pane="bottomLeft"/>
    </sheetView>
  </sheetViews>
  <sheetFormatPr defaultRowHeight="14.5" x14ac:dyDescent="0.35"/>
  <cols>
    <col min="1" max="1" width="18.26953125" customWidth="1"/>
    <col min="2" max="2" width="14.81640625" customWidth="1"/>
    <col min="3" max="3" width="14.7265625" customWidth="1"/>
    <col min="4" max="4" width="16" customWidth="1"/>
    <col min="5" max="5" width="14.453125" customWidth="1"/>
    <col min="6" max="6" width="17.1796875" customWidth="1"/>
    <col min="7" max="7" width="14.81640625" customWidth="1"/>
    <col min="8" max="8" width="14.453125" customWidth="1"/>
    <col min="9" max="9" width="8.54296875" bestFit="1" customWidth="1"/>
    <col min="10" max="15" width="12.54296875" bestFit="1" customWidth="1"/>
    <col min="16" max="16" width="15.453125" customWidth="1"/>
    <col min="17" max="17" width="18.54296875" customWidth="1"/>
    <col min="18" max="18" width="12.81640625" bestFit="1" customWidth="1"/>
    <col min="19" max="19" width="11.1796875" bestFit="1" customWidth="1"/>
    <col min="20" max="22" width="12.1796875" bestFit="1" customWidth="1"/>
    <col min="23" max="23" width="11.81640625" bestFit="1" customWidth="1"/>
    <col min="24" max="24" width="16" bestFit="1" customWidth="1"/>
    <col min="25" max="31" width="19.81640625" bestFit="1" customWidth="1"/>
    <col min="32" max="32" width="19.81640625" customWidth="1"/>
    <col min="33" max="37" width="19.81640625" bestFit="1" customWidth="1"/>
    <col min="38" max="38" width="17.26953125" bestFit="1" customWidth="1"/>
    <col min="39" max="39" width="24.7265625" bestFit="1" customWidth="1"/>
    <col min="40" max="40" width="18.7265625" bestFit="1" customWidth="1"/>
  </cols>
  <sheetData>
    <row r="1" spans="1:27" ht="15.5" x14ac:dyDescent="0.35">
      <c r="A1" s="514" t="s">
        <v>928</v>
      </c>
      <c r="B1" s="514"/>
      <c r="C1" s="514"/>
    </row>
    <row r="2" spans="1:27" ht="15.5" x14ac:dyDescent="0.35">
      <c r="A2" s="499" t="s">
        <v>201</v>
      </c>
      <c r="B2" s="441"/>
      <c r="C2" s="441"/>
    </row>
    <row r="3" spans="1:27" x14ac:dyDescent="0.35">
      <c r="A3" s="25"/>
      <c r="B3" s="25"/>
      <c r="C3" s="25"/>
      <c r="D3" s="25"/>
      <c r="E3" s="25"/>
      <c r="F3" s="25"/>
      <c r="G3" s="25"/>
      <c r="H3" s="25"/>
      <c r="I3" s="25"/>
      <c r="Z3" s="25"/>
      <c r="AA3" s="25"/>
    </row>
    <row r="4" spans="1:27" ht="15.75" customHeight="1" x14ac:dyDescent="0.35">
      <c r="A4" s="523" t="s">
        <v>1004</v>
      </c>
      <c r="B4" s="523"/>
      <c r="C4" s="523"/>
      <c r="D4" s="523"/>
      <c r="E4" s="523"/>
      <c r="F4" s="523"/>
      <c r="G4" s="523"/>
      <c r="H4" s="523"/>
      <c r="I4" s="523"/>
      <c r="Z4" s="523"/>
      <c r="AA4" s="523"/>
    </row>
    <row r="5" spans="1:27" ht="15.5" x14ac:dyDescent="0.35">
      <c r="A5" t="s">
        <v>202</v>
      </c>
      <c r="B5" t="s">
        <v>145</v>
      </c>
      <c r="C5" s="500"/>
      <c r="D5" s="500"/>
      <c r="E5" s="500"/>
      <c r="F5" s="500"/>
      <c r="G5" s="500"/>
      <c r="H5" s="500"/>
      <c r="I5" s="500"/>
      <c r="Z5" s="500"/>
      <c r="AA5" s="500"/>
    </row>
    <row r="6" spans="1:27" ht="15.5" x14ac:dyDescent="0.35">
      <c r="A6" t="s">
        <v>203</v>
      </c>
      <c r="B6" t="s">
        <v>204</v>
      </c>
      <c r="C6" s="500"/>
      <c r="D6" s="500"/>
      <c r="E6" s="500"/>
      <c r="F6" s="500"/>
      <c r="G6" s="500"/>
      <c r="H6" s="500"/>
      <c r="I6" s="500"/>
      <c r="Z6" s="500"/>
      <c r="AA6" s="500"/>
    </row>
    <row r="7" spans="1:27" ht="15.5" x14ac:dyDescent="0.35">
      <c r="A7" t="s">
        <v>205</v>
      </c>
      <c r="B7" t="s">
        <v>930</v>
      </c>
      <c r="C7" s="500"/>
      <c r="D7" s="500"/>
      <c r="E7" s="500"/>
      <c r="F7" s="500"/>
      <c r="G7" s="500"/>
      <c r="H7" s="500"/>
      <c r="I7" s="500"/>
      <c r="Z7" s="500"/>
      <c r="AA7" s="500"/>
    </row>
    <row r="8" spans="1:27" ht="15.5" x14ac:dyDescent="0.35">
      <c r="C8" s="500"/>
      <c r="D8" s="500"/>
      <c r="E8" s="500"/>
      <c r="F8" s="500"/>
      <c r="G8" s="500"/>
      <c r="H8" s="500"/>
      <c r="I8" s="500"/>
      <c r="Z8" s="500"/>
      <c r="AA8" s="500"/>
    </row>
    <row r="9" spans="1:27" x14ac:dyDescent="0.35">
      <c r="C9" s="524" t="s">
        <v>1005</v>
      </c>
    </row>
    <row r="10" spans="1:27" x14ac:dyDescent="0.35">
      <c r="A10" s="541" t="s">
        <v>207</v>
      </c>
      <c r="B10" s="648" t="s">
        <v>997</v>
      </c>
      <c r="C10" s="648" t="s">
        <v>998</v>
      </c>
      <c r="D10" s="648" t="s">
        <v>999</v>
      </c>
      <c r="E10" s="648" t="s">
        <v>1000</v>
      </c>
      <c r="F10" s="648" t="s">
        <v>1001</v>
      </c>
      <c r="G10" s="648" t="s">
        <v>1002</v>
      </c>
      <c r="H10" s="648" t="s">
        <v>1003</v>
      </c>
    </row>
    <row r="11" spans="1:27" x14ac:dyDescent="0.35">
      <c r="A11" s="312" t="s">
        <v>364</v>
      </c>
      <c r="B11" s="369">
        <f>GETPIVOTDATA("Sum of Under 5s",ResidentsPivot!$A$1,"Year",A11)</f>
        <v>9522</v>
      </c>
      <c r="C11" s="369">
        <f>GETPIVOTDATA("Sum of 5 to 10",ResidentsPivot!$A$1,"Year",A11)</f>
        <v>8378</v>
      </c>
      <c r="D11" s="369">
        <f>GETPIVOTDATA("Sum of 11 to 16",ResidentsPivot!$A$1,"Year",A11)</f>
        <v>6148</v>
      </c>
      <c r="E11" s="369">
        <f>GETPIVOTDATA("Sum of 17 to 30",ResidentsPivot!$A$1,"Year",A11)</f>
        <v>21422</v>
      </c>
      <c r="F11" s="369">
        <f>GETPIVOTDATA("Sum of 31 to 60",ResidentsPivot!$A$1,"Year",A11)</f>
        <v>45974</v>
      </c>
      <c r="G11" s="369">
        <f>GETPIVOTDATA("Sum of Over 60",ResidentsPivot!$A$1,"Year",A11)</f>
        <v>43449</v>
      </c>
      <c r="H11" s="752">
        <f>GETPIVOTDATA("Sum of All Residents",ResidentsPivot!$A$1,"Year",A11)</f>
        <v>134893</v>
      </c>
    </row>
    <row r="12" spans="1:27" x14ac:dyDescent="0.35">
      <c r="A12" s="312" t="s">
        <v>365</v>
      </c>
      <c r="B12" s="369">
        <f>GETPIVOTDATA("Sum of Under 5s",ResidentsPivot!$A$1,"Year",A12)</f>
        <v>9301</v>
      </c>
      <c r="C12" s="369">
        <f>GETPIVOTDATA("Sum of 5 to 10",ResidentsPivot!$A$1,"Year",A12)</f>
        <v>8100</v>
      </c>
      <c r="D12" s="369">
        <f>GETPIVOTDATA("Sum of 11 to 16",ResidentsPivot!$A$1,"Year",A12)</f>
        <v>5611</v>
      </c>
      <c r="E12" s="369">
        <f>GETPIVOTDATA("Sum of 17 to 30",ResidentsPivot!$A$1,"Year",A12)</f>
        <v>17596</v>
      </c>
      <c r="F12" s="369">
        <f>GETPIVOTDATA("Sum of 31 to 60",ResidentsPivot!$A$1,"Year",A12)</f>
        <v>41757</v>
      </c>
      <c r="G12" s="369">
        <f>GETPIVOTDATA("Sum of Over 60",ResidentsPivot!$A$1,"Year",A12)</f>
        <v>43048</v>
      </c>
      <c r="H12" s="752">
        <f>GETPIVOTDATA("Sum of All Residents",ResidentsPivot!$A$1,"Year",A12)</f>
        <v>125413</v>
      </c>
    </row>
    <row r="13" spans="1:27" x14ac:dyDescent="0.35">
      <c r="A13" s="312" t="s">
        <v>366</v>
      </c>
      <c r="B13" s="369">
        <f>GETPIVOTDATA("Sum of Under 5s",ResidentsPivot!$A$1,"Year",A13)</f>
        <v>9270</v>
      </c>
      <c r="C13" s="369">
        <f>GETPIVOTDATA("Sum of 5 to 10",ResidentsPivot!$A$1,"Year",A13)</f>
        <v>8385</v>
      </c>
      <c r="D13" s="369">
        <f>GETPIVOTDATA("Sum of 11 to 16",ResidentsPivot!$A$1,"Year",A13)</f>
        <v>5779</v>
      </c>
      <c r="E13" s="369">
        <f>GETPIVOTDATA("Sum of 17 to 30",ResidentsPivot!$A$1,"Year",A13)</f>
        <v>17567</v>
      </c>
      <c r="F13" s="369">
        <f>GETPIVOTDATA("Sum of 31 to 60",ResidentsPivot!$A$1,"Year",A13)</f>
        <v>43991</v>
      </c>
      <c r="G13" s="369">
        <f>GETPIVOTDATA("Sum of Over 60",ResidentsPivot!$A$1,"Year",A13)</f>
        <v>49733</v>
      </c>
      <c r="H13" s="752">
        <f>GETPIVOTDATA("Sum of All Residents",ResidentsPivot!$A$1,"Year",A13)</f>
        <v>134725</v>
      </c>
    </row>
    <row r="14" spans="1:27" x14ac:dyDescent="0.35">
      <c r="A14" s="312" t="s">
        <v>341</v>
      </c>
      <c r="B14" s="369">
        <f>GETPIVOTDATA("Sum of Under 5s",ResidentsPivot!$A$1,"Year",A14)</f>
        <v>7684</v>
      </c>
      <c r="C14" s="369">
        <f>GETPIVOTDATA("Sum of 5 to 10",ResidentsPivot!$A$1,"Year",A14)</f>
        <v>7945</v>
      </c>
      <c r="D14" s="369">
        <f>GETPIVOTDATA("Sum of 11 to 16",ResidentsPivot!$A$1,"Year",A14)</f>
        <v>5617</v>
      </c>
      <c r="E14" s="369">
        <f>GETPIVOTDATA("Sum of 17 to 30",ResidentsPivot!$A$1,"Year",A14)</f>
        <v>13019</v>
      </c>
      <c r="F14" s="369">
        <f>GETPIVOTDATA("Sum of 31 to 60",ResidentsPivot!$A$1,"Year",A14)</f>
        <v>42665</v>
      </c>
      <c r="G14" s="369">
        <f>GETPIVOTDATA("Sum of Over 60",ResidentsPivot!$A$1,"Year",A14)</f>
        <v>52260</v>
      </c>
      <c r="H14" s="752">
        <f>GETPIVOTDATA("Sum of All Residents",ResidentsPivot!$A$1,"Year",A14)</f>
        <v>129190</v>
      </c>
    </row>
    <row r="15" spans="1:27" x14ac:dyDescent="0.35">
      <c r="A15" s="312" t="s">
        <v>342</v>
      </c>
      <c r="B15" s="369">
        <f>GETPIVOTDATA("Sum of Under 5s",ResidentsPivot!$A$1,"Year",A15)</f>
        <v>7694</v>
      </c>
      <c r="C15" s="369">
        <f>GETPIVOTDATA("Sum of 5 to 10",ResidentsPivot!$A$1,"Year",A15)</f>
        <v>7954</v>
      </c>
      <c r="D15" s="369">
        <f>GETPIVOTDATA("Sum of 11 to 16",ResidentsPivot!$A$1,"Year",A15)</f>
        <v>5364</v>
      </c>
      <c r="E15" s="369">
        <f>GETPIVOTDATA("Sum of 17 to 30",ResidentsPivot!$A$1,"Year",A15)</f>
        <v>13881</v>
      </c>
      <c r="F15" s="369">
        <f>GETPIVOTDATA("Sum of 31 to 60",ResidentsPivot!$A$1,"Year",A15)</f>
        <v>42205</v>
      </c>
      <c r="G15" s="369">
        <f>GETPIVOTDATA("Sum of Over 60",ResidentsPivot!$A$1,"Year",A15)</f>
        <v>50848</v>
      </c>
      <c r="H15" s="752">
        <f>GETPIVOTDATA("Sum of All Residents",ResidentsPivot!$A$1,"Year",A15)</f>
        <v>127946</v>
      </c>
    </row>
    <row r="16" spans="1:27" x14ac:dyDescent="0.35">
      <c r="A16" s="312" t="s">
        <v>214</v>
      </c>
      <c r="B16" s="369">
        <f>GETPIVOTDATA("Sum of Under 5s",ResidentsPivot!$A$1,"Year",A16)</f>
        <v>7266</v>
      </c>
      <c r="C16" s="369">
        <f>GETPIVOTDATA("Sum of 5 to 10",ResidentsPivot!$A$1,"Year",A16)</f>
        <v>7987</v>
      </c>
      <c r="D16" s="369">
        <f>GETPIVOTDATA("Sum of 11 to 16",ResidentsPivot!$A$1,"Year",A16)</f>
        <v>5517</v>
      </c>
      <c r="E16" s="369">
        <f>GETPIVOTDATA("Sum of 17 to 30",ResidentsPivot!$A$1,"Year",A16)</f>
        <v>13947</v>
      </c>
      <c r="F16" s="369">
        <f>GETPIVOTDATA("Sum of 31 to 60",ResidentsPivot!$A$1,"Year",A16)</f>
        <v>41141</v>
      </c>
      <c r="G16" s="369">
        <f>GETPIVOTDATA("Sum of Over 60",ResidentsPivot!$A$1,"Year",A16)</f>
        <v>48727</v>
      </c>
      <c r="H16" s="752">
        <f>GETPIVOTDATA("Sum of All Residents",ResidentsPivot!$A$1,"Year",A16)</f>
        <v>124585</v>
      </c>
    </row>
    <row r="17" spans="1:27" x14ac:dyDescent="0.35">
      <c r="A17" s="312" t="s">
        <v>313</v>
      </c>
      <c r="B17" s="369">
        <f>GETPIVOTDATA("Sum of Under 5s",ResidentsPivot!$A$1,"Year",A17)</f>
        <v>7040</v>
      </c>
      <c r="C17" s="369">
        <f>GETPIVOTDATA("Sum of 5 to 10",ResidentsPivot!$A$1,"Year",A17)</f>
        <v>7889</v>
      </c>
      <c r="D17" s="369">
        <f>GETPIVOTDATA("Sum of 11 to 16",ResidentsPivot!$A$1,"Year",A17)</f>
        <v>5512</v>
      </c>
      <c r="E17" s="369">
        <f>GETPIVOTDATA("Sum of 17 to 30",ResidentsPivot!$A$1,"Year",A17)</f>
        <v>13665</v>
      </c>
      <c r="F17" s="369">
        <f>GETPIVOTDATA("Sum of 31 to 60",ResidentsPivot!$A$1,"Year",A17)</f>
        <v>40173</v>
      </c>
      <c r="G17" s="369">
        <f>GETPIVOTDATA("Sum of Over 60",ResidentsPivot!$A$1,"Year",A17)</f>
        <v>48769</v>
      </c>
      <c r="H17" s="752">
        <f>GETPIVOTDATA("Sum of All Residents",ResidentsPivot!$A$1,"Year",A17)</f>
        <v>123048</v>
      </c>
    </row>
    <row r="18" spans="1:27" x14ac:dyDescent="0.35">
      <c r="A18" s="312" t="s">
        <v>319</v>
      </c>
      <c r="B18" s="369">
        <f>GETPIVOTDATA("Sum of Under 5s",ResidentsPivot!$A$1,"Year",A18)</f>
        <v>1270</v>
      </c>
      <c r="C18" s="369">
        <f>GETPIVOTDATA("Sum of 5 to 10",ResidentsPivot!$A$1,"Year",A18)</f>
        <v>1639</v>
      </c>
      <c r="D18" s="369">
        <f>GETPIVOTDATA("Sum of 11 to 16",ResidentsPivot!$A$1,"Year",A18)</f>
        <v>1291</v>
      </c>
      <c r="E18" s="369">
        <f>GETPIVOTDATA("Sum of 17 to 30",ResidentsPivot!$A$1,"Year",A18)</f>
        <v>2992</v>
      </c>
      <c r="F18" s="369">
        <f>GETPIVOTDATA("Sum of 31 to 60",ResidentsPivot!$A$1,"Year",A18)</f>
        <v>9416</v>
      </c>
      <c r="G18" s="369">
        <f>GETPIVOTDATA("Sum of Over 60",ResidentsPivot!$A$1,"Year",A18)</f>
        <v>16017</v>
      </c>
      <c r="H18" s="752">
        <f>GETPIVOTDATA("Sum of All Residents",ResidentsPivot!$A$1,"Year",A18)</f>
        <v>32625</v>
      </c>
    </row>
    <row r="19" spans="1:27" x14ac:dyDescent="0.35">
      <c r="A19" s="312" t="s">
        <v>321</v>
      </c>
      <c r="B19" s="369">
        <f>GETPIVOTDATA("Sum of Under 5s",ResidentsPivot!$A$1,"Year",A19)</f>
        <v>2198</v>
      </c>
      <c r="C19" s="369">
        <f>GETPIVOTDATA("Sum of 5 to 10",ResidentsPivot!$A$1,"Year",A19)</f>
        <v>2826</v>
      </c>
      <c r="D19" s="369">
        <f>GETPIVOTDATA("Sum of 11 to 16",ResidentsPivot!$A$1,"Year",A19)</f>
        <v>2403</v>
      </c>
      <c r="E19" s="369">
        <f>GETPIVOTDATA("Sum of 17 to 30",ResidentsPivot!$A$1,"Year",A19)</f>
        <v>5628</v>
      </c>
      <c r="F19" s="369">
        <f>GETPIVOTDATA("Sum of 31 to 60",ResidentsPivot!$A$1,"Year",A19)</f>
        <v>18596</v>
      </c>
      <c r="G19" s="369">
        <f>GETPIVOTDATA("Sum of Over 60",ResidentsPivot!$A$1,"Year",A19)</f>
        <v>39107</v>
      </c>
      <c r="H19" s="752">
        <f>GETPIVOTDATA("Sum of All Residents",ResidentsPivot!$A$1,"Year",A19)</f>
        <v>70758</v>
      </c>
    </row>
    <row r="20" spans="1:27" x14ac:dyDescent="0.35">
      <c r="A20" s="312" t="s">
        <v>326</v>
      </c>
      <c r="B20" s="369">
        <f>GETPIVOTDATA("Sum of Under 5s",ResidentsPivot!$A$1,"Year",A20)</f>
        <v>2300</v>
      </c>
      <c r="C20" s="369">
        <f>GETPIVOTDATA("Sum of 5 to 10",ResidentsPivot!$A$1,"Year",A20)</f>
        <v>3133</v>
      </c>
      <c r="D20" s="369">
        <f>GETPIVOTDATA("Sum of 11 to 16",ResidentsPivot!$A$1,"Year",A20)</f>
        <v>2463</v>
      </c>
      <c r="E20" s="369">
        <f>GETPIVOTDATA("Sum of 17 to 30",ResidentsPivot!$A$1,"Year",A20)</f>
        <v>5787</v>
      </c>
      <c r="F20" s="369">
        <f>GETPIVOTDATA("Sum of 31 to 60",ResidentsPivot!$A$1,"Year",A20)</f>
        <v>18149</v>
      </c>
      <c r="G20" s="369">
        <f>GETPIVOTDATA("Sum of Over 60",ResidentsPivot!$A$1,"Year",A20)</f>
        <v>30792</v>
      </c>
      <c r="H20" s="752">
        <f>GETPIVOTDATA("Sum of All Residents",ResidentsPivot!$A$1,"Year",A20)</f>
        <v>62624</v>
      </c>
    </row>
    <row r="21" spans="1:27" x14ac:dyDescent="0.35">
      <c r="A21" s="312" t="s">
        <v>327</v>
      </c>
      <c r="B21" s="369">
        <f>GETPIVOTDATA("Sum of Under 5s",ResidentsPivot!$A$1,"Year",A21)</f>
        <v>2410</v>
      </c>
      <c r="C21" s="369">
        <f>GETPIVOTDATA("Sum of 5 to 10",ResidentsPivot!$A$1,"Year",A21)</f>
        <v>3147</v>
      </c>
      <c r="D21" s="369">
        <f>GETPIVOTDATA("Sum of 11 to 16",ResidentsPivot!$A$1,"Year",A21)</f>
        <v>2485</v>
      </c>
      <c r="E21" s="369">
        <f>GETPIVOTDATA("Sum of 17 to 30",ResidentsPivot!$A$1,"Year",A21)</f>
        <v>6086</v>
      </c>
      <c r="F21" s="369">
        <f>GETPIVOTDATA("Sum of 31 to 60",ResidentsPivot!$A$1,"Year",A21)</f>
        <v>18432</v>
      </c>
      <c r="G21" s="369">
        <f>GETPIVOTDATA("Sum of Over 60",ResidentsPivot!$A$1,"Year",A21)</f>
        <v>28179</v>
      </c>
      <c r="H21" s="752">
        <f>GETPIVOTDATA("Sum of All Residents",ResidentsPivot!$A$1,"Year",A21)</f>
        <v>60739</v>
      </c>
      <c r="Q21" s="176"/>
      <c r="R21" s="176"/>
      <c r="S21" s="176"/>
      <c r="T21" s="176"/>
      <c r="U21" s="176"/>
      <c r="V21" s="176"/>
      <c r="W21" s="176"/>
      <c r="X21" s="176"/>
      <c r="Y21" s="176"/>
    </row>
    <row r="22" spans="1:27" ht="15" thickBot="1" x14ac:dyDescent="0.4">
      <c r="A22" s="525" t="s">
        <v>466</v>
      </c>
      <c r="B22" s="758">
        <f>GETPIVOTDATA("Sum of Under 5s",ResidentsPivot!$A$1,"Year",A22)</f>
        <v>1993</v>
      </c>
      <c r="C22" s="758">
        <f>GETPIVOTDATA("Sum of 5 to 10",ResidentsPivot!$A$1,"Year",A22)</f>
        <v>2601</v>
      </c>
      <c r="D22" s="758">
        <f>GETPIVOTDATA("Sum of 11 to 16",ResidentsPivot!$A$1,"Year",A22)</f>
        <v>2090</v>
      </c>
      <c r="E22" s="758">
        <f>GETPIVOTDATA("Sum of 17 to 30",ResidentsPivot!$A$1,"Year",A22)</f>
        <v>5412</v>
      </c>
      <c r="F22" s="758">
        <f>GETPIVOTDATA("Sum of 31 to 60",ResidentsPivot!$A$1,"Year",A22)</f>
        <v>16549</v>
      </c>
      <c r="G22" s="758">
        <f>GETPIVOTDATA("Sum of Over 60",ResidentsPivot!$A$1,"Year",A22)</f>
        <v>25840</v>
      </c>
      <c r="H22" s="888">
        <f>GETPIVOTDATA("Sum of All Residents",ResidentsPivot!$A$1,"Year",A22)</f>
        <v>54523</v>
      </c>
      <c r="Q22" s="176"/>
      <c r="R22" s="176"/>
      <c r="S22" s="176"/>
      <c r="T22" s="176"/>
      <c r="U22" s="176"/>
      <c r="V22" s="176"/>
      <c r="W22" s="176"/>
      <c r="X22" s="176"/>
      <c r="Y22" s="176"/>
    </row>
    <row r="23" spans="1:27" x14ac:dyDescent="0.35">
      <c r="A23" s="312"/>
      <c r="Q23" s="176"/>
      <c r="R23" s="176"/>
      <c r="S23" s="176"/>
      <c r="T23" s="176"/>
      <c r="U23" s="176"/>
      <c r="V23" s="176"/>
      <c r="W23" s="176"/>
      <c r="X23" s="176"/>
      <c r="Y23" s="176"/>
    </row>
    <row r="24" spans="1:27" x14ac:dyDescent="0.35">
      <c r="A24" s="176" t="s">
        <v>329</v>
      </c>
      <c r="B24" s="176"/>
      <c r="C24" s="176"/>
      <c r="D24" s="176"/>
      <c r="E24" s="176"/>
      <c r="F24" s="176"/>
      <c r="G24" s="176"/>
      <c r="H24" s="176"/>
      <c r="Q24" s="1010"/>
      <c r="R24" s="1010"/>
      <c r="S24" s="1010"/>
      <c r="T24" s="1010"/>
      <c r="U24" s="1010"/>
      <c r="V24" s="1010"/>
      <c r="W24" s="1010"/>
      <c r="X24" s="1010"/>
    </row>
    <row r="25" spans="1:27" ht="45.65" customHeight="1" x14ac:dyDescent="0.35">
      <c r="A25" s="1010" t="s">
        <v>1006</v>
      </c>
      <c r="B25" s="1010"/>
      <c r="C25" s="1010"/>
      <c r="D25" s="1010"/>
      <c r="E25" s="1010"/>
      <c r="F25" s="1010"/>
      <c r="G25" s="1010"/>
      <c r="H25" s="1010"/>
      <c r="X25" s="371"/>
    </row>
    <row r="26" spans="1:27" ht="15.5" x14ac:dyDescent="0.35">
      <c r="I26" s="523"/>
      <c r="Q26" s="523"/>
      <c r="R26" s="523"/>
      <c r="S26" s="523"/>
      <c r="T26" s="523"/>
      <c r="U26" s="523"/>
      <c r="V26" s="523"/>
      <c r="W26" s="523"/>
      <c r="X26" s="523"/>
      <c r="Y26" s="523"/>
      <c r="Z26" s="523"/>
      <c r="AA26" s="523"/>
    </row>
    <row r="27" spans="1:27" ht="15.5" x14ac:dyDescent="0.35">
      <c r="A27" s="523" t="s">
        <v>1007</v>
      </c>
      <c r="B27" s="523"/>
      <c r="C27" s="523"/>
      <c r="D27" s="523"/>
      <c r="E27" s="523"/>
      <c r="F27" s="523"/>
      <c r="G27" s="523"/>
      <c r="H27" s="523"/>
      <c r="I27" s="500"/>
      <c r="S27" s="500"/>
      <c r="T27" s="500"/>
      <c r="U27" s="500"/>
      <c r="V27" s="500"/>
      <c r="W27" s="500"/>
      <c r="X27" s="500"/>
      <c r="Y27" s="500"/>
      <c r="Z27" s="500"/>
      <c r="AA27" s="500"/>
    </row>
    <row r="28" spans="1:27" ht="15.5" x14ac:dyDescent="0.35">
      <c r="A28" t="s">
        <v>202</v>
      </c>
      <c r="B28" t="s">
        <v>146</v>
      </c>
      <c r="C28" s="500"/>
      <c r="D28" s="500"/>
      <c r="E28" s="500"/>
      <c r="F28" s="500"/>
      <c r="G28" s="500"/>
      <c r="H28" s="500"/>
      <c r="I28" s="500"/>
      <c r="S28" s="500"/>
      <c r="T28" s="500"/>
      <c r="U28" s="500"/>
      <c r="V28" s="500"/>
      <c r="W28" s="500"/>
      <c r="X28" s="500"/>
      <c r="Y28" s="500"/>
      <c r="Z28" s="500"/>
      <c r="AA28" s="500"/>
    </row>
    <row r="29" spans="1:27" ht="15.5" x14ac:dyDescent="0.35">
      <c r="A29" t="s">
        <v>203</v>
      </c>
      <c r="B29" t="s">
        <v>204</v>
      </c>
      <c r="C29" s="500"/>
      <c r="D29" s="500"/>
      <c r="E29" s="500"/>
      <c r="F29" s="500"/>
      <c r="G29" s="500"/>
      <c r="H29" s="500"/>
      <c r="I29" s="500"/>
      <c r="S29" s="500"/>
      <c r="T29" s="500"/>
      <c r="U29" s="500"/>
      <c r="V29" s="500"/>
      <c r="W29" s="500"/>
      <c r="X29" s="500"/>
      <c r="Y29" s="500"/>
      <c r="Z29" s="500"/>
      <c r="AA29" s="500"/>
    </row>
    <row r="30" spans="1:27" ht="15.5" x14ac:dyDescent="0.35">
      <c r="A30" t="s">
        <v>205</v>
      </c>
      <c r="B30" t="s">
        <v>930</v>
      </c>
      <c r="C30" s="500"/>
      <c r="D30" s="500"/>
      <c r="E30" s="500"/>
      <c r="F30" s="500"/>
      <c r="G30" s="500"/>
      <c r="H30" s="500"/>
      <c r="S30" s="500"/>
      <c r="T30" s="500"/>
      <c r="U30" s="500"/>
      <c r="V30" s="500"/>
      <c r="W30" s="500"/>
      <c r="X30" s="500"/>
      <c r="Y30" s="500"/>
      <c r="Z30" s="500"/>
      <c r="AA30" s="500"/>
    </row>
    <row r="31" spans="1:27" ht="15.5" x14ac:dyDescent="0.35">
      <c r="B31" s="524"/>
      <c r="C31" s="524" t="s">
        <v>1008</v>
      </c>
      <c r="D31" s="500"/>
      <c r="E31" s="500"/>
      <c r="F31" s="500"/>
      <c r="G31" s="500"/>
      <c r="Y31" s="500"/>
      <c r="Z31" s="500"/>
      <c r="AA31" s="500"/>
    </row>
    <row r="32" spans="1:27" x14ac:dyDescent="0.35">
      <c r="A32" s="541" t="s">
        <v>207</v>
      </c>
      <c r="B32" s="648" t="s">
        <v>997</v>
      </c>
      <c r="C32" s="648" t="s">
        <v>998</v>
      </c>
      <c r="D32" s="648" t="s">
        <v>999</v>
      </c>
      <c r="E32" s="648" t="s">
        <v>1000</v>
      </c>
      <c r="F32" s="648" t="s">
        <v>1001</v>
      </c>
      <c r="G32" s="648" t="s">
        <v>1002</v>
      </c>
      <c r="H32" s="648" t="s">
        <v>1003</v>
      </c>
    </row>
    <row r="33" spans="1:8" x14ac:dyDescent="0.35">
      <c r="A33" s="312" t="s">
        <v>364</v>
      </c>
      <c r="B33" s="754">
        <f>GETPIVOTDATA("Sum of Under 5s",ResidentsPercentPivot!$B$4,"Year",$A33)</f>
        <v>3.2383018810173998</v>
      </c>
      <c r="C33" s="754">
        <f>GETPIVOTDATA("Sum of 5 to 10",ResidentsPercentPivot!$B$4,"Year",$A33)</f>
        <v>2.4963871217651699</v>
      </c>
      <c r="D33" s="754">
        <f>GETPIVOTDATA("Sum of 11 to 16",ResidentsPercentPivot!$B$4,"Year",$A33)</f>
        <v>1.7888109120957101</v>
      </c>
      <c r="E33" s="754">
        <f>GETPIVOTDATA("Sum of 17 to 30",ResidentsPercentPivot!$B$4,"Year",$A33)</f>
        <v>2.17919399729813</v>
      </c>
      <c r="F33" s="754">
        <f>GETPIVOTDATA("Sum of 31 to 60",ResidentsPercentPivot!$B$4,"Year",$A33)</f>
        <v>2.1170750711117798</v>
      </c>
      <c r="G33" s="754">
        <f>GETPIVOTDATA("Sum of Over 60",ResidentsPercentPivot!$B$4,"Year",$A33)</f>
        <v>3.6214893874166001</v>
      </c>
      <c r="H33" s="755">
        <f>GETPIVOTDATA("Sum of All Residents",ResidentsPercentPivot!$B$4,"Year",A33)</f>
        <v>2.53191808848096</v>
      </c>
    </row>
    <row r="34" spans="1:8" x14ac:dyDescent="0.35">
      <c r="A34" s="312" t="s">
        <v>365</v>
      </c>
      <c r="B34" s="754">
        <f>GETPIVOTDATA("Sum of Under 5s",ResidentsPercentPivot!$B$4,"Year",$A34)</f>
        <v>3.1868346484751102</v>
      </c>
      <c r="C34" s="754">
        <f>GETPIVOTDATA("Sum of 5 to 10",ResidentsPercentPivot!$B$4,"Year",$A34)</f>
        <v>2.3587378131879699</v>
      </c>
      <c r="D34" s="754">
        <f>GETPIVOTDATA("Sum of 11 to 16",ResidentsPercentPivot!$B$4,"Year",$A34)</f>
        <v>1.6718611261747101</v>
      </c>
      <c r="E34" s="754">
        <f>GETPIVOTDATA("Sum of 17 to 30",ResidentsPercentPivot!$B$4,"Year",$A34)</f>
        <v>1.78860036633983</v>
      </c>
      <c r="F34" s="754">
        <f>GETPIVOTDATA("Sum of 31 to 60",ResidentsPercentPivot!$B$4,"Year",$A34)</f>
        <v>1.9208273399</v>
      </c>
      <c r="G34" s="754">
        <f>GETPIVOTDATA("Sum of Over 60",ResidentsPercentPivot!$B$4,"Year",$A34)</f>
        <v>3.5313264951207199</v>
      </c>
      <c r="H34" s="755">
        <f>GETPIVOTDATA("Sum of All Residents",ResidentsPercentPivot!$B$4,"Year",A34)</f>
        <v>2.3452202857356599</v>
      </c>
    </row>
    <row r="35" spans="1:8" x14ac:dyDescent="0.35">
      <c r="A35" s="312" t="s">
        <v>366</v>
      </c>
      <c r="B35" s="754">
        <f>GETPIVOTDATA("Sum of Under 5s",ResidentsPercentPivot!$B$4,"Year",$A35)</f>
        <v>3.1836633765377398</v>
      </c>
      <c r="C35" s="754">
        <f>GETPIVOTDATA("Sum of 5 to 10",ResidentsPercentPivot!$B$4,"Year",$A35)</f>
        <v>2.4072968224256099</v>
      </c>
      <c r="D35" s="754">
        <f>GETPIVOTDATA("Sum of 11 to 16",ResidentsPercentPivot!$B$4,"Year",$A35)</f>
        <v>1.7431198195046</v>
      </c>
      <c r="E35" s="754">
        <f>GETPIVOTDATA("Sum of 17 to 30",ResidentsPercentPivot!$B$4,"Year",$A35)</f>
        <v>1.77315129774044</v>
      </c>
      <c r="F35" s="754">
        <f>GETPIVOTDATA("Sum of 31 to 60",ResidentsPercentPivot!$B$4,"Year",$A35)</f>
        <v>2.02073514685482</v>
      </c>
      <c r="G35" s="754">
        <f>GETPIVOTDATA("Sum of Over 60",ResidentsPercentPivot!$B$4,"Year",$A35)</f>
        <v>4.0293256937670296</v>
      </c>
      <c r="H35" s="755">
        <f>GETPIVOTDATA("Sum of All Residents",ResidentsPercentPivot!$B$4,"Year",A35)</f>
        <v>2.5074446305602098</v>
      </c>
    </row>
    <row r="36" spans="1:8" x14ac:dyDescent="0.35">
      <c r="A36" s="312" t="s">
        <v>341</v>
      </c>
      <c r="B36" s="754">
        <f>GETPIVOTDATA("Sum of Under 5s",ResidentsPercentPivot!$B$4,"Year",$A36)</f>
        <v>2.6751335129753002</v>
      </c>
      <c r="C36" s="754">
        <f>GETPIVOTDATA("Sum of 5 to 10",ResidentsPercentPivot!$B$4,"Year",$A36)</f>
        <v>2.23490559668745</v>
      </c>
      <c r="D36" s="754">
        <f>GETPIVOTDATA("Sum of 11 to 16",ResidentsPercentPivot!$B$4,"Year",$A36)</f>
        <v>1.7018839798088801</v>
      </c>
      <c r="E36" s="754">
        <f>GETPIVOTDATA("Sum of 17 to 30",ResidentsPercentPivot!$B$4,"Year",$A36)</f>
        <v>1.3071088286823001</v>
      </c>
      <c r="F36" s="754">
        <f>GETPIVOTDATA("Sum of 31 to 60",ResidentsPercentPivot!$B$4,"Year",$A36)</f>
        <v>1.9537466004626001</v>
      </c>
      <c r="G36" s="754">
        <f>GETPIVOTDATA("Sum of Over 60",ResidentsPercentPivot!$B$4,"Year",$A36)</f>
        <v>4.1736147049239998</v>
      </c>
      <c r="H36" s="755">
        <f>GETPIVOTDATA("Sum of All Residents",ResidentsPercentPivot!$B$4,"Year",A36)</f>
        <v>2.3903269376653702</v>
      </c>
    </row>
    <row r="37" spans="1:8" x14ac:dyDescent="0.35">
      <c r="A37" s="312" t="s">
        <v>342</v>
      </c>
      <c r="B37" s="754">
        <f>GETPIVOTDATA("Sum of Under 5s",ResidentsPercentPivot!$B$4,"Year",$A37)</f>
        <v>2.7273436226099399</v>
      </c>
      <c r="C37" s="754">
        <f>GETPIVOTDATA("Sum of 5 to 10",ResidentsPercentPivot!$B$4,"Year",$A37)</f>
        <v>2.2093953467700702</v>
      </c>
      <c r="D37" s="754">
        <f>GETPIVOTDATA("Sum of 11 to 16",ResidentsPercentPivot!$B$4,"Year",$A37)</f>
        <v>1.6209257770713299</v>
      </c>
      <c r="E37" s="754">
        <f>GETPIVOTDATA("Sum of 17 to 30",ResidentsPercentPivot!$B$4,"Year",$A37)</f>
        <v>1.39846824355774</v>
      </c>
      <c r="F37" s="754">
        <f>GETPIVOTDATA("Sum of 31 to 60",ResidentsPercentPivot!$B$4,"Year",$A37)</f>
        <v>1.92917123571634</v>
      </c>
      <c r="G37" s="754">
        <f>GETPIVOTDATA("Sum of Over 60",ResidentsPercentPivot!$B$4,"Year",$A37)</f>
        <v>3.99921035100841</v>
      </c>
      <c r="H37" s="755">
        <f>GETPIVOTDATA("Sum of All Residents",ResidentsPercentPivot!$B$4,"Year",A37)</f>
        <v>2.35853856363368</v>
      </c>
    </row>
    <row r="38" spans="1:8" x14ac:dyDescent="0.35">
      <c r="A38" s="312" t="s">
        <v>214</v>
      </c>
      <c r="B38" s="754">
        <f>GETPIVOTDATA("Sum of Under 5s",ResidentsPercentPivot!$B$4,"Year",$A38)</f>
        <v>2.6244121620157301</v>
      </c>
      <c r="C38" s="754">
        <f>GETPIVOTDATA("Sum of 5 to 10",ResidentsPercentPivot!$B$4,"Year",$A38)</f>
        <v>2.2083850613962599</v>
      </c>
      <c r="D38" s="754">
        <f>GETPIVOTDATA("Sum of 11 to 16",ResidentsPercentPivot!$B$4,"Year",$A38)</f>
        <v>1.6496084534584401</v>
      </c>
      <c r="E38" s="754">
        <f>GETPIVOTDATA("Sum of 17 to 30",ResidentsPercentPivot!$B$4,"Year",$A38)</f>
        <v>1.4152106479203099</v>
      </c>
      <c r="F38" s="754">
        <f>GETPIVOTDATA("Sum of 31 to 60",ResidentsPercentPivot!$B$4,"Year",$A38)</f>
        <v>1.87941605212535</v>
      </c>
      <c r="G38" s="754">
        <f>GETPIVOTDATA("Sum of Over 60",ResidentsPercentPivot!$B$4,"Year",$A38)</f>
        <v>3.77556001518685</v>
      </c>
      <c r="H38" s="755">
        <f>GETPIVOTDATA("Sum of All Residents",ResidentsPercentPivot!$B$4,"Year",A38)</f>
        <v>2.2909655946010599</v>
      </c>
    </row>
    <row r="39" spans="1:8" x14ac:dyDescent="0.35">
      <c r="A39" s="312" t="s">
        <v>313</v>
      </c>
      <c r="B39" s="754">
        <f>GETPIVOTDATA("Sum of Under 5s",ResidentsPercentPivot!$B$4,"Year",$A39)</f>
        <v>2.5909500763667817</v>
      </c>
      <c r="C39" s="754">
        <f>GETPIVOTDATA("Sum of 5 to 10",ResidentsPercentPivot!$B$4,"Year",$A39)</f>
        <v>2.1887441563666123</v>
      </c>
      <c r="D39" s="754">
        <f>GETPIVOTDATA("Sum of 11 to 16",ResidentsPercentPivot!$B$4,"Year",$A39)</f>
        <v>1.6055974529491785</v>
      </c>
      <c r="E39" s="754">
        <f>GETPIVOTDATA("Sum of 17 to 30",ResidentsPercentPivot!$B$4,"Year",$A39)</f>
        <v>1.3978495723593021</v>
      </c>
      <c r="F39" s="754">
        <f>GETPIVOTDATA("Sum of 31 to 60",ResidentsPercentPivot!$B$4,"Year",$A39)</f>
        <v>1.8302517057382788</v>
      </c>
      <c r="G39" s="754">
        <f>GETPIVOTDATA("Sum of Over 60",ResidentsPercentPivot!$B$4,"Year",$A39)</f>
        <v>3.7077274669399558</v>
      </c>
      <c r="H39" s="755">
        <f>GETPIVOTDATA("Sum of All Residents",ResidentsPercentPivot!$B$4,"Year",A39)</f>
        <v>2.2522651144912418</v>
      </c>
    </row>
    <row r="40" spans="1:8" x14ac:dyDescent="0.35">
      <c r="A40" s="312" t="s">
        <v>319</v>
      </c>
      <c r="B40" s="754">
        <f>GETPIVOTDATA("Sum of Under 5s",ResidentsPercentPivot!$B$4,"Year",$A40)</f>
        <v>0.48141437268295645</v>
      </c>
      <c r="C40" s="754">
        <f>GETPIVOTDATA("Sum of 5 to 10",ResidentsPercentPivot!$B$4,"Year",$A40)</f>
        <v>0.45840896568505429</v>
      </c>
      <c r="D40" s="754">
        <f>GETPIVOTDATA("Sum of 11 to 16",ResidentsPercentPivot!$B$4,"Year",$A40)</f>
        <v>0.36746497554977431</v>
      </c>
      <c r="E40" s="754">
        <f>GETPIVOTDATA("Sum of 17 to 30",ResidentsPercentPivot!$B$4,"Year",$A40)</f>
        <v>0.31022444614256844</v>
      </c>
      <c r="F40" s="754">
        <f>GETPIVOTDATA("Sum of 31 to 60",ResidentsPercentPivot!$B$4,"Year",$A40)</f>
        <v>0.42915501219418262</v>
      </c>
      <c r="G40" s="754">
        <f>GETPIVOTDATA("Sum of Over 60",ResidentsPercentPivot!$B$4,"Year",$A40)</f>
        <v>1.1999685342583262</v>
      </c>
      <c r="H40" s="755">
        <f>GETPIVOTDATA("Sum of All Residents",ResidentsPercentPivot!$B$4,"Year",A40)</f>
        <v>0.59687156970362243</v>
      </c>
    </row>
    <row r="41" spans="1:8" x14ac:dyDescent="0.35">
      <c r="A41" s="312" t="s">
        <v>321</v>
      </c>
      <c r="B41" s="754">
        <f>GETPIVOTDATA("Sum of Under 5s",ResidentsPercentPivot!$B$4,"Year",$A41)</f>
        <v>0.86048614726918959</v>
      </c>
      <c r="C41" s="754">
        <f>GETPIVOTDATA("Sum of 5 to 10",ResidentsPercentPivot!$B$4,"Year",$A41)</f>
        <v>0.79249568838598416</v>
      </c>
      <c r="D41" s="754">
        <f>GETPIVOTDATA("Sum of 11 to 16",ResidentsPercentPivot!$B$4,"Year",$A41)</f>
        <v>0.67354317907895844</v>
      </c>
      <c r="E41" s="754">
        <f>GETPIVOTDATA("Sum of 17 to 30",ResidentsPercentPivot!$B$4,"Year",$A41)</f>
        <v>0.59173152968067744</v>
      </c>
      <c r="F41" s="754">
        <f>GETPIVOTDATA("Sum of 31 to 60",ResidentsPercentPivot!$B$4,"Year",$A41)</f>
        <v>0.8446089414273964</v>
      </c>
      <c r="G41" s="754">
        <f>GETPIVOTDATA("Sum of Over 60",ResidentsPercentPivot!$B$4,"Year",$A41)</f>
        <v>2.8791941466373943</v>
      </c>
      <c r="H41" s="755">
        <f>GETPIVOTDATA("Sum of All Residents",ResidentsPercentPivot!$B$4,"Year",A41)</f>
        <v>1.291227942115732</v>
      </c>
    </row>
    <row r="42" spans="1:8" x14ac:dyDescent="0.35">
      <c r="A42" s="312" t="s">
        <v>326</v>
      </c>
      <c r="B42" s="754">
        <f>GETPIVOTDATA("Sum of Under 5s",ResidentsPercentPivot!$B$4,"Year",$A42)</f>
        <v>0.90041771552281002</v>
      </c>
      <c r="C42" s="754">
        <f>GETPIVOTDATA("Sum of 5 to 10",ResidentsPercentPivot!$B$4,"Year",$A42)</f>
        <v>0.87858775361404406</v>
      </c>
      <c r="D42" s="754">
        <f>GETPIVOTDATA("Sum of 11 to 16",ResidentsPercentPivot!$B$4,"Year",$A42)</f>
        <v>0.69036073660901975</v>
      </c>
      <c r="E42" s="754">
        <f>GETPIVOTDATA("Sum of 17 to 30",ResidentsPercentPivot!$B$4,"Year",$A42)</f>
        <v>0.60844889165992899</v>
      </c>
      <c r="F42" s="754">
        <f>GETPIVOTDATA("Sum of 31 to 60",ResidentsPercentPivot!$B$4,"Year",$A42)</f>
        <v>0.82430671531328326</v>
      </c>
      <c r="G42" s="754">
        <f>GETPIVOTDATA("Sum of Over 60",ResidentsPercentPivot!$B$4,"Year",$A42)</f>
        <v>2.2670147585664622</v>
      </c>
      <c r="H42" s="755">
        <f>GETPIVOTDATA("Sum of All Residents",ResidentsPercentPivot!$B$4,"Year",A42)</f>
        <v>1.1427945765433676</v>
      </c>
    </row>
    <row r="43" spans="1:8" x14ac:dyDescent="0.35">
      <c r="A43" s="312" t="s">
        <v>327</v>
      </c>
      <c r="B43" s="754">
        <f>GETPIVOTDATA("Sum of Under 5s",ResidentsPercentPivot!$B$4,"Year",$A43)</f>
        <v>0.97465098597473188</v>
      </c>
      <c r="C43" s="754">
        <f>GETPIVOTDATA("Sum of 5 to 10",ResidentsPercentPivot!$B$4,"Year",$A43)</f>
        <v>0.92497068133922355</v>
      </c>
      <c r="D43" s="754">
        <f>GETPIVOTDATA("Sum of 11 to 16",ResidentsPercentPivot!$B$4,"Year",$A43)</f>
        <v>0.67739227145847869</v>
      </c>
      <c r="E43" s="754">
        <f>GETPIVOTDATA("Sum of 17 to 30",ResidentsPercentPivot!$B$4,"Year",$A43)</f>
        <v>0.64712737542319532</v>
      </c>
      <c r="F43" s="754">
        <f>GETPIVOTDATA("Sum of 31 to 60",ResidentsPercentPivot!$B$4,"Year",$A43)</f>
        <v>0.84588756469098614</v>
      </c>
      <c r="G43" s="754">
        <f>GETPIVOTDATA("Sum of Over 60",ResidentsPercentPivot!$B$4,"Year",$A43)</f>
        <v>1.989648939475245</v>
      </c>
      <c r="H43" s="755">
        <f>GETPIVOTDATA("Sum of All Residents",ResidentsPercentPivot!$B$4,"Year",A43)</f>
        <v>1.1063368608950657</v>
      </c>
    </row>
    <row r="44" spans="1:8" ht="15" thickBot="1" x14ac:dyDescent="0.4">
      <c r="A44" s="525" t="s">
        <v>466</v>
      </c>
      <c r="B44" s="756">
        <f>GETPIVOTDATA("Sum of Under 5s",ResidentsPercentPivot!$B$4,"Year",$A44)</f>
        <v>0.80937625640130129</v>
      </c>
      <c r="C44" s="756">
        <f>GETPIVOTDATA("Sum of 5 to 10",ResidentsPercentPivot!$B$4,"Year",$A44)</f>
        <v>0.76244580654806393</v>
      </c>
      <c r="D44" s="756">
        <f>GETPIVOTDATA("Sum of 11 to 16",ResidentsPercentPivot!$B$4,"Year",$A44)</f>
        <v>0.56198960453678881</v>
      </c>
      <c r="E44" s="756">
        <f>GETPIVOTDATA("Sum of 17 to 30",ResidentsPercentPivot!$B$4,"Year",$A44)</f>
        <v>0.56558402402791552</v>
      </c>
      <c r="F44" s="756">
        <f>GETPIVOTDATA("Sum of 31 to 60",ResidentsPercentPivot!$B$4,"Year",$A44)</f>
        <v>0.75715843914365921</v>
      </c>
      <c r="G44" s="756">
        <f>GETPIVOTDATA("Sum of Over 60",ResidentsPercentPivot!$B$4,"Year",$A44)</f>
        <v>1.7881486709986367</v>
      </c>
      <c r="H44" s="757">
        <f>GETPIVOTDATA("Sum of All Residents",ResidentsPercentPivot!$B$4,"Year",A44)</f>
        <v>0.97440011537976179</v>
      </c>
    </row>
    <row r="45" spans="1:8" x14ac:dyDescent="0.35">
      <c r="A45" s="312"/>
    </row>
    <row r="46" spans="1:8" x14ac:dyDescent="0.35">
      <c r="A46" s="312" t="s">
        <v>329</v>
      </c>
      <c r="H46" s="371"/>
    </row>
    <row r="47" spans="1:8" ht="28.5" customHeight="1" x14ac:dyDescent="0.35">
      <c r="A47" s="1010" t="s">
        <v>1009</v>
      </c>
      <c r="B47" s="1010"/>
      <c r="C47" s="1010"/>
      <c r="D47" s="1010"/>
      <c r="E47" s="1010"/>
      <c r="F47" s="1010"/>
      <c r="G47" s="1010"/>
      <c r="H47" s="1010"/>
    </row>
    <row r="48" spans="1:8" x14ac:dyDescent="0.35">
      <c r="A48" t="s">
        <v>1010</v>
      </c>
    </row>
    <row r="49" spans="1:1" x14ac:dyDescent="0.35">
      <c r="A49" s="564" t="s">
        <v>1011</v>
      </c>
    </row>
  </sheetData>
  <sheetProtection algorithmName="SHA-512" hashValue="H38U2ANv2mxpbvz0mXICpFjUiROE59Iwv+wDQvs/jdCqwR27SH+8ilhk1/u9qeQJCMioXdE0qWYBjwq+11pGoA==" saltValue="hC/z6XwcP2iYzFUFqH5+BQ==" spinCount="100000" sheet="1" scenarios="1" formatCells="0" sort="0" autoFilter="0" pivotTables="0"/>
  <mergeCells count="3">
    <mergeCell ref="Q24:X24"/>
    <mergeCell ref="A25:H25"/>
    <mergeCell ref="A47:H47"/>
  </mergeCells>
  <phoneticPr fontId="53" type="noConversion"/>
  <hyperlinks>
    <hyperlink ref="A2" location="'Table of Contents'!A1" display="Back to Table of Contents" xr:uid="{00000000-0004-0000-8300-000000000000}"/>
    <hyperlink ref="A49" r:id="rId1" xr:uid="{00000000-0004-0000-8300-000001000000}"/>
  </hyperlinks>
  <pageMargins left="0.7" right="0.7" top="0.75" bottom="0.75" header="0.3" footer="0.3"/>
  <pageSetup paperSize="9" orientation="portrait"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6173C-F4B3-4002-A401-0E8484750E6F}">
  <sheetPr>
    <tabColor theme="7" tint="-0.249977111117893"/>
  </sheetPr>
  <dimension ref="B4:L11"/>
  <sheetViews>
    <sheetView topLeftCell="B1" workbookViewId="0">
      <selection activeCell="F6" sqref="F6"/>
    </sheetView>
  </sheetViews>
  <sheetFormatPr defaultRowHeight="14.5" x14ac:dyDescent="0.35"/>
  <cols>
    <col min="2" max="2" width="18.1796875" bestFit="1" customWidth="1"/>
    <col min="3" max="12" width="13.81640625" bestFit="1" customWidth="1"/>
  </cols>
  <sheetData>
    <row r="4" spans="2:12" x14ac:dyDescent="0.35">
      <c r="B4" s="387" t="s">
        <v>350</v>
      </c>
      <c r="C4" t="s">
        <v>1012</v>
      </c>
      <c r="D4" t="s">
        <v>900</v>
      </c>
      <c r="E4" t="s">
        <v>901</v>
      </c>
      <c r="F4" t="s">
        <v>902</v>
      </c>
      <c r="G4" t="s">
        <v>903</v>
      </c>
      <c r="H4" t="s">
        <v>904</v>
      </c>
      <c r="I4" t="s">
        <v>905</v>
      </c>
      <c r="J4" t="s">
        <v>906</v>
      </c>
      <c r="K4" t="s">
        <v>907</v>
      </c>
      <c r="L4" t="s">
        <v>908</v>
      </c>
    </row>
    <row r="5" spans="2:12" x14ac:dyDescent="0.35">
      <c r="B5" s="388" t="s">
        <v>1013</v>
      </c>
      <c r="C5">
        <v>8020</v>
      </c>
      <c r="D5">
        <v>7446</v>
      </c>
      <c r="E5">
        <v>7740</v>
      </c>
      <c r="F5">
        <v>9727</v>
      </c>
      <c r="G5">
        <v>10040</v>
      </c>
      <c r="H5">
        <v>2387</v>
      </c>
      <c r="I5">
        <v>4431</v>
      </c>
      <c r="J5">
        <v>5557</v>
      </c>
      <c r="K5">
        <v>5572</v>
      </c>
      <c r="L5">
        <v>5103</v>
      </c>
    </row>
    <row r="6" spans="2:12" x14ac:dyDescent="0.35">
      <c r="B6" s="388" t="s">
        <v>32</v>
      </c>
      <c r="C6">
        <v>15848</v>
      </c>
      <c r="D6">
        <v>15100</v>
      </c>
      <c r="E6">
        <v>14796</v>
      </c>
      <c r="F6">
        <v>15332</v>
      </c>
      <c r="G6">
        <v>15696</v>
      </c>
      <c r="H6">
        <v>4624</v>
      </c>
      <c r="I6">
        <v>7561</v>
      </c>
      <c r="J6">
        <v>8820</v>
      </c>
      <c r="K6">
        <v>8577</v>
      </c>
      <c r="L6">
        <v>6910</v>
      </c>
    </row>
    <row r="7" spans="2:12" x14ac:dyDescent="0.35">
      <c r="B7" s="388" t="s">
        <v>856</v>
      </c>
      <c r="C7">
        <v>101</v>
      </c>
      <c r="D7">
        <v>103</v>
      </c>
      <c r="E7">
        <v>107</v>
      </c>
      <c r="F7">
        <v>622</v>
      </c>
      <c r="G7">
        <v>641</v>
      </c>
      <c r="H7">
        <v>102</v>
      </c>
      <c r="I7">
        <v>322</v>
      </c>
      <c r="J7">
        <v>367</v>
      </c>
      <c r="K7">
        <v>443</v>
      </c>
      <c r="L7">
        <v>2321</v>
      </c>
    </row>
    <row r="8" spans="2:12" x14ac:dyDescent="0.35">
      <c r="B8" s="388" t="s">
        <v>473</v>
      </c>
      <c r="C8">
        <v>5400</v>
      </c>
      <c r="D8">
        <v>4535</v>
      </c>
      <c r="E8">
        <v>5072</v>
      </c>
      <c r="F8">
        <v>4289</v>
      </c>
      <c r="G8">
        <v>4004</v>
      </c>
      <c r="H8">
        <v>1093</v>
      </c>
      <c r="I8">
        <v>2279</v>
      </c>
      <c r="J8">
        <v>1875</v>
      </c>
      <c r="K8">
        <v>1781</v>
      </c>
      <c r="L8">
        <v>1386</v>
      </c>
    </row>
    <row r="9" spans="2:12" x14ac:dyDescent="0.35">
      <c r="B9" s="388" t="s">
        <v>156</v>
      </c>
      <c r="C9">
        <v>37461</v>
      </c>
      <c r="D9">
        <v>39725</v>
      </c>
      <c r="E9">
        <v>38343</v>
      </c>
      <c r="F9">
        <v>35339</v>
      </c>
      <c r="G9">
        <v>34631</v>
      </c>
      <c r="H9">
        <v>10815</v>
      </c>
      <c r="I9">
        <v>27519</v>
      </c>
      <c r="J9">
        <v>19831</v>
      </c>
      <c r="K9">
        <v>17805</v>
      </c>
      <c r="L9">
        <v>16063</v>
      </c>
    </row>
    <row r="10" spans="2:12" x14ac:dyDescent="0.35">
      <c r="B10" s="388" t="s">
        <v>1014</v>
      </c>
      <c r="C10">
        <v>4886</v>
      </c>
      <c r="D10">
        <v>3888</v>
      </c>
      <c r="E10">
        <v>3767</v>
      </c>
      <c r="F10">
        <v>3893</v>
      </c>
      <c r="G10">
        <v>4225</v>
      </c>
      <c r="H10">
        <v>977</v>
      </c>
      <c r="I10">
        <v>2084</v>
      </c>
      <c r="J10">
        <v>2249</v>
      </c>
      <c r="K10">
        <v>2564</v>
      </c>
      <c r="L10">
        <v>2306</v>
      </c>
    </row>
    <row r="11" spans="2:12" x14ac:dyDescent="0.35">
      <c r="B11" s="388" t="s">
        <v>357</v>
      </c>
      <c r="C11">
        <v>71716</v>
      </c>
      <c r="D11">
        <v>70797</v>
      </c>
      <c r="E11">
        <v>69825</v>
      </c>
      <c r="F11">
        <v>69202</v>
      </c>
      <c r="G11">
        <v>69237</v>
      </c>
      <c r="H11">
        <v>19998</v>
      </c>
      <c r="I11">
        <v>44196</v>
      </c>
      <c r="J11">
        <v>38699</v>
      </c>
      <c r="K11">
        <v>36742</v>
      </c>
      <c r="L11">
        <v>34089</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0CA9-75C8-4FA8-88BF-488C51D5E658}">
  <sheetPr>
    <tabColor theme="7" tint="-0.249977111117893"/>
  </sheetPr>
  <dimension ref="A1:K7"/>
  <sheetViews>
    <sheetView workbookViewId="0">
      <selection activeCell="D5" sqref="D5"/>
    </sheetView>
  </sheetViews>
  <sheetFormatPr defaultRowHeight="14.5" x14ac:dyDescent="0.35"/>
  <cols>
    <col min="1" max="1" width="18.1796875" bestFit="1" customWidth="1"/>
    <col min="2" max="11" width="9.7265625" bestFit="1" customWidth="1"/>
  </cols>
  <sheetData>
    <row r="1" spans="1:11" x14ac:dyDescent="0.35">
      <c r="A1" t="s">
        <v>147</v>
      </c>
      <c r="B1" t="s">
        <v>366</v>
      </c>
      <c r="C1" t="s">
        <v>341</v>
      </c>
      <c r="D1" t="s">
        <v>342</v>
      </c>
      <c r="E1" t="s">
        <v>214</v>
      </c>
      <c r="F1" t="s">
        <v>313</v>
      </c>
      <c r="G1" t="s">
        <v>319</v>
      </c>
      <c r="H1" t="s">
        <v>321</v>
      </c>
      <c r="I1" t="s">
        <v>326</v>
      </c>
      <c r="J1" t="s">
        <v>327</v>
      </c>
      <c r="K1" t="s">
        <v>466</v>
      </c>
    </row>
    <row r="2" spans="1:11" x14ac:dyDescent="0.35">
      <c r="A2" t="s">
        <v>1013</v>
      </c>
      <c r="B2">
        <v>8020</v>
      </c>
      <c r="C2">
        <v>7446</v>
      </c>
      <c r="D2">
        <v>7740</v>
      </c>
      <c r="E2">
        <v>9727</v>
      </c>
      <c r="F2">
        <v>10040</v>
      </c>
      <c r="G2">
        <v>2387</v>
      </c>
      <c r="H2">
        <v>4431</v>
      </c>
      <c r="I2">
        <v>5557</v>
      </c>
      <c r="J2">
        <v>5572</v>
      </c>
      <c r="K2">
        <v>5103</v>
      </c>
    </row>
    <row r="3" spans="1:11" x14ac:dyDescent="0.35">
      <c r="A3" t="s">
        <v>32</v>
      </c>
      <c r="B3">
        <v>15848</v>
      </c>
      <c r="C3">
        <v>15100</v>
      </c>
      <c r="D3">
        <v>14796</v>
      </c>
      <c r="E3">
        <v>15332</v>
      </c>
      <c r="F3">
        <v>15696</v>
      </c>
      <c r="G3">
        <v>4624</v>
      </c>
      <c r="H3">
        <v>7561</v>
      </c>
      <c r="I3">
        <v>8820</v>
      </c>
      <c r="J3">
        <v>8577</v>
      </c>
      <c r="K3">
        <v>6910</v>
      </c>
    </row>
    <row r="4" spans="1:11" x14ac:dyDescent="0.35">
      <c r="A4" t="s">
        <v>856</v>
      </c>
      <c r="B4">
        <v>101</v>
      </c>
      <c r="C4">
        <v>103</v>
      </c>
      <c r="D4">
        <v>107</v>
      </c>
      <c r="E4">
        <v>622</v>
      </c>
      <c r="F4">
        <v>641</v>
      </c>
      <c r="G4">
        <v>102</v>
      </c>
      <c r="H4">
        <v>322</v>
      </c>
      <c r="I4">
        <v>367</v>
      </c>
      <c r="J4">
        <v>443</v>
      </c>
      <c r="K4">
        <v>2321</v>
      </c>
    </row>
    <row r="5" spans="1:11" x14ac:dyDescent="0.35">
      <c r="A5" t="s">
        <v>473</v>
      </c>
      <c r="B5">
        <v>5400</v>
      </c>
      <c r="C5">
        <v>4535</v>
      </c>
      <c r="D5">
        <v>5072</v>
      </c>
      <c r="E5">
        <v>4289</v>
      </c>
      <c r="F5">
        <v>4004</v>
      </c>
      <c r="G5">
        <v>1093</v>
      </c>
      <c r="H5">
        <v>2279</v>
      </c>
      <c r="I5">
        <v>1875</v>
      </c>
      <c r="J5">
        <v>1781</v>
      </c>
      <c r="K5">
        <v>1386</v>
      </c>
    </row>
    <row r="6" spans="1:11" x14ac:dyDescent="0.35">
      <c r="A6" t="s">
        <v>156</v>
      </c>
      <c r="B6">
        <v>37461</v>
      </c>
      <c r="C6">
        <v>39725</v>
      </c>
      <c r="D6">
        <v>38343</v>
      </c>
      <c r="E6">
        <v>35339</v>
      </c>
      <c r="F6">
        <v>34631</v>
      </c>
      <c r="G6">
        <v>10815</v>
      </c>
      <c r="H6">
        <v>27519</v>
      </c>
      <c r="I6">
        <v>19831</v>
      </c>
      <c r="J6">
        <v>17805</v>
      </c>
      <c r="K6">
        <v>16063</v>
      </c>
    </row>
    <row r="7" spans="1:11" x14ac:dyDescent="0.35">
      <c r="A7" t="s">
        <v>1014</v>
      </c>
      <c r="B7">
        <v>4886</v>
      </c>
      <c r="C7">
        <v>3888</v>
      </c>
      <c r="D7">
        <v>3767</v>
      </c>
      <c r="E7">
        <v>3893</v>
      </c>
      <c r="F7">
        <v>4225</v>
      </c>
      <c r="G7">
        <v>977</v>
      </c>
      <c r="H7">
        <v>2084</v>
      </c>
      <c r="I7">
        <v>2249</v>
      </c>
      <c r="J7">
        <v>2564</v>
      </c>
      <c r="K7">
        <v>2306</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7" tint="-0.249977111117893"/>
  </sheetPr>
  <dimension ref="A1:V16"/>
  <sheetViews>
    <sheetView showGridLines="0" workbookViewId="0">
      <pane ySplit="2" topLeftCell="A3" activePane="bottomLeft" state="frozen"/>
      <selection pane="bottomLeft"/>
    </sheetView>
  </sheetViews>
  <sheetFormatPr defaultRowHeight="14.5" x14ac:dyDescent="0.35"/>
  <cols>
    <col min="1" max="1" width="18.1796875" bestFit="1" customWidth="1"/>
    <col min="2" max="9" width="7.54296875" bestFit="1" customWidth="1"/>
  </cols>
  <sheetData>
    <row r="1" spans="1:22" ht="15.5" x14ac:dyDescent="0.35">
      <c r="A1" s="514" t="s">
        <v>928</v>
      </c>
      <c r="B1" s="514"/>
      <c r="C1" s="514"/>
    </row>
    <row r="2" spans="1:22" ht="15.5" x14ac:dyDescent="0.35">
      <c r="A2" s="499" t="s">
        <v>201</v>
      </c>
      <c r="B2" s="441"/>
      <c r="C2" s="441"/>
    </row>
    <row r="3" spans="1:22" x14ac:dyDescent="0.35">
      <c r="A3" s="25"/>
      <c r="B3" s="25"/>
      <c r="C3" s="25"/>
    </row>
    <row r="4" spans="1:22" ht="15.5" x14ac:dyDescent="0.35">
      <c r="A4" s="523" t="s">
        <v>1015</v>
      </c>
      <c r="B4" s="523"/>
      <c r="C4" s="523"/>
    </row>
    <row r="5" spans="1:22" ht="15.5" x14ac:dyDescent="0.35">
      <c r="A5" t="s">
        <v>202</v>
      </c>
      <c r="B5" t="s">
        <v>148</v>
      </c>
      <c r="C5" s="500"/>
    </row>
    <row r="6" spans="1:22" ht="15.5" x14ac:dyDescent="0.35">
      <c r="A6" t="s">
        <v>203</v>
      </c>
      <c r="B6" t="s">
        <v>204</v>
      </c>
      <c r="C6" s="500"/>
      <c r="N6" s="312"/>
    </row>
    <row r="7" spans="1:22" ht="15.5" x14ac:dyDescent="0.35">
      <c r="A7" t="s">
        <v>205</v>
      </c>
      <c r="B7" t="s">
        <v>930</v>
      </c>
      <c r="C7" s="500"/>
    </row>
    <row r="8" spans="1:22" ht="22" customHeight="1" x14ac:dyDescent="0.35">
      <c r="F8" s="312"/>
      <c r="G8" s="312"/>
      <c r="H8" s="312"/>
      <c r="I8" s="312"/>
      <c r="J8" s="582"/>
      <c r="K8" s="582" t="s">
        <v>1016</v>
      </c>
      <c r="O8" s="312"/>
      <c r="P8" s="312"/>
      <c r="Q8" s="312"/>
      <c r="R8" s="312"/>
      <c r="S8" s="312"/>
      <c r="T8" s="312"/>
      <c r="U8" s="312" t="s">
        <v>1017</v>
      </c>
    </row>
    <row r="9" spans="1:22" x14ac:dyDescent="0.35">
      <c r="A9" s="526" t="s">
        <v>147</v>
      </c>
      <c r="B9" s="648" t="s">
        <v>366</v>
      </c>
      <c r="C9" s="648" t="s">
        <v>341</v>
      </c>
      <c r="D9" s="648" t="s">
        <v>342</v>
      </c>
      <c r="E9" s="648" t="s">
        <v>214</v>
      </c>
      <c r="F9" s="648" t="s">
        <v>313</v>
      </c>
      <c r="G9" s="648" t="s">
        <v>319</v>
      </c>
      <c r="H9" s="648" t="s">
        <v>321</v>
      </c>
      <c r="I9" s="648" t="s">
        <v>326</v>
      </c>
      <c r="J9" s="648" t="s">
        <v>327</v>
      </c>
      <c r="K9" s="648" t="s">
        <v>466</v>
      </c>
      <c r="M9" s="648" t="s">
        <v>366</v>
      </c>
      <c r="N9" s="648" t="s">
        <v>341</v>
      </c>
      <c r="O9" s="648" t="s">
        <v>342</v>
      </c>
      <c r="P9" s="648" t="s">
        <v>214</v>
      </c>
      <c r="Q9" s="648" t="s">
        <v>313</v>
      </c>
      <c r="R9" s="648" t="s">
        <v>319</v>
      </c>
      <c r="S9" s="648" t="s">
        <v>321</v>
      </c>
      <c r="T9" s="648" t="s">
        <v>326</v>
      </c>
      <c r="U9" s="648" t="s">
        <v>327</v>
      </c>
      <c r="V9" s="648" t="s">
        <v>466</v>
      </c>
    </row>
    <row r="10" spans="1:22" x14ac:dyDescent="0.35">
      <c r="A10" s="312" t="s">
        <v>1013</v>
      </c>
      <c r="B10" s="369">
        <f>GETPIVOTDATA("Sum of 2015-16",TenurePivot!$B$4,"Tenure",$A10)</f>
        <v>8020</v>
      </c>
      <c r="C10" s="369">
        <f>GETPIVOTDATA("Sum of 2016-17",TenurePivot!$B$4,"Tenure",$A10)</f>
        <v>7446</v>
      </c>
      <c r="D10" s="369">
        <f>GETPIVOTDATA("Sum of 2017-18",TenurePivot!$B$4,"Tenure",$A10)</f>
        <v>7740</v>
      </c>
      <c r="E10" s="369">
        <f>GETPIVOTDATA("Sum of 2018-19",TenurePivot!$B$4,"Tenure",$A10)</f>
        <v>9727</v>
      </c>
      <c r="F10" s="369">
        <f>GETPIVOTDATA("Sum of 2019-20",TenurePivot!$B$4,"Tenure",$A10)</f>
        <v>10040</v>
      </c>
      <c r="G10" s="369">
        <f>GETPIVOTDATA("Sum of 2020-21",TenurePivot!$B$4,"Tenure",$A10)</f>
        <v>2387</v>
      </c>
      <c r="H10" s="369">
        <f>GETPIVOTDATA("Sum of 2021-22",TenurePivot!$B$4,"Tenure",$A10)</f>
        <v>4431</v>
      </c>
      <c r="I10" s="369">
        <f>GETPIVOTDATA("Sum of 2022-23",TenurePivot!$B$4,"Tenure",$A10)</f>
        <v>5557</v>
      </c>
      <c r="J10" s="369">
        <f>GETPIVOTDATA("Sum of 2023-24",TenurePivot!$B$4,"Tenure",$A10)</f>
        <v>5572</v>
      </c>
      <c r="K10" s="369">
        <f>GETPIVOTDATA("Sum of 2024-25",TenurePivot!$B$4,"Tenure",$A10)</f>
        <v>5103</v>
      </c>
      <c r="M10" s="754">
        <f>B10/B$16*100</f>
        <v>11.182999609571086</v>
      </c>
      <c r="N10" s="754">
        <f t="shared" ref="N10:V15" si="0">C10/C$16*100</f>
        <v>10.517394804864614</v>
      </c>
      <c r="O10" s="754">
        <f t="shared" si="0"/>
        <v>11.084854994629431</v>
      </c>
      <c r="P10" s="754">
        <f t="shared" si="0"/>
        <v>14.055952140111557</v>
      </c>
      <c r="Q10" s="754">
        <f t="shared" si="0"/>
        <v>14.50091713967965</v>
      </c>
      <c r="R10" s="754">
        <f t="shared" si="0"/>
        <v>11.936193619361935</v>
      </c>
      <c r="S10" s="754">
        <f t="shared" si="0"/>
        <v>10.025794189519413</v>
      </c>
      <c r="T10" s="754">
        <f t="shared" si="0"/>
        <v>14.359544174268068</v>
      </c>
      <c r="U10" s="754">
        <f t="shared" si="0"/>
        <v>15.165206031244896</v>
      </c>
      <c r="V10" s="754">
        <f t="shared" si="0"/>
        <v>14.969638299744787</v>
      </c>
    </row>
    <row r="11" spans="1:22" x14ac:dyDescent="0.35">
      <c r="A11" s="312" t="s">
        <v>32</v>
      </c>
      <c r="B11" s="369">
        <f>GETPIVOTDATA("Sum of 2015-16",TenurePivot!$B$4,"Tenure",$A11)</f>
        <v>15848</v>
      </c>
      <c r="C11" s="369">
        <f>GETPIVOTDATA("Sum of 2016-17",TenurePivot!$B$4,"Tenure",$A11)</f>
        <v>15100</v>
      </c>
      <c r="D11" s="369">
        <f>GETPIVOTDATA("Sum of 2017-18",TenurePivot!$B$4,"Tenure",$A11)</f>
        <v>14796</v>
      </c>
      <c r="E11" s="369">
        <f>GETPIVOTDATA("Sum of 2018-19",TenurePivot!$B$4,"Tenure",$A11)</f>
        <v>15332</v>
      </c>
      <c r="F11" s="369">
        <f>GETPIVOTDATA("Sum of 2019-20",TenurePivot!$B$4,"Tenure",$A11)</f>
        <v>15696</v>
      </c>
      <c r="G11" s="369">
        <f>GETPIVOTDATA("Sum of 2020-21",TenurePivot!$B$4,"Tenure",$A11)</f>
        <v>4624</v>
      </c>
      <c r="H11" s="369">
        <f>GETPIVOTDATA("Sum of 2021-22",TenurePivot!$B$4,"Tenure",$A11)</f>
        <v>7561</v>
      </c>
      <c r="I11" s="369">
        <f>GETPIVOTDATA("Sum of 2022-23",TenurePivot!$B$4,"Tenure",$A11)</f>
        <v>8820</v>
      </c>
      <c r="J11" s="369">
        <f>GETPIVOTDATA("Sum of 2023-24",TenurePivot!$B$4,"Tenure",$A11)</f>
        <v>8577</v>
      </c>
      <c r="K11" s="369">
        <f>GETPIVOTDATA("Sum of 2024-25",TenurePivot!$B$4,"Tenure",$A11)</f>
        <v>6910</v>
      </c>
      <c r="M11" s="754">
        <f>B11/B$16*100</f>
        <v>22.098276535222265</v>
      </c>
      <c r="N11" s="754">
        <f t="shared" si="0"/>
        <v>21.328587369521308</v>
      </c>
      <c r="O11" s="754">
        <f t="shared" si="0"/>
        <v>21.190118152524168</v>
      </c>
      <c r="P11" s="754">
        <f t="shared" si="0"/>
        <v>22.155429033842953</v>
      </c>
      <c r="Q11" s="754">
        <f t="shared" si="0"/>
        <v>22.669959703626674</v>
      </c>
      <c r="R11" s="754">
        <f t="shared" si="0"/>
        <v>23.122312231223123</v>
      </c>
      <c r="S11" s="754">
        <f t="shared" si="0"/>
        <v>17.107883066340847</v>
      </c>
      <c r="T11" s="754">
        <f t="shared" si="0"/>
        <v>22.791286596552883</v>
      </c>
      <c r="U11" s="754">
        <f t="shared" si="0"/>
        <v>23.343857166185835</v>
      </c>
      <c r="V11" s="754">
        <f t="shared" si="0"/>
        <v>20.270468479568191</v>
      </c>
    </row>
    <row r="12" spans="1:22" x14ac:dyDescent="0.35">
      <c r="A12" s="312" t="s">
        <v>856</v>
      </c>
      <c r="B12" s="369">
        <f>GETPIVOTDATA("Sum of 2015-16",TenurePivot!$B$4,"Tenure",$A12)</f>
        <v>101</v>
      </c>
      <c r="C12" s="369">
        <f>GETPIVOTDATA("Sum of 2016-17",TenurePivot!$B$4,"Tenure",$A12)</f>
        <v>103</v>
      </c>
      <c r="D12" s="369">
        <f>GETPIVOTDATA("Sum of 2017-18",TenurePivot!$B$4,"Tenure",$A12)</f>
        <v>107</v>
      </c>
      <c r="E12" s="369">
        <f>GETPIVOTDATA("Sum of 2018-19",TenurePivot!$B$4,"Tenure",$A12)</f>
        <v>622</v>
      </c>
      <c r="F12" s="369">
        <f>GETPIVOTDATA("Sum of 2019-20",TenurePivot!$B$4,"Tenure",$A12)</f>
        <v>641</v>
      </c>
      <c r="G12" s="369">
        <f>GETPIVOTDATA("Sum of 2020-21",TenurePivot!$B$4,"Tenure",$A12)</f>
        <v>102</v>
      </c>
      <c r="H12" s="369">
        <f>GETPIVOTDATA("Sum of 2021-22",TenurePivot!$B$4,"Tenure",$A12)</f>
        <v>322</v>
      </c>
      <c r="I12" s="369">
        <f>GETPIVOTDATA("Sum of 2022-23",TenurePivot!$B$4,"Tenure",$A12)</f>
        <v>367</v>
      </c>
      <c r="J12" s="369">
        <f>GETPIVOTDATA("Sum of 2023-24",TenurePivot!$B$4,"Tenure",$A12)</f>
        <v>443</v>
      </c>
      <c r="K12" s="369">
        <f>GETPIVOTDATA("Sum of 2024-25",TenurePivot!$B$4,"Tenure",$A12)</f>
        <v>2321</v>
      </c>
      <c r="M12" s="754">
        <f t="shared" ref="M12:M15" si="1">B12/B$16*100</f>
        <v>0.1408332868537007</v>
      </c>
      <c r="N12" s="754">
        <f t="shared" si="0"/>
        <v>0.14548639066627117</v>
      </c>
      <c r="O12" s="754">
        <f t="shared" si="0"/>
        <v>0.15324024346580739</v>
      </c>
      <c r="P12" s="754">
        <f t="shared" si="0"/>
        <v>0.89881795323834579</v>
      </c>
      <c r="Q12" s="754">
        <f>F12/F$16*100</f>
        <v>0.925805566387914</v>
      </c>
      <c r="R12" s="754">
        <f t="shared" si="0"/>
        <v>0.51005100510051005</v>
      </c>
      <c r="S12" s="754">
        <f t="shared" si="0"/>
        <v>0.72857272151325914</v>
      </c>
      <c r="T12" s="754">
        <f t="shared" si="0"/>
        <v>0.94834491847334557</v>
      </c>
      <c r="U12" s="754">
        <f t="shared" si="0"/>
        <v>1.2057046431876326</v>
      </c>
      <c r="V12" s="754">
        <f t="shared" si="0"/>
        <v>6.8086479509519195</v>
      </c>
    </row>
    <row r="13" spans="1:22" x14ac:dyDescent="0.35">
      <c r="A13" s="312" t="s">
        <v>473</v>
      </c>
      <c r="B13" s="369">
        <f>GETPIVOTDATA("Sum of 2015-16",TenurePivot!$B$4,"Tenure",$A13)</f>
        <v>5400</v>
      </c>
      <c r="C13" s="369">
        <f>GETPIVOTDATA("Sum of 2016-17",TenurePivot!$B$4,"Tenure",$A13)</f>
        <v>4535</v>
      </c>
      <c r="D13" s="369">
        <f>GETPIVOTDATA("Sum of 2017-18",TenurePivot!$B$4,"Tenure",$A13)</f>
        <v>5072</v>
      </c>
      <c r="E13" s="369">
        <f>GETPIVOTDATA("Sum of 2018-19",TenurePivot!$B$4,"Tenure",$A13)</f>
        <v>4289</v>
      </c>
      <c r="F13" s="369">
        <f>GETPIVOTDATA("Sum of 2019-20",TenurePivot!$B$4,"Tenure",$A13)</f>
        <v>4004</v>
      </c>
      <c r="G13" s="369">
        <f>GETPIVOTDATA("Sum of 2020-21",TenurePivot!$B$4,"Tenure",$A13)</f>
        <v>1093</v>
      </c>
      <c r="H13" s="369">
        <f>GETPIVOTDATA("Sum of 2021-22",TenurePivot!$B$4,"Tenure",$A13)</f>
        <v>2279</v>
      </c>
      <c r="I13" s="369">
        <f>GETPIVOTDATA("Sum of 2022-23",TenurePivot!$B$4,"Tenure",$A13)</f>
        <v>1875</v>
      </c>
      <c r="J13" s="369">
        <f>GETPIVOTDATA("Sum of 2023-24",TenurePivot!$B$4,"Tenure",$A13)</f>
        <v>1781</v>
      </c>
      <c r="K13" s="369">
        <f>GETPIVOTDATA("Sum of 2024-25",TenurePivot!$B$4,"Tenure",$A13)</f>
        <v>1386</v>
      </c>
      <c r="M13" s="754">
        <f>B13/B$16*100</f>
        <v>7.529700485247365</v>
      </c>
      <c r="N13" s="754">
        <f t="shared" si="0"/>
        <v>6.4056386570052402</v>
      </c>
      <c r="O13" s="754">
        <f t="shared" si="0"/>
        <v>7.2638739706408888</v>
      </c>
      <c r="P13" s="754">
        <f t="shared" si="0"/>
        <v>6.1977977515100724</v>
      </c>
      <c r="Q13" s="754">
        <f t="shared" si="0"/>
        <v>5.7830350823981398</v>
      </c>
      <c r="R13" s="754">
        <f t="shared" si="0"/>
        <v>5.4655465546554653</v>
      </c>
      <c r="S13" s="754">
        <f t="shared" si="0"/>
        <v>5.1565752556792477</v>
      </c>
      <c r="T13" s="754">
        <f t="shared" si="0"/>
        <v>4.8450864363420241</v>
      </c>
      <c r="U13" s="754">
        <f t="shared" si="0"/>
        <v>4.8473137009417018</v>
      </c>
      <c r="V13" s="754">
        <f t="shared" si="0"/>
        <v>4.0658276863504357</v>
      </c>
    </row>
    <row r="14" spans="1:22" x14ac:dyDescent="0.35">
      <c r="A14" s="312" t="s">
        <v>156</v>
      </c>
      <c r="B14" s="369">
        <f>GETPIVOTDATA("Sum of 2015-16",TenurePivot!$B$4,"Tenure",$A14)</f>
        <v>37461</v>
      </c>
      <c r="C14" s="369">
        <f>GETPIVOTDATA("Sum of 2016-17",TenurePivot!$B$4,"Tenure",$A14)</f>
        <v>39725</v>
      </c>
      <c r="D14" s="369">
        <f>GETPIVOTDATA("Sum of 2017-18",TenurePivot!$B$4,"Tenure",$A14)</f>
        <v>38343</v>
      </c>
      <c r="E14" s="369">
        <f>GETPIVOTDATA("Sum of 2018-19",TenurePivot!$B$4,"Tenure",$A14)</f>
        <v>35339</v>
      </c>
      <c r="F14" s="369">
        <f>GETPIVOTDATA("Sum of 2019-20",TenurePivot!$B$4,"Tenure",$A14)</f>
        <v>34631</v>
      </c>
      <c r="G14" s="369">
        <f>GETPIVOTDATA("Sum of 2020-21",TenurePivot!$B$4,"Tenure",$A14)</f>
        <v>10815</v>
      </c>
      <c r="H14" s="369">
        <f>GETPIVOTDATA("Sum of 2021-22",TenurePivot!$B$4,"Tenure",$A14)</f>
        <v>27519</v>
      </c>
      <c r="I14" s="369">
        <f>GETPIVOTDATA("Sum of 2022-23",TenurePivot!$B$4,"Tenure",$A14)</f>
        <v>19831</v>
      </c>
      <c r="J14" s="369">
        <f>GETPIVOTDATA("Sum of 2023-24",TenurePivot!$B$4,"Tenure",$A14)</f>
        <v>17805</v>
      </c>
      <c r="K14" s="369">
        <f>GETPIVOTDATA("Sum of 2024-25",TenurePivot!$B$4,"Tenure",$A14)</f>
        <v>16063</v>
      </c>
      <c r="M14" s="754">
        <f t="shared" si="1"/>
        <v>52.235205532935467</v>
      </c>
      <c r="N14" s="754">
        <f t="shared" si="0"/>
        <v>56.111134652598274</v>
      </c>
      <c r="O14" s="754">
        <f t="shared" si="0"/>
        <v>54.912996777658428</v>
      </c>
      <c r="P14" s="754">
        <f t="shared" si="0"/>
        <v>51.06644316638247</v>
      </c>
      <c r="Q14" s="754">
        <f t="shared" si="0"/>
        <v>50.01805393070179</v>
      </c>
      <c r="R14" s="754">
        <f t="shared" si="0"/>
        <v>54.080408040804087</v>
      </c>
      <c r="S14" s="754">
        <f t="shared" si="0"/>
        <v>62.265815910942166</v>
      </c>
      <c r="T14" s="754">
        <f t="shared" si="0"/>
        <v>51.244218196852628</v>
      </c>
      <c r="U14" s="754">
        <f t="shared" si="0"/>
        <v>48.459528604866364</v>
      </c>
      <c r="V14" s="754">
        <f t="shared" si="0"/>
        <v>47.12077209657074</v>
      </c>
    </row>
    <row r="15" spans="1:22" x14ac:dyDescent="0.35">
      <c r="A15" s="526" t="s">
        <v>1014</v>
      </c>
      <c r="B15" s="369">
        <f>GETPIVOTDATA("Sum of 2015-16",TenurePivot!$B$4,"Tenure",$A15)</f>
        <v>4886</v>
      </c>
      <c r="C15" s="369">
        <f>GETPIVOTDATA("Sum of 2016-17",TenurePivot!$B$4,"Tenure",$A15)</f>
        <v>3888</v>
      </c>
      <c r="D15" s="369">
        <f>GETPIVOTDATA("Sum of 2017-18",TenurePivot!$B$4,"Tenure",$A15)</f>
        <v>3767</v>
      </c>
      <c r="E15" s="369">
        <f>GETPIVOTDATA("Sum of 2018-19",TenurePivot!$B$4,"Tenure",$A15)</f>
        <v>3893</v>
      </c>
      <c r="F15" s="369">
        <f>GETPIVOTDATA("Sum of 2019-20",TenurePivot!$B$4,"Tenure",$A15)</f>
        <v>4225</v>
      </c>
      <c r="G15" s="369">
        <f>GETPIVOTDATA("Sum of 2020-21",TenurePivot!$B$4,"Tenure",$A15)</f>
        <v>977</v>
      </c>
      <c r="H15" s="369">
        <f>GETPIVOTDATA("Sum of 2021-22",TenurePivot!$B$4,"Tenure",$A15)</f>
        <v>2084</v>
      </c>
      <c r="I15" s="369">
        <f>GETPIVOTDATA("Sum of 2022-23",TenurePivot!$B$4,"Tenure",$A15)</f>
        <v>2249</v>
      </c>
      <c r="J15" s="369">
        <f>GETPIVOTDATA("Sum of 2023-24",TenurePivot!$B$4,"Tenure",$A15)</f>
        <v>2564</v>
      </c>
      <c r="K15" s="369">
        <f>GETPIVOTDATA("Sum of 2024-25",TenurePivot!$B$4,"Tenure",$A15)</f>
        <v>2306</v>
      </c>
      <c r="M15" s="754">
        <f t="shared" si="1"/>
        <v>6.8129845501701158</v>
      </c>
      <c r="N15" s="754">
        <f t="shared" si="0"/>
        <v>5.491758125344294</v>
      </c>
      <c r="O15" s="754">
        <f t="shared" si="0"/>
        <v>5.3949158610812749</v>
      </c>
      <c r="P15" s="754">
        <f t="shared" si="0"/>
        <v>5.6255599549145971</v>
      </c>
      <c r="Q15" s="754">
        <f t="shared" si="0"/>
        <v>6.1022285772058291</v>
      </c>
      <c r="R15" s="754">
        <f t="shared" si="0"/>
        <v>4.8854885488548856</v>
      </c>
      <c r="S15" s="754">
        <f t="shared" si="0"/>
        <v>4.7153588560050679</v>
      </c>
      <c r="T15" s="754">
        <f t="shared" si="0"/>
        <v>5.8115196775110469</v>
      </c>
      <c r="U15" s="754">
        <f t="shared" si="0"/>
        <v>6.9783898535735673</v>
      </c>
      <c r="V15" s="946">
        <f t="shared" si="0"/>
        <v>6.7646454868139276</v>
      </c>
    </row>
    <row r="16" spans="1:22" ht="15" thickBot="1" x14ac:dyDescent="0.4">
      <c r="A16" s="495" t="s">
        <v>340</v>
      </c>
      <c r="B16" s="857">
        <f>SUM(B10:B15)</f>
        <v>71716</v>
      </c>
      <c r="C16" s="857">
        <f t="shared" ref="C16:K16" si="2">SUM(C10:C15)</f>
        <v>70797</v>
      </c>
      <c r="D16" s="857">
        <f t="shared" si="2"/>
        <v>69825</v>
      </c>
      <c r="E16" s="857">
        <f t="shared" si="2"/>
        <v>69202</v>
      </c>
      <c r="F16" s="857">
        <f t="shared" si="2"/>
        <v>69237</v>
      </c>
      <c r="G16" s="857">
        <f t="shared" si="2"/>
        <v>19998</v>
      </c>
      <c r="H16" s="857">
        <f t="shared" si="2"/>
        <v>44196</v>
      </c>
      <c r="I16" s="857">
        <f t="shared" si="2"/>
        <v>38699</v>
      </c>
      <c r="J16" s="857">
        <f t="shared" si="2"/>
        <v>36742</v>
      </c>
      <c r="K16" s="857">
        <f t="shared" si="2"/>
        <v>34089</v>
      </c>
      <c r="M16" s="871"/>
      <c r="N16" s="871"/>
      <c r="O16" s="871"/>
      <c r="P16" s="871"/>
      <c r="Q16" s="871"/>
      <c r="R16" s="871"/>
      <c r="S16" s="871"/>
      <c r="T16" s="871"/>
      <c r="U16" s="871"/>
    </row>
  </sheetData>
  <sheetProtection algorithmName="SHA-512" hashValue="3LDTBZtBGuNZQ7lpnFhdPHnuNQPY8EvWvqJD9IXuqzVGLnadt5FK0e5R7gaFjMqYIwS8taOnGJPE7U3/DuNX4g==" saltValue="SX4yRkhIFIWvuB33s0orLg==" spinCount="100000" sheet="1" scenarios="1" formatCells="0" sort="0" autoFilter="0" pivotTables="0"/>
  <sortState xmlns:xlrd2="http://schemas.microsoft.com/office/spreadsheetml/2017/richdata2" ref="C2:J12">
    <sortCondition ref="C1"/>
  </sortState>
  <phoneticPr fontId="53" type="noConversion"/>
  <hyperlinks>
    <hyperlink ref="A2" location="'Table of Contents'!A1" display="Back to Table of Contents" xr:uid="{00000000-0004-0000-8400-000000000000}"/>
  </hyperlink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4048-6BF3-44ED-9E41-4FD5B36EC137}">
  <sheetPr>
    <tabColor theme="7" tint="-0.249977111117893"/>
  </sheetPr>
  <dimension ref="B4:I32"/>
  <sheetViews>
    <sheetView topLeftCell="C1" workbookViewId="0">
      <selection activeCell="C20" sqref="C20"/>
    </sheetView>
  </sheetViews>
  <sheetFormatPr defaultRowHeight="14.5" x14ac:dyDescent="0.35"/>
  <cols>
    <col min="2" max="3" width="12.54296875" bestFit="1" customWidth="1"/>
    <col min="4" max="4" width="26.54296875" bestFit="1" customWidth="1"/>
    <col min="5" max="7" width="8.1796875" bestFit="1" customWidth="1"/>
    <col min="8" max="8" width="26.54296875" bestFit="1" customWidth="1"/>
    <col min="9" max="9" width="17.453125" bestFit="1" customWidth="1"/>
  </cols>
  <sheetData>
    <row r="4" spans="2:9" x14ac:dyDescent="0.35">
      <c r="B4" s="387" t="s">
        <v>350</v>
      </c>
      <c r="C4" t="s">
        <v>1018</v>
      </c>
      <c r="D4" t="s">
        <v>1019</v>
      </c>
      <c r="E4" t="s">
        <v>1020</v>
      </c>
      <c r="F4" t="s">
        <v>1021</v>
      </c>
      <c r="G4" t="s">
        <v>1022</v>
      </c>
      <c r="H4" t="s">
        <v>1023</v>
      </c>
      <c r="I4" t="s">
        <v>1024</v>
      </c>
    </row>
    <row r="5" spans="2:9" x14ac:dyDescent="0.35">
      <c r="B5" s="388" t="s">
        <v>365</v>
      </c>
      <c r="C5">
        <v>17849</v>
      </c>
      <c r="D5">
        <v>15907</v>
      </c>
      <c r="E5">
        <v>12769</v>
      </c>
      <c r="F5">
        <v>10233</v>
      </c>
      <c r="G5">
        <v>8711</v>
      </c>
      <c r="I5">
        <v>65469</v>
      </c>
    </row>
    <row r="6" spans="2:9" x14ac:dyDescent="0.35">
      <c r="B6" s="388" t="s">
        <v>366</v>
      </c>
      <c r="C6">
        <v>18934</v>
      </c>
      <c r="D6">
        <v>17394</v>
      </c>
      <c r="E6">
        <v>14102</v>
      </c>
      <c r="F6">
        <v>11770</v>
      </c>
      <c r="G6">
        <v>9285</v>
      </c>
      <c r="I6">
        <v>71485</v>
      </c>
    </row>
    <row r="7" spans="2:9" x14ac:dyDescent="0.35">
      <c r="B7" s="388" t="s">
        <v>341</v>
      </c>
      <c r="C7">
        <v>17677</v>
      </c>
      <c r="D7">
        <v>16791</v>
      </c>
      <c r="E7">
        <v>14119</v>
      </c>
      <c r="F7">
        <v>12424</v>
      </c>
      <c r="G7">
        <v>9629</v>
      </c>
      <c r="I7">
        <v>70640</v>
      </c>
    </row>
    <row r="8" spans="2:9" x14ac:dyDescent="0.35">
      <c r="B8" s="388" t="s">
        <v>342</v>
      </c>
      <c r="C8">
        <v>18491</v>
      </c>
      <c r="D8">
        <v>16335</v>
      </c>
      <c r="E8">
        <v>13734</v>
      </c>
      <c r="F8">
        <v>11938</v>
      </c>
      <c r="G8">
        <v>9223</v>
      </c>
      <c r="I8">
        <v>69721</v>
      </c>
    </row>
    <row r="9" spans="2:9" x14ac:dyDescent="0.35">
      <c r="B9" s="388" t="s">
        <v>214</v>
      </c>
      <c r="C9">
        <v>19469</v>
      </c>
      <c r="D9">
        <v>16459</v>
      </c>
      <c r="E9">
        <v>13400</v>
      </c>
      <c r="F9">
        <v>10896</v>
      </c>
      <c r="G9">
        <v>8859</v>
      </c>
      <c r="I9">
        <v>69083</v>
      </c>
    </row>
    <row r="10" spans="2:9" x14ac:dyDescent="0.35">
      <c r="B10" s="388" t="s">
        <v>313</v>
      </c>
      <c r="C10">
        <v>19651</v>
      </c>
      <c r="D10">
        <v>16030</v>
      </c>
      <c r="E10">
        <v>13327</v>
      </c>
      <c r="F10">
        <v>11303</v>
      </c>
      <c r="G10">
        <v>8721</v>
      </c>
      <c r="I10">
        <v>69032</v>
      </c>
    </row>
    <row r="11" spans="2:9" x14ac:dyDescent="0.35">
      <c r="B11" s="388" t="s">
        <v>319</v>
      </c>
      <c r="C11">
        <v>5590</v>
      </c>
      <c r="D11">
        <v>4810</v>
      </c>
      <c r="E11">
        <v>3757</v>
      </c>
      <c r="F11">
        <v>3261</v>
      </c>
      <c r="G11">
        <v>2543</v>
      </c>
      <c r="I11">
        <v>19961</v>
      </c>
    </row>
    <row r="12" spans="2:9" x14ac:dyDescent="0.35">
      <c r="B12" s="388" t="s">
        <v>321</v>
      </c>
      <c r="C12">
        <v>10754</v>
      </c>
      <c r="D12">
        <v>10456</v>
      </c>
      <c r="E12">
        <v>8762</v>
      </c>
      <c r="F12">
        <v>7730</v>
      </c>
      <c r="G12">
        <v>6358</v>
      </c>
      <c r="I12">
        <v>44060</v>
      </c>
    </row>
    <row r="13" spans="2:9" x14ac:dyDescent="0.35">
      <c r="B13" s="388" t="s">
        <v>326</v>
      </c>
      <c r="C13">
        <v>10425</v>
      </c>
      <c r="D13">
        <v>9677</v>
      </c>
      <c r="E13">
        <v>7384</v>
      </c>
      <c r="F13">
        <v>6176</v>
      </c>
      <c r="G13">
        <v>4767</v>
      </c>
      <c r="I13">
        <v>38429</v>
      </c>
    </row>
    <row r="14" spans="2:9" x14ac:dyDescent="0.35">
      <c r="B14" s="388" t="s">
        <v>327</v>
      </c>
      <c r="C14">
        <v>9744</v>
      </c>
      <c r="D14">
        <v>9303</v>
      </c>
      <c r="E14">
        <v>6946</v>
      </c>
      <c r="F14">
        <v>5766</v>
      </c>
      <c r="G14">
        <v>4572</v>
      </c>
      <c r="I14">
        <v>36331</v>
      </c>
    </row>
    <row r="15" spans="2:9" x14ac:dyDescent="0.35">
      <c r="B15" s="388" t="s">
        <v>466</v>
      </c>
      <c r="C15">
        <v>9497</v>
      </c>
      <c r="D15">
        <v>8242</v>
      </c>
      <c r="E15">
        <v>5881</v>
      </c>
      <c r="F15">
        <v>4988</v>
      </c>
      <c r="G15">
        <v>4172</v>
      </c>
      <c r="I15">
        <v>32780</v>
      </c>
    </row>
    <row r="16" spans="2:9" x14ac:dyDescent="0.35">
      <c r="B16" s="388" t="s">
        <v>357</v>
      </c>
      <c r="C16">
        <v>158081</v>
      </c>
      <c r="D16">
        <v>141404</v>
      </c>
      <c r="E16">
        <v>114181</v>
      </c>
      <c r="F16">
        <v>96485</v>
      </c>
      <c r="G16">
        <v>76840</v>
      </c>
      <c r="I16">
        <v>586991</v>
      </c>
    </row>
    <row r="20" spans="3:9" x14ac:dyDescent="0.35">
      <c r="C20" s="387" t="s">
        <v>350</v>
      </c>
      <c r="D20" t="s">
        <v>1018</v>
      </c>
      <c r="E20" t="s">
        <v>1019</v>
      </c>
      <c r="F20" t="s">
        <v>1020</v>
      </c>
      <c r="G20" t="s">
        <v>1021</v>
      </c>
      <c r="H20" t="s">
        <v>1022</v>
      </c>
      <c r="I20" t="s">
        <v>1024</v>
      </c>
    </row>
    <row r="21" spans="3:9" x14ac:dyDescent="0.35">
      <c r="C21" s="388" t="s">
        <v>365</v>
      </c>
      <c r="D21">
        <v>3.4</v>
      </c>
      <c r="E21">
        <v>3.2</v>
      </c>
      <c r="F21">
        <v>2.6</v>
      </c>
      <c r="G21">
        <v>2.2000000000000002</v>
      </c>
      <c r="H21">
        <v>1.9</v>
      </c>
      <c r="I21">
        <v>2.7</v>
      </c>
    </row>
    <row r="22" spans="3:9" x14ac:dyDescent="0.35">
      <c r="C22" s="388" t="s">
        <v>366</v>
      </c>
      <c r="D22">
        <v>3.6</v>
      </c>
      <c r="E22">
        <v>3.4</v>
      </c>
      <c r="F22">
        <v>2.9</v>
      </c>
      <c r="G22">
        <v>2.5</v>
      </c>
      <c r="H22">
        <v>2</v>
      </c>
      <c r="I22">
        <v>2.9</v>
      </c>
    </row>
    <row r="23" spans="3:9" x14ac:dyDescent="0.35">
      <c r="C23" s="388" t="s">
        <v>341</v>
      </c>
      <c r="D23">
        <v>3.3</v>
      </c>
      <c r="E23">
        <v>3.3</v>
      </c>
      <c r="F23">
        <v>2.9</v>
      </c>
      <c r="G23">
        <v>2.6</v>
      </c>
      <c r="H23">
        <v>2.1</v>
      </c>
      <c r="I23">
        <v>2.9</v>
      </c>
    </row>
    <row r="24" spans="3:9" x14ac:dyDescent="0.35">
      <c r="C24" s="388" t="s">
        <v>342</v>
      </c>
      <c r="D24">
        <v>3.5</v>
      </c>
      <c r="E24">
        <v>3.2</v>
      </c>
      <c r="F24">
        <v>2.8</v>
      </c>
      <c r="G24">
        <v>2.4</v>
      </c>
      <c r="H24">
        <v>2</v>
      </c>
      <c r="I24">
        <v>2.8</v>
      </c>
    </row>
    <row r="25" spans="3:9" x14ac:dyDescent="0.35">
      <c r="C25" s="388" t="s">
        <v>214</v>
      </c>
      <c r="D25">
        <v>3.6</v>
      </c>
      <c r="E25">
        <v>3.2</v>
      </c>
      <c r="F25">
        <v>2.7</v>
      </c>
      <c r="G25">
        <v>2.2000000000000002</v>
      </c>
      <c r="H25">
        <v>1.9</v>
      </c>
      <c r="I25">
        <v>2.8</v>
      </c>
    </row>
    <row r="26" spans="3:9" x14ac:dyDescent="0.35">
      <c r="C26" s="388" t="s">
        <v>313</v>
      </c>
      <c r="D26">
        <v>3.7</v>
      </c>
      <c r="E26">
        <v>3.1</v>
      </c>
      <c r="F26">
        <v>2.6</v>
      </c>
      <c r="G26">
        <v>2.2999999999999998</v>
      </c>
      <c r="H26">
        <v>1.9</v>
      </c>
      <c r="I26">
        <v>2.7</v>
      </c>
    </row>
    <row r="27" spans="3:9" x14ac:dyDescent="0.35">
      <c r="C27" s="388" t="s">
        <v>319</v>
      </c>
      <c r="D27">
        <v>1</v>
      </c>
      <c r="E27">
        <v>0.9</v>
      </c>
      <c r="F27">
        <v>0.7</v>
      </c>
      <c r="G27">
        <v>0.6</v>
      </c>
      <c r="H27">
        <v>0.5</v>
      </c>
      <c r="I27">
        <v>0.8</v>
      </c>
    </row>
    <row r="28" spans="3:9" x14ac:dyDescent="0.35">
      <c r="C28" s="388" t="s">
        <v>321</v>
      </c>
      <c r="D28">
        <v>2</v>
      </c>
      <c r="E28">
        <v>2</v>
      </c>
      <c r="F28">
        <v>1.7</v>
      </c>
      <c r="G28">
        <v>1.5</v>
      </c>
      <c r="H28">
        <v>1.3</v>
      </c>
      <c r="I28">
        <v>1.7</v>
      </c>
    </row>
    <row r="29" spans="3:9" x14ac:dyDescent="0.35">
      <c r="C29" s="388" t="s">
        <v>326</v>
      </c>
      <c r="D29">
        <v>1.9</v>
      </c>
      <c r="E29">
        <v>1.8</v>
      </c>
      <c r="F29">
        <v>1.4</v>
      </c>
      <c r="G29">
        <v>1.2</v>
      </c>
      <c r="H29">
        <v>1</v>
      </c>
      <c r="I29">
        <v>1.5</v>
      </c>
    </row>
    <row r="30" spans="3:9" x14ac:dyDescent="0.35">
      <c r="C30" s="388" t="s">
        <v>327</v>
      </c>
      <c r="D30">
        <v>1.8</v>
      </c>
      <c r="E30">
        <v>1.8</v>
      </c>
      <c r="F30">
        <v>1.3</v>
      </c>
      <c r="G30">
        <v>1.1000000000000001</v>
      </c>
      <c r="H30">
        <v>1</v>
      </c>
      <c r="I30">
        <v>1.4</v>
      </c>
    </row>
    <row r="31" spans="3:9" x14ac:dyDescent="0.35">
      <c r="C31" s="388" t="s">
        <v>466</v>
      </c>
      <c r="D31">
        <v>1.7</v>
      </c>
      <c r="E31">
        <v>1.6</v>
      </c>
      <c r="F31">
        <v>1.1000000000000001</v>
      </c>
      <c r="G31">
        <v>0.9</v>
      </c>
      <c r="H31">
        <v>0.9</v>
      </c>
      <c r="I31">
        <v>1.2</v>
      </c>
    </row>
    <row r="32" spans="3:9" x14ac:dyDescent="0.35">
      <c r="C32" s="388" t="s">
        <v>357</v>
      </c>
      <c r="D32">
        <v>29.5</v>
      </c>
      <c r="E32">
        <v>27.5</v>
      </c>
      <c r="F32">
        <v>22.7</v>
      </c>
      <c r="G32">
        <v>19.500000000000004</v>
      </c>
      <c r="H32">
        <v>16.5</v>
      </c>
      <c r="I32">
        <v>23.4</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3F5A-0CE4-431D-B8AE-96C612C28A3E}">
  <sheetPr>
    <tabColor theme="7" tint="-0.249977111117893"/>
  </sheetPr>
  <dimension ref="A1:H31"/>
  <sheetViews>
    <sheetView workbookViewId="0">
      <selection activeCell="A20" sqref="A20:G31"/>
    </sheetView>
  </sheetViews>
  <sheetFormatPr defaultRowHeight="14.5" x14ac:dyDescent="0.35"/>
  <cols>
    <col min="1" max="1" width="7.453125" bestFit="1" customWidth="1"/>
    <col min="2" max="2" width="22.453125" bestFit="1" customWidth="1"/>
    <col min="3" max="5" width="4.1796875" bestFit="1" customWidth="1"/>
    <col min="6" max="6" width="22.453125" bestFit="1" customWidth="1"/>
    <col min="7" max="7" width="13.1796875" bestFit="1" customWidth="1"/>
    <col min="8" max="8" width="12.81640625" bestFit="1" customWidth="1"/>
  </cols>
  <sheetData>
    <row r="1" spans="1:8" x14ac:dyDescent="0.35">
      <c r="A1" t="s">
        <v>207</v>
      </c>
      <c r="B1" t="s">
        <v>1025</v>
      </c>
      <c r="C1" t="s">
        <v>1026</v>
      </c>
      <c r="D1" t="s">
        <v>1027</v>
      </c>
      <c r="E1" t="s">
        <v>1028</v>
      </c>
      <c r="F1" t="s">
        <v>1029</v>
      </c>
      <c r="G1" t="s">
        <v>1030</v>
      </c>
      <c r="H1" t="s">
        <v>1031</v>
      </c>
    </row>
    <row r="2" spans="1:8" x14ac:dyDescent="0.35">
      <c r="A2" t="s">
        <v>365</v>
      </c>
      <c r="B2">
        <v>17849</v>
      </c>
      <c r="C2">
        <v>15907</v>
      </c>
      <c r="D2">
        <v>12769</v>
      </c>
      <c r="E2">
        <v>10233</v>
      </c>
      <c r="F2">
        <v>8711</v>
      </c>
      <c r="H2">
        <v>65469</v>
      </c>
    </row>
    <row r="3" spans="1:8" x14ac:dyDescent="0.35">
      <c r="A3" t="s">
        <v>366</v>
      </c>
      <c r="B3">
        <v>18934</v>
      </c>
      <c r="C3">
        <v>17394</v>
      </c>
      <c r="D3">
        <v>14102</v>
      </c>
      <c r="E3">
        <v>11770</v>
      </c>
      <c r="F3">
        <v>9285</v>
      </c>
      <c r="H3">
        <v>71485</v>
      </c>
    </row>
    <row r="4" spans="1:8" x14ac:dyDescent="0.35">
      <c r="A4" t="s">
        <v>341</v>
      </c>
      <c r="B4">
        <v>17677</v>
      </c>
      <c r="C4">
        <v>16791</v>
      </c>
      <c r="D4">
        <v>14119</v>
      </c>
      <c r="E4">
        <v>12424</v>
      </c>
      <c r="F4">
        <v>9629</v>
      </c>
      <c r="H4">
        <v>70640</v>
      </c>
    </row>
    <row r="5" spans="1:8" x14ac:dyDescent="0.35">
      <c r="A5" t="s">
        <v>342</v>
      </c>
      <c r="B5">
        <v>18491</v>
      </c>
      <c r="C5">
        <v>16335</v>
      </c>
      <c r="D5">
        <v>13734</v>
      </c>
      <c r="E5">
        <v>11938</v>
      </c>
      <c r="F5">
        <v>9223</v>
      </c>
      <c r="H5">
        <v>69721</v>
      </c>
    </row>
    <row r="6" spans="1:8" x14ac:dyDescent="0.35">
      <c r="A6" t="s">
        <v>214</v>
      </c>
      <c r="B6">
        <v>19469</v>
      </c>
      <c r="C6">
        <v>16459</v>
      </c>
      <c r="D6">
        <v>13400</v>
      </c>
      <c r="E6">
        <v>10896</v>
      </c>
      <c r="F6">
        <v>8859</v>
      </c>
      <c r="H6">
        <v>69083</v>
      </c>
    </row>
    <row r="7" spans="1:8" x14ac:dyDescent="0.35">
      <c r="A7" t="s">
        <v>313</v>
      </c>
      <c r="B7">
        <v>19651</v>
      </c>
      <c r="C7">
        <v>16030</v>
      </c>
      <c r="D7">
        <v>13327</v>
      </c>
      <c r="E7">
        <v>11303</v>
      </c>
      <c r="F7">
        <v>8721</v>
      </c>
      <c r="H7">
        <v>69032</v>
      </c>
    </row>
    <row r="8" spans="1:8" x14ac:dyDescent="0.35">
      <c r="A8" t="s">
        <v>319</v>
      </c>
      <c r="B8">
        <v>5590</v>
      </c>
      <c r="C8">
        <v>4810</v>
      </c>
      <c r="D8">
        <v>3757</v>
      </c>
      <c r="E8">
        <v>3261</v>
      </c>
      <c r="F8">
        <v>2543</v>
      </c>
      <c r="H8">
        <v>19961</v>
      </c>
    </row>
    <row r="9" spans="1:8" x14ac:dyDescent="0.35">
      <c r="A9" t="s">
        <v>321</v>
      </c>
      <c r="B9">
        <v>10754</v>
      </c>
      <c r="C9">
        <v>10456</v>
      </c>
      <c r="D9">
        <v>8762</v>
      </c>
      <c r="E9">
        <v>7730</v>
      </c>
      <c r="F9">
        <v>6358</v>
      </c>
      <c r="H9">
        <v>44060</v>
      </c>
    </row>
    <row r="10" spans="1:8" x14ac:dyDescent="0.35">
      <c r="A10" t="s">
        <v>326</v>
      </c>
      <c r="B10">
        <v>10425</v>
      </c>
      <c r="C10">
        <v>9677</v>
      </c>
      <c r="D10">
        <v>7384</v>
      </c>
      <c r="E10">
        <v>6176</v>
      </c>
      <c r="F10">
        <v>4767</v>
      </c>
      <c r="H10">
        <v>38429</v>
      </c>
    </row>
    <row r="11" spans="1:8" x14ac:dyDescent="0.35">
      <c r="A11" t="s">
        <v>327</v>
      </c>
      <c r="B11">
        <v>9744</v>
      </c>
      <c r="C11">
        <v>9303</v>
      </c>
      <c r="D11">
        <v>6946</v>
      </c>
      <c r="E11">
        <v>5766</v>
      </c>
      <c r="F11">
        <v>4572</v>
      </c>
      <c r="H11">
        <v>36331</v>
      </c>
    </row>
    <row r="12" spans="1:8" x14ac:dyDescent="0.35">
      <c r="A12" t="s">
        <v>466</v>
      </c>
      <c r="B12">
        <v>9497</v>
      </c>
      <c r="C12">
        <v>8242</v>
      </c>
      <c r="D12">
        <v>5881</v>
      </c>
      <c r="E12">
        <v>4988</v>
      </c>
      <c r="F12">
        <v>4172</v>
      </c>
      <c r="H12">
        <v>32780</v>
      </c>
    </row>
    <row r="20" spans="1:7" x14ac:dyDescent="0.35">
      <c r="A20" t="s">
        <v>207</v>
      </c>
      <c r="B20" t="s">
        <v>1025</v>
      </c>
      <c r="C20" t="s">
        <v>1026</v>
      </c>
      <c r="D20" t="s">
        <v>1027</v>
      </c>
      <c r="E20" t="s">
        <v>1028</v>
      </c>
      <c r="F20" t="s">
        <v>1029</v>
      </c>
      <c r="G20" t="s">
        <v>1031</v>
      </c>
    </row>
    <row r="21" spans="1:7" x14ac:dyDescent="0.35">
      <c r="A21" t="s">
        <v>326</v>
      </c>
      <c r="B21">
        <v>1.9</v>
      </c>
      <c r="C21">
        <v>1.8</v>
      </c>
      <c r="D21">
        <v>1.4</v>
      </c>
      <c r="E21">
        <v>1.2</v>
      </c>
      <c r="F21">
        <v>1</v>
      </c>
      <c r="G21">
        <v>1.5</v>
      </c>
    </row>
    <row r="22" spans="1:7" x14ac:dyDescent="0.35">
      <c r="A22" t="s">
        <v>365</v>
      </c>
      <c r="B22">
        <v>3.4</v>
      </c>
      <c r="C22">
        <v>3.2</v>
      </c>
      <c r="D22">
        <v>2.6</v>
      </c>
      <c r="E22">
        <v>2.2000000000000002</v>
      </c>
      <c r="F22">
        <v>1.9</v>
      </c>
      <c r="G22">
        <v>2.7</v>
      </c>
    </row>
    <row r="23" spans="1:7" x14ac:dyDescent="0.35">
      <c r="A23" t="s">
        <v>342</v>
      </c>
      <c r="B23">
        <v>3.5</v>
      </c>
      <c r="C23">
        <v>3.2</v>
      </c>
      <c r="D23">
        <v>2.8</v>
      </c>
      <c r="E23">
        <v>2.4</v>
      </c>
      <c r="F23">
        <v>2</v>
      </c>
      <c r="G23">
        <v>2.8</v>
      </c>
    </row>
    <row r="24" spans="1:7" x14ac:dyDescent="0.35">
      <c r="A24" t="s">
        <v>313</v>
      </c>
      <c r="B24">
        <v>3.7</v>
      </c>
      <c r="C24">
        <v>3.1</v>
      </c>
      <c r="D24">
        <v>2.6</v>
      </c>
      <c r="E24">
        <v>2.2999999999999998</v>
      </c>
      <c r="F24">
        <v>1.9</v>
      </c>
      <c r="G24">
        <v>2.7</v>
      </c>
    </row>
    <row r="25" spans="1:7" x14ac:dyDescent="0.35">
      <c r="A25" t="s">
        <v>366</v>
      </c>
      <c r="B25">
        <v>3.6</v>
      </c>
      <c r="C25">
        <v>3.4</v>
      </c>
      <c r="D25">
        <v>2.9</v>
      </c>
      <c r="E25">
        <v>2.5</v>
      </c>
      <c r="F25">
        <v>2</v>
      </c>
      <c r="G25">
        <v>2.9</v>
      </c>
    </row>
    <row r="26" spans="1:7" x14ac:dyDescent="0.35">
      <c r="A26" t="s">
        <v>321</v>
      </c>
      <c r="B26">
        <v>2</v>
      </c>
      <c r="C26">
        <v>2</v>
      </c>
      <c r="D26">
        <v>1.7</v>
      </c>
      <c r="E26">
        <v>1.5</v>
      </c>
      <c r="F26">
        <v>1.3</v>
      </c>
      <c r="G26">
        <v>1.7</v>
      </c>
    </row>
    <row r="27" spans="1:7" x14ac:dyDescent="0.35">
      <c r="A27" t="s">
        <v>341</v>
      </c>
      <c r="B27">
        <v>3.3</v>
      </c>
      <c r="C27">
        <v>3.3</v>
      </c>
      <c r="D27">
        <v>2.9</v>
      </c>
      <c r="E27">
        <v>2.6</v>
      </c>
      <c r="F27">
        <v>2.1</v>
      </c>
      <c r="G27">
        <v>2.9</v>
      </c>
    </row>
    <row r="28" spans="1:7" x14ac:dyDescent="0.35">
      <c r="A28" t="s">
        <v>214</v>
      </c>
      <c r="B28">
        <v>3.6</v>
      </c>
      <c r="C28">
        <v>3.2</v>
      </c>
      <c r="D28">
        <v>2.7</v>
      </c>
      <c r="E28">
        <v>2.2000000000000002</v>
      </c>
      <c r="F28">
        <v>1.9</v>
      </c>
      <c r="G28">
        <v>2.8</v>
      </c>
    </row>
    <row r="29" spans="1:7" x14ac:dyDescent="0.35">
      <c r="A29" t="s">
        <v>319</v>
      </c>
      <c r="B29">
        <v>1</v>
      </c>
      <c r="C29">
        <v>0.9</v>
      </c>
      <c r="D29">
        <v>0.7</v>
      </c>
      <c r="E29">
        <v>0.6</v>
      </c>
      <c r="F29">
        <v>0.5</v>
      </c>
      <c r="G29">
        <v>0.8</v>
      </c>
    </row>
    <row r="30" spans="1:7" x14ac:dyDescent="0.35">
      <c r="A30" t="s">
        <v>327</v>
      </c>
      <c r="B30">
        <v>1.8</v>
      </c>
      <c r="C30">
        <v>1.8</v>
      </c>
      <c r="D30">
        <v>1.3</v>
      </c>
      <c r="E30">
        <v>1.1000000000000001</v>
      </c>
      <c r="F30">
        <v>1</v>
      </c>
      <c r="G30">
        <v>1.4</v>
      </c>
    </row>
    <row r="31" spans="1:7" x14ac:dyDescent="0.35">
      <c r="A31" t="s">
        <v>466</v>
      </c>
      <c r="B31">
        <v>1.7</v>
      </c>
      <c r="C31">
        <v>1.6</v>
      </c>
      <c r="D31">
        <v>1.1000000000000001</v>
      </c>
      <c r="E31">
        <v>0.9</v>
      </c>
      <c r="F31">
        <v>0.9</v>
      </c>
      <c r="G31">
        <v>1.2</v>
      </c>
    </row>
  </sheetData>
  <pageMargins left="0.7" right="0.7" top="0.75" bottom="0.75" header="0.3" footer="0.3"/>
  <tableParts count="2">
    <tablePart r:id="rId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7" tint="-0.249977111117893"/>
  </sheetPr>
  <dimension ref="A1:L51"/>
  <sheetViews>
    <sheetView showGridLines="0" zoomScaleNormal="100" workbookViewId="0">
      <pane ySplit="2" topLeftCell="A3" activePane="bottomLeft" state="frozen"/>
      <selection pane="bottomLeft"/>
    </sheetView>
  </sheetViews>
  <sheetFormatPr defaultColWidth="9.26953125" defaultRowHeight="14.5" x14ac:dyDescent="0.35"/>
  <cols>
    <col min="1" max="1" width="24.453125" customWidth="1"/>
    <col min="2" max="2" width="20" bestFit="1" customWidth="1"/>
    <col min="3" max="3" width="13.81640625" customWidth="1"/>
    <col min="4" max="4" width="14.81640625" customWidth="1"/>
    <col min="5" max="5" width="16.81640625" customWidth="1"/>
    <col min="6" max="6" width="21.26953125" customWidth="1"/>
    <col min="7" max="7" width="12.81640625" customWidth="1"/>
    <col min="8" max="8" width="9.81640625" bestFit="1" customWidth="1"/>
    <col min="9" max="9" width="23.81640625" customWidth="1"/>
  </cols>
  <sheetData>
    <row r="1" spans="1:12" ht="15.5" x14ac:dyDescent="0.35">
      <c r="A1" s="514" t="s">
        <v>928</v>
      </c>
      <c r="B1" s="514"/>
      <c r="C1" s="514"/>
    </row>
    <row r="2" spans="1:12" ht="15.5" x14ac:dyDescent="0.35">
      <c r="A2" s="499" t="s">
        <v>201</v>
      </c>
      <c r="B2" s="441"/>
      <c r="C2" s="441"/>
    </row>
    <row r="3" spans="1:12" x14ac:dyDescent="0.35">
      <c r="A3" s="25"/>
      <c r="B3" s="25"/>
      <c r="C3" s="25"/>
      <c r="D3" s="25"/>
      <c r="E3" s="25"/>
      <c r="F3" s="25"/>
      <c r="G3" s="25"/>
      <c r="H3" s="25"/>
      <c r="I3" s="25"/>
      <c r="J3" s="25"/>
      <c r="K3" s="25"/>
      <c r="L3" s="25"/>
    </row>
    <row r="4" spans="1:12" ht="15.5" x14ac:dyDescent="0.35">
      <c r="A4" s="523" t="s">
        <v>1032</v>
      </c>
      <c r="B4" s="523"/>
      <c r="C4" s="523"/>
      <c r="D4" s="523"/>
      <c r="E4" s="523"/>
      <c r="F4" s="523"/>
      <c r="G4" s="523"/>
      <c r="H4" s="523"/>
      <c r="I4" s="523"/>
      <c r="J4" s="523"/>
      <c r="K4" s="523"/>
      <c r="L4" s="523"/>
    </row>
    <row r="5" spans="1:12" ht="15.5" x14ac:dyDescent="0.35">
      <c r="A5" t="s">
        <v>202</v>
      </c>
      <c r="B5" t="s">
        <v>150</v>
      </c>
      <c r="C5" s="500"/>
      <c r="D5" s="500"/>
      <c r="E5" s="500"/>
      <c r="F5" s="500"/>
      <c r="G5" s="500"/>
      <c r="H5" s="500"/>
      <c r="I5" s="500"/>
      <c r="J5" s="500"/>
      <c r="K5" s="500"/>
      <c r="L5" s="500"/>
    </row>
    <row r="6" spans="1:12" ht="15.5" x14ac:dyDescent="0.35">
      <c r="A6" t="s">
        <v>203</v>
      </c>
      <c r="B6" t="s">
        <v>204</v>
      </c>
      <c r="C6" s="500"/>
      <c r="D6" s="500"/>
      <c r="E6" s="500"/>
      <c r="F6" s="500"/>
      <c r="G6" s="500"/>
      <c r="H6" s="500"/>
      <c r="I6" s="500"/>
      <c r="J6" s="500"/>
      <c r="K6" s="500"/>
      <c r="L6" s="500"/>
    </row>
    <row r="7" spans="1:12" ht="15.5" x14ac:dyDescent="0.35">
      <c r="A7" t="s">
        <v>205</v>
      </c>
      <c r="B7" t="s">
        <v>1033</v>
      </c>
      <c r="C7" s="500"/>
      <c r="D7" s="500"/>
      <c r="E7" s="500"/>
      <c r="F7" s="500"/>
      <c r="G7" s="500"/>
      <c r="H7" s="500"/>
      <c r="I7" s="500"/>
      <c r="J7" s="500"/>
      <c r="K7" s="500"/>
      <c r="L7" s="500"/>
    </row>
    <row r="9" spans="1:12" x14ac:dyDescent="0.35">
      <c r="D9" s="524" t="s">
        <v>1034</v>
      </c>
    </row>
    <row r="10" spans="1:12" x14ac:dyDescent="0.35">
      <c r="A10" s="526" t="s">
        <v>207</v>
      </c>
      <c r="B10" s="648" t="s">
        <v>1025</v>
      </c>
      <c r="C10" s="648" t="s">
        <v>1026</v>
      </c>
      <c r="D10" s="648" t="s">
        <v>1027</v>
      </c>
      <c r="E10" s="648" t="s">
        <v>1028</v>
      </c>
      <c r="F10" s="648" t="s">
        <v>1029</v>
      </c>
      <c r="G10" s="648" t="s">
        <v>1031</v>
      </c>
    </row>
    <row r="11" spans="1:12" x14ac:dyDescent="0.35">
      <c r="A11" s="312" t="s">
        <v>365</v>
      </c>
      <c r="B11" s="369">
        <f>GETPIVOTDATA("Sum of 1 - Most Deprived 20%",SIMDVisitsPivot!$B$4,"Year",A11)</f>
        <v>17849</v>
      </c>
      <c r="C11" s="369">
        <f>GETPIVOTDATA("Sum of 2",SIMDVisitsPivot!$B$4,"Year",A11)</f>
        <v>15907</v>
      </c>
      <c r="D11" s="369">
        <f>GETPIVOTDATA("Sum of 3",SIMDVisitsPivot!$B$4,"Year",A11)</f>
        <v>12769</v>
      </c>
      <c r="E11" s="369">
        <f>GETPIVOTDATA("Sum of 4",SIMDVisitsPivot!$B$4,"Year",A11)</f>
        <v>10233</v>
      </c>
      <c r="F11" s="369">
        <f>GETPIVOTDATA("Sum of 5 - Least Deprived 20%",SIMDVisitsPivot!$B$4,"Year",A11)</f>
        <v>8711</v>
      </c>
      <c r="G11" s="752">
        <f>GETPIVOTDATA("Sum of All Scotland",SIMDVisitsPivot!$B$4,"Year",A11)</f>
        <v>65469</v>
      </c>
    </row>
    <row r="12" spans="1:12" x14ac:dyDescent="0.35">
      <c r="A12" s="312" t="s">
        <v>366</v>
      </c>
      <c r="B12" s="369">
        <f>GETPIVOTDATA("Sum of 1 - Most Deprived 20%",SIMDVisitsPivot!$B$4,"Year",A12)</f>
        <v>18934</v>
      </c>
      <c r="C12" s="369">
        <f>GETPIVOTDATA("Sum of 2",SIMDVisitsPivot!$B$4,"Year",A12)</f>
        <v>17394</v>
      </c>
      <c r="D12" s="369">
        <f>GETPIVOTDATA("Sum of 3",SIMDVisitsPivot!$B$4,"Year",A12)</f>
        <v>14102</v>
      </c>
      <c r="E12" s="369">
        <f>GETPIVOTDATA("Sum of 4",SIMDVisitsPivot!$B$4,"Year",A12)</f>
        <v>11770</v>
      </c>
      <c r="F12" s="369">
        <f>GETPIVOTDATA("Sum of 5 - Least Deprived 20%",SIMDVisitsPivot!$B$4,"Year",A12)</f>
        <v>9285</v>
      </c>
      <c r="G12" s="752">
        <f>GETPIVOTDATA("Sum of All Scotland",SIMDVisitsPivot!$B$4,"Year",A12)</f>
        <v>71485</v>
      </c>
    </row>
    <row r="13" spans="1:12" x14ac:dyDescent="0.35">
      <c r="A13" s="312" t="s">
        <v>341</v>
      </c>
      <c r="B13" s="369">
        <f>GETPIVOTDATA("Sum of 1 - Most Deprived 20%",SIMDVisitsPivot!$B$4,"Year",A13)</f>
        <v>17677</v>
      </c>
      <c r="C13" s="369">
        <f>GETPIVOTDATA("Sum of 2",SIMDVisitsPivot!$B$4,"Year",A13)</f>
        <v>16791</v>
      </c>
      <c r="D13" s="369">
        <f>GETPIVOTDATA("Sum of 3",SIMDVisitsPivot!$B$4,"Year",A13)</f>
        <v>14119</v>
      </c>
      <c r="E13" s="369">
        <f>GETPIVOTDATA("Sum of 4",SIMDVisitsPivot!$B$4,"Year",A13)</f>
        <v>12424</v>
      </c>
      <c r="F13" s="369">
        <f>GETPIVOTDATA("Sum of 5 - Least Deprived 20%",SIMDVisitsPivot!$B$4,"Year",A13)</f>
        <v>9629</v>
      </c>
      <c r="G13" s="752">
        <f>GETPIVOTDATA("Sum of All Scotland",SIMDVisitsPivot!$B$4,"Year",A13)</f>
        <v>70640</v>
      </c>
    </row>
    <row r="14" spans="1:12" x14ac:dyDescent="0.35">
      <c r="A14" s="312" t="s">
        <v>342</v>
      </c>
      <c r="B14" s="369">
        <f>GETPIVOTDATA("Sum of 1 - Most Deprived 20%",SIMDVisitsPivot!$B$4,"Year",A14)</f>
        <v>18491</v>
      </c>
      <c r="C14" s="369">
        <f>GETPIVOTDATA("Sum of 2",SIMDVisitsPivot!$B$4,"Year",A14)</f>
        <v>16335</v>
      </c>
      <c r="D14" s="369">
        <f>GETPIVOTDATA("Sum of 3",SIMDVisitsPivot!$B$4,"Year",A14)</f>
        <v>13734</v>
      </c>
      <c r="E14" s="369">
        <f>GETPIVOTDATA("Sum of 4",SIMDVisitsPivot!$B$4,"Year",A14)</f>
        <v>11938</v>
      </c>
      <c r="F14" s="369">
        <f>GETPIVOTDATA("Sum of 5 - Least Deprived 20%",SIMDVisitsPivot!$B$4,"Year",A14)</f>
        <v>9223</v>
      </c>
      <c r="G14" s="752">
        <f>GETPIVOTDATA("Sum of All Scotland",SIMDVisitsPivot!$B$4,"Year",A14)</f>
        <v>69721</v>
      </c>
    </row>
    <row r="15" spans="1:12" x14ac:dyDescent="0.35">
      <c r="A15" s="312" t="s">
        <v>214</v>
      </c>
      <c r="B15" s="369">
        <f>GETPIVOTDATA("Sum of 1 - Most Deprived 20%",SIMDVisitsPivot!$B$4,"Year",A15)</f>
        <v>19469</v>
      </c>
      <c r="C15" s="369">
        <f>GETPIVOTDATA("Sum of 2",SIMDVisitsPivot!$B$4,"Year",A15)</f>
        <v>16459</v>
      </c>
      <c r="D15" s="369">
        <f>GETPIVOTDATA("Sum of 3",SIMDVisitsPivot!$B$4,"Year",A15)</f>
        <v>13400</v>
      </c>
      <c r="E15" s="369">
        <f>GETPIVOTDATA("Sum of 4",SIMDVisitsPivot!$B$4,"Year",A15)</f>
        <v>10896</v>
      </c>
      <c r="F15" s="369">
        <f>GETPIVOTDATA("Sum of 5 - Least Deprived 20%",SIMDVisitsPivot!$B$4,"Year",A15)</f>
        <v>8859</v>
      </c>
      <c r="G15" s="752">
        <f>GETPIVOTDATA("Sum of All Scotland",SIMDVisitsPivot!$B$4,"Year",A15)</f>
        <v>69083</v>
      </c>
    </row>
    <row r="16" spans="1:12" x14ac:dyDescent="0.35">
      <c r="A16" s="312" t="s">
        <v>313</v>
      </c>
      <c r="B16" s="369">
        <f>GETPIVOTDATA("Sum of 1 - Most Deprived 20%",SIMDVisitsPivot!$B$4,"Year",A16)</f>
        <v>19651</v>
      </c>
      <c r="C16" s="369">
        <f>GETPIVOTDATA("Sum of 2",SIMDVisitsPivot!$B$4,"Year",A16)</f>
        <v>16030</v>
      </c>
      <c r="D16" s="369">
        <f>GETPIVOTDATA("Sum of 3",SIMDVisitsPivot!$B$4,"Year",A16)</f>
        <v>13327</v>
      </c>
      <c r="E16" s="369">
        <f>GETPIVOTDATA("Sum of 4",SIMDVisitsPivot!$B$4,"Year",A16)</f>
        <v>11303</v>
      </c>
      <c r="F16" s="369">
        <f>GETPIVOTDATA("Sum of 5 - Least Deprived 20%",SIMDVisitsPivot!$B$4,"Year",A16)</f>
        <v>8721</v>
      </c>
      <c r="G16" s="752">
        <f>GETPIVOTDATA("Sum of All Scotland",SIMDVisitsPivot!$B$4,"Year",A16)</f>
        <v>69032</v>
      </c>
    </row>
    <row r="17" spans="1:12" x14ac:dyDescent="0.35">
      <c r="A17" s="312" t="s">
        <v>319</v>
      </c>
      <c r="B17" s="369">
        <f>GETPIVOTDATA("Sum of 1 - Most Deprived 20%",SIMDVisitsPivot!$B$4,"Year",A17)</f>
        <v>5590</v>
      </c>
      <c r="C17" s="369">
        <f>GETPIVOTDATA("Sum of 2",SIMDVisitsPivot!$B$4,"Year",A17)</f>
        <v>4810</v>
      </c>
      <c r="D17" s="369">
        <f>GETPIVOTDATA("Sum of 3",SIMDVisitsPivot!$B$4,"Year",A17)</f>
        <v>3757</v>
      </c>
      <c r="E17" s="369">
        <f>GETPIVOTDATA("Sum of 4",SIMDVisitsPivot!$B$4,"Year",A17)</f>
        <v>3261</v>
      </c>
      <c r="F17" s="369">
        <f>GETPIVOTDATA("Sum of 5 - Least Deprived 20%",SIMDVisitsPivot!$B$4,"Year",A17)</f>
        <v>2543</v>
      </c>
      <c r="G17" s="752">
        <f>GETPIVOTDATA("Sum of All Scotland",SIMDVisitsPivot!$B$4,"Year",A17)</f>
        <v>19961</v>
      </c>
    </row>
    <row r="18" spans="1:12" x14ac:dyDescent="0.35">
      <c r="A18" s="312" t="s">
        <v>321</v>
      </c>
      <c r="B18" s="369">
        <f>GETPIVOTDATA("Sum of 1 - Most Deprived 20%",SIMDVisitsPivot!$B$4,"Year",A18)</f>
        <v>10754</v>
      </c>
      <c r="C18" s="369">
        <f>GETPIVOTDATA("Sum of 2",SIMDVisitsPivot!$B$4,"Year",A18)</f>
        <v>10456</v>
      </c>
      <c r="D18" s="369">
        <f>GETPIVOTDATA("Sum of 3",SIMDVisitsPivot!$B$4,"Year",A18)</f>
        <v>8762</v>
      </c>
      <c r="E18" s="369">
        <f>GETPIVOTDATA("Sum of 4",SIMDVisitsPivot!$B$4,"Year",A18)</f>
        <v>7730</v>
      </c>
      <c r="F18" s="369">
        <f>GETPIVOTDATA("Sum of 5 - Least Deprived 20%",SIMDVisitsPivot!$B$4,"Year",A18)</f>
        <v>6358</v>
      </c>
      <c r="G18" s="752">
        <f>GETPIVOTDATA("Sum of All Scotland",SIMDVisitsPivot!$B$4,"Year",A18)</f>
        <v>44060</v>
      </c>
    </row>
    <row r="19" spans="1:12" x14ac:dyDescent="0.35">
      <c r="A19" s="312" t="s">
        <v>326</v>
      </c>
      <c r="B19" s="369">
        <f>GETPIVOTDATA("Sum of 1 - Most Deprived 20%",SIMDVisitsPivot!$B$4,"Year",A19)</f>
        <v>10425</v>
      </c>
      <c r="C19" s="369">
        <f>GETPIVOTDATA("Sum of 2",SIMDVisitsPivot!$B$4,"Year",A19)</f>
        <v>9677</v>
      </c>
      <c r="D19" s="369">
        <f>GETPIVOTDATA("Sum of 3",SIMDVisitsPivot!$B$4,"Year",A19)</f>
        <v>7384</v>
      </c>
      <c r="E19" s="369">
        <f>GETPIVOTDATA("Sum of 4",SIMDVisitsPivot!$B$4,"Year",A19)</f>
        <v>6176</v>
      </c>
      <c r="F19" s="369">
        <f>GETPIVOTDATA("Sum of 5 - Least Deprived 20%",SIMDVisitsPivot!$B$4,"Year",A19)</f>
        <v>4767</v>
      </c>
      <c r="G19" s="752">
        <f>GETPIVOTDATA("Sum of All Scotland",SIMDVisitsPivot!$B$4,"Year",A19)</f>
        <v>38429</v>
      </c>
    </row>
    <row r="20" spans="1:12" x14ac:dyDescent="0.35">
      <c r="A20" s="312" t="s">
        <v>327</v>
      </c>
      <c r="B20" s="369">
        <f>GETPIVOTDATA("Sum of 1 - Most Deprived 20%",SIMDVisitsPivot!$B$4,"Year",A20)</f>
        <v>9744</v>
      </c>
      <c r="C20" s="369">
        <f>GETPIVOTDATA("Sum of 2",SIMDVisitsPivot!$B$4,"Year",A20)</f>
        <v>9303</v>
      </c>
      <c r="D20" s="369">
        <f>GETPIVOTDATA("Sum of 3",SIMDVisitsPivot!$B$4,"Year",A20)</f>
        <v>6946</v>
      </c>
      <c r="E20" s="369">
        <f>GETPIVOTDATA("Sum of 4",SIMDVisitsPivot!$B$4,"Year",A20)</f>
        <v>5766</v>
      </c>
      <c r="F20" s="369">
        <f>GETPIVOTDATA("Sum of 5 - Least Deprived 20%",SIMDVisitsPivot!$B$4,"Year",A20)</f>
        <v>4572</v>
      </c>
      <c r="G20" s="752">
        <f>GETPIVOTDATA("Sum of All Scotland",SIMDVisitsPivot!$B$4,"Year",A20)</f>
        <v>36331</v>
      </c>
    </row>
    <row r="21" spans="1:12" ht="15" thickBot="1" x14ac:dyDescent="0.4">
      <c r="A21" s="525" t="s">
        <v>466</v>
      </c>
      <c r="B21" s="758">
        <f>GETPIVOTDATA("Sum of 1 - Most Deprived 20%",SIMDVisitsPivot!$B$4,"Year",A21)</f>
        <v>9497</v>
      </c>
      <c r="C21" s="758">
        <f>GETPIVOTDATA("Sum of 2",SIMDVisitsPivot!$B$4,"Year",A21)</f>
        <v>8242</v>
      </c>
      <c r="D21" s="758">
        <f>GETPIVOTDATA("Sum of 3",SIMDVisitsPivot!$B$4,"Year",A21)</f>
        <v>5881</v>
      </c>
      <c r="E21" s="758">
        <f>GETPIVOTDATA("Sum of 4",SIMDVisitsPivot!$B$4,"Year",A21)</f>
        <v>4988</v>
      </c>
      <c r="F21" s="758">
        <f>GETPIVOTDATA("Sum of 5 - Least Deprived 20%",SIMDVisitsPivot!$B$4,"Year",A21)</f>
        <v>4172</v>
      </c>
      <c r="G21" s="888">
        <f>GETPIVOTDATA("Sum of All Scotland",SIMDVisitsPivot!$B$4,"Year",A21)</f>
        <v>32780</v>
      </c>
    </row>
    <row r="23" spans="1:12" x14ac:dyDescent="0.35">
      <c r="A23" s="312" t="s">
        <v>329</v>
      </c>
    </row>
    <row r="24" spans="1:12" ht="15.75" customHeight="1" x14ac:dyDescent="0.35">
      <c r="A24" t="s">
        <v>1035</v>
      </c>
      <c r="I24" s="523"/>
      <c r="J24" s="523"/>
      <c r="K24" s="523"/>
      <c r="L24" s="523"/>
    </row>
    <row r="25" spans="1:12" ht="15.5" x14ac:dyDescent="0.35">
      <c r="A25" s="564" t="s">
        <v>1036</v>
      </c>
      <c r="I25" s="500"/>
      <c r="J25" s="500"/>
      <c r="K25" s="500"/>
      <c r="L25" s="500"/>
    </row>
    <row r="26" spans="1:12" ht="15.5" x14ac:dyDescent="0.35">
      <c r="A26" s="699" t="s">
        <v>1037</v>
      </c>
      <c r="I26" s="500"/>
      <c r="J26" s="500"/>
      <c r="K26" s="500"/>
      <c r="L26" s="500"/>
    </row>
    <row r="27" spans="1:12" ht="15.5" x14ac:dyDescent="0.35">
      <c r="A27" s="564"/>
      <c r="I27" s="500"/>
      <c r="J27" s="500"/>
      <c r="K27" s="500"/>
      <c r="L27" s="500"/>
    </row>
    <row r="28" spans="1:12" ht="15.5" x14ac:dyDescent="0.35">
      <c r="H28" s="523"/>
    </row>
    <row r="29" spans="1:12" ht="15.5" x14ac:dyDescent="0.35">
      <c r="A29" s="523" t="s">
        <v>1038</v>
      </c>
      <c r="B29" s="523"/>
      <c r="C29" s="523"/>
      <c r="D29" s="523"/>
      <c r="E29" s="523"/>
      <c r="F29" s="523"/>
      <c r="G29" s="523"/>
      <c r="H29" s="500"/>
    </row>
    <row r="30" spans="1:12" ht="15.5" x14ac:dyDescent="0.35">
      <c r="A30" t="s">
        <v>202</v>
      </c>
      <c r="B30" t="s">
        <v>151</v>
      </c>
      <c r="C30" s="500"/>
      <c r="D30" s="500"/>
      <c r="E30" s="500"/>
      <c r="F30" s="500"/>
      <c r="G30" s="500"/>
      <c r="H30" s="500"/>
    </row>
    <row r="31" spans="1:12" ht="15.5" x14ac:dyDescent="0.35">
      <c r="A31" t="s">
        <v>203</v>
      </c>
      <c r="B31" t="s">
        <v>204</v>
      </c>
      <c r="C31" s="500"/>
      <c r="D31" s="500"/>
      <c r="E31" s="500"/>
      <c r="F31" s="500"/>
      <c r="G31" s="500"/>
      <c r="H31" s="500"/>
    </row>
    <row r="32" spans="1:12" ht="15.5" x14ac:dyDescent="0.35">
      <c r="A32" t="s">
        <v>205</v>
      </c>
      <c r="B32" t="s">
        <v>1033</v>
      </c>
      <c r="C32" s="500"/>
      <c r="D32" s="500"/>
      <c r="E32" s="500"/>
      <c r="F32" s="500"/>
      <c r="G32" s="500"/>
    </row>
    <row r="33" spans="1:8" x14ac:dyDescent="0.35">
      <c r="H33" s="528"/>
    </row>
    <row r="34" spans="1:8" x14ac:dyDescent="0.35">
      <c r="C34" s="528"/>
      <c r="D34" s="529" t="s">
        <v>1039</v>
      </c>
      <c r="E34" s="528"/>
      <c r="F34" s="528"/>
    </row>
    <row r="35" spans="1:8" x14ac:dyDescent="0.35">
      <c r="A35" s="526" t="s">
        <v>207</v>
      </c>
      <c r="B35" s="648" t="s">
        <v>1025</v>
      </c>
      <c r="C35" s="648" t="s">
        <v>1026</v>
      </c>
      <c r="D35" s="648" t="s">
        <v>1027</v>
      </c>
      <c r="E35" s="648" t="s">
        <v>1028</v>
      </c>
      <c r="F35" s="648" t="s">
        <v>1029</v>
      </c>
      <c r="G35" s="648" t="s">
        <v>1031</v>
      </c>
    </row>
    <row r="36" spans="1:8" x14ac:dyDescent="0.35">
      <c r="A36" s="312" t="s">
        <v>365</v>
      </c>
      <c r="B36" s="561">
        <f>GETPIVOTDATA("Sum of 1 - Most Deprived 20%",SIMDVisitsPivot!$C$20,"Year",A36)</f>
        <v>3.4</v>
      </c>
      <c r="C36" s="561">
        <f>GETPIVOTDATA("Sum of 2",SIMDVisitsPivot!$C$20,"Year",A36)</f>
        <v>3.2</v>
      </c>
      <c r="D36" s="561">
        <f>GETPIVOTDATA("Sum of 3",SIMDVisitsPivot!$C$20,"Year",A36)</f>
        <v>2.6</v>
      </c>
      <c r="E36" s="561">
        <f>GETPIVOTDATA("Sum of 4",SIMDVisitsPivot!$C$20,"Year",A36)</f>
        <v>2.2000000000000002</v>
      </c>
      <c r="F36" s="561">
        <f>GETPIVOTDATA("Sum of 5 - Least Deprived 20%",SIMDVisitsPivot!$C$20,"Year",A36)</f>
        <v>1.9</v>
      </c>
      <c r="G36" s="890">
        <f>GETPIVOTDATA("Sum of All Scotland",SIMDVisitsPivot!$C$20,"Year",A36)</f>
        <v>2.7</v>
      </c>
    </row>
    <row r="37" spans="1:8" x14ac:dyDescent="0.35">
      <c r="A37" s="312" t="s">
        <v>366</v>
      </c>
      <c r="B37" s="561">
        <f>GETPIVOTDATA("Sum of 1 - Most Deprived 20%",SIMDVisitsPivot!$C$20,"Year",A37)</f>
        <v>3.6</v>
      </c>
      <c r="C37" s="561">
        <f>GETPIVOTDATA("Sum of 2",SIMDVisitsPivot!$C$20,"Year",A37)</f>
        <v>3.4</v>
      </c>
      <c r="D37" s="561">
        <f>GETPIVOTDATA("Sum of 3",SIMDVisitsPivot!$C$20,"Year",A37)</f>
        <v>2.9</v>
      </c>
      <c r="E37" s="561">
        <f>GETPIVOTDATA("Sum of 4",SIMDVisitsPivot!$C$20,"Year",A37)</f>
        <v>2.5</v>
      </c>
      <c r="F37" s="561">
        <f>GETPIVOTDATA("Sum of 5 - Least Deprived 20%",SIMDVisitsPivot!$C$20,"Year",A37)</f>
        <v>2</v>
      </c>
      <c r="G37" s="890">
        <f>GETPIVOTDATA("Sum of All Scotland",SIMDVisitsPivot!$C$20,"Year",A37)</f>
        <v>2.9</v>
      </c>
    </row>
    <row r="38" spans="1:8" x14ac:dyDescent="0.35">
      <c r="A38" s="312" t="s">
        <v>341</v>
      </c>
      <c r="B38" s="561">
        <f>GETPIVOTDATA("Sum of 1 - Most Deprived 20%",SIMDVisitsPivot!$C$20,"Year",A38)</f>
        <v>3.3</v>
      </c>
      <c r="C38" s="561">
        <f>GETPIVOTDATA("Sum of 2",SIMDVisitsPivot!$C$20,"Year",A38)</f>
        <v>3.3</v>
      </c>
      <c r="D38" s="561">
        <f>GETPIVOTDATA("Sum of 3",SIMDVisitsPivot!$C$20,"Year",A38)</f>
        <v>2.9</v>
      </c>
      <c r="E38" s="561">
        <f>GETPIVOTDATA("Sum of 4",SIMDVisitsPivot!$C$20,"Year",A38)</f>
        <v>2.6</v>
      </c>
      <c r="F38" s="561">
        <f>GETPIVOTDATA("Sum of 5 - Least Deprived 20%",SIMDVisitsPivot!$C$20,"Year",A38)</f>
        <v>2.1</v>
      </c>
      <c r="G38" s="890">
        <f>GETPIVOTDATA("Sum of All Scotland",SIMDVisitsPivot!$C$20,"Year",A38)</f>
        <v>2.9</v>
      </c>
    </row>
    <row r="39" spans="1:8" x14ac:dyDescent="0.35">
      <c r="A39" s="312" t="s">
        <v>342</v>
      </c>
      <c r="B39" s="561">
        <f>GETPIVOTDATA("Sum of 1 - Most Deprived 20%",SIMDVisitsPivot!$C$20,"Year",A39)</f>
        <v>3.5</v>
      </c>
      <c r="C39" s="561">
        <f>GETPIVOTDATA("Sum of 2",SIMDVisitsPivot!$C$20,"Year",A39)</f>
        <v>3.2</v>
      </c>
      <c r="D39" s="561">
        <f>GETPIVOTDATA("Sum of 3",SIMDVisitsPivot!$C$20,"Year",A39)</f>
        <v>2.8</v>
      </c>
      <c r="E39" s="561">
        <f>GETPIVOTDATA("Sum of 4",SIMDVisitsPivot!$C$20,"Year",A39)</f>
        <v>2.4</v>
      </c>
      <c r="F39" s="561">
        <f>GETPIVOTDATA("Sum of 5 - Least Deprived 20%",SIMDVisitsPivot!$C$20,"Year",A39)</f>
        <v>2</v>
      </c>
      <c r="G39" s="890">
        <f>GETPIVOTDATA("Sum of All Scotland",SIMDVisitsPivot!$C$20,"Year",A39)</f>
        <v>2.8</v>
      </c>
    </row>
    <row r="40" spans="1:8" x14ac:dyDescent="0.35">
      <c r="A40" s="312" t="s">
        <v>214</v>
      </c>
      <c r="B40" s="561">
        <f>GETPIVOTDATA("Sum of 1 - Most Deprived 20%",SIMDVisitsPivot!$C$20,"Year",A40)</f>
        <v>3.6</v>
      </c>
      <c r="C40" s="561">
        <f>GETPIVOTDATA("Sum of 2",SIMDVisitsPivot!$C$20,"Year",A40)</f>
        <v>3.2</v>
      </c>
      <c r="D40" s="561">
        <f>GETPIVOTDATA("Sum of 3",SIMDVisitsPivot!$C$20,"Year",A40)</f>
        <v>2.7</v>
      </c>
      <c r="E40" s="561">
        <f>GETPIVOTDATA("Sum of 4",SIMDVisitsPivot!$C$20,"Year",A40)</f>
        <v>2.2000000000000002</v>
      </c>
      <c r="F40" s="561">
        <f>GETPIVOTDATA("Sum of 5 - Least Deprived 20%",SIMDVisitsPivot!$C$20,"Year",A40)</f>
        <v>1.9</v>
      </c>
      <c r="G40" s="890">
        <f>GETPIVOTDATA("Sum of All Scotland",SIMDVisitsPivot!$C$20,"Year",A40)</f>
        <v>2.8</v>
      </c>
    </row>
    <row r="41" spans="1:8" x14ac:dyDescent="0.35">
      <c r="A41" s="312" t="s">
        <v>313</v>
      </c>
      <c r="B41" s="561">
        <f>GETPIVOTDATA("Sum of 1 - Most Deprived 20%",SIMDVisitsPivot!$C$20,"Year",A41)</f>
        <v>3.7</v>
      </c>
      <c r="C41" s="561">
        <f>GETPIVOTDATA("Sum of 2",SIMDVisitsPivot!$C$20,"Year",A41)</f>
        <v>3.1</v>
      </c>
      <c r="D41" s="561">
        <f>GETPIVOTDATA("Sum of 3",SIMDVisitsPivot!$C$20,"Year",A41)</f>
        <v>2.6</v>
      </c>
      <c r="E41" s="561">
        <f>GETPIVOTDATA("Sum of 4",SIMDVisitsPivot!$C$20,"Year",A41)</f>
        <v>2.2999999999999998</v>
      </c>
      <c r="F41" s="561">
        <f>GETPIVOTDATA("Sum of 5 - Least Deprived 20%",SIMDVisitsPivot!$C$20,"Year",A41)</f>
        <v>1.9</v>
      </c>
      <c r="G41" s="890">
        <f>GETPIVOTDATA("Sum of All Scotland",SIMDVisitsPivot!$C$20,"Year",A41)</f>
        <v>2.7</v>
      </c>
    </row>
    <row r="42" spans="1:8" x14ac:dyDescent="0.35">
      <c r="A42" s="312" t="s">
        <v>319</v>
      </c>
      <c r="B42" s="561">
        <f>GETPIVOTDATA("Sum of 1 - Most Deprived 20%",SIMDVisitsPivot!$C$20,"Year",A42)</f>
        <v>1</v>
      </c>
      <c r="C42" s="561">
        <f>GETPIVOTDATA("Sum of 2",SIMDVisitsPivot!$C$20,"Year",A42)</f>
        <v>0.9</v>
      </c>
      <c r="D42" s="561">
        <f>GETPIVOTDATA("Sum of 3",SIMDVisitsPivot!$C$20,"Year",A42)</f>
        <v>0.7</v>
      </c>
      <c r="E42" s="561">
        <f>GETPIVOTDATA("Sum of 4",SIMDVisitsPivot!$C$20,"Year",A42)</f>
        <v>0.6</v>
      </c>
      <c r="F42" s="561">
        <f>GETPIVOTDATA("Sum of 5 - Least Deprived 20%",SIMDVisitsPivot!$C$20,"Year",A42)</f>
        <v>0.5</v>
      </c>
      <c r="G42" s="890">
        <f>GETPIVOTDATA("Sum of All Scotland",SIMDVisitsPivot!$C$20,"Year",A42)</f>
        <v>0.8</v>
      </c>
    </row>
    <row r="43" spans="1:8" x14ac:dyDescent="0.35">
      <c r="A43" s="312" t="s">
        <v>321</v>
      </c>
      <c r="B43" s="561">
        <f>GETPIVOTDATA("Sum of 1 - Most Deprived 20%",SIMDVisitsPivot!$C$20,"Year",A43)</f>
        <v>2</v>
      </c>
      <c r="C43" s="561">
        <f>GETPIVOTDATA("Sum of 2",SIMDVisitsPivot!$C$20,"Year",A43)</f>
        <v>2</v>
      </c>
      <c r="D43" s="561">
        <f>GETPIVOTDATA("Sum of 3",SIMDVisitsPivot!$C$20,"Year",A43)</f>
        <v>1.7</v>
      </c>
      <c r="E43" s="561">
        <f>GETPIVOTDATA("Sum of 4",SIMDVisitsPivot!$C$20,"Year",A43)</f>
        <v>1.5</v>
      </c>
      <c r="F43" s="561">
        <f>GETPIVOTDATA("Sum of 5 - Least Deprived 20%",SIMDVisitsPivot!$C$20,"Year",A43)</f>
        <v>1.3</v>
      </c>
      <c r="G43" s="890">
        <f>GETPIVOTDATA("Sum of All Scotland",SIMDVisitsPivot!$C$20,"Year",A43)</f>
        <v>1.7</v>
      </c>
    </row>
    <row r="44" spans="1:8" x14ac:dyDescent="0.35">
      <c r="A44" s="312" t="s">
        <v>326</v>
      </c>
      <c r="B44" s="561">
        <f>GETPIVOTDATA("Sum of 1 - Most Deprived 20%",SIMDVisitsPivot!$C$20,"Year",A44)</f>
        <v>1.9</v>
      </c>
      <c r="C44" s="561">
        <f>GETPIVOTDATA("Sum of 2",SIMDVisitsPivot!$C$20,"Year",A44)</f>
        <v>1.8</v>
      </c>
      <c r="D44" s="561">
        <f>GETPIVOTDATA("Sum of 3",SIMDVisitsPivot!$C$20,"Year",A44)</f>
        <v>1.4</v>
      </c>
      <c r="E44" s="561">
        <f>GETPIVOTDATA("Sum of 4",SIMDVisitsPivot!$C$20,"Year",A44)</f>
        <v>1.2</v>
      </c>
      <c r="F44" s="561">
        <f>GETPIVOTDATA("Sum of 5 - Least Deprived 20%",SIMDVisitsPivot!$C$20,"Year",A44)</f>
        <v>1</v>
      </c>
      <c r="G44" s="890">
        <f>GETPIVOTDATA("Sum of All Scotland",SIMDVisitsPivot!$C$20,"Year",A44)</f>
        <v>1.5</v>
      </c>
    </row>
    <row r="45" spans="1:8" x14ac:dyDescent="0.35">
      <c r="A45" s="312" t="s">
        <v>327</v>
      </c>
      <c r="B45" s="561">
        <f>GETPIVOTDATA("Sum of 1 - Most Deprived 20%",SIMDVisitsPivot!$C$20,"Year",A45)</f>
        <v>1.8</v>
      </c>
      <c r="C45" s="561">
        <f>GETPIVOTDATA("Sum of 2",SIMDVisitsPivot!$C$20,"Year",A45)</f>
        <v>1.8</v>
      </c>
      <c r="D45" s="561">
        <f>GETPIVOTDATA("Sum of 3",SIMDVisitsPivot!$C$20,"Year",A45)</f>
        <v>1.3</v>
      </c>
      <c r="E45" s="561">
        <f>GETPIVOTDATA("Sum of 4",SIMDVisitsPivot!$C$20,"Year",A45)</f>
        <v>1.1000000000000001</v>
      </c>
      <c r="F45" s="561">
        <f>GETPIVOTDATA("Sum of 5 - Least Deprived 20%",SIMDVisitsPivot!$C$20,"Year",A45)</f>
        <v>1</v>
      </c>
      <c r="G45" s="890">
        <f>GETPIVOTDATA("Sum of All Scotland",SIMDVisitsPivot!$C$20,"Year",A45)</f>
        <v>1.4</v>
      </c>
    </row>
    <row r="46" spans="1:8" ht="15" thickBot="1" x14ac:dyDescent="0.4">
      <c r="A46" s="525" t="s">
        <v>466</v>
      </c>
      <c r="B46" s="889">
        <f>GETPIVOTDATA("Sum of 1 - Most Deprived 20%",SIMDVisitsPivot!$C$20,"Year",A46)</f>
        <v>1.7</v>
      </c>
      <c r="C46" s="889">
        <f>GETPIVOTDATA("Sum of 2",SIMDVisitsPivot!$C$20,"Year",A46)</f>
        <v>1.6</v>
      </c>
      <c r="D46" s="889">
        <f>GETPIVOTDATA("Sum of 3",SIMDVisitsPivot!$C$20,"Year",A46)</f>
        <v>1.1000000000000001</v>
      </c>
      <c r="E46" s="889">
        <f>GETPIVOTDATA("Sum of 4",SIMDVisitsPivot!$C$20,"Year",A46)</f>
        <v>0.9</v>
      </c>
      <c r="F46" s="889">
        <f>GETPIVOTDATA("Sum of 5 - Least Deprived 20%",SIMDVisitsPivot!$C$20,"Year",A46)</f>
        <v>0.9</v>
      </c>
      <c r="G46" s="891">
        <f>GETPIVOTDATA("Sum of All Scotland",SIMDVisitsPivot!$C$20,"Year",A46)</f>
        <v>1.2</v>
      </c>
    </row>
    <row r="47" spans="1:8" x14ac:dyDescent="0.35">
      <c r="A47" s="312"/>
    </row>
    <row r="48" spans="1:8" x14ac:dyDescent="0.35">
      <c r="A48" s="312" t="s">
        <v>329</v>
      </c>
    </row>
    <row r="49" spans="1:1" x14ac:dyDescent="0.35">
      <c r="A49" t="s">
        <v>1040</v>
      </c>
    </row>
    <row r="50" spans="1:1" x14ac:dyDescent="0.35">
      <c r="A50" s="564" t="s">
        <v>1036</v>
      </c>
    </row>
    <row r="51" spans="1:1" x14ac:dyDescent="0.35">
      <c r="A51" s="499" t="s">
        <v>1041</v>
      </c>
    </row>
  </sheetData>
  <sheetProtection algorithmName="SHA-512" hashValue="ZzXMRnUqZ63DUNDqtL3f27YUow7WmUkXdVC/NzdT7sLbX50EDzotN9zpA/srZW7kLVbj3KXYgogLkbLUM4iRPg==" saltValue="BZOw3RxTlyHw9DEiiF7ZRg==" spinCount="100000" sheet="1" scenarios="1" formatCells="0" sort="0" autoFilter="0" pivotTables="0"/>
  <hyperlinks>
    <hyperlink ref="A2" location="'Table of Contents'!A1" display="Back to Table of Contents" xr:uid="{00000000-0004-0000-8600-000000000000}"/>
    <hyperlink ref="A25" r:id="rId1" xr:uid="{00000000-0004-0000-8600-000001000000}"/>
    <hyperlink ref="A50" r:id="rId2" xr:uid="{00000000-0004-0000-8600-000002000000}"/>
    <hyperlink ref="A51" r:id="rId3" xr:uid="{00000000-0004-0000-8600-000003000000}"/>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00BF-B0A5-4F92-88B1-3F0F864024EE}">
  <sheetPr>
    <tabColor theme="4" tint="0.59999389629810485"/>
  </sheetPr>
  <dimension ref="A1:AB58"/>
  <sheetViews>
    <sheetView workbookViewId="0">
      <selection activeCell="E33" sqref="E33"/>
    </sheetView>
  </sheetViews>
  <sheetFormatPr defaultRowHeight="14.5" x14ac:dyDescent="0.35"/>
  <cols>
    <col min="1" max="1" width="12.6328125" bestFit="1" customWidth="1"/>
    <col min="2" max="2" width="15.6328125" bestFit="1" customWidth="1"/>
    <col min="3" max="3" width="4.36328125" bestFit="1" customWidth="1"/>
    <col min="4" max="4" width="25.7265625" bestFit="1" customWidth="1"/>
    <col min="5" max="5" width="37.6328125" bestFit="1" customWidth="1"/>
    <col min="6" max="6" width="5.7265625" bestFit="1" customWidth="1"/>
    <col min="7" max="7" width="5.54296875" bestFit="1" customWidth="1"/>
    <col min="8" max="8" width="5.81640625" bestFit="1" customWidth="1"/>
    <col min="9" max="10" width="4.453125" bestFit="1" customWidth="1"/>
    <col min="11" max="11" width="4.1796875" bestFit="1" customWidth="1"/>
    <col min="12" max="12" width="3.90625" bestFit="1" customWidth="1"/>
    <col min="13" max="13" width="5.453125" bestFit="1" customWidth="1"/>
    <col min="14" max="14" width="4.90625" bestFit="1" customWidth="1"/>
    <col min="15" max="15" width="10.36328125" bestFit="1" customWidth="1"/>
    <col min="16" max="16" width="12.90625" bestFit="1" customWidth="1"/>
    <col min="17" max="17" width="7.1796875" bestFit="1" customWidth="1"/>
    <col min="18" max="18" width="5.26953125" bestFit="1" customWidth="1"/>
    <col min="19" max="19" width="4.453125" bestFit="1" customWidth="1"/>
    <col min="20" max="20" width="4.36328125" bestFit="1" customWidth="1"/>
    <col min="21" max="21" width="3.90625" bestFit="1" customWidth="1"/>
    <col min="22" max="22" width="12.90625" bestFit="1" customWidth="1"/>
    <col min="23" max="23" width="11.81640625" bestFit="1" customWidth="1"/>
    <col min="24" max="24" width="5.54296875" bestFit="1" customWidth="1"/>
    <col min="25" max="25" width="7.7265625" bestFit="1" customWidth="1"/>
    <col min="26" max="26" width="7.90625" bestFit="1" customWidth="1"/>
    <col min="27" max="27" width="8" bestFit="1" customWidth="1"/>
    <col min="28" max="28" width="10.7265625" bestFit="1" customWidth="1"/>
    <col min="29" max="29" width="5.26953125" bestFit="1" customWidth="1"/>
    <col min="30" max="30" width="11.7265625" bestFit="1" customWidth="1"/>
    <col min="31" max="31" width="4.453125" bestFit="1" customWidth="1"/>
    <col min="32" max="32" width="4.36328125" bestFit="1" customWidth="1"/>
    <col min="33" max="33" width="29.26953125" bestFit="1" customWidth="1"/>
    <col min="34" max="34" width="3.90625" bestFit="1" customWidth="1"/>
    <col min="35" max="35" width="19.90625" bestFit="1" customWidth="1"/>
    <col min="36" max="36" width="12.90625" bestFit="1" customWidth="1"/>
    <col min="37" max="37" width="11.81640625" bestFit="1" customWidth="1"/>
    <col min="38" max="38" width="22.453125" bestFit="1" customWidth="1"/>
    <col min="39" max="39" width="5.54296875" bestFit="1" customWidth="1"/>
    <col min="40" max="40" width="7.7265625" bestFit="1" customWidth="1"/>
    <col min="41" max="41" width="12.54296875" bestFit="1" customWidth="1"/>
    <col min="42" max="42" width="7.90625" bestFit="1" customWidth="1"/>
    <col min="43" max="43" width="8" bestFit="1" customWidth="1"/>
    <col min="44" max="44" width="10.7265625" bestFit="1" customWidth="1"/>
    <col min="45" max="45" width="22.453125" bestFit="1" customWidth="1"/>
    <col min="46" max="46" width="25.36328125" bestFit="1" customWidth="1"/>
    <col min="47" max="47" width="15.54296875" bestFit="1" customWidth="1"/>
    <col min="48" max="48" width="12.90625" bestFit="1" customWidth="1"/>
    <col min="49" max="49" width="11.81640625" bestFit="1" customWidth="1"/>
    <col min="50" max="50" width="7.1796875" bestFit="1" customWidth="1"/>
    <col min="51" max="51" width="18.6328125" bestFit="1" customWidth="1"/>
    <col min="52" max="52" width="10.7265625" bestFit="1" customWidth="1"/>
  </cols>
  <sheetData>
    <row r="1" spans="1:28" x14ac:dyDescent="0.35">
      <c r="A1" s="387" t="s">
        <v>411</v>
      </c>
      <c r="B1" s="387" t="s">
        <v>412</v>
      </c>
    </row>
    <row r="2" spans="1:28" x14ac:dyDescent="0.35">
      <c r="A2" s="387" t="s">
        <v>350</v>
      </c>
      <c r="C2" t="s">
        <v>382</v>
      </c>
      <c r="D2" t="s">
        <v>383</v>
      </c>
      <c r="E2" t="s">
        <v>395</v>
      </c>
      <c r="F2" t="s">
        <v>384</v>
      </c>
      <c r="G2" t="s">
        <v>401</v>
      </c>
      <c r="H2" t="s">
        <v>396</v>
      </c>
      <c r="I2" t="s">
        <v>385</v>
      </c>
      <c r="J2" t="s">
        <v>387</v>
      </c>
      <c r="K2" t="s">
        <v>397</v>
      </c>
      <c r="L2" t="s">
        <v>389</v>
      </c>
      <c r="M2" t="s">
        <v>402</v>
      </c>
      <c r="N2" t="s">
        <v>380</v>
      </c>
      <c r="O2" t="s">
        <v>407</v>
      </c>
      <c r="P2" t="s">
        <v>398</v>
      </c>
      <c r="Q2" t="s">
        <v>410</v>
      </c>
      <c r="R2" t="s">
        <v>399</v>
      </c>
      <c r="S2" t="s">
        <v>403</v>
      </c>
      <c r="T2" t="s">
        <v>391</v>
      </c>
      <c r="U2" t="s">
        <v>393</v>
      </c>
      <c r="V2" t="s">
        <v>408</v>
      </c>
      <c r="W2" t="s">
        <v>409</v>
      </c>
      <c r="X2" t="s">
        <v>394</v>
      </c>
      <c r="Y2" t="s">
        <v>404</v>
      </c>
      <c r="Z2" t="s">
        <v>400</v>
      </c>
      <c r="AA2" t="s">
        <v>405</v>
      </c>
      <c r="AB2" t="s">
        <v>357</v>
      </c>
    </row>
    <row r="3" spans="1:28" ht="13" customHeight="1" x14ac:dyDescent="0.35">
      <c r="A3" s="388" t="s">
        <v>313</v>
      </c>
      <c r="C3">
        <v>8</v>
      </c>
      <c r="D3">
        <v>4</v>
      </c>
      <c r="E3">
        <v>5</v>
      </c>
      <c r="F3">
        <v>78</v>
      </c>
      <c r="G3">
        <v>6</v>
      </c>
      <c r="H3">
        <v>25</v>
      </c>
      <c r="I3">
        <v>1</v>
      </c>
      <c r="J3">
        <v>4</v>
      </c>
      <c r="K3">
        <v>8</v>
      </c>
      <c r="L3">
        <v>5</v>
      </c>
      <c r="M3">
        <v>21</v>
      </c>
      <c r="N3">
        <v>4</v>
      </c>
      <c r="O3">
        <v>244</v>
      </c>
      <c r="P3">
        <v>17</v>
      </c>
      <c r="R3">
        <v>3</v>
      </c>
      <c r="S3">
        <v>35</v>
      </c>
      <c r="T3">
        <v>3</v>
      </c>
      <c r="U3">
        <v>20</v>
      </c>
      <c r="V3">
        <v>6</v>
      </c>
      <c r="W3">
        <v>101</v>
      </c>
      <c r="X3">
        <v>10</v>
      </c>
      <c r="Y3">
        <v>5</v>
      </c>
      <c r="Z3">
        <v>7</v>
      </c>
      <c r="AA3">
        <v>19</v>
      </c>
      <c r="AB3">
        <v>639</v>
      </c>
    </row>
    <row r="4" spans="1:28" x14ac:dyDescent="0.35">
      <c r="A4" s="388" t="s">
        <v>319</v>
      </c>
      <c r="C4">
        <v>8</v>
      </c>
      <c r="D4">
        <v>4</v>
      </c>
      <c r="E4">
        <v>5</v>
      </c>
      <c r="F4">
        <v>78</v>
      </c>
      <c r="G4">
        <v>6</v>
      </c>
      <c r="H4">
        <v>25</v>
      </c>
      <c r="I4">
        <v>1</v>
      </c>
      <c r="J4">
        <v>4</v>
      </c>
      <c r="K4">
        <v>8</v>
      </c>
      <c r="L4">
        <v>5</v>
      </c>
      <c r="M4">
        <v>21</v>
      </c>
      <c r="N4">
        <v>4</v>
      </c>
      <c r="O4">
        <v>244</v>
      </c>
      <c r="P4">
        <v>17</v>
      </c>
      <c r="R4">
        <v>3</v>
      </c>
      <c r="S4">
        <v>35</v>
      </c>
      <c r="T4">
        <v>3</v>
      </c>
      <c r="U4">
        <v>20</v>
      </c>
      <c r="V4">
        <v>6</v>
      </c>
      <c r="W4">
        <v>101</v>
      </c>
      <c r="X4">
        <v>10</v>
      </c>
      <c r="Y4">
        <v>5</v>
      </c>
      <c r="Z4">
        <v>7</v>
      </c>
      <c r="AA4">
        <v>19</v>
      </c>
      <c r="AB4">
        <v>639</v>
      </c>
    </row>
    <row r="5" spans="1:28" x14ac:dyDescent="0.35">
      <c r="A5" s="388" t="s">
        <v>321</v>
      </c>
      <c r="C5">
        <v>8</v>
      </c>
      <c r="D5">
        <v>4</v>
      </c>
      <c r="E5">
        <v>5</v>
      </c>
      <c r="F5">
        <v>83</v>
      </c>
      <c r="H5">
        <v>25</v>
      </c>
      <c r="I5">
        <v>1</v>
      </c>
      <c r="J5">
        <v>4</v>
      </c>
      <c r="K5">
        <v>7</v>
      </c>
      <c r="L5">
        <v>8</v>
      </c>
      <c r="O5">
        <v>243</v>
      </c>
      <c r="Q5">
        <v>1</v>
      </c>
      <c r="R5">
        <v>4</v>
      </c>
      <c r="S5">
        <v>34</v>
      </c>
      <c r="T5">
        <v>4</v>
      </c>
      <c r="U5">
        <v>20</v>
      </c>
      <c r="V5">
        <v>6</v>
      </c>
      <c r="W5">
        <v>102</v>
      </c>
      <c r="X5">
        <v>7</v>
      </c>
      <c r="Y5">
        <v>5</v>
      </c>
      <c r="Z5">
        <v>7</v>
      </c>
      <c r="AA5">
        <v>15</v>
      </c>
      <c r="AB5">
        <v>593</v>
      </c>
    </row>
    <row r="6" spans="1:28" x14ac:dyDescent="0.35">
      <c r="A6" s="388" t="s">
        <v>326</v>
      </c>
      <c r="C6">
        <v>8</v>
      </c>
      <c r="D6">
        <v>4</v>
      </c>
      <c r="E6">
        <v>5</v>
      </c>
      <c r="F6">
        <v>91</v>
      </c>
      <c r="H6">
        <v>25</v>
      </c>
      <c r="I6">
        <v>1</v>
      </c>
      <c r="J6">
        <v>4</v>
      </c>
      <c r="K6">
        <v>7</v>
      </c>
      <c r="L6">
        <v>7</v>
      </c>
      <c r="O6">
        <v>244</v>
      </c>
      <c r="R6">
        <v>4</v>
      </c>
      <c r="S6">
        <v>33</v>
      </c>
      <c r="T6">
        <v>3</v>
      </c>
      <c r="U6">
        <v>20</v>
      </c>
      <c r="V6">
        <v>6</v>
      </c>
      <c r="W6">
        <v>101</v>
      </c>
      <c r="X6">
        <v>6</v>
      </c>
      <c r="Y6">
        <v>5</v>
      </c>
      <c r="Z6">
        <v>8</v>
      </c>
      <c r="AA6">
        <v>15</v>
      </c>
      <c r="AB6">
        <v>597</v>
      </c>
    </row>
    <row r="7" spans="1:28" x14ac:dyDescent="0.35">
      <c r="A7" s="388" t="s">
        <v>327</v>
      </c>
      <c r="C7">
        <v>8</v>
      </c>
      <c r="D7">
        <v>4</v>
      </c>
      <c r="E7">
        <v>5</v>
      </c>
      <c r="F7">
        <v>91</v>
      </c>
      <c r="H7">
        <v>16</v>
      </c>
      <c r="I7">
        <v>1</v>
      </c>
      <c r="J7">
        <v>4</v>
      </c>
      <c r="K7">
        <v>5</v>
      </c>
      <c r="L7">
        <v>7</v>
      </c>
      <c r="O7">
        <v>251</v>
      </c>
      <c r="R7">
        <v>4</v>
      </c>
      <c r="S7">
        <v>34</v>
      </c>
      <c r="T7">
        <v>4</v>
      </c>
      <c r="U7">
        <v>20</v>
      </c>
      <c r="V7">
        <v>5</v>
      </c>
      <c r="W7">
        <v>95</v>
      </c>
      <c r="X7">
        <v>7</v>
      </c>
      <c r="Y7">
        <v>5</v>
      </c>
      <c r="Z7">
        <v>7</v>
      </c>
      <c r="AA7">
        <v>15</v>
      </c>
      <c r="AB7">
        <v>588</v>
      </c>
    </row>
    <row r="8" spans="1:28" x14ac:dyDescent="0.35">
      <c r="A8" s="388" t="s">
        <v>466</v>
      </c>
      <c r="B8">
        <v>1</v>
      </c>
      <c r="C8">
        <v>8</v>
      </c>
      <c r="D8">
        <v>4</v>
      </c>
      <c r="E8">
        <v>4</v>
      </c>
      <c r="F8">
        <v>81</v>
      </c>
      <c r="H8">
        <v>16</v>
      </c>
      <c r="I8">
        <v>1</v>
      </c>
      <c r="J8">
        <v>4</v>
      </c>
      <c r="K8">
        <v>6</v>
      </c>
      <c r="L8">
        <v>8</v>
      </c>
      <c r="O8">
        <v>251</v>
      </c>
      <c r="R8">
        <v>4</v>
      </c>
      <c r="S8">
        <v>33</v>
      </c>
      <c r="T8">
        <v>4</v>
      </c>
      <c r="U8">
        <v>20</v>
      </c>
      <c r="V8">
        <v>6</v>
      </c>
      <c r="W8">
        <v>94</v>
      </c>
      <c r="X8">
        <v>6</v>
      </c>
      <c r="Y8">
        <v>5</v>
      </c>
      <c r="Z8">
        <v>7</v>
      </c>
      <c r="AA8">
        <v>31</v>
      </c>
      <c r="AB8">
        <v>594</v>
      </c>
    </row>
    <row r="9" spans="1:28" x14ac:dyDescent="0.35">
      <c r="A9" s="388" t="s">
        <v>357</v>
      </c>
      <c r="B9">
        <v>1</v>
      </c>
      <c r="C9">
        <v>48</v>
      </c>
      <c r="D9">
        <v>24</v>
      </c>
      <c r="E9">
        <v>29</v>
      </c>
      <c r="F9">
        <v>502</v>
      </c>
      <c r="G9">
        <v>12</v>
      </c>
      <c r="H9">
        <v>132</v>
      </c>
      <c r="I9">
        <v>6</v>
      </c>
      <c r="J9">
        <v>24</v>
      </c>
      <c r="K9">
        <v>41</v>
      </c>
      <c r="L9">
        <v>40</v>
      </c>
      <c r="M9">
        <v>42</v>
      </c>
      <c r="N9">
        <v>8</v>
      </c>
      <c r="O9">
        <v>1477</v>
      </c>
      <c r="P9">
        <v>34</v>
      </c>
      <c r="Q9">
        <v>1</v>
      </c>
      <c r="R9">
        <v>22</v>
      </c>
      <c r="S9">
        <v>204</v>
      </c>
      <c r="T9">
        <v>21</v>
      </c>
      <c r="U9">
        <v>120</v>
      </c>
      <c r="V9">
        <v>35</v>
      </c>
      <c r="W9">
        <v>594</v>
      </c>
      <c r="X9">
        <v>46</v>
      </c>
      <c r="Y9">
        <v>30</v>
      </c>
      <c r="Z9">
        <v>43</v>
      </c>
      <c r="AA9">
        <v>114</v>
      </c>
      <c r="AB9">
        <v>3650</v>
      </c>
    </row>
    <row r="32" spans="4:5" x14ac:dyDescent="0.35">
      <c r="D32" s="387" t="s">
        <v>350</v>
      </c>
      <c r="E32" t="s">
        <v>414</v>
      </c>
    </row>
    <row r="33" spans="4:5" x14ac:dyDescent="0.35">
      <c r="D33" s="388" t="s">
        <v>321</v>
      </c>
      <c r="E33">
        <v>189</v>
      </c>
    </row>
    <row r="34" spans="4:5" x14ac:dyDescent="0.35">
      <c r="D34" s="389" t="s">
        <v>388</v>
      </c>
      <c r="E34">
        <v>101</v>
      </c>
    </row>
    <row r="35" spans="4:5" x14ac:dyDescent="0.35">
      <c r="D35" s="389" t="s">
        <v>390</v>
      </c>
      <c r="E35">
        <v>36</v>
      </c>
    </row>
    <row r="36" spans="4:5" x14ac:dyDescent="0.35">
      <c r="D36" s="389" t="s">
        <v>392</v>
      </c>
      <c r="E36">
        <v>52</v>
      </c>
    </row>
    <row r="37" spans="4:5" x14ac:dyDescent="0.35">
      <c r="D37" s="388" t="s">
        <v>313</v>
      </c>
      <c r="E37">
        <v>186</v>
      </c>
    </row>
    <row r="38" spans="4:5" x14ac:dyDescent="0.35">
      <c r="D38" s="389" t="s">
        <v>388</v>
      </c>
      <c r="E38">
        <v>95</v>
      </c>
    </row>
    <row r="39" spans="4:5" x14ac:dyDescent="0.35">
      <c r="D39" s="389" t="s">
        <v>390</v>
      </c>
      <c r="E39">
        <v>37</v>
      </c>
    </row>
    <row r="40" spans="4:5" x14ac:dyDescent="0.35">
      <c r="D40" s="389" t="s">
        <v>392</v>
      </c>
      <c r="E40">
        <v>54</v>
      </c>
    </row>
    <row r="41" spans="4:5" x14ac:dyDescent="0.35">
      <c r="D41" s="388" t="s">
        <v>319</v>
      </c>
      <c r="E41">
        <v>186</v>
      </c>
    </row>
    <row r="42" spans="4:5" x14ac:dyDescent="0.35">
      <c r="D42" s="389" t="s">
        <v>388</v>
      </c>
      <c r="E42">
        <v>95</v>
      </c>
    </row>
    <row r="43" spans="4:5" x14ac:dyDescent="0.35">
      <c r="D43" s="389" t="s">
        <v>390</v>
      </c>
      <c r="E43">
        <v>37</v>
      </c>
    </row>
    <row r="44" spans="4:5" x14ac:dyDescent="0.35">
      <c r="D44" s="389" t="s">
        <v>392</v>
      </c>
      <c r="E44">
        <v>54</v>
      </c>
    </row>
    <row r="45" spans="4:5" x14ac:dyDescent="0.35">
      <c r="D45" s="388" t="s">
        <v>326</v>
      </c>
      <c r="E45">
        <v>191</v>
      </c>
    </row>
    <row r="46" spans="4:5" x14ac:dyDescent="0.35">
      <c r="D46" s="389" t="s">
        <v>388</v>
      </c>
      <c r="E46">
        <v>104</v>
      </c>
    </row>
    <row r="47" spans="4:5" x14ac:dyDescent="0.35">
      <c r="D47" s="389" t="s">
        <v>390</v>
      </c>
      <c r="E47">
        <v>35</v>
      </c>
    </row>
    <row r="48" spans="4:5" x14ac:dyDescent="0.35">
      <c r="D48" s="389" t="s">
        <v>392</v>
      </c>
      <c r="E48">
        <v>52</v>
      </c>
    </row>
    <row r="49" spans="4:5" x14ac:dyDescent="0.35">
      <c r="D49" s="388" t="s">
        <v>327</v>
      </c>
      <c r="E49">
        <v>184</v>
      </c>
    </row>
    <row r="50" spans="4:5" x14ac:dyDescent="0.35">
      <c r="D50" s="389" t="s">
        <v>388</v>
      </c>
      <c r="E50">
        <v>105</v>
      </c>
    </row>
    <row r="51" spans="4:5" x14ac:dyDescent="0.35">
      <c r="D51" s="389" t="s">
        <v>390</v>
      </c>
      <c r="E51">
        <v>26</v>
      </c>
    </row>
    <row r="52" spans="4:5" x14ac:dyDescent="0.35">
      <c r="D52" s="389" t="s">
        <v>392</v>
      </c>
      <c r="E52">
        <v>53</v>
      </c>
    </row>
    <row r="53" spans="4:5" x14ac:dyDescent="0.35">
      <c r="D53" s="388" t="s">
        <v>466</v>
      </c>
      <c r="E53">
        <v>210</v>
      </c>
    </row>
    <row r="54" spans="4:5" x14ac:dyDescent="0.35">
      <c r="D54" s="389" t="s">
        <v>390</v>
      </c>
      <c r="E54">
        <v>26</v>
      </c>
    </row>
    <row r="55" spans="4:5" x14ac:dyDescent="0.35">
      <c r="D55" s="389" t="s">
        <v>392</v>
      </c>
      <c r="E55">
        <v>68</v>
      </c>
    </row>
    <row r="56" spans="4:5" x14ac:dyDescent="0.35">
      <c r="D56" s="389" t="s">
        <v>413</v>
      </c>
      <c r="E56">
        <v>1</v>
      </c>
    </row>
    <row r="57" spans="4:5" x14ac:dyDescent="0.35">
      <c r="D57" s="389" t="s">
        <v>381</v>
      </c>
      <c r="E57">
        <v>115</v>
      </c>
    </row>
    <row r="58" spans="4:5" x14ac:dyDescent="0.35">
      <c r="D58" s="388" t="s">
        <v>357</v>
      </c>
      <c r="E58">
        <v>1146</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38D3-832A-488F-BD5A-95C03A34F00B}">
  <sheetPr>
    <tabColor theme="7" tint="-0.249977111117893"/>
  </sheetPr>
  <dimension ref="B4:H37"/>
  <sheetViews>
    <sheetView topLeftCell="A17" workbookViewId="0">
      <selection activeCell="C29" sqref="C29"/>
    </sheetView>
  </sheetViews>
  <sheetFormatPr defaultRowHeight="14.5" x14ac:dyDescent="0.35"/>
  <cols>
    <col min="2" max="2" width="12.36328125" bestFit="1" customWidth="1"/>
    <col min="3" max="3" width="26.26953125" bestFit="1" customWidth="1"/>
    <col min="4" max="6" width="8.08984375" bestFit="1" customWidth="1"/>
    <col min="7" max="7" width="26.26953125" bestFit="1" customWidth="1"/>
    <col min="8" max="8" width="17" bestFit="1" customWidth="1"/>
  </cols>
  <sheetData>
    <row r="4" spans="2:8" x14ac:dyDescent="0.35">
      <c r="B4" s="387" t="s">
        <v>350</v>
      </c>
      <c r="C4" t="s">
        <v>1018</v>
      </c>
      <c r="D4" t="s">
        <v>1019</v>
      </c>
      <c r="E4" t="s">
        <v>1020</v>
      </c>
      <c r="F4" t="s">
        <v>1021</v>
      </c>
      <c r="G4" t="s">
        <v>1022</v>
      </c>
      <c r="H4" t="s">
        <v>1024</v>
      </c>
    </row>
    <row r="5" spans="2:8" x14ac:dyDescent="0.35">
      <c r="B5" s="388" t="s">
        <v>365</v>
      </c>
      <c r="C5">
        <v>5909</v>
      </c>
      <c r="D5">
        <v>6233</v>
      </c>
      <c r="E5">
        <v>5321</v>
      </c>
      <c r="F5">
        <v>4898</v>
      </c>
      <c r="G5">
        <v>4568</v>
      </c>
      <c r="H5">
        <v>26929</v>
      </c>
    </row>
    <row r="6" spans="2:8" x14ac:dyDescent="0.35">
      <c r="B6" s="388" t="s">
        <v>366</v>
      </c>
      <c r="C6">
        <v>5967</v>
      </c>
      <c r="D6">
        <v>6495</v>
      </c>
      <c r="E6">
        <v>5828</v>
      </c>
      <c r="F6">
        <v>5326</v>
      </c>
      <c r="G6">
        <v>4664</v>
      </c>
      <c r="H6">
        <v>28280</v>
      </c>
    </row>
    <row r="7" spans="2:8" x14ac:dyDescent="0.35">
      <c r="B7" s="388" t="s">
        <v>341</v>
      </c>
      <c r="C7">
        <v>5798</v>
      </c>
      <c r="D7">
        <v>6550</v>
      </c>
      <c r="E7">
        <v>5947</v>
      </c>
      <c r="F7">
        <v>5619</v>
      </c>
      <c r="G7">
        <v>5063</v>
      </c>
      <c r="H7">
        <v>28977</v>
      </c>
    </row>
    <row r="8" spans="2:8" x14ac:dyDescent="0.35">
      <c r="B8" s="388" t="s">
        <v>342</v>
      </c>
      <c r="C8">
        <v>5574</v>
      </c>
      <c r="D8">
        <v>6271</v>
      </c>
      <c r="E8">
        <v>5690</v>
      </c>
      <c r="F8">
        <v>5360</v>
      </c>
      <c r="G8">
        <v>4821</v>
      </c>
      <c r="H8">
        <v>27716</v>
      </c>
    </row>
    <row r="9" spans="2:8" x14ac:dyDescent="0.35">
      <c r="B9" s="388" t="s">
        <v>214</v>
      </c>
      <c r="C9">
        <v>5160</v>
      </c>
      <c r="D9">
        <v>5587</v>
      </c>
      <c r="E9">
        <v>5019</v>
      </c>
      <c r="F9">
        <v>4481</v>
      </c>
      <c r="G9">
        <v>4189</v>
      </c>
      <c r="H9">
        <v>24436</v>
      </c>
    </row>
    <row r="10" spans="2:8" x14ac:dyDescent="0.35">
      <c r="B10" s="388" t="s">
        <v>313</v>
      </c>
      <c r="C10">
        <v>4664</v>
      </c>
      <c r="D10">
        <v>5068</v>
      </c>
      <c r="E10">
        <v>4517</v>
      </c>
      <c r="F10">
        <v>4206</v>
      </c>
      <c r="G10">
        <v>3805</v>
      </c>
      <c r="H10">
        <v>22260</v>
      </c>
    </row>
    <row r="11" spans="2:8" x14ac:dyDescent="0.35">
      <c r="B11" s="388" t="s">
        <v>319</v>
      </c>
      <c r="C11">
        <v>1688</v>
      </c>
      <c r="D11">
        <v>1696</v>
      </c>
      <c r="E11">
        <v>1487</v>
      </c>
      <c r="F11">
        <v>1482</v>
      </c>
      <c r="G11">
        <v>1317</v>
      </c>
      <c r="H11">
        <v>7670</v>
      </c>
    </row>
    <row r="12" spans="2:8" x14ac:dyDescent="0.35">
      <c r="B12" s="388" t="s">
        <v>321</v>
      </c>
    </row>
    <row r="13" spans="2:8" x14ac:dyDescent="0.35">
      <c r="B13" s="388" t="s">
        <v>326</v>
      </c>
    </row>
    <row r="14" spans="2:8" x14ac:dyDescent="0.35">
      <c r="B14" s="388" t="s">
        <v>327</v>
      </c>
      <c r="C14">
        <v>1322</v>
      </c>
      <c r="D14">
        <v>1479</v>
      </c>
      <c r="E14">
        <v>1164</v>
      </c>
      <c r="F14">
        <v>1004</v>
      </c>
      <c r="G14">
        <v>944</v>
      </c>
      <c r="H14">
        <v>5913</v>
      </c>
    </row>
    <row r="15" spans="2:8" x14ac:dyDescent="0.35">
      <c r="B15" s="388" t="s">
        <v>466</v>
      </c>
      <c r="C15">
        <v>941</v>
      </c>
      <c r="D15">
        <v>1019</v>
      </c>
      <c r="E15">
        <v>849</v>
      </c>
      <c r="F15">
        <v>728</v>
      </c>
      <c r="G15">
        <v>653</v>
      </c>
      <c r="H15">
        <v>4190</v>
      </c>
    </row>
    <row r="16" spans="2:8" x14ac:dyDescent="0.35">
      <c r="B16" s="388" t="s">
        <v>357</v>
      </c>
      <c r="C16">
        <v>37023</v>
      </c>
      <c r="D16">
        <v>40398</v>
      </c>
      <c r="E16">
        <v>35822</v>
      </c>
      <c r="F16">
        <v>33104</v>
      </c>
      <c r="G16">
        <v>30024</v>
      </c>
      <c r="H16">
        <v>176371</v>
      </c>
    </row>
    <row r="25" spans="2:8" x14ac:dyDescent="0.35">
      <c r="B25" s="387" t="s">
        <v>350</v>
      </c>
      <c r="C25" t="s">
        <v>1018</v>
      </c>
      <c r="D25" t="s">
        <v>1019</v>
      </c>
      <c r="E25" t="s">
        <v>1020</v>
      </c>
      <c r="F25" t="s">
        <v>1021</v>
      </c>
      <c r="G25" t="s">
        <v>1022</v>
      </c>
      <c r="H25" t="s">
        <v>1024</v>
      </c>
    </row>
    <row r="26" spans="2:8" x14ac:dyDescent="0.35">
      <c r="B26" s="388" t="s">
        <v>365</v>
      </c>
      <c r="C26">
        <v>1.1000000000000001</v>
      </c>
      <c r="D26">
        <v>1.2</v>
      </c>
      <c r="E26">
        <v>1.1000000000000001</v>
      </c>
      <c r="F26">
        <v>1</v>
      </c>
      <c r="G26">
        <v>1</v>
      </c>
      <c r="H26">
        <v>1.1000000000000001</v>
      </c>
    </row>
    <row r="27" spans="2:8" x14ac:dyDescent="0.35">
      <c r="B27" s="388" t="s">
        <v>366</v>
      </c>
      <c r="C27">
        <v>1.1000000000000001</v>
      </c>
      <c r="D27">
        <v>1.3</v>
      </c>
      <c r="E27">
        <v>1.2</v>
      </c>
      <c r="F27">
        <v>1.1000000000000001</v>
      </c>
      <c r="G27">
        <v>1</v>
      </c>
      <c r="H27">
        <v>1.2</v>
      </c>
    </row>
    <row r="28" spans="2:8" x14ac:dyDescent="0.35">
      <c r="B28" s="388" t="s">
        <v>341</v>
      </c>
      <c r="C28">
        <v>1.1000000000000001</v>
      </c>
      <c r="D28">
        <v>1.3</v>
      </c>
      <c r="E28">
        <v>1.2</v>
      </c>
      <c r="F28">
        <v>1.2</v>
      </c>
      <c r="G28">
        <v>1.1000000000000001</v>
      </c>
      <c r="H28">
        <v>1.2</v>
      </c>
    </row>
    <row r="29" spans="2:8" x14ac:dyDescent="0.35">
      <c r="B29" s="388" t="s">
        <v>342</v>
      </c>
      <c r="C29">
        <v>1</v>
      </c>
      <c r="D29">
        <v>1.2</v>
      </c>
      <c r="E29">
        <v>1.1000000000000001</v>
      </c>
      <c r="F29">
        <v>1.1000000000000001</v>
      </c>
      <c r="G29">
        <v>1</v>
      </c>
      <c r="H29">
        <v>1.1000000000000001</v>
      </c>
    </row>
    <row r="30" spans="2:8" x14ac:dyDescent="0.35">
      <c r="B30" s="388" t="s">
        <v>214</v>
      </c>
      <c r="C30">
        <v>1</v>
      </c>
      <c r="D30">
        <v>1.1000000000000001</v>
      </c>
      <c r="E30">
        <v>1</v>
      </c>
      <c r="F30">
        <v>0.9</v>
      </c>
      <c r="G30">
        <v>0.9</v>
      </c>
      <c r="H30">
        <v>1</v>
      </c>
    </row>
    <row r="31" spans="2:8" x14ac:dyDescent="0.35">
      <c r="B31" s="388" t="s">
        <v>313</v>
      </c>
      <c r="C31">
        <v>0.9</v>
      </c>
      <c r="D31">
        <v>1</v>
      </c>
      <c r="E31">
        <v>0.9</v>
      </c>
      <c r="F31">
        <v>0.8</v>
      </c>
      <c r="G31">
        <v>0.8</v>
      </c>
      <c r="H31">
        <v>0.9</v>
      </c>
    </row>
    <row r="32" spans="2:8" x14ac:dyDescent="0.35">
      <c r="B32" s="388" t="s">
        <v>319</v>
      </c>
      <c r="C32">
        <v>0.3</v>
      </c>
      <c r="D32">
        <v>0.3</v>
      </c>
      <c r="E32">
        <v>0.3</v>
      </c>
      <c r="F32">
        <v>0.3</v>
      </c>
      <c r="G32">
        <v>0.3</v>
      </c>
      <c r="H32">
        <v>0.3</v>
      </c>
    </row>
    <row r="33" spans="2:8" x14ac:dyDescent="0.35">
      <c r="B33" s="388" t="s">
        <v>321</v>
      </c>
    </row>
    <row r="34" spans="2:8" x14ac:dyDescent="0.35">
      <c r="B34" s="388" t="s">
        <v>326</v>
      </c>
    </row>
    <row r="35" spans="2:8" x14ac:dyDescent="0.35">
      <c r="B35" s="388" t="s">
        <v>327</v>
      </c>
      <c r="C35">
        <v>0.2</v>
      </c>
      <c r="D35">
        <v>0.3</v>
      </c>
      <c r="E35">
        <v>0.2</v>
      </c>
      <c r="F35">
        <v>0.2</v>
      </c>
      <c r="G35">
        <v>0.2</v>
      </c>
      <c r="H35">
        <v>0.2</v>
      </c>
    </row>
    <row r="36" spans="2:8" x14ac:dyDescent="0.35">
      <c r="B36" s="388" t="s">
        <v>466</v>
      </c>
      <c r="C36">
        <v>0.2</v>
      </c>
      <c r="D36">
        <v>0.2</v>
      </c>
      <c r="E36">
        <v>0.2</v>
      </c>
      <c r="F36">
        <v>0.1</v>
      </c>
      <c r="G36">
        <v>0.1</v>
      </c>
      <c r="H36">
        <v>0.2</v>
      </c>
    </row>
    <row r="37" spans="2:8" x14ac:dyDescent="0.35">
      <c r="B37" s="388" t="s">
        <v>357</v>
      </c>
      <c r="C37">
        <v>6.9000000000000012</v>
      </c>
      <c r="D37">
        <v>7.8999999999999995</v>
      </c>
      <c r="E37">
        <v>7.2</v>
      </c>
      <c r="F37">
        <v>6.7</v>
      </c>
      <c r="G37">
        <v>6.3999999999999995</v>
      </c>
      <c r="H37">
        <v>7.2</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3BF2-420D-4DFD-8E7C-C8A35BB5D453}">
  <sheetPr>
    <tabColor theme="7" tint="-0.249977111117893"/>
  </sheetPr>
  <dimension ref="A1:G31"/>
  <sheetViews>
    <sheetView topLeftCell="A19" workbookViewId="0">
      <selection activeCell="A20" sqref="A20"/>
    </sheetView>
  </sheetViews>
  <sheetFormatPr defaultRowHeight="14.5" x14ac:dyDescent="0.35"/>
  <cols>
    <col min="1" max="1" width="7.453125" bestFit="1" customWidth="1"/>
    <col min="2" max="2" width="22.08984375" bestFit="1" customWidth="1"/>
    <col min="3" max="5" width="4.08984375" bestFit="1" customWidth="1"/>
    <col min="6" max="6" width="22.08984375" bestFit="1" customWidth="1"/>
    <col min="7" max="7" width="12.81640625" bestFit="1" customWidth="1"/>
  </cols>
  <sheetData>
    <row r="1" spans="1:7" x14ac:dyDescent="0.35">
      <c r="A1" t="s">
        <v>207</v>
      </c>
      <c r="B1" t="s">
        <v>1025</v>
      </c>
      <c r="C1" t="s">
        <v>1026</v>
      </c>
      <c r="D1" t="s">
        <v>1027</v>
      </c>
      <c r="E1" t="s">
        <v>1028</v>
      </c>
      <c r="F1" t="s">
        <v>1029</v>
      </c>
      <c r="G1" t="s">
        <v>1031</v>
      </c>
    </row>
    <row r="2" spans="1:7" x14ac:dyDescent="0.35">
      <c r="A2" t="s">
        <v>365</v>
      </c>
      <c r="B2">
        <v>5909</v>
      </c>
      <c r="C2">
        <v>6233</v>
      </c>
      <c r="D2">
        <v>5321</v>
      </c>
      <c r="E2">
        <v>4898</v>
      </c>
      <c r="F2">
        <v>4568</v>
      </c>
      <c r="G2">
        <v>26929</v>
      </c>
    </row>
    <row r="3" spans="1:7" x14ac:dyDescent="0.35">
      <c r="A3" t="s">
        <v>366</v>
      </c>
      <c r="B3">
        <v>5967</v>
      </c>
      <c r="C3">
        <v>6495</v>
      </c>
      <c r="D3">
        <v>5828</v>
      </c>
      <c r="E3">
        <v>5326</v>
      </c>
      <c r="F3">
        <v>4664</v>
      </c>
      <c r="G3">
        <v>28280</v>
      </c>
    </row>
    <row r="4" spans="1:7" x14ac:dyDescent="0.35">
      <c r="A4" t="s">
        <v>341</v>
      </c>
      <c r="B4">
        <v>5798</v>
      </c>
      <c r="C4">
        <v>6550</v>
      </c>
      <c r="D4">
        <v>5947</v>
      </c>
      <c r="E4">
        <v>5619</v>
      </c>
      <c r="F4">
        <v>5063</v>
      </c>
      <c r="G4">
        <v>28977</v>
      </c>
    </row>
    <row r="5" spans="1:7" x14ac:dyDescent="0.35">
      <c r="A5" t="s">
        <v>342</v>
      </c>
      <c r="B5">
        <v>5574</v>
      </c>
      <c r="C5">
        <v>6271</v>
      </c>
      <c r="D5">
        <v>5690</v>
      </c>
      <c r="E5">
        <v>5360</v>
      </c>
      <c r="F5">
        <v>4821</v>
      </c>
      <c r="G5">
        <v>27716</v>
      </c>
    </row>
    <row r="6" spans="1:7" x14ac:dyDescent="0.35">
      <c r="A6" t="s">
        <v>214</v>
      </c>
      <c r="B6">
        <v>5160</v>
      </c>
      <c r="C6">
        <v>5587</v>
      </c>
      <c r="D6">
        <v>5019</v>
      </c>
      <c r="E6">
        <v>4481</v>
      </c>
      <c r="F6">
        <v>4189</v>
      </c>
      <c r="G6">
        <v>24436</v>
      </c>
    </row>
    <row r="7" spans="1:7" x14ac:dyDescent="0.35">
      <c r="A7" t="s">
        <v>313</v>
      </c>
      <c r="B7">
        <v>4664</v>
      </c>
      <c r="C7">
        <v>5068</v>
      </c>
      <c r="D7">
        <v>4517</v>
      </c>
      <c r="E7">
        <v>4206</v>
      </c>
      <c r="F7">
        <v>3805</v>
      </c>
      <c r="G7">
        <v>22260</v>
      </c>
    </row>
    <row r="8" spans="1:7" x14ac:dyDescent="0.35">
      <c r="A8" t="s">
        <v>319</v>
      </c>
      <c r="B8">
        <v>1688</v>
      </c>
      <c r="C8">
        <v>1696</v>
      </c>
      <c r="D8">
        <v>1487</v>
      </c>
      <c r="E8">
        <v>1482</v>
      </c>
      <c r="F8">
        <v>1317</v>
      </c>
      <c r="G8">
        <v>7670</v>
      </c>
    </row>
    <row r="9" spans="1:7" x14ac:dyDescent="0.35">
      <c r="A9" t="s">
        <v>321</v>
      </c>
    </row>
    <row r="10" spans="1:7" x14ac:dyDescent="0.35">
      <c r="A10" t="s">
        <v>326</v>
      </c>
    </row>
    <row r="11" spans="1:7" x14ac:dyDescent="0.35">
      <c r="A11" t="s">
        <v>327</v>
      </c>
      <c r="B11">
        <v>1322</v>
      </c>
      <c r="C11">
        <v>1479</v>
      </c>
      <c r="D11">
        <v>1164</v>
      </c>
      <c r="E11">
        <v>1004</v>
      </c>
      <c r="F11">
        <v>944</v>
      </c>
      <c r="G11">
        <v>5913</v>
      </c>
    </row>
    <row r="12" spans="1:7" x14ac:dyDescent="0.35">
      <c r="A12" t="s">
        <v>466</v>
      </c>
      <c r="B12">
        <v>941</v>
      </c>
      <c r="C12">
        <v>1019</v>
      </c>
      <c r="D12">
        <v>849</v>
      </c>
      <c r="E12">
        <v>728</v>
      </c>
      <c r="F12">
        <v>653</v>
      </c>
      <c r="G12">
        <v>4190</v>
      </c>
    </row>
    <row r="20" spans="1:7" x14ac:dyDescent="0.35">
      <c r="A20" t="s">
        <v>207</v>
      </c>
      <c r="B20" t="s">
        <v>1025</v>
      </c>
      <c r="C20" t="s">
        <v>1026</v>
      </c>
      <c r="D20" t="s">
        <v>1027</v>
      </c>
      <c r="E20" t="s">
        <v>1028</v>
      </c>
      <c r="F20" t="s">
        <v>1029</v>
      </c>
      <c r="G20" t="s">
        <v>1031</v>
      </c>
    </row>
    <row r="21" spans="1:7" x14ac:dyDescent="0.35">
      <c r="A21" t="s">
        <v>326</v>
      </c>
    </row>
    <row r="22" spans="1:7" x14ac:dyDescent="0.35">
      <c r="A22" t="s">
        <v>327</v>
      </c>
      <c r="B22">
        <v>0.2</v>
      </c>
      <c r="C22">
        <v>0.3</v>
      </c>
      <c r="D22">
        <v>0.2</v>
      </c>
      <c r="E22">
        <v>0.2</v>
      </c>
      <c r="F22">
        <v>0.2</v>
      </c>
      <c r="G22">
        <v>0.2</v>
      </c>
    </row>
    <row r="23" spans="1:7" x14ac:dyDescent="0.35">
      <c r="A23" t="s">
        <v>466</v>
      </c>
      <c r="B23">
        <v>0.2</v>
      </c>
      <c r="C23">
        <v>0.2</v>
      </c>
      <c r="D23">
        <v>0.2</v>
      </c>
      <c r="E23">
        <v>0.1</v>
      </c>
      <c r="F23">
        <v>0.1</v>
      </c>
      <c r="G23">
        <v>0.2</v>
      </c>
    </row>
    <row r="24" spans="1:7" x14ac:dyDescent="0.35">
      <c r="A24" t="s">
        <v>342</v>
      </c>
      <c r="B24">
        <v>1</v>
      </c>
      <c r="C24">
        <v>1.2</v>
      </c>
      <c r="D24">
        <v>1.1000000000000001</v>
      </c>
      <c r="E24">
        <v>1.1000000000000001</v>
      </c>
      <c r="F24">
        <v>1</v>
      </c>
      <c r="G24">
        <v>1.1000000000000001</v>
      </c>
    </row>
    <row r="25" spans="1:7" x14ac:dyDescent="0.35">
      <c r="A25" t="s">
        <v>313</v>
      </c>
      <c r="B25">
        <v>0.9</v>
      </c>
      <c r="C25">
        <v>1</v>
      </c>
      <c r="D25">
        <v>0.9</v>
      </c>
      <c r="E25">
        <v>0.8</v>
      </c>
      <c r="F25">
        <v>0.8</v>
      </c>
      <c r="G25">
        <v>0.9</v>
      </c>
    </row>
    <row r="26" spans="1:7" x14ac:dyDescent="0.35">
      <c r="A26" t="s">
        <v>341</v>
      </c>
      <c r="B26">
        <v>1.1000000000000001</v>
      </c>
      <c r="C26">
        <v>1.3</v>
      </c>
      <c r="D26">
        <v>1.2</v>
      </c>
      <c r="E26">
        <v>1.2</v>
      </c>
      <c r="F26">
        <v>1.1000000000000001</v>
      </c>
      <c r="G26">
        <v>1.2</v>
      </c>
    </row>
    <row r="27" spans="1:7" x14ac:dyDescent="0.35">
      <c r="A27" t="s">
        <v>214</v>
      </c>
      <c r="B27">
        <v>1</v>
      </c>
      <c r="C27">
        <v>1.1000000000000001</v>
      </c>
      <c r="D27">
        <v>1</v>
      </c>
      <c r="E27">
        <v>0.9</v>
      </c>
      <c r="F27">
        <v>0.9</v>
      </c>
      <c r="G27">
        <v>1</v>
      </c>
    </row>
    <row r="28" spans="1:7" x14ac:dyDescent="0.35">
      <c r="A28" t="s">
        <v>319</v>
      </c>
      <c r="B28">
        <v>0.3</v>
      </c>
      <c r="C28">
        <v>0.3</v>
      </c>
      <c r="D28">
        <v>0.3</v>
      </c>
      <c r="E28">
        <v>0.3</v>
      </c>
      <c r="F28">
        <v>0.3</v>
      </c>
      <c r="G28">
        <v>0.3</v>
      </c>
    </row>
    <row r="29" spans="1:7" x14ac:dyDescent="0.35">
      <c r="A29" t="s">
        <v>365</v>
      </c>
      <c r="B29">
        <v>1.1000000000000001</v>
      </c>
      <c r="C29">
        <v>1.2</v>
      </c>
      <c r="D29">
        <v>1.1000000000000001</v>
      </c>
      <c r="E29">
        <v>1</v>
      </c>
      <c r="F29">
        <v>1</v>
      </c>
      <c r="G29">
        <v>1.1000000000000001</v>
      </c>
    </row>
    <row r="30" spans="1:7" x14ac:dyDescent="0.35">
      <c r="A30" t="s">
        <v>366</v>
      </c>
      <c r="B30">
        <v>1.1000000000000001</v>
      </c>
      <c r="C30">
        <v>1.3</v>
      </c>
      <c r="D30">
        <v>1.2</v>
      </c>
      <c r="E30">
        <v>1.1000000000000001</v>
      </c>
      <c r="F30">
        <v>1</v>
      </c>
      <c r="G30">
        <v>1.2</v>
      </c>
    </row>
    <row r="31" spans="1:7" x14ac:dyDescent="0.35">
      <c r="A31" t="s">
        <v>321</v>
      </c>
    </row>
  </sheetData>
  <pageMargins left="0.7" right="0.7" top="0.75" bottom="0.75" header="0.3" footer="0.3"/>
  <tableParts count="2">
    <tablePart r:id="rId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7" tint="-0.249977111117893"/>
  </sheetPr>
  <dimension ref="A1:K54"/>
  <sheetViews>
    <sheetView showGridLines="0" workbookViewId="0">
      <pane ySplit="2" topLeftCell="A3" activePane="bottomLeft" state="frozen"/>
      <selection pane="bottomLeft"/>
    </sheetView>
  </sheetViews>
  <sheetFormatPr defaultColWidth="9.26953125" defaultRowHeight="14.5" x14ac:dyDescent="0.35"/>
  <cols>
    <col min="1" max="1" width="18.54296875" customWidth="1"/>
    <col min="2" max="2" width="25.54296875" customWidth="1"/>
    <col min="3" max="3" width="13.54296875" customWidth="1"/>
    <col min="4" max="4" width="12.54296875" customWidth="1"/>
    <col min="5" max="5" width="13.54296875" customWidth="1"/>
    <col min="6" max="6" width="24.453125" bestFit="1" customWidth="1"/>
    <col min="7" max="7" width="15.1796875" bestFit="1" customWidth="1"/>
    <col min="8" max="8" width="23.81640625" customWidth="1"/>
  </cols>
  <sheetData>
    <row r="1" spans="1:11" ht="15.5" x14ac:dyDescent="0.35">
      <c r="A1" s="514" t="s">
        <v>928</v>
      </c>
      <c r="B1" s="514"/>
      <c r="C1" s="514"/>
    </row>
    <row r="2" spans="1:11" ht="15.5" x14ac:dyDescent="0.35">
      <c r="A2" s="499" t="s">
        <v>201</v>
      </c>
      <c r="B2" s="441"/>
      <c r="C2" s="441"/>
    </row>
    <row r="3" spans="1:11" x14ac:dyDescent="0.35">
      <c r="A3" s="25"/>
      <c r="B3" s="25"/>
      <c r="C3" s="25"/>
      <c r="D3" s="25"/>
      <c r="E3" s="25"/>
      <c r="F3" s="25"/>
      <c r="G3" s="25"/>
      <c r="H3" s="25"/>
      <c r="I3" s="25"/>
      <c r="J3" s="25"/>
      <c r="K3" s="25"/>
    </row>
    <row r="4" spans="1:11" ht="15.5" x14ac:dyDescent="0.35">
      <c r="A4" s="523" t="s">
        <v>1042</v>
      </c>
      <c r="B4" s="523"/>
      <c r="C4" s="523"/>
      <c r="D4" s="523"/>
      <c r="E4" s="523"/>
      <c r="F4" s="523"/>
      <c r="G4" s="523"/>
      <c r="H4" s="523"/>
      <c r="I4" s="523"/>
      <c r="J4" s="523"/>
      <c r="K4" s="523"/>
    </row>
    <row r="5" spans="1:11" ht="15.5" x14ac:dyDescent="0.35">
      <c r="A5" t="s">
        <v>202</v>
      </c>
      <c r="B5" t="s">
        <v>153</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1033</v>
      </c>
      <c r="C7" s="500"/>
      <c r="D7" s="500"/>
      <c r="E7" s="500"/>
      <c r="F7" s="500"/>
      <c r="G7" s="500"/>
      <c r="H7" s="500"/>
      <c r="I7" s="500"/>
      <c r="J7" s="500"/>
      <c r="K7" s="500"/>
    </row>
    <row r="9" spans="1:11" x14ac:dyDescent="0.35">
      <c r="C9" s="524" t="s">
        <v>1043</v>
      </c>
      <c r="D9" s="524"/>
    </row>
    <row r="10" spans="1:11" s="312" customFormat="1" x14ac:dyDescent="0.35">
      <c r="A10" s="526" t="s">
        <v>207</v>
      </c>
      <c r="B10" s="648" t="s">
        <v>1025</v>
      </c>
      <c r="C10" s="648" t="s">
        <v>1026</v>
      </c>
      <c r="D10" s="648" t="s">
        <v>1027</v>
      </c>
      <c r="E10" s="648" t="s">
        <v>1028</v>
      </c>
      <c r="F10" s="648" t="s">
        <v>1029</v>
      </c>
      <c r="G10" s="648" t="s">
        <v>1031</v>
      </c>
    </row>
    <row r="11" spans="1:11" x14ac:dyDescent="0.35">
      <c r="A11" s="312" t="s">
        <v>365</v>
      </c>
      <c r="B11" s="369">
        <f>GETPIVOTDATA("Sum of 1 - Most Deprived 20%",SIMDAlarmsPivot!$B$4,"Year",A11)</f>
        <v>5909</v>
      </c>
      <c r="C11" s="369">
        <f>GETPIVOTDATA("Sum of 2",SIMDAlarmsPivot!$B$4,"Year",A11)</f>
        <v>6233</v>
      </c>
      <c r="D11" s="369">
        <f>GETPIVOTDATA("Sum of 3",SIMDAlarmsPivot!$B$4,"Year",A11)</f>
        <v>5321</v>
      </c>
      <c r="E11" s="369">
        <f>GETPIVOTDATA("Sum of 4",SIMDAlarmsPivot!$B$4,"Year",A11)</f>
        <v>4898</v>
      </c>
      <c r="F11" s="369">
        <f>GETPIVOTDATA("Sum of 5 - Least Deprived 20%",SIMDAlarmsPivot!$B$4,"Year",A11)</f>
        <v>4568</v>
      </c>
      <c r="G11" s="752">
        <f>GETPIVOTDATA("Sum of All Scotland",SIMDAlarmsPivot!$B$4,"Year",A11)</f>
        <v>26929</v>
      </c>
    </row>
    <row r="12" spans="1:11" x14ac:dyDescent="0.35">
      <c r="A12" s="312" t="s">
        <v>366</v>
      </c>
      <c r="B12" s="369">
        <f>GETPIVOTDATA("Sum of 1 - Most Deprived 20%",SIMDAlarmsPivot!$B$4,"Year",A12)</f>
        <v>5967</v>
      </c>
      <c r="C12" s="369">
        <f>GETPIVOTDATA("Sum of 2",SIMDAlarmsPivot!$B$4,"Year",A12)</f>
        <v>6495</v>
      </c>
      <c r="D12" s="369">
        <f>GETPIVOTDATA("Sum of 3",SIMDAlarmsPivot!$B$4,"Year",A12)</f>
        <v>5828</v>
      </c>
      <c r="E12" s="369">
        <f>GETPIVOTDATA("Sum of 4",SIMDAlarmsPivot!$B$4,"Year",A12)</f>
        <v>5326</v>
      </c>
      <c r="F12" s="369">
        <f>GETPIVOTDATA("Sum of 5 - Least Deprived 20%",SIMDAlarmsPivot!$B$4,"Year",A12)</f>
        <v>4664</v>
      </c>
      <c r="G12" s="752">
        <f>GETPIVOTDATA("Sum of All Scotland",SIMDAlarmsPivot!$B$4,"Year",A12)</f>
        <v>28280</v>
      </c>
    </row>
    <row r="13" spans="1:11" x14ac:dyDescent="0.35">
      <c r="A13" s="312" t="s">
        <v>341</v>
      </c>
      <c r="B13" s="369">
        <f>GETPIVOTDATA("Sum of 1 - Most Deprived 20%",SIMDAlarmsPivot!$B$4,"Year",A13)</f>
        <v>5798</v>
      </c>
      <c r="C13" s="369">
        <f>GETPIVOTDATA("Sum of 2",SIMDAlarmsPivot!$B$4,"Year",A13)</f>
        <v>6550</v>
      </c>
      <c r="D13" s="369">
        <f>GETPIVOTDATA("Sum of 3",SIMDAlarmsPivot!$B$4,"Year",A13)</f>
        <v>5947</v>
      </c>
      <c r="E13" s="369">
        <f>GETPIVOTDATA("Sum of 4",SIMDAlarmsPivot!$B$4,"Year",A13)</f>
        <v>5619</v>
      </c>
      <c r="F13" s="369">
        <f>GETPIVOTDATA("Sum of 5 - Least Deprived 20%",SIMDAlarmsPivot!$B$4,"Year",A13)</f>
        <v>5063</v>
      </c>
      <c r="G13" s="752">
        <f>GETPIVOTDATA("Sum of All Scotland",SIMDAlarmsPivot!$B$4,"Year",A13)</f>
        <v>28977</v>
      </c>
    </row>
    <row r="14" spans="1:11" x14ac:dyDescent="0.35">
      <c r="A14" s="312" t="s">
        <v>342</v>
      </c>
      <c r="B14" s="369">
        <f>GETPIVOTDATA("Sum of 1 - Most Deprived 20%",SIMDAlarmsPivot!$B$4,"Year",A14)</f>
        <v>5574</v>
      </c>
      <c r="C14" s="369">
        <f>GETPIVOTDATA("Sum of 2",SIMDAlarmsPivot!$B$4,"Year",A14)</f>
        <v>6271</v>
      </c>
      <c r="D14" s="369">
        <f>GETPIVOTDATA("Sum of 3",SIMDAlarmsPivot!$B$4,"Year",A14)</f>
        <v>5690</v>
      </c>
      <c r="E14" s="369">
        <f>GETPIVOTDATA("Sum of 4",SIMDAlarmsPivot!$B$4,"Year",A14)</f>
        <v>5360</v>
      </c>
      <c r="F14" s="369">
        <f>GETPIVOTDATA("Sum of 5 - Least Deprived 20%",SIMDAlarmsPivot!$B$4,"Year",A14)</f>
        <v>4821</v>
      </c>
      <c r="G14" s="752">
        <f>GETPIVOTDATA("Sum of All Scotland",SIMDAlarmsPivot!$B$4,"Year",A14)</f>
        <v>27716</v>
      </c>
    </row>
    <row r="15" spans="1:11" x14ac:dyDescent="0.35">
      <c r="A15" s="312" t="s">
        <v>214</v>
      </c>
      <c r="B15" s="369">
        <f>GETPIVOTDATA("Sum of 1 - Most Deprived 20%",SIMDAlarmsPivot!$B$4,"Year",A15)</f>
        <v>5160</v>
      </c>
      <c r="C15" s="369">
        <f>GETPIVOTDATA("Sum of 2",SIMDAlarmsPivot!$B$4,"Year",A15)</f>
        <v>5587</v>
      </c>
      <c r="D15" s="369">
        <f>GETPIVOTDATA("Sum of 3",SIMDAlarmsPivot!$B$4,"Year",A15)</f>
        <v>5019</v>
      </c>
      <c r="E15" s="369">
        <f>GETPIVOTDATA("Sum of 4",SIMDAlarmsPivot!$B$4,"Year",A15)</f>
        <v>4481</v>
      </c>
      <c r="F15" s="369">
        <f>GETPIVOTDATA("Sum of 5 - Least Deprived 20%",SIMDAlarmsPivot!$B$4,"Year",A15)</f>
        <v>4189</v>
      </c>
      <c r="G15" s="752">
        <f>GETPIVOTDATA("Sum of All Scotland",SIMDAlarmsPivot!$B$4,"Year",A15)</f>
        <v>24436</v>
      </c>
    </row>
    <row r="16" spans="1:11" x14ac:dyDescent="0.35">
      <c r="A16" s="312" t="s">
        <v>313</v>
      </c>
      <c r="B16" s="369">
        <f>GETPIVOTDATA("Sum of 1 - Most Deprived 20%",SIMDAlarmsPivot!$B$4,"Year",A16)</f>
        <v>4664</v>
      </c>
      <c r="C16" s="369">
        <f>GETPIVOTDATA("Sum of 2",SIMDAlarmsPivot!$B$4,"Year",A16)</f>
        <v>5068</v>
      </c>
      <c r="D16" s="369">
        <f>GETPIVOTDATA("Sum of 3",SIMDAlarmsPivot!$B$4,"Year",A16)</f>
        <v>4517</v>
      </c>
      <c r="E16" s="369">
        <f>GETPIVOTDATA("Sum of 4",SIMDAlarmsPivot!$B$4,"Year",A16)</f>
        <v>4206</v>
      </c>
      <c r="F16" s="369">
        <f>GETPIVOTDATA("Sum of 5 - Least Deprived 20%",SIMDAlarmsPivot!$B$4,"Year",A16)</f>
        <v>3805</v>
      </c>
      <c r="G16" s="752">
        <f>GETPIVOTDATA("Sum of All Scotland",SIMDAlarmsPivot!$B$4,"Year",A16)</f>
        <v>22260</v>
      </c>
    </row>
    <row r="17" spans="1:11" x14ac:dyDescent="0.35">
      <c r="A17" s="312" t="s">
        <v>319</v>
      </c>
      <c r="B17" s="369">
        <f>GETPIVOTDATA("Sum of 1 - Most Deprived 20%",SIMDAlarmsPivot!$B$4,"Year",A17)</f>
        <v>1688</v>
      </c>
      <c r="C17" s="369">
        <f>GETPIVOTDATA("Sum of 2",SIMDAlarmsPivot!$B$4,"Year",A17)</f>
        <v>1696</v>
      </c>
      <c r="D17" s="369">
        <f>GETPIVOTDATA("Sum of 3",SIMDAlarmsPivot!$B$4,"Year",A17)</f>
        <v>1487</v>
      </c>
      <c r="E17" s="369">
        <f>GETPIVOTDATA("Sum of 4",SIMDAlarmsPivot!$B$4,"Year",A17)</f>
        <v>1482</v>
      </c>
      <c r="F17" s="369">
        <f>GETPIVOTDATA("Sum of 5 - Least Deprived 20%",SIMDAlarmsPivot!$B$4,"Year",A17)</f>
        <v>1317</v>
      </c>
      <c r="G17" s="752">
        <f>GETPIVOTDATA("Sum of All Scotland",SIMDAlarmsPivot!$B$4,"Year",A17)</f>
        <v>7670</v>
      </c>
    </row>
    <row r="18" spans="1:11" x14ac:dyDescent="0.35">
      <c r="A18" s="312" t="s">
        <v>321</v>
      </c>
      <c r="B18" s="872">
        <f>GETPIVOTDATA("Sum of 1 - Most Deprived 20%",SIMDAlarmsPivot!$B$4,"Year",A18)</f>
        <v>0</v>
      </c>
      <c r="C18" s="872">
        <f>GETPIVOTDATA("Sum of 2",SIMDAlarmsPivot!$B$4,"Year",A18)</f>
        <v>0</v>
      </c>
      <c r="D18" s="872">
        <f>GETPIVOTDATA("Sum of 3",SIMDAlarmsPivot!$B$4,"Year",A18)</f>
        <v>0</v>
      </c>
      <c r="E18" s="872">
        <f>GETPIVOTDATA("Sum of 4",SIMDAlarmsPivot!$B$4,"Year",A18)</f>
        <v>0</v>
      </c>
      <c r="F18" s="872">
        <f>GETPIVOTDATA("Sum of 5 - Least Deprived 20%",SIMDAlarmsPivot!$B$4,"Year",A18)</f>
        <v>0</v>
      </c>
      <c r="G18" s="892">
        <f>GETPIVOTDATA("Sum of All Scotland",SIMDAlarmsPivot!$B$4,"Year",A18)</f>
        <v>0</v>
      </c>
    </row>
    <row r="19" spans="1:11" x14ac:dyDescent="0.35">
      <c r="A19" s="312" t="s">
        <v>326</v>
      </c>
      <c r="B19" s="872">
        <f>GETPIVOTDATA("Sum of 1 - Most Deprived 20%",SIMDAlarmsPivot!$B$4,"Year",A19)</f>
        <v>0</v>
      </c>
      <c r="C19" s="872">
        <f>GETPIVOTDATA("Sum of 2",SIMDAlarmsPivot!$B$4,"Year",A19)</f>
        <v>0</v>
      </c>
      <c r="D19" s="872">
        <f>GETPIVOTDATA("Sum of 3",SIMDAlarmsPivot!$B$4,"Year",A19)</f>
        <v>0</v>
      </c>
      <c r="E19" s="872">
        <f>GETPIVOTDATA("Sum of 4",SIMDAlarmsPivot!$B$4,"Year",A19)</f>
        <v>0</v>
      </c>
      <c r="F19" s="872">
        <f>GETPIVOTDATA("Sum of 5 - Least Deprived 20%",SIMDAlarmsPivot!$B$4,"Year",A19)</f>
        <v>0</v>
      </c>
      <c r="G19" s="892">
        <f>GETPIVOTDATA("Sum of All Scotland",SIMDAlarmsPivot!$B$4,"Year",A19)</f>
        <v>0</v>
      </c>
    </row>
    <row r="20" spans="1:11" x14ac:dyDescent="0.35">
      <c r="A20" s="312" t="s">
        <v>327</v>
      </c>
      <c r="B20" s="369">
        <f>GETPIVOTDATA("Sum of 1 - Most Deprived 20%",SIMDAlarmsPivot!$B$4,"Year",A20)</f>
        <v>1322</v>
      </c>
      <c r="C20" s="369">
        <f>GETPIVOTDATA("Sum of 2",SIMDAlarmsPivot!$B$4,"Year",A20)</f>
        <v>1479</v>
      </c>
      <c r="D20" s="369">
        <f>GETPIVOTDATA("Sum of 3",SIMDAlarmsPivot!$B$4,"Year",A20)</f>
        <v>1164</v>
      </c>
      <c r="E20" s="369">
        <f>GETPIVOTDATA("Sum of 4",SIMDAlarmsPivot!$B$4,"Year",A20)</f>
        <v>1004</v>
      </c>
      <c r="F20" s="369">
        <f>GETPIVOTDATA("Sum of 5 - Least Deprived 20%",SIMDAlarmsPivot!$B$4,"Year",A20)</f>
        <v>944</v>
      </c>
      <c r="G20" s="752">
        <f>GETPIVOTDATA("Sum of All Scotland",SIMDAlarmsPivot!$B$4,"Year",A20)</f>
        <v>5913</v>
      </c>
    </row>
    <row r="21" spans="1:11" ht="15" thickBot="1" x14ac:dyDescent="0.4">
      <c r="A21" s="525" t="s">
        <v>466</v>
      </c>
      <c r="B21" s="758">
        <f>GETPIVOTDATA("Sum of 1 - Most Deprived 20%",SIMDAlarmsPivot!$B$4,"Year",A21)</f>
        <v>941</v>
      </c>
      <c r="C21" s="758">
        <f>GETPIVOTDATA("Sum of 2",SIMDAlarmsPivot!$B$4,"Year",A21)</f>
        <v>1019</v>
      </c>
      <c r="D21" s="758">
        <f>GETPIVOTDATA("Sum of 3",SIMDAlarmsPivot!$B$4,"Year",A21)</f>
        <v>849</v>
      </c>
      <c r="E21" s="758">
        <f>GETPIVOTDATA("Sum of 4",SIMDAlarmsPivot!$B$4,"Year",A21)</f>
        <v>728</v>
      </c>
      <c r="F21" s="758">
        <f>GETPIVOTDATA("Sum of 5 - Least Deprived 20%",SIMDAlarmsPivot!$B$4,"Year",A21)</f>
        <v>653</v>
      </c>
      <c r="G21" s="888">
        <f>GETPIVOTDATA("Sum of All Scotland",SIMDAlarmsPivot!$B$4,"Year",A21)</f>
        <v>4190</v>
      </c>
    </row>
    <row r="23" spans="1:11" x14ac:dyDescent="0.35">
      <c r="A23" s="312" t="s">
        <v>329</v>
      </c>
    </row>
    <row r="24" spans="1:11" ht="15.75" customHeight="1" x14ac:dyDescent="0.35">
      <c r="A24" t="s">
        <v>1044</v>
      </c>
      <c r="H24" s="523"/>
      <c r="I24" s="523"/>
      <c r="J24" s="523"/>
      <c r="K24" s="523"/>
    </row>
    <row r="25" spans="1:11" ht="15.5" x14ac:dyDescent="0.35">
      <c r="A25" s="564" t="s">
        <v>1036</v>
      </c>
      <c r="H25" s="500"/>
      <c r="I25" s="500"/>
      <c r="J25" s="500"/>
      <c r="K25" s="500"/>
    </row>
    <row r="26" spans="1:11" ht="15.5" x14ac:dyDescent="0.35">
      <c r="A26" s="598" t="s">
        <v>1045</v>
      </c>
      <c r="H26" s="500"/>
      <c r="I26" s="500"/>
      <c r="J26" s="500"/>
      <c r="K26" s="500"/>
    </row>
    <row r="27" spans="1:11" ht="15.5" x14ac:dyDescent="0.35">
      <c r="A27" t="s">
        <v>1037</v>
      </c>
      <c r="H27" s="500"/>
      <c r="I27" s="500"/>
      <c r="J27" s="500"/>
      <c r="K27" s="500"/>
    </row>
    <row r="28" spans="1:11" ht="29.5" customHeight="1" x14ac:dyDescent="0.35">
      <c r="A28" s="1010" t="s">
        <v>1046</v>
      </c>
      <c r="B28" s="1010"/>
      <c r="C28" s="1010"/>
      <c r="D28" s="1010"/>
      <c r="E28" s="1010"/>
      <c r="F28" s="1010"/>
      <c r="G28" s="1010"/>
      <c r="H28" s="1010"/>
    </row>
    <row r="30" spans="1:11" ht="15.5" x14ac:dyDescent="0.35">
      <c r="A30" s="523" t="s">
        <v>1047</v>
      </c>
      <c r="B30" s="523"/>
      <c r="C30" s="523"/>
      <c r="D30" s="523"/>
      <c r="E30" s="523"/>
      <c r="F30" s="523"/>
      <c r="G30" s="523"/>
      <c r="H30" s="500"/>
      <c r="I30" s="500"/>
      <c r="J30" s="500"/>
      <c r="K30" s="500"/>
    </row>
    <row r="31" spans="1:11" ht="15.5" x14ac:dyDescent="0.35">
      <c r="A31" t="s">
        <v>202</v>
      </c>
      <c r="B31" t="s">
        <v>154</v>
      </c>
      <c r="C31" s="500"/>
      <c r="D31" s="500"/>
      <c r="E31" s="500"/>
      <c r="F31" s="500"/>
      <c r="G31" s="500"/>
    </row>
    <row r="32" spans="1:11" ht="15.5" x14ac:dyDescent="0.35">
      <c r="A32" t="s">
        <v>203</v>
      </c>
      <c r="B32" t="s">
        <v>204</v>
      </c>
      <c r="C32" s="500"/>
      <c r="D32" s="500"/>
      <c r="E32" s="500"/>
      <c r="F32" s="500"/>
      <c r="G32" s="500"/>
    </row>
    <row r="33" spans="1:7" ht="15.5" x14ac:dyDescent="0.35">
      <c r="A33" t="s">
        <v>205</v>
      </c>
      <c r="B33" t="s">
        <v>1033</v>
      </c>
      <c r="C33" s="500"/>
      <c r="D33" s="500"/>
      <c r="E33" s="500"/>
      <c r="F33" s="500"/>
      <c r="G33" s="500"/>
    </row>
    <row r="35" spans="1:7" x14ac:dyDescent="0.35">
      <c r="A35" s="312"/>
      <c r="C35" s="528"/>
      <c r="D35" s="529" t="s">
        <v>1048</v>
      </c>
      <c r="E35" s="528"/>
      <c r="F35" s="528"/>
    </row>
    <row r="36" spans="1:7" x14ac:dyDescent="0.35">
      <c r="A36" s="526" t="s">
        <v>207</v>
      </c>
      <c r="B36" s="648" t="s">
        <v>1025</v>
      </c>
      <c r="C36" s="648" t="s">
        <v>1026</v>
      </c>
      <c r="D36" s="648" t="s">
        <v>1027</v>
      </c>
      <c r="E36" s="648" t="s">
        <v>1028</v>
      </c>
      <c r="F36" s="648" t="s">
        <v>1029</v>
      </c>
      <c r="G36" s="648" t="s">
        <v>1031</v>
      </c>
    </row>
    <row r="37" spans="1:7" x14ac:dyDescent="0.35">
      <c r="A37" s="312" t="s">
        <v>365</v>
      </c>
      <c r="B37" s="893">
        <f>GETPIVOTDATA("Sum of 1 - Most Deprived 20%",SIMDAlarmsPivot!$B$25,"Year",A37)</f>
        <v>1.1000000000000001</v>
      </c>
      <c r="C37" s="893">
        <f>GETPIVOTDATA("Sum of 2",SIMDAlarmsPivot!$B$25,"Year",A37)</f>
        <v>1.2</v>
      </c>
      <c r="D37" s="893">
        <f>GETPIVOTDATA("Sum of 3",SIMDAlarmsPivot!$B$25,"Year",A37)</f>
        <v>1.1000000000000001</v>
      </c>
      <c r="E37" s="893">
        <f>GETPIVOTDATA("Sum of 4",SIMDAlarmsPivot!$B$25,"Year",A37)</f>
        <v>1</v>
      </c>
      <c r="F37" s="893">
        <f>GETPIVOTDATA("Sum of 5 - Least Deprived 20%",SIMDAlarmsPivot!$B$25,"Year",A37)</f>
        <v>1</v>
      </c>
      <c r="G37" s="896">
        <f>GETPIVOTDATA("Sum of All Scotland",SIMDAlarmsPivot!$B$25,"Year",A37)</f>
        <v>1.1000000000000001</v>
      </c>
    </row>
    <row r="38" spans="1:7" x14ac:dyDescent="0.35">
      <c r="A38" s="312" t="s">
        <v>366</v>
      </c>
      <c r="B38" s="893">
        <f>GETPIVOTDATA("Sum of 1 - Most Deprived 20%",SIMDAlarmsPivot!$B$25,"Year",A38)</f>
        <v>1.1000000000000001</v>
      </c>
      <c r="C38" s="893">
        <f>GETPIVOTDATA("Sum of 2",SIMDAlarmsPivot!$B$25,"Year",A38)</f>
        <v>1.3</v>
      </c>
      <c r="D38" s="893">
        <f>GETPIVOTDATA("Sum of 3",SIMDAlarmsPivot!$B$25,"Year",A38)</f>
        <v>1.2</v>
      </c>
      <c r="E38" s="893">
        <f>GETPIVOTDATA("Sum of 4",SIMDAlarmsPivot!$B$25,"Year",A38)</f>
        <v>1.1000000000000001</v>
      </c>
      <c r="F38" s="893">
        <f>GETPIVOTDATA("Sum of 5 - Least Deprived 20%",SIMDAlarmsPivot!$B$25,"Year",A38)</f>
        <v>1</v>
      </c>
      <c r="G38" s="896">
        <f>GETPIVOTDATA("Sum of All Scotland",SIMDAlarmsPivot!$B$25,"Year",A38)</f>
        <v>1.2</v>
      </c>
    </row>
    <row r="39" spans="1:7" x14ac:dyDescent="0.35">
      <c r="A39" s="312" t="s">
        <v>341</v>
      </c>
      <c r="B39" s="893">
        <f>GETPIVOTDATA("Sum of 1 - Most Deprived 20%",SIMDAlarmsPivot!$B$25,"Year",A39)</f>
        <v>1.1000000000000001</v>
      </c>
      <c r="C39" s="893">
        <f>GETPIVOTDATA("Sum of 2",SIMDAlarmsPivot!$B$25,"Year",A39)</f>
        <v>1.3</v>
      </c>
      <c r="D39" s="893">
        <f>GETPIVOTDATA("Sum of 3",SIMDAlarmsPivot!$B$25,"Year",A39)</f>
        <v>1.2</v>
      </c>
      <c r="E39" s="893">
        <f>GETPIVOTDATA("Sum of 4",SIMDAlarmsPivot!$B$25,"Year",A39)</f>
        <v>1.2</v>
      </c>
      <c r="F39" s="893">
        <f>GETPIVOTDATA("Sum of 5 - Least Deprived 20%",SIMDAlarmsPivot!$B$25,"Year",A39)</f>
        <v>1.1000000000000001</v>
      </c>
      <c r="G39" s="896">
        <f>GETPIVOTDATA("Sum of All Scotland",SIMDAlarmsPivot!$B$25,"Year",A39)</f>
        <v>1.2</v>
      </c>
    </row>
    <row r="40" spans="1:7" x14ac:dyDescent="0.35">
      <c r="A40" s="312" t="s">
        <v>342</v>
      </c>
      <c r="B40" s="893">
        <f>GETPIVOTDATA("Sum of 1 - Most Deprived 20%",SIMDAlarmsPivot!$B$25,"Year",A40)</f>
        <v>1</v>
      </c>
      <c r="C40" s="893">
        <f>GETPIVOTDATA("Sum of 2",SIMDAlarmsPivot!$B$25,"Year",A40)</f>
        <v>1.2</v>
      </c>
      <c r="D40" s="893">
        <f>GETPIVOTDATA("Sum of 3",SIMDAlarmsPivot!$B$25,"Year",A40)</f>
        <v>1.1000000000000001</v>
      </c>
      <c r="E40" s="893">
        <f>GETPIVOTDATA("Sum of 4",SIMDAlarmsPivot!$B$25,"Year",A40)</f>
        <v>1.1000000000000001</v>
      </c>
      <c r="F40" s="893">
        <f>GETPIVOTDATA("Sum of 5 - Least Deprived 20%",SIMDAlarmsPivot!$B$25,"Year",A40)</f>
        <v>1</v>
      </c>
      <c r="G40" s="896">
        <f>GETPIVOTDATA("Sum of All Scotland",SIMDAlarmsPivot!$B$25,"Year",A40)</f>
        <v>1.1000000000000001</v>
      </c>
    </row>
    <row r="41" spans="1:7" x14ac:dyDescent="0.35">
      <c r="A41" s="312" t="s">
        <v>214</v>
      </c>
      <c r="B41" s="893">
        <f>GETPIVOTDATA("Sum of 1 - Most Deprived 20%",SIMDAlarmsPivot!$B$25,"Year",A41)</f>
        <v>1</v>
      </c>
      <c r="C41" s="893">
        <f>GETPIVOTDATA("Sum of 2",SIMDAlarmsPivot!$B$25,"Year",A41)</f>
        <v>1.1000000000000001</v>
      </c>
      <c r="D41" s="893">
        <f>GETPIVOTDATA("Sum of 3",SIMDAlarmsPivot!$B$25,"Year",A41)</f>
        <v>1</v>
      </c>
      <c r="E41" s="893">
        <f>GETPIVOTDATA("Sum of 4",SIMDAlarmsPivot!$B$25,"Year",A41)</f>
        <v>0.9</v>
      </c>
      <c r="F41" s="893">
        <f>GETPIVOTDATA("Sum of 5 - Least Deprived 20%",SIMDAlarmsPivot!$B$25,"Year",A41)</f>
        <v>0.9</v>
      </c>
      <c r="G41" s="896">
        <f>GETPIVOTDATA("Sum of All Scotland",SIMDAlarmsPivot!$B$25,"Year",A41)</f>
        <v>1</v>
      </c>
    </row>
    <row r="42" spans="1:7" x14ac:dyDescent="0.35">
      <c r="A42" s="312" t="s">
        <v>313</v>
      </c>
      <c r="B42" s="893">
        <f>GETPIVOTDATA("Sum of 1 - Most Deprived 20%",SIMDAlarmsPivot!$B$25,"Year",A42)</f>
        <v>0.9</v>
      </c>
      <c r="C42" s="893">
        <f>GETPIVOTDATA("Sum of 2",SIMDAlarmsPivot!$B$25,"Year",A42)</f>
        <v>1</v>
      </c>
      <c r="D42" s="893">
        <f>GETPIVOTDATA("Sum of 3",SIMDAlarmsPivot!$B$25,"Year",A42)</f>
        <v>0.9</v>
      </c>
      <c r="E42" s="893">
        <f>GETPIVOTDATA("Sum of 4",SIMDAlarmsPivot!$B$25,"Year",A42)</f>
        <v>0.8</v>
      </c>
      <c r="F42" s="893">
        <f>GETPIVOTDATA("Sum of 5 - Least Deprived 20%",SIMDAlarmsPivot!$B$25,"Year",A42)</f>
        <v>0.8</v>
      </c>
      <c r="G42" s="896">
        <f>GETPIVOTDATA("Sum of All Scotland",SIMDAlarmsPivot!$B$25,"Year",A42)</f>
        <v>0.9</v>
      </c>
    </row>
    <row r="43" spans="1:7" x14ac:dyDescent="0.35">
      <c r="A43" s="312" t="s">
        <v>319</v>
      </c>
      <c r="B43" s="893">
        <f>GETPIVOTDATA("Sum of 1 - Most Deprived 20%",SIMDAlarmsPivot!$B$25,"Year",A43)</f>
        <v>0.3</v>
      </c>
      <c r="C43" s="893">
        <f>GETPIVOTDATA("Sum of 2",SIMDAlarmsPivot!$B$25,"Year",A43)</f>
        <v>0.3</v>
      </c>
      <c r="D43" s="893">
        <f>GETPIVOTDATA("Sum of 3",SIMDAlarmsPivot!$B$25,"Year",A43)</f>
        <v>0.3</v>
      </c>
      <c r="E43" s="893">
        <f>GETPIVOTDATA("Sum of 4",SIMDAlarmsPivot!$B$25,"Year",A43)</f>
        <v>0.3</v>
      </c>
      <c r="F43" s="893">
        <f>GETPIVOTDATA("Sum of 5 - Least Deprived 20%",SIMDAlarmsPivot!$B$25,"Year",A43)</f>
        <v>0.3</v>
      </c>
      <c r="G43" s="896">
        <f>GETPIVOTDATA("Sum of All Scotland",SIMDAlarmsPivot!$B$25,"Year",A43)</f>
        <v>0.3</v>
      </c>
    </row>
    <row r="44" spans="1:7" x14ac:dyDescent="0.35">
      <c r="A44" s="312" t="s">
        <v>321</v>
      </c>
      <c r="B44" s="894">
        <f>GETPIVOTDATA("Sum of 1 - Most Deprived 20%",SIMDAlarmsPivot!$B$25,"Year",A44)</f>
        <v>0</v>
      </c>
      <c r="C44" s="894">
        <f>GETPIVOTDATA("Sum of 2",SIMDAlarmsPivot!$B$25,"Year",A44)</f>
        <v>0</v>
      </c>
      <c r="D44" s="894">
        <f>GETPIVOTDATA("Sum of 3",SIMDAlarmsPivot!$B$25,"Year",A44)</f>
        <v>0</v>
      </c>
      <c r="E44" s="894">
        <f>GETPIVOTDATA("Sum of 4",SIMDAlarmsPivot!$B$25,"Year",A44)</f>
        <v>0</v>
      </c>
      <c r="F44" s="894">
        <f>GETPIVOTDATA("Sum of 5 - Least Deprived 20%",SIMDAlarmsPivot!$B$25,"Year",A44)</f>
        <v>0</v>
      </c>
      <c r="G44" s="897">
        <f>GETPIVOTDATA("Sum of All Scotland",SIMDAlarmsPivot!$B$25,"Year",A44)</f>
        <v>0</v>
      </c>
    </row>
    <row r="45" spans="1:7" x14ac:dyDescent="0.35">
      <c r="A45" s="312" t="s">
        <v>326</v>
      </c>
      <c r="B45" s="894">
        <f>GETPIVOTDATA("Sum of 1 - Most Deprived 20%",SIMDAlarmsPivot!$B$25,"Year",A45)</f>
        <v>0</v>
      </c>
      <c r="C45" s="894">
        <f>GETPIVOTDATA("Sum of 2",SIMDAlarmsPivot!$B$25,"Year",A45)</f>
        <v>0</v>
      </c>
      <c r="D45" s="894">
        <f>GETPIVOTDATA("Sum of 3",SIMDAlarmsPivot!$B$25,"Year",A45)</f>
        <v>0</v>
      </c>
      <c r="E45" s="894">
        <f>GETPIVOTDATA("Sum of 4",SIMDAlarmsPivot!$B$25,"Year",A45)</f>
        <v>0</v>
      </c>
      <c r="F45" s="894">
        <f>GETPIVOTDATA("Sum of 5 - Least Deprived 20%",SIMDAlarmsPivot!$B$25,"Year",A45)</f>
        <v>0</v>
      </c>
      <c r="G45" s="897">
        <f>GETPIVOTDATA("Sum of All Scotland",SIMDAlarmsPivot!$B$25,"Year",A45)</f>
        <v>0</v>
      </c>
    </row>
    <row r="46" spans="1:7" x14ac:dyDescent="0.35">
      <c r="A46" s="312" t="s">
        <v>327</v>
      </c>
      <c r="B46" s="893">
        <f>GETPIVOTDATA("Sum of 1 - Most Deprived 20%",SIMDAlarmsPivot!$B$25,"Year",A46)</f>
        <v>0.2</v>
      </c>
      <c r="C46" s="893">
        <f>GETPIVOTDATA("Sum of 2",SIMDAlarmsPivot!$B$25,"Year",A46)</f>
        <v>0.3</v>
      </c>
      <c r="D46" s="893">
        <f>GETPIVOTDATA("Sum of 3",SIMDAlarmsPivot!$B$25,"Year",A46)</f>
        <v>0.2</v>
      </c>
      <c r="E46" s="893">
        <f>GETPIVOTDATA("Sum of 4",SIMDAlarmsPivot!$B$25,"Year",A46)</f>
        <v>0.2</v>
      </c>
      <c r="F46" s="893">
        <f>GETPIVOTDATA("Sum of 5 - Least Deprived 20%",SIMDAlarmsPivot!$B$25,"Year",A46)</f>
        <v>0.2</v>
      </c>
      <c r="G46" s="896">
        <f>GETPIVOTDATA("Sum of All Scotland",SIMDAlarmsPivot!$B$25,"Year",A46)</f>
        <v>0.2</v>
      </c>
    </row>
    <row r="47" spans="1:7" ht="15" thickBot="1" x14ac:dyDescent="0.4">
      <c r="A47" s="525" t="s">
        <v>466</v>
      </c>
      <c r="B47" s="895">
        <f>GETPIVOTDATA("Sum of 1 - Most Deprived 20%",SIMDAlarmsPivot!$B$25,"Year",A47)</f>
        <v>0.2</v>
      </c>
      <c r="C47" s="895">
        <f>GETPIVOTDATA("Sum of 2",SIMDAlarmsPivot!$B$25,"Year",A47)</f>
        <v>0.2</v>
      </c>
      <c r="D47" s="895">
        <f>GETPIVOTDATA("Sum of 3",SIMDAlarmsPivot!$B$25,"Year",A47)</f>
        <v>0.2</v>
      </c>
      <c r="E47" s="895">
        <f>GETPIVOTDATA("Sum of 4",SIMDAlarmsPivot!$B$25,"Year",A47)</f>
        <v>0.1</v>
      </c>
      <c r="F47" s="895">
        <f>GETPIVOTDATA("Sum of 5 - Least Deprived 20%",SIMDAlarmsPivot!$B$25,"Year",A47)</f>
        <v>0.1</v>
      </c>
      <c r="G47" s="898">
        <f>GETPIVOTDATA("Sum of All Scotland",SIMDAlarmsPivot!$B$25,"Year",A47)</f>
        <v>0.2</v>
      </c>
    </row>
    <row r="49" spans="1:8" x14ac:dyDescent="0.35">
      <c r="A49" s="312" t="s">
        <v>329</v>
      </c>
    </row>
    <row r="50" spans="1:8" x14ac:dyDescent="0.35">
      <c r="A50" t="s">
        <v>1044</v>
      </c>
    </row>
    <row r="51" spans="1:8" x14ac:dyDescent="0.35">
      <c r="A51" s="564" t="s">
        <v>1036</v>
      </c>
    </row>
    <row r="52" spans="1:8" x14ac:dyDescent="0.35">
      <c r="A52" s="499" t="s">
        <v>1041</v>
      </c>
    </row>
    <row r="53" spans="1:8" x14ac:dyDescent="0.35">
      <c r="A53" s="598" t="s">
        <v>1045</v>
      </c>
    </row>
    <row r="54" spans="1:8" ht="27.65" customHeight="1" x14ac:dyDescent="0.35">
      <c r="A54" s="1010" t="s">
        <v>1046</v>
      </c>
      <c r="B54" s="1010"/>
      <c r="C54" s="1010"/>
      <c r="D54" s="1010"/>
      <c r="E54" s="1010"/>
      <c r="F54" s="1010"/>
      <c r="G54" s="1010"/>
      <c r="H54" s="1010"/>
    </row>
  </sheetData>
  <sheetProtection algorithmName="SHA-512" hashValue="1ZkWjFH5sXMHA9WeFpUoU7t7iKytWm/hLlm0+CvyuyBQy19OZwk+HX+EyKNwbaBBniNPraYFsdgeV4cZway6dw==" saltValue="Bpl9kebsJ9o08EUxui7JVQ==" spinCount="100000" sheet="1" scenarios="1" formatCells="0" sort="0" autoFilter="0" pivotTables="0"/>
  <mergeCells count="2">
    <mergeCell ref="A28:H28"/>
    <mergeCell ref="A54:H54"/>
  </mergeCells>
  <hyperlinks>
    <hyperlink ref="A2" location="'Table of Contents'!A1" display="Back to Table of Contents" xr:uid="{00000000-0004-0000-8700-000000000000}"/>
    <hyperlink ref="A25" r:id="rId1" xr:uid="{00000000-0004-0000-8700-000001000000}"/>
    <hyperlink ref="A51" r:id="rId2" xr:uid="{00000000-0004-0000-8700-000002000000}"/>
    <hyperlink ref="A52" r:id="rId3" xr:uid="{00000000-0004-0000-8700-000003000000}"/>
  </hyperlinks>
  <pageMargins left="0.7" right="0.7" top="0.75" bottom="0.75" header="0.3" footer="0.3"/>
  <pageSetup paperSize="9" orientation="portrait" r:id="rId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6651-C97F-4CCA-B093-6321F106D5F7}">
  <sheetPr>
    <tabColor theme="7" tint="-0.249977111117893"/>
  </sheetPr>
  <dimension ref="B4:I18"/>
  <sheetViews>
    <sheetView topLeftCell="A3" workbookViewId="0">
      <selection activeCell="D10" sqref="D10"/>
    </sheetView>
  </sheetViews>
  <sheetFormatPr defaultRowHeight="14.5" x14ac:dyDescent="0.35"/>
  <cols>
    <col min="2" max="2" width="19.90625" bestFit="1" customWidth="1"/>
    <col min="3" max="3" width="15.26953125" bestFit="1" customWidth="1"/>
    <col min="4" max="4" width="5.81640625" bestFit="1" customWidth="1"/>
    <col min="5" max="5" width="4.81640625" bestFit="1" customWidth="1"/>
    <col min="6" max="7" width="5.81640625" bestFit="1" customWidth="1"/>
    <col min="8" max="8" width="5" bestFit="1" customWidth="1"/>
    <col min="9" max="9" width="10.7265625" bestFit="1" customWidth="1"/>
    <col min="10" max="13" width="5.81640625" bestFit="1" customWidth="1"/>
    <col min="14" max="14" width="6.7265625" bestFit="1" customWidth="1"/>
    <col min="15" max="15" width="19.81640625" bestFit="1" customWidth="1"/>
    <col min="16" max="18" width="5.81640625" bestFit="1" customWidth="1"/>
    <col min="19" max="19" width="4.81640625" bestFit="1" customWidth="1"/>
    <col min="20" max="20" width="6.7265625" bestFit="1" customWidth="1"/>
    <col min="21" max="21" width="43.81640625" bestFit="1" customWidth="1"/>
    <col min="22" max="25" width="4.81640625" bestFit="1" customWidth="1"/>
    <col min="26" max="26" width="6.7265625" bestFit="1" customWidth="1"/>
    <col min="27" max="27" width="23" bestFit="1" customWidth="1"/>
    <col min="28" max="31" width="7.81640625" bestFit="1" customWidth="1"/>
    <col min="32" max="32" width="6.7265625" bestFit="1" customWidth="1"/>
    <col min="33" max="33" width="16.453125" bestFit="1" customWidth="1"/>
    <col min="34" max="34" width="27" bestFit="1" customWidth="1"/>
    <col min="35" max="35" width="24.7265625" bestFit="1" customWidth="1"/>
    <col min="36" max="36" width="48.54296875" bestFit="1" customWidth="1"/>
    <col min="37" max="37" width="27.81640625" bestFit="1" customWidth="1"/>
  </cols>
  <sheetData>
    <row r="4" spans="2:9" x14ac:dyDescent="0.35">
      <c r="B4" s="387" t="s">
        <v>1049</v>
      </c>
      <c r="C4" s="387" t="s">
        <v>412</v>
      </c>
    </row>
    <row r="5" spans="2:9" x14ac:dyDescent="0.35">
      <c r="B5" s="387" t="s">
        <v>350</v>
      </c>
      <c r="C5">
        <v>1</v>
      </c>
      <c r="D5">
        <v>2</v>
      </c>
      <c r="E5">
        <v>3</v>
      </c>
      <c r="F5">
        <v>4</v>
      </c>
      <c r="G5">
        <v>5</v>
      </c>
      <c r="H5" t="s">
        <v>1294</v>
      </c>
      <c r="I5" t="s">
        <v>357</v>
      </c>
    </row>
    <row r="6" spans="2:9" x14ac:dyDescent="0.35">
      <c r="B6" s="388" t="s">
        <v>365</v>
      </c>
      <c r="C6">
        <v>54.9</v>
      </c>
      <c r="D6">
        <v>57.6</v>
      </c>
      <c r="E6">
        <v>55.4</v>
      </c>
      <c r="F6">
        <v>56.7</v>
      </c>
      <c r="G6">
        <v>57.1</v>
      </c>
      <c r="I6">
        <v>281.70000000000005</v>
      </c>
    </row>
    <row r="7" spans="2:9" x14ac:dyDescent="0.35">
      <c r="B7" s="388" t="s">
        <v>366</v>
      </c>
      <c r="C7">
        <v>53.9</v>
      </c>
      <c r="D7">
        <v>55.6</v>
      </c>
      <c r="E7">
        <v>55.7</v>
      </c>
      <c r="F7">
        <v>53.4</v>
      </c>
      <c r="G7">
        <v>55.9</v>
      </c>
      <c r="I7">
        <v>274.5</v>
      </c>
    </row>
    <row r="8" spans="2:9" x14ac:dyDescent="0.35">
      <c r="B8" s="388" t="s">
        <v>341</v>
      </c>
      <c r="C8">
        <v>54.7</v>
      </c>
      <c r="D8">
        <v>56.6</v>
      </c>
      <c r="E8">
        <v>54.6</v>
      </c>
      <c r="F8">
        <v>53.4</v>
      </c>
      <c r="G8">
        <v>56</v>
      </c>
      <c r="I8">
        <v>275.3</v>
      </c>
    </row>
    <row r="9" spans="2:9" x14ac:dyDescent="0.35">
      <c r="B9" s="388" t="s">
        <v>342</v>
      </c>
      <c r="C9">
        <v>52.7</v>
      </c>
      <c r="D9">
        <v>56.9</v>
      </c>
      <c r="E9">
        <v>54.7</v>
      </c>
      <c r="F9">
        <v>53.2</v>
      </c>
      <c r="G9">
        <v>56.9</v>
      </c>
      <c r="I9">
        <v>274.39999999999998</v>
      </c>
    </row>
    <row r="10" spans="2:9" x14ac:dyDescent="0.35">
      <c r="B10" s="388" t="s">
        <v>214</v>
      </c>
      <c r="C10">
        <v>52.2</v>
      </c>
      <c r="D10">
        <v>54.3</v>
      </c>
      <c r="E10">
        <v>52</v>
      </c>
      <c r="F10">
        <v>51.2</v>
      </c>
      <c r="G10">
        <v>52.2</v>
      </c>
      <c r="I10">
        <v>261.89999999999998</v>
      </c>
    </row>
    <row r="11" spans="2:9" x14ac:dyDescent="0.35">
      <c r="B11" s="388" t="s">
        <v>313</v>
      </c>
      <c r="C11">
        <v>49.1</v>
      </c>
      <c r="D11">
        <v>52.4</v>
      </c>
      <c r="E11">
        <v>48.8</v>
      </c>
      <c r="F11">
        <v>46.4</v>
      </c>
      <c r="G11">
        <v>49</v>
      </c>
      <c r="I11">
        <v>245.70000000000002</v>
      </c>
    </row>
    <row r="12" spans="2:9" x14ac:dyDescent="0.35">
      <c r="B12" s="388" t="s">
        <v>319</v>
      </c>
      <c r="C12">
        <v>55.7</v>
      </c>
      <c r="D12">
        <v>55.5</v>
      </c>
      <c r="E12">
        <v>53.5</v>
      </c>
      <c r="F12">
        <v>55.1</v>
      </c>
      <c r="G12">
        <v>56.8</v>
      </c>
      <c r="I12">
        <v>276.59999999999997</v>
      </c>
    </row>
    <row r="13" spans="2:9" x14ac:dyDescent="0.35">
      <c r="B13" s="388" t="s">
        <v>321</v>
      </c>
      <c r="C13">
        <v>0</v>
      </c>
      <c r="D13">
        <v>0</v>
      </c>
      <c r="E13">
        <v>0</v>
      </c>
      <c r="F13">
        <v>0</v>
      </c>
      <c r="G13">
        <v>0</v>
      </c>
      <c r="I13">
        <v>0</v>
      </c>
    </row>
    <row r="14" spans="2:9" x14ac:dyDescent="0.35">
      <c r="B14" s="388" t="s">
        <v>326</v>
      </c>
      <c r="C14">
        <v>0</v>
      </c>
      <c r="D14">
        <v>0</v>
      </c>
      <c r="E14">
        <v>0</v>
      </c>
      <c r="F14">
        <v>0</v>
      </c>
      <c r="G14">
        <v>0</v>
      </c>
      <c r="I14">
        <v>0</v>
      </c>
    </row>
    <row r="15" spans="2:9" x14ac:dyDescent="0.35">
      <c r="B15" s="388" t="s">
        <v>327</v>
      </c>
      <c r="C15">
        <v>35.5</v>
      </c>
      <c r="D15">
        <v>31.5</v>
      </c>
      <c r="E15">
        <v>26.9</v>
      </c>
      <c r="F15">
        <v>23.3</v>
      </c>
      <c r="G15">
        <v>23.9</v>
      </c>
      <c r="I15">
        <v>141.1</v>
      </c>
    </row>
    <row r="16" spans="2:9" x14ac:dyDescent="0.35">
      <c r="B16" s="388" t="s">
        <v>1294</v>
      </c>
      <c r="H16">
        <v>0</v>
      </c>
      <c r="I16">
        <v>0</v>
      </c>
    </row>
    <row r="17" spans="2:9" x14ac:dyDescent="0.35">
      <c r="B17" s="388" t="s">
        <v>466</v>
      </c>
      <c r="C17">
        <v>37.799999999999997</v>
      </c>
      <c r="D17">
        <v>31.8</v>
      </c>
      <c r="E17">
        <v>30.4</v>
      </c>
      <c r="F17">
        <v>24.9</v>
      </c>
      <c r="G17">
        <v>24.3</v>
      </c>
      <c r="I17">
        <v>149.20000000000002</v>
      </c>
    </row>
    <row r="18" spans="2:9" x14ac:dyDescent="0.35">
      <c r="B18" s="388" t="s">
        <v>357</v>
      </c>
      <c r="C18">
        <v>446.5</v>
      </c>
      <c r="D18">
        <v>452.2</v>
      </c>
      <c r="E18">
        <v>431.99999999999994</v>
      </c>
      <c r="F18">
        <v>417.59999999999997</v>
      </c>
      <c r="G18">
        <v>432.1</v>
      </c>
      <c r="H18">
        <v>0</v>
      </c>
      <c r="I18">
        <v>2180.4</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64149-0771-441B-910F-A5498907D32E}">
  <sheetPr>
    <tabColor theme="7" tint="-0.249977111117893"/>
  </sheetPr>
  <dimension ref="A1:G57"/>
  <sheetViews>
    <sheetView workbookViewId="0"/>
  </sheetViews>
  <sheetFormatPr defaultRowHeight="14.5" x14ac:dyDescent="0.35"/>
  <cols>
    <col min="1" max="1" width="7.453125" bestFit="1" customWidth="1"/>
    <col min="2" max="2" width="19.7265625" bestFit="1" customWidth="1"/>
    <col min="3" max="3" width="7.90625" bestFit="1" customWidth="1"/>
    <col min="4" max="4" width="18.54296875" bestFit="1" customWidth="1"/>
    <col min="5" max="5" width="16.1796875" bestFit="1" customWidth="1"/>
    <col min="6" max="6" width="40.90625" bestFit="1" customWidth="1"/>
    <col min="7" max="7" width="19.7265625" bestFit="1" customWidth="1"/>
  </cols>
  <sheetData>
    <row r="1" spans="1:7" x14ac:dyDescent="0.35">
      <c r="A1" t="s">
        <v>606</v>
      </c>
      <c r="B1" t="s">
        <v>1050</v>
      </c>
      <c r="C1" t="s">
        <v>1016</v>
      </c>
      <c r="D1" t="s">
        <v>1051</v>
      </c>
      <c r="E1" t="s">
        <v>1052</v>
      </c>
      <c r="F1" t="s">
        <v>1053</v>
      </c>
      <c r="G1" t="s">
        <v>1054</v>
      </c>
    </row>
    <row r="2" spans="1:7" x14ac:dyDescent="0.35">
      <c r="A2" t="s">
        <v>1294</v>
      </c>
      <c r="B2" t="s">
        <v>1294</v>
      </c>
      <c r="C2" t="s">
        <v>1294</v>
      </c>
      <c r="D2" t="s">
        <v>1294</v>
      </c>
      <c r="E2" t="s">
        <v>1294</v>
      </c>
      <c r="F2" t="s">
        <v>1294</v>
      </c>
      <c r="G2" t="s">
        <v>1294</v>
      </c>
    </row>
    <row r="3" spans="1:7" x14ac:dyDescent="0.35">
      <c r="A3" t="s">
        <v>365</v>
      </c>
      <c r="B3">
        <v>1</v>
      </c>
      <c r="C3">
        <v>5311</v>
      </c>
      <c r="D3">
        <v>2914</v>
      </c>
      <c r="E3">
        <v>54.9</v>
      </c>
      <c r="F3">
        <v>0.55000000000000004</v>
      </c>
      <c r="G3">
        <v>525964</v>
      </c>
    </row>
    <row r="4" spans="1:7" x14ac:dyDescent="0.35">
      <c r="A4" t="s">
        <v>365</v>
      </c>
      <c r="B4">
        <v>2</v>
      </c>
      <c r="C4">
        <v>7232</v>
      </c>
      <c r="D4">
        <v>4166</v>
      </c>
      <c r="E4">
        <v>57.6</v>
      </c>
      <c r="F4">
        <v>0.83</v>
      </c>
      <c r="G4">
        <v>504692</v>
      </c>
    </row>
    <row r="5" spans="1:7" x14ac:dyDescent="0.35">
      <c r="A5" t="s">
        <v>365</v>
      </c>
      <c r="B5">
        <v>3</v>
      </c>
      <c r="C5">
        <v>7001</v>
      </c>
      <c r="D5">
        <v>3879</v>
      </c>
      <c r="E5">
        <v>55.4</v>
      </c>
      <c r="F5">
        <v>0.79</v>
      </c>
      <c r="G5">
        <v>488191</v>
      </c>
    </row>
    <row r="6" spans="1:7" x14ac:dyDescent="0.35">
      <c r="A6" t="s">
        <v>365</v>
      </c>
      <c r="B6">
        <v>4</v>
      </c>
      <c r="C6">
        <v>7027</v>
      </c>
      <c r="D6">
        <v>3984</v>
      </c>
      <c r="E6">
        <v>56.7</v>
      </c>
      <c r="F6">
        <v>0.85</v>
      </c>
      <c r="G6">
        <v>467642</v>
      </c>
    </row>
    <row r="7" spans="1:7" x14ac:dyDescent="0.35">
      <c r="A7" t="s">
        <v>365</v>
      </c>
      <c r="B7">
        <v>5</v>
      </c>
      <c r="C7">
        <v>6863</v>
      </c>
      <c r="D7">
        <v>3917</v>
      </c>
      <c r="E7">
        <v>57.1</v>
      </c>
      <c r="F7">
        <v>0.87</v>
      </c>
      <c r="G7">
        <v>449892</v>
      </c>
    </row>
    <row r="8" spans="1:7" x14ac:dyDescent="0.35">
      <c r="A8" t="s">
        <v>366</v>
      </c>
      <c r="B8">
        <v>1</v>
      </c>
      <c r="C8">
        <v>5852</v>
      </c>
      <c r="D8">
        <v>3156</v>
      </c>
      <c r="E8">
        <v>53.9</v>
      </c>
      <c r="F8">
        <v>0.6</v>
      </c>
      <c r="G8">
        <v>528323</v>
      </c>
    </row>
    <row r="9" spans="1:7" x14ac:dyDescent="0.35">
      <c r="A9" t="s">
        <v>366</v>
      </c>
      <c r="B9">
        <v>2</v>
      </c>
      <c r="C9">
        <v>8111</v>
      </c>
      <c r="D9">
        <v>4507</v>
      </c>
      <c r="E9">
        <v>55.6</v>
      </c>
      <c r="F9">
        <v>0.89</v>
      </c>
      <c r="G9">
        <v>506910</v>
      </c>
    </row>
    <row r="10" spans="1:7" x14ac:dyDescent="0.35">
      <c r="A10" t="s">
        <v>366</v>
      </c>
      <c r="B10">
        <v>3</v>
      </c>
      <c r="C10">
        <v>7986</v>
      </c>
      <c r="D10">
        <v>4448</v>
      </c>
      <c r="E10">
        <v>55.7</v>
      </c>
      <c r="F10">
        <v>0.91</v>
      </c>
      <c r="G10">
        <v>490270</v>
      </c>
    </row>
    <row r="11" spans="1:7" x14ac:dyDescent="0.35">
      <c r="A11" t="s">
        <v>366</v>
      </c>
      <c r="B11">
        <v>4</v>
      </c>
      <c r="C11">
        <v>8176</v>
      </c>
      <c r="D11">
        <v>4368</v>
      </c>
      <c r="E11">
        <v>53.4</v>
      </c>
      <c r="F11">
        <v>0.92</v>
      </c>
      <c r="G11">
        <v>472964</v>
      </c>
    </row>
    <row r="12" spans="1:7" x14ac:dyDescent="0.35">
      <c r="A12" t="s">
        <v>366</v>
      </c>
      <c r="B12">
        <v>5</v>
      </c>
      <c r="C12">
        <v>7333</v>
      </c>
      <c r="D12">
        <v>4100</v>
      </c>
      <c r="E12">
        <v>55.9</v>
      </c>
      <c r="F12">
        <v>0.9</v>
      </c>
      <c r="G12">
        <v>453045</v>
      </c>
    </row>
    <row r="13" spans="1:7" x14ac:dyDescent="0.35">
      <c r="A13" t="s">
        <v>341</v>
      </c>
      <c r="B13">
        <v>1</v>
      </c>
      <c r="C13">
        <v>5988</v>
      </c>
      <c r="D13">
        <v>3276</v>
      </c>
      <c r="E13">
        <v>54.7</v>
      </c>
      <c r="F13">
        <v>0.62</v>
      </c>
      <c r="G13">
        <v>530637</v>
      </c>
    </row>
    <row r="14" spans="1:7" x14ac:dyDescent="0.35">
      <c r="A14" t="s">
        <v>341</v>
      </c>
      <c r="B14">
        <v>2</v>
      </c>
      <c r="C14">
        <v>8378</v>
      </c>
      <c r="D14">
        <v>4745</v>
      </c>
      <c r="E14">
        <v>56.6</v>
      </c>
      <c r="F14">
        <v>0.93</v>
      </c>
      <c r="G14">
        <v>509500</v>
      </c>
    </row>
    <row r="15" spans="1:7" x14ac:dyDescent="0.35">
      <c r="A15" t="s">
        <v>341</v>
      </c>
      <c r="B15">
        <v>3</v>
      </c>
      <c r="C15">
        <v>8563</v>
      </c>
      <c r="D15">
        <v>4675</v>
      </c>
      <c r="E15">
        <v>54.6</v>
      </c>
      <c r="F15">
        <v>0.95</v>
      </c>
      <c r="G15">
        <v>494416</v>
      </c>
    </row>
    <row r="16" spans="1:7" x14ac:dyDescent="0.35">
      <c r="A16" t="s">
        <v>341</v>
      </c>
      <c r="B16">
        <v>4</v>
      </c>
      <c r="C16">
        <v>8892</v>
      </c>
      <c r="D16">
        <v>4750</v>
      </c>
      <c r="E16">
        <v>53.4</v>
      </c>
      <c r="F16">
        <v>0.99</v>
      </c>
      <c r="G16">
        <v>479897</v>
      </c>
    </row>
    <row r="17" spans="1:7" x14ac:dyDescent="0.35">
      <c r="A17" t="s">
        <v>341</v>
      </c>
      <c r="B17">
        <v>5</v>
      </c>
      <c r="C17">
        <v>7902</v>
      </c>
      <c r="D17">
        <v>4428</v>
      </c>
      <c r="E17">
        <v>56</v>
      </c>
      <c r="F17">
        <v>0.97</v>
      </c>
      <c r="G17">
        <v>455604</v>
      </c>
    </row>
    <row r="18" spans="1:7" x14ac:dyDescent="0.35">
      <c r="A18" t="s">
        <v>342</v>
      </c>
      <c r="B18">
        <v>1</v>
      </c>
      <c r="C18">
        <v>6009</v>
      </c>
      <c r="D18">
        <v>3169</v>
      </c>
      <c r="E18">
        <v>52.7</v>
      </c>
      <c r="F18">
        <v>0.6</v>
      </c>
      <c r="G18">
        <v>532256</v>
      </c>
    </row>
    <row r="19" spans="1:7" x14ac:dyDescent="0.35">
      <c r="A19" t="s">
        <v>342</v>
      </c>
      <c r="B19">
        <v>2</v>
      </c>
      <c r="C19">
        <v>8141</v>
      </c>
      <c r="D19">
        <v>4633</v>
      </c>
      <c r="E19">
        <v>56.9</v>
      </c>
      <c r="F19">
        <v>0.9</v>
      </c>
      <c r="G19">
        <v>512529</v>
      </c>
    </row>
    <row r="20" spans="1:7" x14ac:dyDescent="0.35">
      <c r="A20" t="s">
        <v>342</v>
      </c>
      <c r="B20">
        <v>3</v>
      </c>
      <c r="C20">
        <v>8217</v>
      </c>
      <c r="D20">
        <v>4491</v>
      </c>
      <c r="E20">
        <v>54.7</v>
      </c>
      <c r="F20">
        <v>0.9</v>
      </c>
      <c r="G20">
        <v>498164</v>
      </c>
    </row>
    <row r="21" spans="1:7" x14ac:dyDescent="0.35">
      <c r="A21" t="s">
        <v>342</v>
      </c>
      <c r="B21">
        <v>4</v>
      </c>
      <c r="C21">
        <v>8475</v>
      </c>
      <c r="D21">
        <v>4510</v>
      </c>
      <c r="E21">
        <v>53.2</v>
      </c>
      <c r="F21">
        <v>0.93</v>
      </c>
      <c r="G21">
        <v>487395</v>
      </c>
    </row>
    <row r="22" spans="1:7" x14ac:dyDescent="0.35">
      <c r="A22" t="s">
        <v>342</v>
      </c>
      <c r="B22">
        <v>5</v>
      </c>
      <c r="C22">
        <v>7496</v>
      </c>
      <c r="D22">
        <v>4264</v>
      </c>
      <c r="E22">
        <v>56.9</v>
      </c>
      <c r="F22">
        <v>0.93</v>
      </c>
      <c r="G22">
        <v>459499</v>
      </c>
    </row>
    <row r="23" spans="1:7" x14ac:dyDescent="0.35">
      <c r="A23" t="s">
        <v>214</v>
      </c>
      <c r="B23">
        <v>1</v>
      </c>
      <c r="C23">
        <v>5680</v>
      </c>
      <c r="D23">
        <v>2967</v>
      </c>
      <c r="E23">
        <v>52.2</v>
      </c>
      <c r="F23">
        <v>0.56000000000000005</v>
      </c>
      <c r="G23">
        <v>534275</v>
      </c>
    </row>
    <row r="24" spans="1:7" x14ac:dyDescent="0.35">
      <c r="A24" t="s">
        <v>214</v>
      </c>
      <c r="B24">
        <v>2</v>
      </c>
      <c r="C24">
        <v>7500</v>
      </c>
      <c r="D24">
        <v>4073</v>
      </c>
      <c r="E24">
        <v>54.3</v>
      </c>
      <c r="F24">
        <v>0.79</v>
      </c>
      <c r="G24">
        <v>514316</v>
      </c>
    </row>
    <row r="25" spans="1:7" x14ac:dyDescent="0.35">
      <c r="A25" t="s">
        <v>214</v>
      </c>
      <c r="B25">
        <v>3</v>
      </c>
      <c r="C25">
        <v>7662</v>
      </c>
      <c r="D25">
        <v>3983</v>
      </c>
      <c r="E25">
        <v>52</v>
      </c>
      <c r="F25">
        <v>0.8</v>
      </c>
      <c r="G25">
        <v>500858</v>
      </c>
    </row>
    <row r="26" spans="1:7" x14ac:dyDescent="0.35">
      <c r="A26" t="s">
        <v>214</v>
      </c>
      <c r="B26">
        <v>4</v>
      </c>
      <c r="C26">
        <v>7415</v>
      </c>
      <c r="D26">
        <v>3799</v>
      </c>
      <c r="E26">
        <v>51.2</v>
      </c>
      <c r="F26">
        <v>0.77</v>
      </c>
      <c r="G26">
        <v>493970</v>
      </c>
    </row>
    <row r="27" spans="1:7" x14ac:dyDescent="0.35">
      <c r="A27" t="s">
        <v>214</v>
      </c>
      <c r="B27">
        <v>5</v>
      </c>
      <c r="C27">
        <v>7074</v>
      </c>
      <c r="D27">
        <v>3690</v>
      </c>
      <c r="E27">
        <v>52.2</v>
      </c>
      <c r="F27">
        <v>0.8</v>
      </c>
      <c r="G27">
        <v>463248</v>
      </c>
    </row>
    <row r="28" spans="1:7" x14ac:dyDescent="0.35">
      <c r="A28" t="s">
        <v>313</v>
      </c>
      <c r="B28">
        <v>1</v>
      </c>
      <c r="C28">
        <v>5596</v>
      </c>
      <c r="D28">
        <v>2750</v>
      </c>
      <c r="E28">
        <v>49.1</v>
      </c>
      <c r="F28">
        <v>0.51</v>
      </c>
      <c r="G28">
        <v>536037</v>
      </c>
    </row>
    <row r="29" spans="1:7" x14ac:dyDescent="0.35">
      <c r="A29" t="s">
        <v>313</v>
      </c>
      <c r="B29">
        <v>2</v>
      </c>
      <c r="C29">
        <v>7144</v>
      </c>
      <c r="D29">
        <v>3747</v>
      </c>
      <c r="E29">
        <v>52.4</v>
      </c>
      <c r="F29">
        <v>0.72</v>
      </c>
      <c r="G29">
        <v>518089</v>
      </c>
    </row>
    <row r="30" spans="1:7" x14ac:dyDescent="0.35">
      <c r="A30" t="s">
        <v>313</v>
      </c>
      <c r="B30">
        <v>3</v>
      </c>
      <c r="C30">
        <v>7292</v>
      </c>
      <c r="D30">
        <v>3557</v>
      </c>
      <c r="E30">
        <v>48.8</v>
      </c>
      <c r="F30">
        <v>0.7</v>
      </c>
      <c r="G30">
        <v>505001</v>
      </c>
    </row>
    <row r="31" spans="1:7" x14ac:dyDescent="0.35">
      <c r="A31" t="s">
        <v>313</v>
      </c>
      <c r="B31">
        <v>4</v>
      </c>
      <c r="C31">
        <v>7621</v>
      </c>
      <c r="D31">
        <v>3533</v>
      </c>
      <c r="E31">
        <v>46.4</v>
      </c>
      <c r="F31">
        <v>0.7</v>
      </c>
      <c r="G31">
        <v>501595</v>
      </c>
    </row>
    <row r="32" spans="1:7" x14ac:dyDescent="0.35">
      <c r="A32" t="s">
        <v>313</v>
      </c>
      <c r="B32">
        <v>5</v>
      </c>
      <c r="C32">
        <v>6942</v>
      </c>
      <c r="D32">
        <v>3404</v>
      </c>
      <c r="E32">
        <v>49</v>
      </c>
      <c r="F32">
        <v>0.73</v>
      </c>
      <c r="G32">
        <v>467052</v>
      </c>
    </row>
    <row r="33" spans="1:7" x14ac:dyDescent="0.35">
      <c r="A33" t="s">
        <v>319</v>
      </c>
      <c r="B33">
        <v>1</v>
      </c>
      <c r="C33">
        <v>1867</v>
      </c>
      <c r="D33">
        <v>1040</v>
      </c>
      <c r="E33">
        <v>55.7</v>
      </c>
      <c r="F33">
        <v>0.19</v>
      </c>
      <c r="G33">
        <v>536888</v>
      </c>
    </row>
    <row r="34" spans="1:7" x14ac:dyDescent="0.35">
      <c r="A34" t="s">
        <v>319</v>
      </c>
      <c r="B34">
        <v>2</v>
      </c>
      <c r="C34">
        <v>2345</v>
      </c>
      <c r="D34">
        <v>1302</v>
      </c>
      <c r="E34">
        <v>55.5</v>
      </c>
      <c r="F34">
        <v>0.25</v>
      </c>
      <c r="G34">
        <v>518933</v>
      </c>
    </row>
    <row r="35" spans="1:7" x14ac:dyDescent="0.35">
      <c r="A35" t="s">
        <v>319</v>
      </c>
      <c r="B35">
        <v>3</v>
      </c>
      <c r="C35">
        <v>2231</v>
      </c>
      <c r="D35">
        <v>1194</v>
      </c>
      <c r="E35">
        <v>53.5</v>
      </c>
      <c r="F35">
        <v>0.24</v>
      </c>
      <c r="G35">
        <v>507851</v>
      </c>
    </row>
    <row r="36" spans="1:7" x14ac:dyDescent="0.35">
      <c r="A36" t="s">
        <v>319</v>
      </c>
      <c r="B36">
        <v>4</v>
      </c>
      <c r="C36">
        <v>2290</v>
      </c>
      <c r="D36">
        <v>1261</v>
      </c>
      <c r="E36">
        <v>55.1</v>
      </c>
      <c r="F36">
        <v>0.25</v>
      </c>
      <c r="G36">
        <v>506063</v>
      </c>
    </row>
    <row r="37" spans="1:7" x14ac:dyDescent="0.35">
      <c r="A37" t="s">
        <v>319</v>
      </c>
      <c r="B37">
        <v>5</v>
      </c>
      <c r="C37">
        <v>2073</v>
      </c>
      <c r="D37">
        <v>1177</v>
      </c>
      <c r="E37">
        <v>56.8</v>
      </c>
      <c r="F37">
        <v>0.25</v>
      </c>
      <c r="G37">
        <v>469008</v>
      </c>
    </row>
    <row r="38" spans="1:7" x14ac:dyDescent="0.35">
      <c r="A38" t="s">
        <v>321</v>
      </c>
      <c r="B38">
        <v>1</v>
      </c>
      <c r="C38" t="s">
        <v>1294</v>
      </c>
      <c r="D38" t="s">
        <v>1294</v>
      </c>
      <c r="E38" t="s">
        <v>1294</v>
      </c>
      <c r="F38" t="s">
        <v>1294</v>
      </c>
      <c r="G38" t="s">
        <v>1294</v>
      </c>
    </row>
    <row r="39" spans="1:7" x14ac:dyDescent="0.35">
      <c r="A39" t="s">
        <v>321</v>
      </c>
      <c r="B39">
        <v>2</v>
      </c>
      <c r="C39" t="s">
        <v>1294</v>
      </c>
      <c r="D39" t="s">
        <v>1294</v>
      </c>
      <c r="E39" t="s">
        <v>1294</v>
      </c>
      <c r="F39" t="s">
        <v>1294</v>
      </c>
      <c r="G39" t="s">
        <v>1294</v>
      </c>
    </row>
    <row r="40" spans="1:7" x14ac:dyDescent="0.35">
      <c r="A40" t="s">
        <v>321</v>
      </c>
      <c r="B40">
        <v>3</v>
      </c>
      <c r="C40" t="s">
        <v>1294</v>
      </c>
      <c r="D40" t="s">
        <v>1294</v>
      </c>
      <c r="E40" t="s">
        <v>1294</v>
      </c>
      <c r="F40" t="s">
        <v>1294</v>
      </c>
      <c r="G40" t="s">
        <v>1294</v>
      </c>
    </row>
    <row r="41" spans="1:7" x14ac:dyDescent="0.35">
      <c r="A41" t="s">
        <v>321</v>
      </c>
      <c r="B41">
        <v>4</v>
      </c>
      <c r="C41" t="s">
        <v>1294</v>
      </c>
      <c r="D41" t="s">
        <v>1294</v>
      </c>
      <c r="E41" t="s">
        <v>1294</v>
      </c>
      <c r="F41" t="s">
        <v>1294</v>
      </c>
      <c r="G41" t="s">
        <v>1294</v>
      </c>
    </row>
    <row r="42" spans="1:7" x14ac:dyDescent="0.35">
      <c r="A42" t="s">
        <v>321</v>
      </c>
      <c r="B42">
        <v>5</v>
      </c>
      <c r="C42" t="s">
        <v>1294</v>
      </c>
      <c r="D42" t="s">
        <v>1294</v>
      </c>
      <c r="E42" t="s">
        <v>1294</v>
      </c>
      <c r="F42" t="s">
        <v>1294</v>
      </c>
      <c r="G42" t="s">
        <v>1294</v>
      </c>
    </row>
    <row r="43" spans="1:7" x14ac:dyDescent="0.35">
      <c r="A43" t="s">
        <v>326</v>
      </c>
      <c r="B43">
        <v>1</v>
      </c>
      <c r="C43" t="s">
        <v>1294</v>
      </c>
      <c r="D43" t="s">
        <v>1294</v>
      </c>
      <c r="E43" t="s">
        <v>1294</v>
      </c>
      <c r="F43" t="s">
        <v>1294</v>
      </c>
      <c r="G43" t="s">
        <v>1294</v>
      </c>
    </row>
    <row r="44" spans="1:7" x14ac:dyDescent="0.35">
      <c r="A44" t="s">
        <v>326</v>
      </c>
      <c r="B44">
        <v>2</v>
      </c>
      <c r="C44" t="s">
        <v>1294</v>
      </c>
      <c r="D44" t="s">
        <v>1294</v>
      </c>
      <c r="E44" t="s">
        <v>1294</v>
      </c>
      <c r="F44" t="s">
        <v>1294</v>
      </c>
      <c r="G44" t="s">
        <v>1294</v>
      </c>
    </row>
    <row r="45" spans="1:7" x14ac:dyDescent="0.35">
      <c r="A45" t="s">
        <v>326</v>
      </c>
      <c r="B45">
        <v>3</v>
      </c>
      <c r="C45" t="s">
        <v>1294</v>
      </c>
      <c r="D45" t="s">
        <v>1294</v>
      </c>
      <c r="E45" t="s">
        <v>1294</v>
      </c>
      <c r="F45" t="s">
        <v>1294</v>
      </c>
      <c r="G45" t="s">
        <v>1294</v>
      </c>
    </row>
    <row r="46" spans="1:7" x14ac:dyDescent="0.35">
      <c r="A46" t="s">
        <v>326</v>
      </c>
      <c r="B46">
        <v>4</v>
      </c>
      <c r="C46" t="s">
        <v>1294</v>
      </c>
      <c r="D46" t="s">
        <v>1294</v>
      </c>
      <c r="E46" t="s">
        <v>1294</v>
      </c>
      <c r="F46" t="s">
        <v>1294</v>
      </c>
      <c r="G46" t="s">
        <v>1294</v>
      </c>
    </row>
    <row r="47" spans="1:7" x14ac:dyDescent="0.35">
      <c r="A47" t="s">
        <v>326</v>
      </c>
      <c r="B47">
        <v>5</v>
      </c>
      <c r="C47" t="s">
        <v>1294</v>
      </c>
      <c r="D47" t="s">
        <v>1294</v>
      </c>
      <c r="E47" t="s">
        <v>1294</v>
      </c>
      <c r="F47" t="s">
        <v>1294</v>
      </c>
      <c r="G47" t="s">
        <v>1294</v>
      </c>
    </row>
    <row r="48" spans="1:7" x14ac:dyDescent="0.35">
      <c r="A48" t="s">
        <v>327</v>
      </c>
      <c r="B48">
        <v>1</v>
      </c>
      <c r="C48">
        <v>2789</v>
      </c>
      <c r="D48">
        <v>989</v>
      </c>
      <c r="E48">
        <v>35.5</v>
      </c>
      <c r="F48">
        <v>0.18</v>
      </c>
      <c r="G48">
        <v>544255</v>
      </c>
    </row>
    <row r="49" spans="1:7" x14ac:dyDescent="0.35">
      <c r="A49" t="s">
        <v>327</v>
      </c>
      <c r="B49">
        <v>2</v>
      </c>
      <c r="C49">
        <v>3964</v>
      </c>
      <c r="D49">
        <v>1247</v>
      </c>
      <c r="E49">
        <v>31.5</v>
      </c>
      <c r="F49">
        <v>0.24</v>
      </c>
      <c r="G49">
        <v>527943</v>
      </c>
    </row>
    <row r="50" spans="1:7" x14ac:dyDescent="0.35">
      <c r="A50" t="s">
        <v>327</v>
      </c>
      <c r="B50">
        <v>3</v>
      </c>
      <c r="C50">
        <v>3702</v>
      </c>
      <c r="D50">
        <v>994</v>
      </c>
      <c r="E50">
        <v>26.9</v>
      </c>
      <c r="F50">
        <v>0.19</v>
      </c>
      <c r="G50">
        <v>522313</v>
      </c>
    </row>
    <row r="51" spans="1:7" x14ac:dyDescent="0.35">
      <c r="A51" t="s">
        <v>327</v>
      </c>
      <c r="B51">
        <v>4</v>
      </c>
      <c r="C51">
        <v>3734</v>
      </c>
      <c r="D51">
        <v>870</v>
      </c>
      <c r="E51">
        <v>23.3</v>
      </c>
      <c r="F51">
        <v>0.16</v>
      </c>
      <c r="G51">
        <v>530772</v>
      </c>
    </row>
    <row r="52" spans="1:7" x14ac:dyDescent="0.35">
      <c r="A52" t="s">
        <v>327</v>
      </c>
      <c r="B52">
        <v>5</v>
      </c>
      <c r="C52">
        <v>3529</v>
      </c>
      <c r="D52">
        <v>845</v>
      </c>
      <c r="E52">
        <v>23.9</v>
      </c>
      <c r="F52">
        <v>0.18</v>
      </c>
      <c r="G52">
        <v>479297</v>
      </c>
    </row>
    <row r="53" spans="1:7" x14ac:dyDescent="0.35">
      <c r="A53" t="s">
        <v>466</v>
      </c>
      <c r="B53">
        <v>1</v>
      </c>
      <c r="C53">
        <v>2538</v>
      </c>
      <c r="D53">
        <v>959</v>
      </c>
      <c r="E53">
        <v>37.799999999999997</v>
      </c>
      <c r="F53">
        <v>0.18</v>
      </c>
      <c r="G53">
        <v>547426</v>
      </c>
    </row>
    <row r="54" spans="1:7" x14ac:dyDescent="0.35">
      <c r="A54" t="s">
        <v>466</v>
      </c>
      <c r="B54">
        <v>2</v>
      </c>
      <c r="C54">
        <v>3487</v>
      </c>
      <c r="D54">
        <v>1110</v>
      </c>
      <c r="E54">
        <v>31.8</v>
      </c>
      <c r="F54">
        <v>0.21</v>
      </c>
      <c r="G54">
        <v>531566</v>
      </c>
    </row>
    <row r="55" spans="1:7" x14ac:dyDescent="0.35">
      <c r="A55" t="s">
        <v>466</v>
      </c>
      <c r="B55">
        <v>3</v>
      </c>
      <c r="C55">
        <v>3154</v>
      </c>
      <c r="D55">
        <v>958</v>
      </c>
      <c r="E55">
        <v>30.4</v>
      </c>
      <c r="F55">
        <v>0.18</v>
      </c>
      <c r="G55">
        <v>525921</v>
      </c>
    </row>
    <row r="56" spans="1:7" x14ac:dyDescent="0.35">
      <c r="A56" t="s">
        <v>466</v>
      </c>
      <c r="B56">
        <v>4</v>
      </c>
      <c r="C56">
        <v>3262</v>
      </c>
      <c r="D56">
        <v>813</v>
      </c>
      <c r="E56">
        <v>24.9</v>
      </c>
      <c r="F56">
        <v>0.15</v>
      </c>
      <c r="G56">
        <v>537349</v>
      </c>
    </row>
    <row r="57" spans="1:7" x14ac:dyDescent="0.35">
      <c r="A57" t="s">
        <v>466</v>
      </c>
      <c r="B57">
        <v>5</v>
      </c>
      <c r="C57">
        <v>3111</v>
      </c>
      <c r="D57">
        <v>757</v>
      </c>
      <c r="E57">
        <v>24.3</v>
      </c>
      <c r="F57">
        <v>0.16</v>
      </c>
      <c r="G57">
        <v>481484</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7" tint="-0.249977111117893"/>
  </sheetPr>
  <dimension ref="A1:K52"/>
  <sheetViews>
    <sheetView showGridLines="0" zoomScaleNormal="100" workbookViewId="0">
      <pane ySplit="2" topLeftCell="A3" activePane="bottomLeft" state="frozen"/>
      <selection pane="bottomLeft"/>
    </sheetView>
  </sheetViews>
  <sheetFormatPr defaultColWidth="9.26953125" defaultRowHeight="14.5" x14ac:dyDescent="0.35"/>
  <cols>
    <col min="1" max="1" width="19.1796875" customWidth="1"/>
    <col min="2" max="8" width="23.81640625" customWidth="1"/>
  </cols>
  <sheetData>
    <row r="1" spans="1:11" ht="15.5" x14ac:dyDescent="0.35">
      <c r="A1" s="514" t="s">
        <v>928</v>
      </c>
      <c r="B1" s="514"/>
      <c r="C1" s="514"/>
    </row>
    <row r="2" spans="1:11" ht="15.5" x14ac:dyDescent="0.35">
      <c r="A2" s="499" t="s">
        <v>201</v>
      </c>
      <c r="B2" s="441"/>
      <c r="C2" s="441"/>
    </row>
    <row r="3" spans="1:11" x14ac:dyDescent="0.35">
      <c r="A3" s="25"/>
      <c r="B3" s="25"/>
      <c r="C3" s="25"/>
      <c r="D3" s="25"/>
      <c r="E3" s="25"/>
      <c r="F3" s="25"/>
      <c r="G3" s="25"/>
      <c r="H3" s="25"/>
      <c r="I3" s="25"/>
      <c r="J3" s="25"/>
      <c r="K3" s="25"/>
    </row>
    <row r="4" spans="1:11" ht="15.5" x14ac:dyDescent="0.35">
      <c r="A4" s="523" t="s">
        <v>1055</v>
      </c>
      <c r="B4" s="523"/>
      <c r="C4" s="523"/>
      <c r="D4" s="523"/>
      <c r="E4" s="523"/>
      <c r="F4" s="523"/>
      <c r="G4" s="523"/>
      <c r="H4" s="523"/>
      <c r="I4" s="523"/>
      <c r="J4" s="523"/>
      <c r="K4" s="523"/>
    </row>
    <row r="5" spans="1:11" ht="15.5" x14ac:dyDescent="0.35">
      <c r="A5" t="s">
        <v>202</v>
      </c>
      <c r="B5" t="s">
        <v>155</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1033</v>
      </c>
      <c r="C7" s="500"/>
      <c r="D7" s="500"/>
      <c r="E7" s="500"/>
      <c r="F7" s="500"/>
      <c r="G7" s="500"/>
      <c r="H7" s="500"/>
      <c r="I7" s="500"/>
      <c r="J7" s="500"/>
      <c r="K7" s="500"/>
    </row>
    <row r="9" spans="1:11" x14ac:dyDescent="0.35">
      <c r="D9" s="529" t="s">
        <v>1056</v>
      </c>
    </row>
    <row r="10" spans="1:11" s="312" customFormat="1" x14ac:dyDescent="0.35">
      <c r="A10" s="527" t="s">
        <v>207</v>
      </c>
      <c r="B10" s="527" t="s">
        <v>1025</v>
      </c>
      <c r="C10" s="527">
        <v>2</v>
      </c>
      <c r="D10" s="527">
        <v>3</v>
      </c>
      <c r="E10" s="527">
        <v>4</v>
      </c>
      <c r="F10" s="527" t="s">
        <v>1029</v>
      </c>
      <c r="G10"/>
    </row>
    <row r="11" spans="1:11" x14ac:dyDescent="0.35">
      <c r="A11" s="312" t="s">
        <v>365</v>
      </c>
      <c r="B11" s="700">
        <f>'SIMD-Alarms'!B11/'SIMD-Visits'!B11*100</f>
        <v>33.105496106224436</v>
      </c>
      <c r="C11" s="700">
        <f>'SIMD-Alarms'!C11/'SIMD-Visits'!C11*100</f>
        <v>39.18400704092538</v>
      </c>
      <c r="D11" s="700">
        <f>'SIMD-Alarms'!D11/'SIMD-Visits'!D11*100</f>
        <v>41.671235022319678</v>
      </c>
      <c r="E11" s="700">
        <f>'SIMD-Alarms'!E11/'SIMD-Visits'!E11*100</f>
        <v>47.864751294830448</v>
      </c>
      <c r="F11" s="700">
        <f>'SIMD-Alarms'!F11/'SIMD-Visits'!F11*100</f>
        <v>52.439444380668121</v>
      </c>
    </row>
    <row r="12" spans="1:11" x14ac:dyDescent="0.35">
      <c r="A12" s="312" t="s">
        <v>366</v>
      </c>
      <c r="B12" s="700">
        <f>'SIMD-Alarms'!B12/'SIMD-Visits'!B12*100</f>
        <v>31.514735396640965</v>
      </c>
      <c r="C12" s="700">
        <f>'SIMD-Alarms'!C12/'SIMD-Visits'!C12*100</f>
        <v>37.340462228354603</v>
      </c>
      <c r="D12" s="700">
        <f>'SIMD-Alarms'!D12/'SIMD-Visits'!D12*100</f>
        <v>41.327471280669407</v>
      </c>
      <c r="E12" s="700">
        <f>'SIMD-Alarms'!E12/'SIMD-Visits'!E12*100</f>
        <v>45.250637213254038</v>
      </c>
      <c r="F12" s="700">
        <f>'SIMD-Alarms'!F12/'SIMD-Visits'!F12*100</f>
        <v>50.231556273559505</v>
      </c>
    </row>
    <row r="13" spans="1:11" x14ac:dyDescent="0.35">
      <c r="A13" s="312" t="s">
        <v>341</v>
      </c>
      <c r="B13" s="700">
        <f>'SIMD-Alarms'!B13/'SIMD-Visits'!B13*100</f>
        <v>32.799683204163607</v>
      </c>
      <c r="C13" s="700">
        <f>'SIMD-Alarms'!C13/'SIMD-Visits'!C13*100</f>
        <v>39.008992912869985</v>
      </c>
      <c r="D13" s="700">
        <f>'SIMD-Alarms'!D13/'SIMD-Visits'!D13*100</f>
        <v>42.120546780933495</v>
      </c>
      <c r="E13" s="700">
        <f>'SIMD-Alarms'!E13/'SIMD-Visits'!E13*100</f>
        <v>45.226980038634899</v>
      </c>
      <c r="F13" s="700">
        <f>'SIMD-Alarms'!F13/'SIMD-Visits'!F13*100</f>
        <v>52.580745664139585</v>
      </c>
    </row>
    <row r="14" spans="1:11" x14ac:dyDescent="0.35">
      <c r="A14" s="312" t="s">
        <v>342</v>
      </c>
      <c r="B14" s="700">
        <f>'SIMD-Alarms'!B14/'SIMD-Visits'!B14*100</f>
        <v>30.144394570331514</v>
      </c>
      <c r="C14" s="700">
        <f>'SIMD-Alarms'!C14/'SIMD-Visits'!C14*100</f>
        <v>38.389960208142028</v>
      </c>
      <c r="D14" s="700">
        <f>'SIMD-Alarms'!D14/'SIMD-Visits'!D14*100</f>
        <v>41.430027668559774</v>
      </c>
      <c r="E14" s="700">
        <f>'SIMD-Alarms'!E14/'SIMD-Visits'!E14*100</f>
        <v>44.898642988775336</v>
      </c>
      <c r="F14" s="700">
        <f>'SIMD-Alarms'!F14/'SIMD-Visits'!F14*100</f>
        <v>52.271495175105706</v>
      </c>
    </row>
    <row r="15" spans="1:11" x14ac:dyDescent="0.35">
      <c r="A15" s="312" t="s">
        <v>214</v>
      </c>
      <c r="B15" s="700">
        <f>'SIMD-Alarms'!B15/'SIMD-Visits'!B15*100</f>
        <v>26.503672505007962</v>
      </c>
      <c r="C15" s="700">
        <f>'SIMD-Alarms'!C15/'SIMD-Visits'!C15*100</f>
        <v>33.944954128440372</v>
      </c>
      <c r="D15" s="700">
        <f>'SIMD-Alarms'!D15/'SIMD-Visits'!D15*100</f>
        <v>37.455223880597018</v>
      </c>
      <c r="E15" s="700">
        <f>'SIMD-Alarms'!E15/'SIMD-Visits'!E15*100</f>
        <v>41.125183553597651</v>
      </c>
      <c r="F15" s="700">
        <f>'SIMD-Alarms'!F15/'SIMD-Visits'!F15*100</f>
        <v>47.285246641833162</v>
      </c>
    </row>
    <row r="16" spans="1:11" x14ac:dyDescent="0.35">
      <c r="A16" s="312" t="s">
        <v>313</v>
      </c>
      <c r="B16" s="700">
        <f>'SIMD-Alarms'!B16/'SIMD-Visits'!B16*100</f>
        <v>23.734161111393824</v>
      </c>
      <c r="C16" s="700">
        <f>'SIMD-Alarms'!C16/'SIMD-Visits'!C16*100</f>
        <v>31.615720524017465</v>
      </c>
      <c r="D16" s="700">
        <f>'SIMD-Alarms'!D16/'SIMD-Visits'!D16*100</f>
        <v>33.893599459743378</v>
      </c>
      <c r="E16" s="700">
        <f>'SIMD-Alarms'!E16/'SIMD-Visits'!E16*100</f>
        <v>37.211359815978057</v>
      </c>
      <c r="F16" s="700">
        <f>'SIMD-Alarms'!F16/'SIMD-Visits'!F16*100</f>
        <v>43.630317624125674</v>
      </c>
    </row>
    <row r="17" spans="1:11" x14ac:dyDescent="0.35">
      <c r="A17" s="312" t="s">
        <v>319</v>
      </c>
      <c r="B17" s="700">
        <f>'SIMD-Alarms'!B17/'SIMD-Visits'!B17*100</f>
        <v>30.196779964221825</v>
      </c>
      <c r="C17" s="700">
        <f>'SIMD-Alarms'!C17/'SIMD-Visits'!C17*100</f>
        <v>35.259875259875258</v>
      </c>
      <c r="D17" s="700">
        <f>'SIMD-Alarms'!D17/'SIMD-Visits'!D17*100</f>
        <v>39.579451690178338</v>
      </c>
      <c r="E17" s="700">
        <f>'SIMD-Alarms'!E17/'SIMD-Visits'!E17*100</f>
        <v>45.446182152713895</v>
      </c>
      <c r="F17" s="700">
        <f>'SIMD-Alarms'!F17/'SIMD-Visits'!F17*100</f>
        <v>51.789225324419974</v>
      </c>
    </row>
    <row r="18" spans="1:11" x14ac:dyDescent="0.35">
      <c r="A18" s="312" t="s">
        <v>321</v>
      </c>
      <c r="B18" s="874"/>
      <c r="C18" s="874"/>
      <c r="D18" s="874"/>
      <c r="E18" s="874"/>
      <c r="F18" s="874"/>
    </row>
    <row r="19" spans="1:11" x14ac:dyDescent="0.35">
      <c r="A19" s="312" t="s">
        <v>326</v>
      </c>
      <c r="B19" s="874"/>
      <c r="C19" s="874"/>
      <c r="D19" s="874"/>
      <c r="E19" s="874"/>
      <c r="F19" s="874"/>
    </row>
    <row r="20" spans="1:11" x14ac:dyDescent="0.35">
      <c r="A20" s="312" t="s">
        <v>327</v>
      </c>
      <c r="B20" s="700">
        <f>'SIMD-Alarms'!B20/'SIMD-Visits'!B20*100</f>
        <v>13.567323481116583</v>
      </c>
      <c r="C20" s="700">
        <f>'SIMD-Alarms'!C20/'SIMD-Visits'!C20*100</f>
        <v>15.898097387939375</v>
      </c>
      <c r="D20" s="700">
        <f>'SIMD-Alarms'!D20/'SIMD-Visits'!D20*100</f>
        <v>16.757846242441694</v>
      </c>
      <c r="E20" s="700">
        <f>'SIMD-Alarms'!E20/'SIMD-Visits'!E20*100</f>
        <v>17.412417620534164</v>
      </c>
      <c r="F20" s="700">
        <f>'SIMD-Alarms'!F20/'SIMD-Visits'!F20*100</f>
        <v>20.647419072615921</v>
      </c>
    </row>
    <row r="21" spans="1:11" ht="15" thickBot="1" x14ac:dyDescent="0.4">
      <c r="A21" s="525" t="s">
        <v>466</v>
      </c>
      <c r="B21" s="873">
        <f>'SIMD-Alarms'!B21/'SIMD-Visits'!B21*100</f>
        <v>9.9083921238285768</v>
      </c>
      <c r="C21" s="873">
        <f>'SIMD-Alarms'!C21/'SIMD-Visits'!C21*100</f>
        <v>12.363504003882554</v>
      </c>
      <c r="D21" s="873">
        <f>'SIMD-Alarms'!D21/'SIMD-Visits'!D21*100</f>
        <v>14.436320353681348</v>
      </c>
      <c r="E21" s="873">
        <f>'SIMD-Alarms'!E21/'SIMD-Visits'!E21*100</f>
        <v>14.595028067361667</v>
      </c>
      <c r="F21" s="873">
        <f>'SIMD-Alarms'!F21/'SIMD-Visits'!F21*100</f>
        <v>15.65196548418025</v>
      </c>
    </row>
    <row r="23" spans="1:11" x14ac:dyDescent="0.35">
      <c r="A23" s="312" t="s">
        <v>329</v>
      </c>
    </row>
    <row r="24" spans="1:11" x14ac:dyDescent="0.35">
      <c r="A24" t="s">
        <v>1044</v>
      </c>
    </row>
    <row r="25" spans="1:11" x14ac:dyDescent="0.35">
      <c r="A25" s="564" t="s">
        <v>1036</v>
      </c>
    </row>
    <row r="26" spans="1:11" x14ac:dyDescent="0.35">
      <c r="A26" t="s">
        <v>980</v>
      </c>
    </row>
    <row r="27" spans="1:11" ht="29.5" customHeight="1" x14ac:dyDescent="0.35">
      <c r="A27" s="1010" t="s">
        <v>1046</v>
      </c>
      <c r="B27" s="1010"/>
      <c r="C27" s="1010"/>
      <c r="D27" s="1010"/>
      <c r="E27" s="1010"/>
      <c r="F27" s="1010"/>
    </row>
    <row r="29" spans="1:11" ht="15.75" customHeight="1" x14ac:dyDescent="0.35">
      <c r="A29" s="523" t="s">
        <v>1057</v>
      </c>
      <c r="B29" s="523"/>
      <c r="C29" s="523"/>
      <c r="D29" s="523"/>
      <c r="E29" s="523"/>
      <c r="F29" s="523"/>
      <c r="G29" s="523"/>
      <c r="H29" s="523"/>
      <c r="I29" s="523"/>
      <c r="J29" s="523"/>
      <c r="K29" s="523"/>
    </row>
    <row r="30" spans="1:11" ht="15.5" x14ac:dyDescent="0.35">
      <c r="A30" t="s">
        <v>202</v>
      </c>
      <c r="B30" t="s">
        <v>157</v>
      </c>
      <c r="C30" s="500"/>
      <c r="D30" s="500"/>
      <c r="E30" s="500"/>
      <c r="F30" s="500"/>
      <c r="G30" s="500"/>
      <c r="H30" s="500"/>
      <c r="I30" s="500"/>
      <c r="J30" s="500"/>
      <c r="K30" s="500"/>
    </row>
    <row r="31" spans="1:11" ht="15.5" x14ac:dyDescent="0.35">
      <c r="A31" t="s">
        <v>203</v>
      </c>
      <c r="B31" t="s">
        <v>204</v>
      </c>
      <c r="C31" s="500"/>
      <c r="D31" s="500"/>
      <c r="E31" s="500"/>
      <c r="F31" s="500"/>
      <c r="G31" s="500"/>
      <c r="H31" s="500"/>
      <c r="I31" s="500"/>
      <c r="J31" s="500"/>
      <c r="K31" s="500"/>
    </row>
    <row r="32" spans="1:11" ht="15.5" x14ac:dyDescent="0.35">
      <c r="A32" t="s">
        <v>205</v>
      </c>
      <c r="B32" t="s">
        <v>1033</v>
      </c>
      <c r="C32" s="500"/>
      <c r="D32" s="500"/>
      <c r="E32" s="500"/>
      <c r="F32" s="500"/>
      <c r="G32" s="500"/>
      <c r="H32" s="500"/>
      <c r="I32" s="500"/>
      <c r="J32" s="500"/>
      <c r="K32" s="500"/>
    </row>
    <row r="34" spans="1:6" x14ac:dyDescent="0.35">
      <c r="A34" s="312"/>
      <c r="C34" s="528"/>
      <c r="D34" s="529" t="s">
        <v>1058</v>
      </c>
      <c r="E34" s="528"/>
      <c r="F34" s="528"/>
    </row>
    <row r="35" spans="1:6" x14ac:dyDescent="0.35">
      <c r="A35" s="527" t="s">
        <v>207</v>
      </c>
      <c r="B35" s="527" t="s">
        <v>1025</v>
      </c>
      <c r="C35" s="527">
        <v>2</v>
      </c>
      <c r="D35" s="527">
        <v>3</v>
      </c>
      <c r="E35" s="527">
        <v>4</v>
      </c>
      <c r="F35" s="527" t="s">
        <v>1029</v>
      </c>
    </row>
    <row r="36" spans="1:6" x14ac:dyDescent="0.35">
      <c r="A36" s="312" t="s">
        <v>365</v>
      </c>
      <c r="B36" s="754">
        <f>GETPIVOTDATA("pcAlarmsFitted",'SIMD%AlarmPivot'!$B$4,"FisYr",A36,"SIMD2020_Quintile",1)</f>
        <v>54.9</v>
      </c>
      <c r="C36" s="754">
        <f>GETPIVOTDATA("pcAlarmsFitted",'SIMD%AlarmPivot'!$B$4,"FisYr",A36,"SIMD2020_Quintile",2)</f>
        <v>57.6</v>
      </c>
      <c r="D36" s="754">
        <f>GETPIVOTDATA("pcAlarmsFitted",'SIMD%AlarmPivot'!$B$4,"FisYr",A36,"SIMD2020_Quintile",3)</f>
        <v>55.4</v>
      </c>
      <c r="E36" s="754">
        <f>GETPIVOTDATA("pcAlarmsFitted",'SIMD%AlarmPivot'!$B$4,"FisYr",A36,"SIMD2020_Quintile",4)</f>
        <v>56.7</v>
      </c>
      <c r="F36" s="754">
        <f>GETPIVOTDATA("pcAlarmsFitted",'SIMD%AlarmPivot'!$B$4,"FisYr",A36,"SIMD2020_Quintile",5)</f>
        <v>57.1</v>
      </c>
    </row>
    <row r="37" spans="1:6" x14ac:dyDescent="0.35">
      <c r="A37" s="312" t="s">
        <v>366</v>
      </c>
      <c r="B37" s="754">
        <f>GETPIVOTDATA("pcAlarmsFitted",'SIMD%AlarmPivot'!$B$4,"FisYr",A37,"SIMD2020_Quintile",1)</f>
        <v>53.9</v>
      </c>
      <c r="C37" s="754">
        <f>GETPIVOTDATA("pcAlarmsFitted",'SIMD%AlarmPivot'!$B$4,"FisYr",A37,"SIMD2020_Quintile",2)</f>
        <v>55.6</v>
      </c>
      <c r="D37" s="754">
        <f>GETPIVOTDATA("pcAlarmsFitted",'SIMD%AlarmPivot'!$B$4,"FisYr",A37,"SIMD2020_Quintile",3)</f>
        <v>55.7</v>
      </c>
      <c r="E37" s="754">
        <f>GETPIVOTDATA("pcAlarmsFitted",'SIMD%AlarmPivot'!$B$4,"FisYr",A37,"SIMD2020_Quintile",4)</f>
        <v>53.4</v>
      </c>
      <c r="F37" s="754">
        <f>GETPIVOTDATA("pcAlarmsFitted",'SIMD%AlarmPivot'!$B$4,"FisYr",A37,"SIMD2020_Quintile",5)</f>
        <v>55.9</v>
      </c>
    </row>
    <row r="38" spans="1:6" x14ac:dyDescent="0.35">
      <c r="A38" s="312" t="s">
        <v>341</v>
      </c>
      <c r="B38" s="754">
        <f>GETPIVOTDATA("pcAlarmsFitted",'SIMD%AlarmPivot'!$B$4,"FisYr",A38,"SIMD2020_Quintile",1)</f>
        <v>54.7</v>
      </c>
      <c r="C38" s="754">
        <f>GETPIVOTDATA("pcAlarmsFitted",'SIMD%AlarmPivot'!$B$4,"FisYr",A38,"SIMD2020_Quintile",2)</f>
        <v>56.6</v>
      </c>
      <c r="D38" s="754">
        <f>GETPIVOTDATA("pcAlarmsFitted",'SIMD%AlarmPivot'!$B$4,"FisYr",A38,"SIMD2020_Quintile",3)</f>
        <v>54.6</v>
      </c>
      <c r="E38" s="754">
        <f>GETPIVOTDATA("pcAlarmsFitted",'SIMD%AlarmPivot'!$B$4,"FisYr",A38,"SIMD2020_Quintile",4)</f>
        <v>53.4</v>
      </c>
      <c r="F38" s="754">
        <f>GETPIVOTDATA("pcAlarmsFitted",'SIMD%AlarmPivot'!$B$4,"FisYr",A38,"SIMD2020_Quintile",5)</f>
        <v>56</v>
      </c>
    </row>
    <row r="39" spans="1:6" x14ac:dyDescent="0.35">
      <c r="A39" s="312" t="s">
        <v>342</v>
      </c>
      <c r="B39" s="754">
        <f>GETPIVOTDATA("pcAlarmsFitted",'SIMD%AlarmPivot'!$B$4,"FisYr",A39,"SIMD2020_Quintile",1)</f>
        <v>52.7</v>
      </c>
      <c r="C39" s="754">
        <f>GETPIVOTDATA("pcAlarmsFitted",'SIMD%AlarmPivot'!$B$4,"FisYr",A39,"SIMD2020_Quintile",2)</f>
        <v>56.9</v>
      </c>
      <c r="D39" s="754">
        <f>GETPIVOTDATA("pcAlarmsFitted",'SIMD%AlarmPivot'!$B$4,"FisYr",A39,"SIMD2020_Quintile",3)</f>
        <v>54.7</v>
      </c>
      <c r="E39" s="754">
        <f>GETPIVOTDATA("pcAlarmsFitted",'SIMD%AlarmPivot'!$B$4,"FisYr",A39,"SIMD2020_Quintile",4)</f>
        <v>53.2</v>
      </c>
      <c r="F39" s="754">
        <f>GETPIVOTDATA("pcAlarmsFitted",'SIMD%AlarmPivot'!$B$4,"FisYr",A39,"SIMD2020_Quintile",5)</f>
        <v>56.9</v>
      </c>
    </row>
    <row r="40" spans="1:6" x14ac:dyDescent="0.35">
      <c r="A40" s="312" t="s">
        <v>214</v>
      </c>
      <c r="B40" s="754">
        <f>GETPIVOTDATA("pcAlarmsFitted",'SIMD%AlarmPivot'!$B$4,"FisYr",A40,"SIMD2020_Quintile",1)</f>
        <v>52.2</v>
      </c>
      <c r="C40" s="754">
        <f>GETPIVOTDATA("pcAlarmsFitted",'SIMD%AlarmPivot'!$B$4,"FisYr",A40,"SIMD2020_Quintile",2)</f>
        <v>54.3</v>
      </c>
      <c r="D40" s="754">
        <f>GETPIVOTDATA("pcAlarmsFitted",'SIMD%AlarmPivot'!$B$4,"FisYr",A40,"SIMD2020_Quintile",3)</f>
        <v>52</v>
      </c>
      <c r="E40" s="754">
        <f>GETPIVOTDATA("pcAlarmsFitted",'SIMD%AlarmPivot'!$B$4,"FisYr",A40,"SIMD2020_Quintile",4)</f>
        <v>51.2</v>
      </c>
      <c r="F40" s="754">
        <f>GETPIVOTDATA("pcAlarmsFitted",'SIMD%AlarmPivot'!$B$4,"FisYr",A40,"SIMD2020_Quintile",5)</f>
        <v>52.2</v>
      </c>
    </row>
    <row r="41" spans="1:6" x14ac:dyDescent="0.35">
      <c r="A41" s="312" t="s">
        <v>313</v>
      </c>
      <c r="B41" s="754">
        <f>GETPIVOTDATA("pcAlarmsFitted",'SIMD%AlarmPivot'!$B$4,"FisYr",A41,"SIMD2020_Quintile",1)</f>
        <v>49.1</v>
      </c>
      <c r="C41" s="754">
        <f>GETPIVOTDATA("pcAlarmsFitted",'SIMD%AlarmPivot'!$B$4,"FisYr",A41,"SIMD2020_Quintile",2)</f>
        <v>52.4</v>
      </c>
      <c r="D41" s="754">
        <f>GETPIVOTDATA("pcAlarmsFitted",'SIMD%AlarmPivot'!$B$4,"FisYr",A41,"SIMD2020_Quintile",3)</f>
        <v>48.8</v>
      </c>
      <c r="E41" s="754">
        <f>GETPIVOTDATA("pcAlarmsFitted",'SIMD%AlarmPivot'!$B$4,"FisYr",A41,"SIMD2020_Quintile",4)</f>
        <v>46.4</v>
      </c>
      <c r="F41" s="754">
        <f>GETPIVOTDATA("pcAlarmsFitted",'SIMD%AlarmPivot'!$B$4,"FisYr",A41,"SIMD2020_Quintile",5)</f>
        <v>49</v>
      </c>
    </row>
    <row r="42" spans="1:6" x14ac:dyDescent="0.35">
      <c r="A42" s="312" t="s">
        <v>319</v>
      </c>
      <c r="B42" s="754">
        <f>GETPIVOTDATA("pcAlarmsFitted",'SIMD%AlarmPivot'!$B$4,"FisYr",A42,"SIMD2020_Quintile",1)</f>
        <v>55.7</v>
      </c>
      <c r="C42" s="754">
        <f>GETPIVOTDATA("pcAlarmsFitted",'SIMD%AlarmPivot'!$B$4,"FisYr",A42,"SIMD2020_Quintile",2)</f>
        <v>55.5</v>
      </c>
      <c r="D42" s="754">
        <f>GETPIVOTDATA("pcAlarmsFitted",'SIMD%AlarmPivot'!$B$4,"FisYr",A42,"SIMD2020_Quintile",3)</f>
        <v>53.5</v>
      </c>
      <c r="E42" s="754">
        <f>GETPIVOTDATA("pcAlarmsFitted",'SIMD%AlarmPivot'!$B$4,"FisYr",A42,"SIMD2020_Quintile",4)</f>
        <v>55.1</v>
      </c>
      <c r="F42" s="754">
        <f>GETPIVOTDATA("pcAlarmsFitted",'SIMD%AlarmPivot'!$B$4,"FisYr",A42,"SIMD2020_Quintile",5)</f>
        <v>56.8</v>
      </c>
    </row>
    <row r="43" spans="1:6" x14ac:dyDescent="0.35">
      <c r="A43" s="312" t="s">
        <v>321</v>
      </c>
      <c r="B43" s="887"/>
      <c r="C43" s="887"/>
      <c r="D43" s="887"/>
      <c r="E43" s="887"/>
      <c r="F43" s="887"/>
    </row>
    <row r="44" spans="1:6" x14ac:dyDescent="0.35">
      <c r="A44" s="312" t="s">
        <v>326</v>
      </c>
      <c r="B44" s="887"/>
      <c r="C44" s="887"/>
      <c r="D44" s="887"/>
      <c r="E44" s="887"/>
      <c r="F44" s="887"/>
    </row>
    <row r="45" spans="1:6" x14ac:dyDescent="0.35">
      <c r="A45" s="312" t="s">
        <v>327</v>
      </c>
      <c r="B45" s="754">
        <f>GETPIVOTDATA("pcAlarmsFitted",'SIMD%AlarmPivot'!$B$4,"FisYr",A45,"SIMD2020_Quintile",1)</f>
        <v>35.5</v>
      </c>
      <c r="C45" s="754">
        <f>GETPIVOTDATA("pcAlarmsFitted",'SIMD%AlarmPivot'!$B$4,"FisYr",A45,"SIMD2020_Quintile",2)</f>
        <v>31.5</v>
      </c>
      <c r="D45" s="754">
        <f>GETPIVOTDATA("pcAlarmsFitted",'SIMD%AlarmPivot'!$B$4,"FisYr",A45,"SIMD2020_Quintile",3)</f>
        <v>26.9</v>
      </c>
      <c r="E45" s="754">
        <f>GETPIVOTDATA("pcAlarmsFitted",'SIMD%AlarmPivot'!$B$4,"FisYr",A45,"SIMD2020_Quintile",4)</f>
        <v>23.3</v>
      </c>
      <c r="F45" s="754">
        <f>GETPIVOTDATA("pcAlarmsFitted",'SIMD%AlarmPivot'!$B$4,"FisYr",A45,"SIMD2020_Quintile",5)</f>
        <v>23.9</v>
      </c>
    </row>
    <row r="46" spans="1:6" ht="15" thickBot="1" x14ac:dyDescent="0.4">
      <c r="A46" s="525" t="s">
        <v>466</v>
      </c>
      <c r="B46" s="756">
        <f>GETPIVOTDATA("pcAlarmsFitted",'SIMD%AlarmPivot'!$B$4,"FisYr",A46,"SIMD2020_Quintile",1)</f>
        <v>37.799999999999997</v>
      </c>
      <c r="C46" s="756">
        <f>GETPIVOTDATA("pcAlarmsFitted",'SIMD%AlarmPivot'!$B$4,"FisYr",A46,"SIMD2020_Quintile",2)</f>
        <v>31.8</v>
      </c>
      <c r="D46" s="756">
        <f>GETPIVOTDATA("pcAlarmsFitted",'SIMD%AlarmPivot'!$B$4,"FisYr",A46,"SIMD2020_Quintile",3)</f>
        <v>30.4</v>
      </c>
      <c r="E46" s="756">
        <f>GETPIVOTDATA("pcAlarmsFitted",'SIMD%AlarmPivot'!$B$4,"FisYr",A46,"SIMD2020_Quintile",4)</f>
        <v>24.9</v>
      </c>
      <c r="F46" s="756">
        <f>GETPIVOTDATA("pcAlarmsFitted",'SIMD%AlarmPivot'!$B$4,"FisYr",A46,"SIMD2020_Quintile",5)</f>
        <v>24.3</v>
      </c>
    </row>
    <row r="47" spans="1:6" x14ac:dyDescent="0.35">
      <c r="A47" s="312"/>
      <c r="B47" s="754"/>
      <c r="C47" s="754"/>
      <c r="D47" s="754"/>
      <c r="E47" s="754"/>
      <c r="F47" s="754"/>
    </row>
    <row r="48" spans="1:6" x14ac:dyDescent="0.35">
      <c r="A48" s="312" t="s">
        <v>329</v>
      </c>
    </row>
    <row r="49" spans="1:6" x14ac:dyDescent="0.35">
      <c r="A49" t="s">
        <v>1044</v>
      </c>
    </row>
    <row r="50" spans="1:6" ht="15.75" customHeight="1" x14ac:dyDescent="0.35">
      <c r="A50" s="564" t="s">
        <v>1036</v>
      </c>
    </row>
    <row r="51" spans="1:6" x14ac:dyDescent="0.35">
      <c r="A51" s="598" t="s">
        <v>1059</v>
      </c>
    </row>
    <row r="52" spans="1:6" ht="31" customHeight="1" x14ac:dyDescent="0.35">
      <c r="A52" s="1010" t="s">
        <v>1046</v>
      </c>
      <c r="B52" s="1010"/>
      <c r="C52" s="1010"/>
      <c r="D52" s="1010"/>
      <c r="E52" s="1010"/>
      <c r="F52" s="1010"/>
    </row>
  </sheetData>
  <sheetProtection algorithmName="SHA-512" hashValue="l+XpylB53LW2G48KX4msx71AEWOg9ggY340ZH0RI9f+VrNC6YxjVaH31n2CRJXjCbXsE1S0tDv3PbZ6ay1opuw==" saltValue="sT3D+teuGwV2KvtpS4bUDw==" spinCount="100000" sheet="1" scenarios="1" formatCells="0" sort="0" autoFilter="0" pivotTables="0"/>
  <mergeCells count="2">
    <mergeCell ref="A27:F27"/>
    <mergeCell ref="A52:F52"/>
  </mergeCells>
  <hyperlinks>
    <hyperlink ref="A2" location="'Table of Contents'!A1" display="Back to Table of Contents" xr:uid="{00000000-0004-0000-8A00-000000000000}"/>
    <hyperlink ref="A25" r:id="rId1" xr:uid="{00000000-0004-0000-8A00-000001000000}"/>
    <hyperlink ref="A50" r:id="rId2" xr:uid="{00000000-0004-0000-8A00-000002000000}"/>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EAC-31A2-43D3-957D-FBB269B374B2}">
  <sheetPr>
    <tabColor theme="7" tint="-0.249977111117893"/>
  </sheetPr>
  <dimension ref="B4:I38"/>
  <sheetViews>
    <sheetView topLeftCell="A22" workbookViewId="0">
      <selection activeCell="D31" sqref="D31"/>
    </sheetView>
  </sheetViews>
  <sheetFormatPr defaultRowHeight="14.5" x14ac:dyDescent="0.35"/>
  <cols>
    <col min="2" max="2" width="12.36328125" bestFit="1" customWidth="1"/>
    <col min="3" max="3" width="25.7265625" bestFit="1" customWidth="1"/>
    <col min="4" max="4" width="25.26953125" bestFit="1" customWidth="1"/>
    <col min="5" max="5" width="29.36328125" bestFit="1" customWidth="1"/>
    <col min="6" max="6" width="27.36328125" bestFit="1" customWidth="1"/>
    <col min="7" max="7" width="23.1796875" bestFit="1" customWidth="1"/>
    <col min="8" max="8" width="21.26953125" bestFit="1" customWidth="1"/>
    <col min="9" max="9" width="17" bestFit="1" customWidth="1"/>
  </cols>
  <sheetData>
    <row r="4" spans="2:9" x14ac:dyDescent="0.35">
      <c r="B4" s="387" t="s">
        <v>350</v>
      </c>
      <c r="C4" t="s">
        <v>1060</v>
      </c>
      <c r="D4" t="s">
        <v>1061</v>
      </c>
      <c r="E4" t="s">
        <v>1062</v>
      </c>
      <c r="F4" t="s">
        <v>1063</v>
      </c>
      <c r="G4" t="s">
        <v>1064</v>
      </c>
      <c r="H4" t="s">
        <v>1065</v>
      </c>
      <c r="I4" t="s">
        <v>1024</v>
      </c>
    </row>
    <row r="5" spans="2:9" x14ac:dyDescent="0.35">
      <c r="B5" s="388" t="s">
        <v>365</v>
      </c>
      <c r="C5">
        <v>22762</v>
      </c>
      <c r="D5">
        <v>26321</v>
      </c>
      <c r="E5">
        <v>5118</v>
      </c>
      <c r="F5">
        <v>2282</v>
      </c>
      <c r="G5">
        <v>5463</v>
      </c>
      <c r="H5">
        <v>3523</v>
      </c>
      <c r="I5">
        <v>65469</v>
      </c>
    </row>
    <row r="6" spans="2:9" x14ac:dyDescent="0.35">
      <c r="B6" s="388" t="s">
        <v>366</v>
      </c>
      <c r="C6">
        <v>23988</v>
      </c>
      <c r="D6">
        <v>29952</v>
      </c>
      <c r="E6">
        <v>5426</v>
      </c>
      <c r="F6">
        <v>2459</v>
      </c>
      <c r="G6">
        <v>5688</v>
      </c>
      <c r="H6">
        <v>3974</v>
      </c>
      <c r="I6">
        <v>71487</v>
      </c>
    </row>
    <row r="7" spans="2:9" x14ac:dyDescent="0.35">
      <c r="B7" s="388" t="s">
        <v>341</v>
      </c>
      <c r="C7">
        <v>22352</v>
      </c>
      <c r="D7">
        <v>29301</v>
      </c>
      <c r="E7">
        <v>5373</v>
      </c>
      <c r="F7">
        <v>2998</v>
      </c>
      <c r="G7">
        <v>6082</v>
      </c>
      <c r="H7">
        <v>4536</v>
      </c>
      <c r="I7">
        <v>70642</v>
      </c>
    </row>
    <row r="8" spans="2:9" x14ac:dyDescent="0.35">
      <c r="B8" s="388" t="s">
        <v>342</v>
      </c>
      <c r="C8">
        <v>23373</v>
      </c>
      <c r="D8">
        <v>27629</v>
      </c>
      <c r="E8">
        <v>5099</v>
      </c>
      <c r="F8">
        <v>3085</v>
      </c>
      <c r="G8">
        <v>5820</v>
      </c>
      <c r="H8">
        <v>4717</v>
      </c>
      <c r="I8">
        <v>69723</v>
      </c>
    </row>
    <row r="9" spans="2:9" x14ac:dyDescent="0.35">
      <c r="B9" s="388" t="s">
        <v>214</v>
      </c>
      <c r="C9">
        <v>25573</v>
      </c>
      <c r="D9">
        <v>26939</v>
      </c>
      <c r="E9">
        <v>4968</v>
      </c>
      <c r="F9">
        <v>2680</v>
      </c>
      <c r="G9">
        <v>5279</v>
      </c>
      <c r="H9">
        <v>3648</v>
      </c>
      <c r="I9">
        <v>69087</v>
      </c>
    </row>
    <row r="10" spans="2:9" x14ac:dyDescent="0.35">
      <c r="B10" s="388" t="s">
        <v>313</v>
      </c>
      <c r="C10">
        <v>25002</v>
      </c>
      <c r="D10">
        <v>26636</v>
      </c>
      <c r="E10">
        <v>5203</v>
      </c>
      <c r="F10">
        <v>2570</v>
      </c>
      <c r="G10">
        <v>5887</v>
      </c>
      <c r="H10">
        <v>3738</v>
      </c>
      <c r="I10">
        <v>69036</v>
      </c>
    </row>
    <row r="11" spans="2:9" x14ac:dyDescent="0.35">
      <c r="B11" s="388" t="s">
        <v>319</v>
      </c>
      <c r="C11">
        <v>6604</v>
      </c>
      <c r="D11">
        <v>8556</v>
      </c>
      <c r="E11">
        <v>1582</v>
      </c>
      <c r="F11">
        <v>722</v>
      </c>
      <c r="G11">
        <v>1541</v>
      </c>
      <c r="H11">
        <v>957</v>
      </c>
      <c r="I11">
        <v>19962</v>
      </c>
    </row>
    <row r="12" spans="2:9" x14ac:dyDescent="0.35">
      <c r="B12" s="388" t="s">
        <v>321</v>
      </c>
      <c r="C12">
        <v>14448</v>
      </c>
      <c r="D12">
        <v>18291</v>
      </c>
      <c r="E12">
        <v>3519</v>
      </c>
      <c r="F12">
        <v>1732</v>
      </c>
      <c r="G12">
        <v>3613</v>
      </c>
      <c r="H12">
        <v>2460</v>
      </c>
      <c r="I12">
        <v>44063</v>
      </c>
    </row>
    <row r="13" spans="2:9" x14ac:dyDescent="0.35">
      <c r="B13" s="388" t="s">
        <v>326</v>
      </c>
      <c r="C13">
        <v>13204</v>
      </c>
      <c r="D13">
        <v>15629</v>
      </c>
      <c r="E13">
        <v>2964</v>
      </c>
      <c r="F13">
        <v>1543</v>
      </c>
      <c r="G13">
        <v>2985</v>
      </c>
      <c r="H13">
        <v>2124</v>
      </c>
      <c r="I13">
        <v>38449</v>
      </c>
    </row>
    <row r="14" spans="2:9" x14ac:dyDescent="0.35">
      <c r="B14" s="388" t="s">
        <v>327</v>
      </c>
      <c r="C14">
        <v>12646</v>
      </c>
      <c r="D14">
        <v>14166</v>
      </c>
      <c r="E14">
        <v>2677</v>
      </c>
      <c r="F14">
        <v>1461</v>
      </c>
      <c r="G14">
        <v>2602</v>
      </c>
      <c r="H14">
        <v>1900</v>
      </c>
      <c r="I14">
        <v>35452</v>
      </c>
    </row>
    <row r="15" spans="2:9" x14ac:dyDescent="0.35">
      <c r="B15" s="388" t="s">
        <v>413</v>
      </c>
    </row>
    <row r="16" spans="2:9" x14ac:dyDescent="0.35">
      <c r="B16" s="388" t="s">
        <v>466</v>
      </c>
      <c r="C16">
        <v>12803</v>
      </c>
      <c r="D16">
        <v>12528</v>
      </c>
      <c r="E16">
        <v>2299</v>
      </c>
      <c r="F16">
        <v>1207</v>
      </c>
      <c r="G16">
        <v>2229</v>
      </c>
      <c r="H16">
        <v>1655</v>
      </c>
      <c r="I16">
        <v>32721</v>
      </c>
    </row>
    <row r="17" spans="2:9" x14ac:dyDescent="0.35">
      <c r="B17" s="388" t="s">
        <v>357</v>
      </c>
      <c r="C17">
        <v>202755</v>
      </c>
      <c r="D17">
        <v>235948</v>
      </c>
      <c r="E17">
        <v>44228</v>
      </c>
      <c r="F17">
        <v>22739</v>
      </c>
      <c r="G17">
        <v>47189</v>
      </c>
      <c r="H17">
        <v>33232</v>
      </c>
      <c r="I17">
        <v>586091</v>
      </c>
    </row>
    <row r="25" spans="2:9" x14ac:dyDescent="0.35">
      <c r="B25" s="387" t="s">
        <v>350</v>
      </c>
      <c r="C25" t="s">
        <v>1061</v>
      </c>
      <c r="D25" t="s">
        <v>1060</v>
      </c>
      <c r="E25" t="s">
        <v>1062</v>
      </c>
      <c r="F25" t="s">
        <v>1063</v>
      </c>
      <c r="G25" t="s">
        <v>1064</v>
      </c>
      <c r="H25" t="s">
        <v>1065</v>
      </c>
      <c r="I25" t="s">
        <v>1024</v>
      </c>
    </row>
    <row r="26" spans="2:9" x14ac:dyDescent="0.35">
      <c r="B26" s="388" t="s">
        <v>365</v>
      </c>
      <c r="C26">
        <v>3</v>
      </c>
      <c r="D26">
        <v>2.6</v>
      </c>
      <c r="E26">
        <v>2.5</v>
      </c>
      <c r="F26">
        <v>2.5</v>
      </c>
      <c r="G26">
        <v>2.2000000000000002</v>
      </c>
      <c r="H26">
        <v>2.4</v>
      </c>
      <c r="I26">
        <v>2.7</v>
      </c>
    </row>
    <row r="27" spans="2:9" x14ac:dyDescent="0.35">
      <c r="B27" s="388" t="s">
        <v>366</v>
      </c>
      <c r="C27">
        <v>3.4</v>
      </c>
      <c r="D27">
        <v>2.7</v>
      </c>
      <c r="E27">
        <v>2.7</v>
      </c>
      <c r="F27">
        <v>2.7</v>
      </c>
      <c r="G27">
        <v>2.2999999999999998</v>
      </c>
      <c r="H27">
        <v>2.7</v>
      </c>
      <c r="I27">
        <v>2.9</v>
      </c>
    </row>
    <row r="28" spans="2:9" x14ac:dyDescent="0.35">
      <c r="B28" s="388" t="s">
        <v>341</v>
      </c>
      <c r="C28">
        <v>3.3</v>
      </c>
      <c r="D28">
        <v>2.5</v>
      </c>
      <c r="E28">
        <v>2.6</v>
      </c>
      <c r="F28">
        <v>3.3</v>
      </c>
      <c r="G28">
        <v>2.4</v>
      </c>
      <c r="H28">
        <v>3.1</v>
      </c>
      <c r="I28">
        <v>2.9</v>
      </c>
    </row>
    <row r="29" spans="2:9" x14ac:dyDescent="0.35">
      <c r="B29" s="388" t="s">
        <v>342</v>
      </c>
      <c r="C29">
        <v>3.1</v>
      </c>
      <c r="D29">
        <v>2.6</v>
      </c>
      <c r="E29">
        <v>2.5</v>
      </c>
      <c r="F29">
        <v>3.4</v>
      </c>
      <c r="G29">
        <v>2.2000000000000002</v>
      </c>
      <c r="H29">
        <v>3.2</v>
      </c>
      <c r="I29">
        <v>2.8</v>
      </c>
    </row>
    <row r="30" spans="2:9" x14ac:dyDescent="0.35">
      <c r="B30" s="388" t="s">
        <v>214</v>
      </c>
      <c r="C30">
        <v>3</v>
      </c>
      <c r="D30">
        <v>2.8</v>
      </c>
      <c r="E30">
        <v>2.4</v>
      </c>
      <c r="F30">
        <v>2.9</v>
      </c>
      <c r="G30">
        <v>2</v>
      </c>
      <c r="H30">
        <v>2.5</v>
      </c>
      <c r="I30">
        <v>2.8</v>
      </c>
    </row>
    <row r="31" spans="2:9" x14ac:dyDescent="0.35">
      <c r="B31" s="388" t="s">
        <v>313</v>
      </c>
      <c r="C31">
        <v>3</v>
      </c>
      <c r="D31">
        <v>2.8</v>
      </c>
      <c r="E31">
        <v>2.5</v>
      </c>
      <c r="F31">
        <v>2.8</v>
      </c>
      <c r="G31">
        <v>2.2000000000000002</v>
      </c>
      <c r="H31">
        <v>2.5</v>
      </c>
      <c r="I31">
        <v>2.7</v>
      </c>
    </row>
    <row r="32" spans="2:9" x14ac:dyDescent="0.35">
      <c r="B32" s="388" t="s">
        <v>319</v>
      </c>
      <c r="C32">
        <v>0.9</v>
      </c>
      <c r="D32">
        <v>0.7</v>
      </c>
      <c r="E32">
        <v>0.8</v>
      </c>
      <c r="F32">
        <v>0.8</v>
      </c>
      <c r="G32">
        <v>0.6</v>
      </c>
      <c r="H32">
        <v>0.6</v>
      </c>
      <c r="I32">
        <v>0.8</v>
      </c>
    </row>
    <row r="33" spans="2:9" x14ac:dyDescent="0.35">
      <c r="B33" s="388" t="s">
        <v>321</v>
      </c>
      <c r="C33">
        <v>2</v>
      </c>
      <c r="D33">
        <v>1.6</v>
      </c>
      <c r="E33">
        <v>1.7</v>
      </c>
      <c r="F33">
        <v>1.9</v>
      </c>
      <c r="G33">
        <v>1.3</v>
      </c>
      <c r="H33">
        <v>1.6</v>
      </c>
      <c r="I33">
        <v>1.7</v>
      </c>
    </row>
    <row r="34" spans="2:9" x14ac:dyDescent="0.35">
      <c r="B34" s="388" t="s">
        <v>326</v>
      </c>
      <c r="C34">
        <v>1.7</v>
      </c>
      <c r="D34">
        <v>1.4</v>
      </c>
      <c r="E34">
        <v>1.4</v>
      </c>
      <c r="F34">
        <v>1.7</v>
      </c>
      <c r="G34">
        <v>1.1000000000000001</v>
      </c>
      <c r="H34">
        <v>1.4</v>
      </c>
      <c r="I34">
        <v>1.5</v>
      </c>
    </row>
    <row r="35" spans="2:9" x14ac:dyDescent="0.35">
      <c r="B35" s="388" t="s">
        <v>327</v>
      </c>
      <c r="C35">
        <v>1.5</v>
      </c>
      <c r="D35">
        <v>1.4</v>
      </c>
      <c r="E35">
        <v>1.2</v>
      </c>
      <c r="F35">
        <v>1.6</v>
      </c>
      <c r="G35">
        <v>0.9</v>
      </c>
      <c r="H35">
        <v>1.2</v>
      </c>
      <c r="I35">
        <v>1.4</v>
      </c>
    </row>
    <row r="36" spans="2:9" x14ac:dyDescent="0.35">
      <c r="B36" s="388" t="s">
        <v>413</v>
      </c>
    </row>
    <row r="37" spans="2:9" x14ac:dyDescent="0.35">
      <c r="B37" s="388" t="s">
        <v>466</v>
      </c>
      <c r="C37">
        <v>1.4</v>
      </c>
      <c r="D37">
        <v>1.4</v>
      </c>
      <c r="E37">
        <v>1.1000000000000001</v>
      </c>
      <c r="F37">
        <v>1.3</v>
      </c>
      <c r="G37">
        <v>0.8</v>
      </c>
      <c r="H37">
        <v>1.1000000000000001</v>
      </c>
      <c r="I37">
        <v>1.2</v>
      </c>
    </row>
    <row r="38" spans="2:9" x14ac:dyDescent="0.35">
      <c r="B38" s="388" t="s">
        <v>357</v>
      </c>
      <c r="C38">
        <v>26.299999999999994</v>
      </c>
      <c r="D38">
        <v>22.499999999999996</v>
      </c>
      <c r="E38">
        <v>21.4</v>
      </c>
      <c r="F38">
        <v>24.900000000000002</v>
      </c>
      <c r="G38">
        <v>18</v>
      </c>
      <c r="H38">
        <v>22.3</v>
      </c>
      <c r="I38">
        <v>23.4</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2741-2CE2-488A-B3F9-79A05799619B}">
  <sheetPr>
    <tabColor theme="7" tint="-0.249977111117893"/>
  </sheetPr>
  <dimension ref="A2:H36"/>
  <sheetViews>
    <sheetView topLeftCell="A21" workbookViewId="0">
      <selection activeCell="A24" sqref="A24"/>
    </sheetView>
  </sheetViews>
  <sheetFormatPr defaultRowHeight="14.5" x14ac:dyDescent="0.35"/>
  <cols>
    <col min="1" max="1" width="7.453125" bestFit="1" customWidth="1"/>
    <col min="2" max="2" width="21.08984375" bestFit="1" customWidth="1"/>
    <col min="3" max="3" width="21.54296875" bestFit="1" customWidth="1"/>
    <col min="4" max="4" width="25.1796875" bestFit="1" customWidth="1"/>
    <col min="5" max="5" width="23.1796875" bestFit="1" customWidth="1"/>
    <col min="6" max="6" width="19" bestFit="1" customWidth="1"/>
    <col min="7" max="7" width="17.08984375" bestFit="1" customWidth="1"/>
    <col min="8" max="8" width="12.81640625" bestFit="1" customWidth="1"/>
  </cols>
  <sheetData>
    <row r="2" spans="1:8" x14ac:dyDescent="0.35">
      <c r="A2" t="s">
        <v>207</v>
      </c>
      <c r="B2" t="s">
        <v>1068</v>
      </c>
      <c r="C2" t="s">
        <v>1069</v>
      </c>
      <c r="D2" t="s">
        <v>1070</v>
      </c>
      <c r="E2" t="s">
        <v>1071</v>
      </c>
      <c r="F2" t="s">
        <v>1072</v>
      </c>
      <c r="G2" t="s">
        <v>1073</v>
      </c>
      <c r="H2" t="s">
        <v>1031</v>
      </c>
    </row>
    <row r="4" spans="1:8" x14ac:dyDescent="0.35">
      <c r="A4" t="s">
        <v>365</v>
      </c>
      <c r="B4">
        <v>22762</v>
      </c>
      <c r="C4">
        <v>26321</v>
      </c>
      <c r="D4">
        <v>5118</v>
      </c>
      <c r="E4">
        <v>2282</v>
      </c>
      <c r="F4">
        <v>5463</v>
      </c>
      <c r="G4">
        <v>3523</v>
      </c>
      <c r="H4">
        <v>65469</v>
      </c>
    </row>
    <row r="5" spans="1:8" x14ac:dyDescent="0.35">
      <c r="A5" t="s">
        <v>366</v>
      </c>
      <c r="B5">
        <v>23988</v>
      </c>
      <c r="C5">
        <v>29952</v>
      </c>
      <c r="D5">
        <v>5426</v>
      </c>
      <c r="E5">
        <v>2459</v>
      </c>
      <c r="F5">
        <v>5688</v>
      </c>
      <c r="G5">
        <v>3974</v>
      </c>
      <c r="H5">
        <v>71487</v>
      </c>
    </row>
    <row r="6" spans="1:8" x14ac:dyDescent="0.35">
      <c r="A6" t="s">
        <v>341</v>
      </c>
      <c r="B6">
        <v>22352</v>
      </c>
      <c r="C6">
        <v>29301</v>
      </c>
      <c r="D6">
        <v>5373</v>
      </c>
      <c r="E6">
        <v>2998</v>
      </c>
      <c r="F6">
        <v>6082</v>
      </c>
      <c r="G6">
        <v>4536</v>
      </c>
      <c r="H6">
        <v>70642</v>
      </c>
    </row>
    <row r="7" spans="1:8" x14ac:dyDescent="0.35">
      <c r="A7" t="s">
        <v>342</v>
      </c>
      <c r="B7">
        <v>23373</v>
      </c>
      <c r="C7">
        <v>27629</v>
      </c>
      <c r="D7">
        <v>5099</v>
      </c>
      <c r="E7">
        <v>3085</v>
      </c>
      <c r="F7">
        <v>5820</v>
      </c>
      <c r="G7">
        <v>4717</v>
      </c>
      <c r="H7">
        <v>69723</v>
      </c>
    </row>
    <row r="8" spans="1:8" x14ac:dyDescent="0.35">
      <c r="A8" t="s">
        <v>214</v>
      </c>
      <c r="B8">
        <v>25573</v>
      </c>
      <c r="C8">
        <v>26939</v>
      </c>
      <c r="D8">
        <v>4968</v>
      </c>
      <c r="E8">
        <v>2680</v>
      </c>
      <c r="F8">
        <v>5279</v>
      </c>
      <c r="G8">
        <v>3648</v>
      </c>
      <c r="H8">
        <v>69087</v>
      </c>
    </row>
    <row r="9" spans="1:8" x14ac:dyDescent="0.35">
      <c r="A9" t="s">
        <v>313</v>
      </c>
      <c r="B9">
        <v>25002</v>
      </c>
      <c r="C9">
        <v>26636</v>
      </c>
      <c r="D9">
        <v>5203</v>
      </c>
      <c r="E9">
        <v>2570</v>
      </c>
      <c r="F9">
        <v>5887</v>
      </c>
      <c r="G9">
        <v>3738</v>
      </c>
      <c r="H9">
        <v>69036</v>
      </c>
    </row>
    <row r="10" spans="1:8" x14ac:dyDescent="0.35">
      <c r="A10" t="s">
        <v>319</v>
      </c>
      <c r="B10">
        <v>6604</v>
      </c>
      <c r="C10">
        <v>8556</v>
      </c>
      <c r="D10">
        <v>1582</v>
      </c>
      <c r="E10">
        <v>722</v>
      </c>
      <c r="F10">
        <v>1541</v>
      </c>
      <c r="G10">
        <v>957</v>
      </c>
      <c r="H10">
        <v>19962</v>
      </c>
    </row>
    <row r="11" spans="1:8" x14ac:dyDescent="0.35">
      <c r="A11" t="s">
        <v>321</v>
      </c>
      <c r="B11">
        <v>14448</v>
      </c>
      <c r="C11">
        <v>18291</v>
      </c>
      <c r="D11">
        <v>3519</v>
      </c>
      <c r="E11">
        <v>1732</v>
      </c>
      <c r="F11">
        <v>3613</v>
      </c>
      <c r="G11">
        <v>2460</v>
      </c>
      <c r="H11">
        <v>44063</v>
      </c>
    </row>
    <row r="12" spans="1:8" x14ac:dyDescent="0.35">
      <c r="A12" t="s">
        <v>326</v>
      </c>
      <c r="B12">
        <v>13204</v>
      </c>
      <c r="C12">
        <v>15629</v>
      </c>
      <c r="D12">
        <v>2964</v>
      </c>
      <c r="E12">
        <v>1543</v>
      </c>
      <c r="F12">
        <v>2985</v>
      </c>
      <c r="G12">
        <v>2124</v>
      </c>
      <c r="H12">
        <v>38449</v>
      </c>
    </row>
    <row r="13" spans="1:8" x14ac:dyDescent="0.35">
      <c r="A13" t="s">
        <v>327</v>
      </c>
      <c r="B13">
        <v>12646</v>
      </c>
      <c r="C13">
        <v>14166</v>
      </c>
      <c r="D13">
        <v>2677</v>
      </c>
      <c r="E13">
        <v>1461</v>
      </c>
      <c r="F13">
        <v>2602</v>
      </c>
      <c r="G13">
        <v>1900</v>
      </c>
      <c r="H13">
        <v>35452</v>
      </c>
    </row>
    <row r="14" spans="1:8" x14ac:dyDescent="0.35">
      <c r="A14" t="s">
        <v>466</v>
      </c>
      <c r="B14">
        <v>12803</v>
      </c>
      <c r="C14">
        <v>12528</v>
      </c>
      <c r="D14">
        <v>2299</v>
      </c>
      <c r="E14">
        <v>1207</v>
      </c>
      <c r="F14">
        <v>2229</v>
      </c>
      <c r="G14">
        <v>1655</v>
      </c>
      <c r="H14">
        <v>32721</v>
      </c>
    </row>
    <row r="24" spans="1:8" x14ac:dyDescent="0.35">
      <c r="A24" t="s">
        <v>207</v>
      </c>
      <c r="B24" t="s">
        <v>1068</v>
      </c>
      <c r="C24" t="s">
        <v>1069</v>
      </c>
      <c r="D24" t="s">
        <v>1070</v>
      </c>
      <c r="E24" t="s">
        <v>1071</v>
      </c>
      <c r="F24" t="s">
        <v>1072</v>
      </c>
      <c r="G24" t="s">
        <v>1073</v>
      </c>
      <c r="H24" t="s">
        <v>1031</v>
      </c>
    </row>
    <row r="26" spans="1:8" x14ac:dyDescent="0.35">
      <c r="A26" t="s">
        <v>326</v>
      </c>
      <c r="B26">
        <v>1.4</v>
      </c>
      <c r="C26">
        <v>1.7</v>
      </c>
      <c r="D26">
        <v>1.4</v>
      </c>
      <c r="E26">
        <v>1.7</v>
      </c>
      <c r="F26">
        <v>1.1000000000000001</v>
      </c>
      <c r="G26">
        <v>1.4</v>
      </c>
      <c r="H26">
        <v>1.5</v>
      </c>
    </row>
    <row r="27" spans="1:8" x14ac:dyDescent="0.35">
      <c r="A27" t="s">
        <v>342</v>
      </c>
      <c r="B27">
        <v>2.6</v>
      </c>
      <c r="C27">
        <v>3.1</v>
      </c>
      <c r="D27">
        <v>2.5</v>
      </c>
      <c r="E27">
        <v>3.4</v>
      </c>
      <c r="F27">
        <v>2.2000000000000002</v>
      </c>
      <c r="G27">
        <v>3.2</v>
      </c>
      <c r="H27">
        <v>2.8</v>
      </c>
    </row>
    <row r="28" spans="1:8" x14ac:dyDescent="0.35">
      <c r="A28" t="s">
        <v>313</v>
      </c>
      <c r="B28">
        <v>2.8</v>
      </c>
      <c r="C28">
        <v>3</v>
      </c>
      <c r="D28">
        <v>2.5</v>
      </c>
      <c r="E28">
        <v>2.8</v>
      </c>
      <c r="F28">
        <v>2.2000000000000002</v>
      </c>
      <c r="G28">
        <v>2.5</v>
      </c>
      <c r="H28">
        <v>2.7</v>
      </c>
    </row>
    <row r="29" spans="1:8" x14ac:dyDescent="0.35">
      <c r="A29" t="s">
        <v>365</v>
      </c>
      <c r="B29">
        <v>2.6</v>
      </c>
      <c r="C29">
        <v>3</v>
      </c>
      <c r="D29">
        <v>2.5</v>
      </c>
      <c r="E29">
        <v>2.5</v>
      </c>
      <c r="F29">
        <v>2.2000000000000002</v>
      </c>
      <c r="G29">
        <v>2.4</v>
      </c>
      <c r="H29">
        <v>2.7</v>
      </c>
    </row>
    <row r="30" spans="1:8" x14ac:dyDescent="0.35">
      <c r="A30" t="s">
        <v>341</v>
      </c>
      <c r="B30">
        <v>2.5</v>
      </c>
      <c r="C30">
        <v>3.3</v>
      </c>
      <c r="D30">
        <v>2.6</v>
      </c>
      <c r="E30">
        <v>3.3</v>
      </c>
      <c r="F30">
        <v>2.4</v>
      </c>
      <c r="G30">
        <v>3.1</v>
      </c>
      <c r="H30">
        <v>2.9</v>
      </c>
    </row>
    <row r="31" spans="1:8" x14ac:dyDescent="0.35">
      <c r="A31" t="s">
        <v>214</v>
      </c>
      <c r="B31">
        <v>2.8</v>
      </c>
      <c r="C31">
        <v>3</v>
      </c>
      <c r="D31">
        <v>2.4</v>
      </c>
      <c r="E31">
        <v>2.9</v>
      </c>
      <c r="F31">
        <v>2</v>
      </c>
      <c r="G31">
        <v>2.5</v>
      </c>
      <c r="H31">
        <v>2.8</v>
      </c>
    </row>
    <row r="32" spans="1:8" x14ac:dyDescent="0.35">
      <c r="A32" t="s">
        <v>319</v>
      </c>
      <c r="B32">
        <v>0.7</v>
      </c>
      <c r="C32">
        <v>0.9</v>
      </c>
      <c r="D32">
        <v>0.8</v>
      </c>
      <c r="E32">
        <v>0.8</v>
      </c>
      <c r="F32">
        <v>0.6</v>
      </c>
      <c r="G32">
        <v>0.6</v>
      </c>
      <c r="H32">
        <v>0.8</v>
      </c>
    </row>
    <row r="33" spans="1:8" x14ac:dyDescent="0.35">
      <c r="A33" t="s">
        <v>327</v>
      </c>
      <c r="B33">
        <v>1.4</v>
      </c>
      <c r="C33">
        <v>1.5</v>
      </c>
      <c r="D33">
        <v>1.2</v>
      </c>
      <c r="E33">
        <v>1.6</v>
      </c>
      <c r="F33">
        <v>0.9</v>
      </c>
      <c r="G33">
        <v>1.2</v>
      </c>
      <c r="H33">
        <v>1.4</v>
      </c>
    </row>
    <row r="34" spans="1:8" x14ac:dyDescent="0.35">
      <c r="A34" t="s">
        <v>466</v>
      </c>
      <c r="B34">
        <v>1.4</v>
      </c>
      <c r="C34">
        <v>1.4</v>
      </c>
      <c r="D34">
        <v>1.1000000000000001</v>
      </c>
      <c r="E34">
        <v>1.3</v>
      </c>
      <c r="F34">
        <v>0.8</v>
      </c>
      <c r="G34">
        <v>1.1000000000000001</v>
      </c>
      <c r="H34">
        <v>1.2</v>
      </c>
    </row>
    <row r="35" spans="1:8" x14ac:dyDescent="0.35">
      <c r="A35" t="s">
        <v>366</v>
      </c>
      <c r="B35">
        <v>2.7</v>
      </c>
      <c r="C35">
        <v>3.4</v>
      </c>
      <c r="D35">
        <v>2.7</v>
      </c>
      <c r="E35">
        <v>2.7</v>
      </c>
      <c r="F35">
        <v>2.2999999999999998</v>
      </c>
      <c r="G35">
        <v>2.7</v>
      </c>
      <c r="H35">
        <v>2.9</v>
      </c>
    </row>
    <row r="36" spans="1:8" x14ac:dyDescent="0.35">
      <c r="A36" t="s">
        <v>321</v>
      </c>
      <c r="B36">
        <v>1.6</v>
      </c>
      <c r="C36">
        <v>2</v>
      </c>
      <c r="D36">
        <v>1.7</v>
      </c>
      <c r="E36">
        <v>1.9</v>
      </c>
      <c r="F36">
        <v>1.3</v>
      </c>
      <c r="G36">
        <v>1.6</v>
      </c>
      <c r="H36">
        <v>1.7</v>
      </c>
    </row>
  </sheetData>
  <pageMargins left="0.7" right="0.7" top="0.75" bottom="0.75" header="0.3" footer="0.3"/>
  <tableParts count="2">
    <tablePart r:id="rId1"/>
    <tablePart r:id="rId2"/>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7" tint="-0.249977111117893"/>
  </sheetPr>
  <dimension ref="A1:K49"/>
  <sheetViews>
    <sheetView showGridLines="0" zoomScaleNormal="100" workbookViewId="0">
      <pane ySplit="2" topLeftCell="A3" activePane="bottomLeft" state="frozen"/>
      <selection pane="bottomLeft"/>
    </sheetView>
  </sheetViews>
  <sheetFormatPr defaultRowHeight="14.5" x14ac:dyDescent="0.35"/>
  <cols>
    <col min="1" max="1" width="18.1796875" customWidth="1"/>
    <col min="2" max="2" width="18.81640625" bestFit="1" customWidth="1"/>
    <col min="3" max="3" width="19.453125" bestFit="1" customWidth="1"/>
    <col min="4" max="4" width="23.54296875" bestFit="1" customWidth="1"/>
    <col min="5" max="5" width="21.453125" bestFit="1" customWidth="1"/>
    <col min="6" max="6" width="17.26953125" bestFit="1" customWidth="1"/>
    <col min="7" max="7" width="15" bestFit="1" customWidth="1"/>
    <col min="8" max="8" width="10.81640625" bestFit="1" customWidth="1"/>
  </cols>
  <sheetData>
    <row r="1" spans="1:11" ht="15.5" x14ac:dyDescent="0.35">
      <c r="A1" s="514" t="s">
        <v>928</v>
      </c>
    </row>
    <row r="2" spans="1:11" x14ac:dyDescent="0.35">
      <c r="A2" s="499" t="s">
        <v>201</v>
      </c>
    </row>
    <row r="3" spans="1:11" x14ac:dyDescent="0.35">
      <c r="A3" s="25"/>
    </row>
    <row r="4" spans="1:11" ht="15.75" customHeight="1" x14ac:dyDescent="0.35">
      <c r="A4" s="523" t="s">
        <v>1066</v>
      </c>
      <c r="B4" s="523"/>
      <c r="C4" s="523"/>
      <c r="D4" s="523"/>
      <c r="E4" s="523"/>
      <c r="F4" s="523"/>
      <c r="G4" s="523"/>
      <c r="H4" s="523"/>
      <c r="I4" s="523"/>
      <c r="J4" s="523"/>
      <c r="K4" s="523"/>
    </row>
    <row r="5" spans="1:11" ht="15.5" x14ac:dyDescent="0.35">
      <c r="A5" t="s">
        <v>202</v>
      </c>
      <c r="B5" t="s">
        <v>159</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1033</v>
      </c>
      <c r="C7" s="500"/>
      <c r="D7" s="500"/>
      <c r="E7" s="500"/>
      <c r="F7" s="500"/>
      <c r="G7" s="500"/>
      <c r="H7" s="500"/>
      <c r="I7" s="500"/>
      <c r="J7" s="500"/>
      <c r="K7" s="500"/>
    </row>
    <row r="8" spans="1:11" x14ac:dyDescent="0.35">
      <c r="D8" s="524" t="s">
        <v>1067</v>
      </c>
    </row>
    <row r="9" spans="1:11" x14ac:dyDescent="0.35">
      <c r="A9" s="526" t="s">
        <v>207</v>
      </c>
      <c r="B9" s="526" t="s">
        <v>1068</v>
      </c>
      <c r="C9" s="526" t="s">
        <v>1069</v>
      </c>
      <c r="D9" s="526" t="s">
        <v>1070</v>
      </c>
      <c r="E9" s="526" t="s">
        <v>1071</v>
      </c>
      <c r="F9" s="526" t="s">
        <v>1072</v>
      </c>
      <c r="G9" s="526" t="s">
        <v>1073</v>
      </c>
      <c r="H9" s="526" t="s">
        <v>1031</v>
      </c>
    </row>
    <row r="10" spans="1:11" x14ac:dyDescent="0.35">
      <c r="A10" s="312" t="s">
        <v>365</v>
      </c>
      <c r="B10" s="602">
        <f>GETPIVOTDATA("Sum of 1 - Large Urban Areas",RuralityPivot!$B$4,"Year",A10)</f>
        <v>22762</v>
      </c>
      <c r="C10" s="602">
        <f>GETPIVOTDATA("Sum of 2 - Other Urban Areas",RuralityPivot!$B$4,"Year",A10)</f>
        <v>26321</v>
      </c>
      <c r="D10" s="602">
        <f>GETPIVOTDATA("Sum of 3 - Accessible Small Towns",RuralityPivot!$B$4,"Year",A10)</f>
        <v>5118</v>
      </c>
      <c r="E10" s="602">
        <f>GETPIVOTDATA("Sum of 4 - Remote Small Towns",RuralityPivot!$B$4,"Year",A10)</f>
        <v>2282</v>
      </c>
      <c r="F10" s="602">
        <f>GETPIVOTDATA("Sum of 5 - Accessible Rural",RuralityPivot!$B$4,"Year",A10)</f>
        <v>5463</v>
      </c>
      <c r="G10" s="602">
        <f>GETPIVOTDATA("Sum of 6 - Remote Rural",RuralityPivot!$B$4,"Year",A10)</f>
        <v>3523</v>
      </c>
      <c r="H10" s="603">
        <f>GETPIVOTDATA("Sum of All Scotland",RuralityPivot!$B$4,"Year",A10)</f>
        <v>65469</v>
      </c>
    </row>
    <row r="11" spans="1:11" x14ac:dyDescent="0.35">
      <c r="A11" s="312" t="s">
        <v>366</v>
      </c>
      <c r="B11" s="602">
        <f>GETPIVOTDATA("Sum of 1 - Large Urban Areas",RuralityPivot!$B$4,"Year",A11)</f>
        <v>23988</v>
      </c>
      <c r="C11" s="602">
        <f>GETPIVOTDATA("Sum of 2 - Other Urban Areas",RuralityPivot!$B$4,"Year",A11)</f>
        <v>29952</v>
      </c>
      <c r="D11" s="602">
        <f>GETPIVOTDATA("Sum of 3 - Accessible Small Towns",RuralityPivot!$B$4,"Year",A11)</f>
        <v>5426</v>
      </c>
      <c r="E11" s="602">
        <f>GETPIVOTDATA("Sum of 4 - Remote Small Towns",RuralityPivot!$B$4,"Year",A11)</f>
        <v>2459</v>
      </c>
      <c r="F11" s="602">
        <f>GETPIVOTDATA("Sum of 5 - Accessible Rural",RuralityPivot!$B$4,"Year",A11)</f>
        <v>5688</v>
      </c>
      <c r="G11" s="602">
        <f>GETPIVOTDATA("Sum of 6 - Remote Rural",RuralityPivot!$B$4,"Year",A11)</f>
        <v>3974</v>
      </c>
      <c r="H11" s="603">
        <f>GETPIVOTDATA("Sum of All Scotland",RuralityPivot!$B$4,"Year",A11)</f>
        <v>71487</v>
      </c>
    </row>
    <row r="12" spans="1:11" x14ac:dyDescent="0.35">
      <c r="A12" s="312" t="s">
        <v>341</v>
      </c>
      <c r="B12" s="602">
        <f>GETPIVOTDATA("Sum of 1 - Large Urban Areas",RuralityPivot!$B$4,"Year",A12)</f>
        <v>22352</v>
      </c>
      <c r="C12" s="602">
        <f>GETPIVOTDATA("Sum of 2 - Other Urban Areas",RuralityPivot!$B$4,"Year",A12)</f>
        <v>29301</v>
      </c>
      <c r="D12" s="602">
        <f>GETPIVOTDATA("Sum of 3 - Accessible Small Towns",RuralityPivot!$B$4,"Year",A12)</f>
        <v>5373</v>
      </c>
      <c r="E12" s="602">
        <f>GETPIVOTDATA("Sum of 4 - Remote Small Towns",RuralityPivot!$B$4,"Year",A12)</f>
        <v>2998</v>
      </c>
      <c r="F12" s="602">
        <f>GETPIVOTDATA("Sum of 5 - Accessible Rural",RuralityPivot!$B$4,"Year",A12)</f>
        <v>6082</v>
      </c>
      <c r="G12" s="602">
        <f>GETPIVOTDATA("Sum of 6 - Remote Rural",RuralityPivot!$B$4,"Year",A12)</f>
        <v>4536</v>
      </c>
      <c r="H12" s="603">
        <f>GETPIVOTDATA("Sum of All Scotland",RuralityPivot!$B$4,"Year",A12)</f>
        <v>70642</v>
      </c>
    </row>
    <row r="13" spans="1:11" x14ac:dyDescent="0.35">
      <c r="A13" s="312" t="s">
        <v>342</v>
      </c>
      <c r="B13" s="602">
        <f>GETPIVOTDATA("Sum of 1 - Large Urban Areas",RuralityPivot!$B$4,"Year",A13)</f>
        <v>23373</v>
      </c>
      <c r="C13" s="602">
        <f>GETPIVOTDATA("Sum of 2 - Other Urban Areas",RuralityPivot!$B$4,"Year",A13)</f>
        <v>27629</v>
      </c>
      <c r="D13" s="602">
        <f>GETPIVOTDATA("Sum of 3 - Accessible Small Towns",RuralityPivot!$B$4,"Year",A13)</f>
        <v>5099</v>
      </c>
      <c r="E13" s="602">
        <f>GETPIVOTDATA("Sum of 4 - Remote Small Towns",RuralityPivot!$B$4,"Year",A13)</f>
        <v>3085</v>
      </c>
      <c r="F13" s="602">
        <f>GETPIVOTDATA("Sum of 5 - Accessible Rural",RuralityPivot!$B$4,"Year",A13)</f>
        <v>5820</v>
      </c>
      <c r="G13" s="602">
        <f>GETPIVOTDATA("Sum of 6 - Remote Rural",RuralityPivot!$B$4,"Year",A13)</f>
        <v>4717</v>
      </c>
      <c r="H13" s="603">
        <f>GETPIVOTDATA("Sum of All Scotland",RuralityPivot!$B$4,"Year",A13)</f>
        <v>69723</v>
      </c>
    </row>
    <row r="14" spans="1:11" x14ac:dyDescent="0.35">
      <c r="A14" s="312" t="s">
        <v>214</v>
      </c>
      <c r="B14" s="602">
        <f>GETPIVOTDATA("Sum of 1 - Large Urban Areas",RuralityPivot!$B$4,"Year",A14)</f>
        <v>25573</v>
      </c>
      <c r="C14" s="602">
        <f>GETPIVOTDATA("Sum of 2 - Other Urban Areas",RuralityPivot!$B$4,"Year",A14)</f>
        <v>26939</v>
      </c>
      <c r="D14" s="602">
        <f>GETPIVOTDATA("Sum of 3 - Accessible Small Towns",RuralityPivot!$B$4,"Year",A14)</f>
        <v>4968</v>
      </c>
      <c r="E14" s="602">
        <f>GETPIVOTDATA("Sum of 4 - Remote Small Towns",RuralityPivot!$B$4,"Year",A14)</f>
        <v>2680</v>
      </c>
      <c r="F14" s="602">
        <f>GETPIVOTDATA("Sum of 5 - Accessible Rural",RuralityPivot!$B$4,"Year",A14)</f>
        <v>5279</v>
      </c>
      <c r="G14" s="602">
        <f>GETPIVOTDATA("Sum of 6 - Remote Rural",RuralityPivot!$B$4,"Year",A14)</f>
        <v>3648</v>
      </c>
      <c r="H14" s="603">
        <f>GETPIVOTDATA("Sum of All Scotland",RuralityPivot!$B$4,"Year",A14)</f>
        <v>69087</v>
      </c>
    </row>
    <row r="15" spans="1:11" x14ac:dyDescent="0.35">
      <c r="A15" s="312" t="s">
        <v>313</v>
      </c>
      <c r="B15" s="602">
        <f>GETPIVOTDATA("Sum of 1 - Large Urban Areas",RuralityPivot!$B$4,"Year",A15)</f>
        <v>25002</v>
      </c>
      <c r="C15" s="602">
        <f>GETPIVOTDATA("Sum of 2 - Other Urban Areas",RuralityPivot!$B$4,"Year",A15)</f>
        <v>26636</v>
      </c>
      <c r="D15" s="602">
        <f>GETPIVOTDATA("Sum of 3 - Accessible Small Towns",RuralityPivot!$B$4,"Year",A15)</f>
        <v>5203</v>
      </c>
      <c r="E15" s="602">
        <f>GETPIVOTDATA("Sum of 4 - Remote Small Towns",RuralityPivot!$B$4,"Year",A15)</f>
        <v>2570</v>
      </c>
      <c r="F15" s="602">
        <f>GETPIVOTDATA("Sum of 5 - Accessible Rural",RuralityPivot!$B$4,"Year",A15)</f>
        <v>5887</v>
      </c>
      <c r="G15" s="602">
        <f>GETPIVOTDATA("Sum of 6 - Remote Rural",RuralityPivot!$B$4,"Year",A15)</f>
        <v>3738</v>
      </c>
      <c r="H15" s="603">
        <f>GETPIVOTDATA("Sum of All Scotland",RuralityPivot!$B$4,"Year",A15)</f>
        <v>69036</v>
      </c>
    </row>
    <row r="16" spans="1:11" x14ac:dyDescent="0.35">
      <c r="A16" s="312" t="s">
        <v>319</v>
      </c>
      <c r="B16" s="602">
        <f>GETPIVOTDATA("Sum of 1 - Large Urban Areas",RuralityPivot!$B$4,"Year",A16)</f>
        <v>6604</v>
      </c>
      <c r="C16" s="602">
        <f>GETPIVOTDATA("Sum of 2 - Other Urban Areas",RuralityPivot!$B$4,"Year",A16)</f>
        <v>8556</v>
      </c>
      <c r="D16" s="602">
        <f>GETPIVOTDATA("Sum of 3 - Accessible Small Towns",RuralityPivot!$B$4,"Year",A16)</f>
        <v>1582</v>
      </c>
      <c r="E16" s="602">
        <f>GETPIVOTDATA("Sum of 4 - Remote Small Towns",RuralityPivot!$B$4,"Year",A16)</f>
        <v>722</v>
      </c>
      <c r="F16" s="602">
        <f>GETPIVOTDATA("Sum of 5 - Accessible Rural",RuralityPivot!$B$4,"Year",A16)</f>
        <v>1541</v>
      </c>
      <c r="G16" s="602">
        <f>GETPIVOTDATA("Sum of 6 - Remote Rural",RuralityPivot!$B$4,"Year",A16)</f>
        <v>957</v>
      </c>
      <c r="H16" s="603">
        <f>GETPIVOTDATA("Sum of All Scotland",RuralityPivot!$B$4,"Year",A16)</f>
        <v>19962</v>
      </c>
    </row>
    <row r="17" spans="1:11" x14ac:dyDescent="0.35">
      <c r="A17" s="312" t="s">
        <v>321</v>
      </c>
      <c r="B17" s="602">
        <f>GETPIVOTDATA("Sum of 1 - Large Urban Areas",RuralityPivot!$B$4,"Year",A17)</f>
        <v>14448</v>
      </c>
      <c r="C17" s="602">
        <f>GETPIVOTDATA("Sum of 2 - Other Urban Areas",RuralityPivot!$B$4,"Year",A17)</f>
        <v>18291</v>
      </c>
      <c r="D17" s="602">
        <f>GETPIVOTDATA("Sum of 3 - Accessible Small Towns",RuralityPivot!$B$4,"Year",A17)</f>
        <v>3519</v>
      </c>
      <c r="E17" s="602">
        <f>GETPIVOTDATA("Sum of 4 - Remote Small Towns",RuralityPivot!$B$4,"Year",A17)</f>
        <v>1732</v>
      </c>
      <c r="F17" s="602">
        <f>GETPIVOTDATA("Sum of 5 - Accessible Rural",RuralityPivot!$B$4,"Year",A17)</f>
        <v>3613</v>
      </c>
      <c r="G17" s="602">
        <f>GETPIVOTDATA("Sum of 6 - Remote Rural",RuralityPivot!$B$4,"Year",A17)</f>
        <v>2460</v>
      </c>
      <c r="H17" s="603">
        <f>GETPIVOTDATA("Sum of All Scotland",RuralityPivot!$B$4,"Year",A17)</f>
        <v>44063</v>
      </c>
    </row>
    <row r="18" spans="1:11" x14ac:dyDescent="0.35">
      <c r="A18" s="312" t="s">
        <v>326</v>
      </c>
      <c r="B18" s="602">
        <f>GETPIVOTDATA("Sum of 1 - Large Urban Areas",RuralityPivot!$B$4,"Year",A18)</f>
        <v>13204</v>
      </c>
      <c r="C18" s="602">
        <f>GETPIVOTDATA("Sum of 2 - Other Urban Areas",RuralityPivot!$B$4,"Year",A18)</f>
        <v>15629</v>
      </c>
      <c r="D18" s="602">
        <f>GETPIVOTDATA("Sum of 3 - Accessible Small Towns",RuralityPivot!$B$4,"Year",A18)</f>
        <v>2964</v>
      </c>
      <c r="E18" s="602">
        <f>GETPIVOTDATA("Sum of 4 - Remote Small Towns",RuralityPivot!$B$4,"Year",A18)</f>
        <v>1543</v>
      </c>
      <c r="F18" s="602">
        <f>GETPIVOTDATA("Sum of 5 - Accessible Rural",RuralityPivot!$B$4,"Year",A18)</f>
        <v>2985</v>
      </c>
      <c r="G18" s="602">
        <f>GETPIVOTDATA("Sum of 6 - Remote Rural",RuralityPivot!$B$4,"Year",A18)</f>
        <v>2124</v>
      </c>
      <c r="H18" s="603">
        <f>GETPIVOTDATA("Sum of All Scotland",RuralityPivot!$B$4,"Year",A18)</f>
        <v>38449</v>
      </c>
    </row>
    <row r="19" spans="1:11" x14ac:dyDescent="0.35">
      <c r="A19" s="312" t="s">
        <v>327</v>
      </c>
      <c r="B19" s="602">
        <f>GETPIVOTDATA("Sum of 1 - Large Urban Areas",RuralityPivot!$B$4,"Year",A19)</f>
        <v>12646</v>
      </c>
      <c r="C19" s="602">
        <f>GETPIVOTDATA("Sum of 2 - Other Urban Areas",RuralityPivot!$B$4,"Year",A19)</f>
        <v>14166</v>
      </c>
      <c r="D19" s="602">
        <f>GETPIVOTDATA("Sum of 3 - Accessible Small Towns",RuralityPivot!$B$4,"Year",A19)</f>
        <v>2677</v>
      </c>
      <c r="E19" s="602">
        <f>GETPIVOTDATA("Sum of 4 - Remote Small Towns",RuralityPivot!$B$4,"Year",A19)</f>
        <v>1461</v>
      </c>
      <c r="F19" s="602">
        <f>GETPIVOTDATA("Sum of 5 - Accessible Rural",RuralityPivot!$B$4,"Year",A19)</f>
        <v>2602</v>
      </c>
      <c r="G19" s="602">
        <f>GETPIVOTDATA("Sum of 6 - Remote Rural",RuralityPivot!$B$4,"Year",A19)</f>
        <v>1900</v>
      </c>
      <c r="H19" s="603">
        <f>GETPIVOTDATA("Sum of All Scotland",RuralityPivot!$B$4,"Year",A19)</f>
        <v>35452</v>
      </c>
    </row>
    <row r="20" spans="1:11" ht="15" thickBot="1" x14ac:dyDescent="0.4">
      <c r="A20" s="525" t="s">
        <v>466</v>
      </c>
      <c r="B20" s="607">
        <f>GETPIVOTDATA("Sum of 1 - Large Urban Areas",RuralityPivot!$B$4,"Year",A20)</f>
        <v>12803</v>
      </c>
      <c r="C20" s="607">
        <f>GETPIVOTDATA("Sum of 2 - Other Urban Areas",RuralityPivot!$B$4,"Year",A20)</f>
        <v>12528</v>
      </c>
      <c r="D20" s="607">
        <f>GETPIVOTDATA("Sum of 3 - Accessible Small Towns",RuralityPivot!$B$4,"Year",A20)</f>
        <v>2299</v>
      </c>
      <c r="E20" s="607">
        <f>GETPIVOTDATA("Sum of 4 - Remote Small Towns",RuralityPivot!$B$4,"Year",A20)</f>
        <v>1207</v>
      </c>
      <c r="F20" s="607">
        <f>GETPIVOTDATA("Sum of 5 - Accessible Rural",RuralityPivot!$B$4,"Year",A20)</f>
        <v>2229</v>
      </c>
      <c r="G20" s="607">
        <f>GETPIVOTDATA("Sum of 6 - Remote Rural",RuralityPivot!$B$4,"Year",A20)</f>
        <v>1655</v>
      </c>
      <c r="H20" s="899">
        <f>GETPIVOTDATA("Sum of All Scotland",RuralityPivot!$B$4,"Year",A20)</f>
        <v>32721</v>
      </c>
    </row>
    <row r="22" spans="1:11" x14ac:dyDescent="0.35">
      <c r="A22" s="312" t="s">
        <v>329</v>
      </c>
    </row>
    <row r="23" spans="1:11" x14ac:dyDescent="0.35">
      <c r="A23" t="s">
        <v>1074</v>
      </c>
    </row>
    <row r="24" spans="1:11" ht="15.5" x14ac:dyDescent="0.35">
      <c r="A24" s="564" t="s">
        <v>1075</v>
      </c>
      <c r="I24" s="523"/>
      <c r="J24" s="523"/>
      <c r="K24" s="523"/>
    </row>
    <row r="25" spans="1:11" ht="15.5" x14ac:dyDescent="0.35">
      <c r="A25" s="699" t="s">
        <v>1076</v>
      </c>
      <c r="I25" s="523"/>
      <c r="J25" s="523"/>
      <c r="K25" s="523"/>
    </row>
    <row r="26" spans="1:11" ht="15.5" x14ac:dyDescent="0.35">
      <c r="A26" s="699"/>
      <c r="I26" s="500"/>
      <c r="J26" s="500"/>
      <c r="K26" s="500"/>
    </row>
    <row r="27" spans="1:11" ht="15.5" x14ac:dyDescent="0.35">
      <c r="A27" s="523" t="s">
        <v>1077</v>
      </c>
      <c r="B27" s="523"/>
      <c r="C27" s="523"/>
      <c r="D27" s="523"/>
      <c r="E27" s="523"/>
      <c r="F27" s="523"/>
      <c r="G27" s="523"/>
      <c r="H27" s="523"/>
      <c r="I27" s="500"/>
      <c r="J27" s="500"/>
      <c r="K27" s="500"/>
    </row>
    <row r="28" spans="1:11" ht="15.5" x14ac:dyDescent="0.35">
      <c r="A28" t="s">
        <v>202</v>
      </c>
      <c r="B28" t="s">
        <v>160</v>
      </c>
      <c r="C28" s="500"/>
      <c r="D28" s="500"/>
      <c r="E28" s="500"/>
      <c r="F28" s="500"/>
      <c r="G28" s="500"/>
      <c r="H28" s="500"/>
      <c r="I28" s="500"/>
      <c r="J28" s="500"/>
      <c r="K28" s="500"/>
    </row>
    <row r="29" spans="1:11" ht="15.5" x14ac:dyDescent="0.35">
      <c r="A29" t="s">
        <v>203</v>
      </c>
      <c r="B29" t="s">
        <v>204</v>
      </c>
      <c r="C29" s="500"/>
      <c r="D29" s="500"/>
      <c r="E29" s="500"/>
      <c r="F29" s="500"/>
      <c r="G29" s="500"/>
      <c r="H29" s="500"/>
    </row>
    <row r="30" spans="1:11" ht="15.5" x14ac:dyDescent="0.35">
      <c r="A30" t="s">
        <v>205</v>
      </c>
      <c r="B30" t="s">
        <v>1033</v>
      </c>
      <c r="C30" s="500"/>
      <c r="D30" s="500"/>
      <c r="E30" s="500"/>
      <c r="F30" s="500"/>
      <c r="G30" s="500"/>
      <c r="H30" s="500"/>
    </row>
    <row r="31" spans="1:11" s="312" customFormat="1" x14ac:dyDescent="0.35">
      <c r="A31"/>
      <c r="B31"/>
      <c r="C31"/>
      <c r="D31"/>
      <c r="E31"/>
      <c r="F31"/>
      <c r="G31"/>
      <c r="H31"/>
    </row>
    <row r="32" spans="1:11" x14ac:dyDescent="0.35">
      <c r="D32" s="524" t="s">
        <v>1078</v>
      </c>
    </row>
    <row r="33" spans="1:8" x14ac:dyDescent="0.35">
      <c r="A33" s="526" t="s">
        <v>207</v>
      </c>
      <c r="B33" s="526" t="s">
        <v>1068</v>
      </c>
      <c r="C33" s="526" t="s">
        <v>1069</v>
      </c>
      <c r="D33" s="526" t="s">
        <v>1070</v>
      </c>
      <c r="E33" s="526" t="s">
        <v>1071</v>
      </c>
      <c r="F33" s="526" t="s">
        <v>1072</v>
      </c>
      <c r="G33" s="526" t="s">
        <v>1073</v>
      </c>
      <c r="H33" s="526" t="s">
        <v>1031</v>
      </c>
    </row>
    <row r="34" spans="1:8" x14ac:dyDescent="0.35">
      <c r="A34" s="312" t="s">
        <v>365</v>
      </c>
      <c r="B34" s="561">
        <f>GETPIVOTDATA("Sum of 1 - Large Urban Areas",RuralityPivot!$B$25,"Year",A34)</f>
        <v>2.6</v>
      </c>
      <c r="C34" s="561">
        <f>GETPIVOTDATA("Sum of 2 - Other Urban Areas",RuralityPivot!$B$25,"Year",A34)</f>
        <v>3</v>
      </c>
      <c r="D34" s="561">
        <f>GETPIVOTDATA("Sum of 3 - Accessible Small Towns",RuralityPivot!$B$25,"Year",A34)</f>
        <v>2.5</v>
      </c>
      <c r="E34" s="561">
        <f>GETPIVOTDATA("Sum of 4 - Remote Small Towns",RuralityPivot!$B$25,"Year",A34)</f>
        <v>2.5</v>
      </c>
      <c r="F34" s="561">
        <f>GETPIVOTDATA("Sum of 5 - Accessible Rural",RuralityPivot!$B$25,"Year",A34)</f>
        <v>2.2000000000000002</v>
      </c>
      <c r="G34" s="561">
        <f>GETPIVOTDATA("Sum of 6 - Remote Rural",RuralityPivot!$B$25,"Year",A34)</f>
        <v>2.4</v>
      </c>
      <c r="H34" s="890">
        <f>GETPIVOTDATA("Sum of All Scotland",RuralityPivot!$B$25,"Year",A34)</f>
        <v>2.7</v>
      </c>
    </row>
    <row r="35" spans="1:8" x14ac:dyDescent="0.35">
      <c r="A35" s="312" t="s">
        <v>366</v>
      </c>
      <c r="B35" s="561">
        <f>GETPIVOTDATA("Sum of 1 - Large Urban Areas",RuralityPivot!$B$25,"Year",A35)</f>
        <v>2.7</v>
      </c>
      <c r="C35" s="561">
        <f>GETPIVOTDATA("Sum of 2 - Other Urban Areas",RuralityPivot!$B$25,"Year",A35)</f>
        <v>3.4</v>
      </c>
      <c r="D35" s="561">
        <f>GETPIVOTDATA("Sum of 3 - Accessible Small Towns",RuralityPivot!$B$25,"Year",A35)</f>
        <v>2.7</v>
      </c>
      <c r="E35" s="561">
        <f>GETPIVOTDATA("Sum of 4 - Remote Small Towns",RuralityPivot!$B$25,"Year",A35)</f>
        <v>2.7</v>
      </c>
      <c r="F35" s="561">
        <f>GETPIVOTDATA("Sum of 5 - Accessible Rural",RuralityPivot!$B$25,"Year",A35)</f>
        <v>2.2999999999999998</v>
      </c>
      <c r="G35" s="561">
        <f>GETPIVOTDATA("Sum of 6 - Remote Rural",RuralityPivot!$B$25,"Year",A35)</f>
        <v>2.7</v>
      </c>
      <c r="H35" s="890">
        <f>GETPIVOTDATA("Sum of All Scotland",RuralityPivot!$B$25,"Year",A35)</f>
        <v>2.9</v>
      </c>
    </row>
    <row r="36" spans="1:8" x14ac:dyDescent="0.35">
      <c r="A36" s="312" t="s">
        <v>341</v>
      </c>
      <c r="B36" s="561">
        <f>GETPIVOTDATA("Sum of 1 - Large Urban Areas",RuralityPivot!$B$25,"Year",A36)</f>
        <v>2.5</v>
      </c>
      <c r="C36" s="561">
        <f>GETPIVOTDATA("Sum of 2 - Other Urban Areas",RuralityPivot!$B$25,"Year",A36)</f>
        <v>3.3</v>
      </c>
      <c r="D36" s="561">
        <f>GETPIVOTDATA("Sum of 3 - Accessible Small Towns",RuralityPivot!$B$25,"Year",A36)</f>
        <v>2.6</v>
      </c>
      <c r="E36" s="561">
        <f>GETPIVOTDATA("Sum of 4 - Remote Small Towns",RuralityPivot!$B$25,"Year",A36)</f>
        <v>3.3</v>
      </c>
      <c r="F36" s="561">
        <f>GETPIVOTDATA("Sum of 5 - Accessible Rural",RuralityPivot!$B$25,"Year",A36)</f>
        <v>2.4</v>
      </c>
      <c r="G36" s="561">
        <f>GETPIVOTDATA("Sum of 6 - Remote Rural",RuralityPivot!$B$25,"Year",A36)</f>
        <v>3.1</v>
      </c>
      <c r="H36" s="890">
        <f>GETPIVOTDATA("Sum of All Scotland",RuralityPivot!$B$25,"Year",A36)</f>
        <v>2.9</v>
      </c>
    </row>
    <row r="37" spans="1:8" x14ac:dyDescent="0.35">
      <c r="A37" s="312" t="s">
        <v>342</v>
      </c>
      <c r="B37" s="561">
        <f>GETPIVOTDATA("Sum of 1 - Large Urban Areas",RuralityPivot!$B$25,"Year",A37)</f>
        <v>2.6</v>
      </c>
      <c r="C37" s="561">
        <f>GETPIVOTDATA("Sum of 2 - Other Urban Areas",RuralityPivot!$B$25,"Year",A37)</f>
        <v>3.1</v>
      </c>
      <c r="D37" s="561">
        <f>GETPIVOTDATA("Sum of 3 - Accessible Small Towns",RuralityPivot!$B$25,"Year",A37)</f>
        <v>2.5</v>
      </c>
      <c r="E37" s="561">
        <f>GETPIVOTDATA("Sum of 4 - Remote Small Towns",RuralityPivot!$B$25,"Year",A37)</f>
        <v>3.4</v>
      </c>
      <c r="F37" s="561">
        <f>GETPIVOTDATA("Sum of 5 - Accessible Rural",RuralityPivot!$B$25,"Year",A37)</f>
        <v>2.2000000000000002</v>
      </c>
      <c r="G37" s="561">
        <f>GETPIVOTDATA("Sum of 6 - Remote Rural",RuralityPivot!$B$25,"Year",A37)</f>
        <v>3.2</v>
      </c>
      <c r="H37" s="890">
        <f>GETPIVOTDATA("Sum of All Scotland",RuralityPivot!$B$25,"Year",A37)</f>
        <v>2.8</v>
      </c>
    </row>
    <row r="38" spans="1:8" x14ac:dyDescent="0.35">
      <c r="A38" s="312" t="s">
        <v>214</v>
      </c>
      <c r="B38" s="561">
        <f>GETPIVOTDATA("Sum of 1 - Large Urban Areas",RuralityPivot!$B$25,"Year",A38)</f>
        <v>2.8</v>
      </c>
      <c r="C38" s="561">
        <f>GETPIVOTDATA("Sum of 2 - Other Urban Areas",RuralityPivot!$B$25,"Year",A38)</f>
        <v>3</v>
      </c>
      <c r="D38" s="561">
        <f>GETPIVOTDATA("Sum of 3 - Accessible Small Towns",RuralityPivot!$B$25,"Year",A38)</f>
        <v>2.4</v>
      </c>
      <c r="E38" s="561">
        <f>GETPIVOTDATA("Sum of 4 - Remote Small Towns",RuralityPivot!$B$25,"Year",A38)</f>
        <v>2.9</v>
      </c>
      <c r="F38" s="561">
        <f>GETPIVOTDATA("Sum of 5 - Accessible Rural",RuralityPivot!$B$25,"Year",A38)</f>
        <v>2</v>
      </c>
      <c r="G38" s="561">
        <f>GETPIVOTDATA("Sum of 6 - Remote Rural",RuralityPivot!$B$25,"Year",A38)</f>
        <v>2.5</v>
      </c>
      <c r="H38" s="890">
        <f>GETPIVOTDATA("Sum of All Scotland",RuralityPivot!$B$25,"Year",A38)</f>
        <v>2.8</v>
      </c>
    </row>
    <row r="39" spans="1:8" x14ac:dyDescent="0.35">
      <c r="A39" s="312" t="s">
        <v>313</v>
      </c>
      <c r="B39" s="561">
        <f>GETPIVOTDATA("Sum of 1 - Large Urban Areas",RuralityPivot!$B$25,"Year",A39)</f>
        <v>2.8</v>
      </c>
      <c r="C39" s="561">
        <f>GETPIVOTDATA("Sum of 2 - Other Urban Areas",RuralityPivot!$B$25,"Year",A39)</f>
        <v>3</v>
      </c>
      <c r="D39" s="561">
        <f>GETPIVOTDATA("Sum of 3 - Accessible Small Towns",RuralityPivot!$B$25,"Year",A39)</f>
        <v>2.5</v>
      </c>
      <c r="E39" s="561">
        <f>GETPIVOTDATA("Sum of 4 - Remote Small Towns",RuralityPivot!$B$25,"Year",A39)</f>
        <v>2.8</v>
      </c>
      <c r="F39" s="561">
        <f>GETPIVOTDATA("Sum of 5 - Accessible Rural",RuralityPivot!$B$25,"Year",A39)</f>
        <v>2.2000000000000002</v>
      </c>
      <c r="G39" s="561">
        <f>GETPIVOTDATA("Sum of 6 - Remote Rural",RuralityPivot!$B$25,"Year",A39)</f>
        <v>2.5</v>
      </c>
      <c r="H39" s="890">
        <f>GETPIVOTDATA("Sum of All Scotland",RuralityPivot!$B$25,"Year",A39)</f>
        <v>2.7</v>
      </c>
    </row>
    <row r="40" spans="1:8" x14ac:dyDescent="0.35">
      <c r="A40" s="312" t="s">
        <v>319</v>
      </c>
      <c r="B40" s="900">
        <f>GETPIVOTDATA("Sum of 1 - Large Urban Areas",RuralityPivot!$B$25,"Year",A40)</f>
        <v>0.7</v>
      </c>
      <c r="C40" s="900">
        <f>GETPIVOTDATA("Sum of 2 - Other Urban Areas",RuralityPivot!$B$25,"Year",A40)</f>
        <v>0.9</v>
      </c>
      <c r="D40" s="900">
        <f>GETPIVOTDATA("Sum of 3 - Accessible Small Towns",RuralityPivot!$B$25,"Year",A40)</f>
        <v>0.8</v>
      </c>
      <c r="E40" s="900">
        <f>GETPIVOTDATA("Sum of 4 - Remote Small Towns",RuralityPivot!$B$25,"Year",A40)</f>
        <v>0.8</v>
      </c>
      <c r="F40" s="900">
        <f>GETPIVOTDATA("Sum of 5 - Accessible Rural",RuralityPivot!$B$25,"Year",A40)</f>
        <v>0.6</v>
      </c>
      <c r="G40" s="900">
        <f>GETPIVOTDATA("Sum of 6 - Remote Rural",RuralityPivot!$B$25,"Year",A40)</f>
        <v>0.6</v>
      </c>
      <c r="H40" s="902">
        <f>GETPIVOTDATA("Sum of All Scotland",RuralityPivot!$B$25,"Year",A40)</f>
        <v>0.8</v>
      </c>
    </row>
    <row r="41" spans="1:8" x14ac:dyDescent="0.35">
      <c r="A41" s="312" t="s">
        <v>321</v>
      </c>
      <c r="B41" s="901">
        <f>GETPIVOTDATA("Sum of 1 - Large Urban Areas",RuralityPivot!$B$25,"Year",A41)</f>
        <v>1.6</v>
      </c>
      <c r="C41" s="901">
        <f>GETPIVOTDATA("Sum of 2 - Other Urban Areas",RuralityPivot!$B$25,"Year",A41)</f>
        <v>2</v>
      </c>
      <c r="D41" s="901">
        <f>GETPIVOTDATA("Sum of 3 - Accessible Small Towns",RuralityPivot!$B$25,"Year",A41)</f>
        <v>1.7</v>
      </c>
      <c r="E41" s="901">
        <f>GETPIVOTDATA("Sum of 4 - Remote Small Towns",RuralityPivot!$B$25,"Year",A41)</f>
        <v>1.9</v>
      </c>
      <c r="F41" s="901">
        <f>GETPIVOTDATA("Sum of 5 - Accessible Rural",RuralityPivot!$B$25,"Year",A41)</f>
        <v>1.3</v>
      </c>
      <c r="G41" s="901">
        <f>GETPIVOTDATA("Sum of 6 - Remote Rural",RuralityPivot!$B$25,"Year",A41)</f>
        <v>1.6</v>
      </c>
      <c r="H41" s="903">
        <f>GETPIVOTDATA("Sum of All Scotland",RuralityPivot!$B$25,"Year",A41)</f>
        <v>1.7</v>
      </c>
    </row>
    <row r="42" spans="1:8" x14ac:dyDescent="0.35">
      <c r="A42" s="312" t="s">
        <v>326</v>
      </c>
      <c r="B42" s="901">
        <f>GETPIVOTDATA("Sum of 1 - Large Urban Areas",RuralityPivot!$B$25,"Year",A42)</f>
        <v>1.4</v>
      </c>
      <c r="C42" s="901">
        <f>GETPIVOTDATA("Sum of 2 - Other Urban Areas",RuralityPivot!$B$25,"Year",A42)</f>
        <v>1.7</v>
      </c>
      <c r="D42" s="901">
        <f>GETPIVOTDATA("Sum of 3 - Accessible Small Towns",RuralityPivot!$B$25,"Year",A42)</f>
        <v>1.4</v>
      </c>
      <c r="E42" s="901">
        <f>GETPIVOTDATA("Sum of 4 - Remote Small Towns",RuralityPivot!$B$25,"Year",A42)</f>
        <v>1.7</v>
      </c>
      <c r="F42" s="901">
        <f>GETPIVOTDATA("Sum of 5 - Accessible Rural",RuralityPivot!$B$25,"Year",A42)</f>
        <v>1.1000000000000001</v>
      </c>
      <c r="G42" s="901">
        <f>GETPIVOTDATA("Sum of 6 - Remote Rural",RuralityPivot!$B$25,"Year",A42)</f>
        <v>1.4</v>
      </c>
      <c r="H42" s="903">
        <f>GETPIVOTDATA("Sum of All Scotland",RuralityPivot!$B$25,"Year",A42)</f>
        <v>1.5</v>
      </c>
    </row>
    <row r="43" spans="1:8" x14ac:dyDescent="0.35">
      <c r="A43" s="312" t="s">
        <v>327</v>
      </c>
      <c r="B43" s="754">
        <f>GETPIVOTDATA("Sum of 1 - Large Urban Areas",RuralityPivot!$B$25,"Year",A43)</f>
        <v>1.4</v>
      </c>
      <c r="C43" s="754">
        <f>GETPIVOTDATA("Sum of 2 - Other Urban Areas",RuralityPivot!$B$25,"Year",A43)</f>
        <v>1.5</v>
      </c>
      <c r="D43" s="754">
        <f>GETPIVOTDATA("Sum of 3 - Accessible Small Towns",RuralityPivot!$B$25,"Year",A43)</f>
        <v>1.2</v>
      </c>
      <c r="E43" s="754">
        <f>GETPIVOTDATA("Sum of 4 - Remote Small Towns",RuralityPivot!$B$25,"Year",A43)</f>
        <v>1.6</v>
      </c>
      <c r="F43" s="754">
        <f>GETPIVOTDATA("Sum of 5 - Accessible Rural",RuralityPivot!$B$25,"Year",A43)</f>
        <v>0.9</v>
      </c>
      <c r="G43" s="754">
        <f>GETPIVOTDATA("Sum of 6 - Remote Rural",RuralityPivot!$B$25,"Year",A43)</f>
        <v>1.2</v>
      </c>
      <c r="H43" s="755">
        <f>GETPIVOTDATA("Sum of All Scotland",RuralityPivot!$B$25,"Year",A43)</f>
        <v>1.4</v>
      </c>
    </row>
    <row r="44" spans="1:8" ht="15" thickBot="1" x14ac:dyDescent="0.4">
      <c r="A44" s="525" t="s">
        <v>466</v>
      </c>
      <c r="B44" s="756">
        <f>GETPIVOTDATA("Sum of 1 - Large Urban Areas",RuralityPivot!$B$25,"Year",A44)</f>
        <v>1.4</v>
      </c>
      <c r="C44" s="756">
        <f>GETPIVOTDATA("Sum of 2 - Other Urban Areas",RuralityPivot!$B$25,"Year",A44)</f>
        <v>1.4</v>
      </c>
      <c r="D44" s="756">
        <f>GETPIVOTDATA("Sum of 3 - Accessible Small Towns",RuralityPivot!$B$25,"Year",A44)</f>
        <v>1.1000000000000001</v>
      </c>
      <c r="E44" s="756">
        <f>GETPIVOTDATA("Sum of 4 - Remote Small Towns",RuralityPivot!$B$25,"Year",A44)</f>
        <v>1.3</v>
      </c>
      <c r="F44" s="756">
        <f>GETPIVOTDATA("Sum of 5 - Accessible Rural",RuralityPivot!$B$25,"Year",A44)</f>
        <v>0.8</v>
      </c>
      <c r="G44" s="756">
        <f>GETPIVOTDATA("Sum of 6 - Remote Rural",RuralityPivot!$B$25,"Year",A44)</f>
        <v>1.1000000000000001</v>
      </c>
      <c r="H44" s="757">
        <f>GETPIVOTDATA("Sum of All Scotland",RuralityPivot!$B$25,"Year",A44)</f>
        <v>1.2</v>
      </c>
    </row>
    <row r="46" spans="1:8" x14ac:dyDescent="0.35">
      <c r="A46" s="312" t="s">
        <v>329</v>
      </c>
    </row>
    <row r="47" spans="1:8" x14ac:dyDescent="0.35">
      <c r="A47" t="s">
        <v>1079</v>
      </c>
    </row>
    <row r="48" spans="1:8" x14ac:dyDescent="0.35">
      <c r="A48" s="564" t="s">
        <v>1075</v>
      </c>
    </row>
    <row r="49" spans="1:1" x14ac:dyDescent="0.35">
      <c r="A49" s="499" t="s">
        <v>1041</v>
      </c>
    </row>
  </sheetData>
  <sheetProtection algorithmName="SHA-512" hashValue="rG7XBgr3IfPFHScAllTt5qIQRvhqe9v6AFrhRVF925GwanNWZeozU9gHt3H00DWXbm2STVf4PYpLlH72me/k9g==" saltValue="SKwvSnlisqkbZG2P35ziFw==" spinCount="100000" sheet="1" scenarios="1" formatCells="0" sort="0" autoFilter="0" pivotTables="0"/>
  <hyperlinks>
    <hyperlink ref="A2" location="'Table of Contents'!A1" display="Back to Table of Contents" xr:uid="{00000000-0004-0000-8C00-000000000000}"/>
    <hyperlink ref="A24" r:id="rId1" xr:uid="{00000000-0004-0000-8C00-000001000000}"/>
    <hyperlink ref="A48" r:id="rId2" xr:uid="{00000000-0004-0000-8C00-000002000000}"/>
    <hyperlink ref="A49" r:id="rId3" xr:uid="{00000000-0004-0000-8C00-000003000000}"/>
  </hyperlinks>
  <pageMargins left="0.7" right="0.7" top="0.75" bottom="0.75" header="0.3" footer="0.3"/>
  <pageSetup paperSize="9" orientation="portrait"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7" tint="-0.249977111117893"/>
  </sheetPr>
  <dimension ref="B1:N36"/>
  <sheetViews>
    <sheetView zoomScale="70" zoomScaleNormal="70" workbookViewId="0">
      <selection sqref="A1:XFD1"/>
    </sheetView>
  </sheetViews>
  <sheetFormatPr defaultRowHeight="14.5" x14ac:dyDescent="0.35"/>
  <cols>
    <col min="2" max="2" width="21.90625" bestFit="1" customWidth="1"/>
    <col min="3" max="3" width="35.7265625" bestFit="1" customWidth="1"/>
    <col min="4" max="4" width="31.08984375" bestFit="1" customWidth="1"/>
    <col min="5" max="5" width="22.08984375" bestFit="1" customWidth="1"/>
    <col min="6" max="6" width="27.36328125" bestFit="1" customWidth="1"/>
    <col min="7" max="7" width="33.36328125" bestFit="1" customWidth="1"/>
    <col min="8" max="8" width="22.7265625" bestFit="1" customWidth="1"/>
    <col min="9" max="9" width="20" bestFit="1" customWidth="1"/>
    <col min="10" max="10" width="32.7265625" bestFit="1" customWidth="1"/>
    <col min="11" max="11" width="34.08984375" bestFit="1" customWidth="1"/>
    <col min="12" max="12" width="22.7265625" bestFit="1" customWidth="1"/>
    <col min="13" max="13" width="35.453125" bestFit="1" customWidth="1"/>
    <col min="14" max="14" width="36.81640625" bestFit="1" customWidth="1"/>
  </cols>
  <sheetData>
    <row r="1" spans="2:14" x14ac:dyDescent="0.35">
      <c r="B1" s="387" t="s">
        <v>207</v>
      </c>
      <c r="C1" t="s">
        <v>466</v>
      </c>
    </row>
    <row r="3" spans="2:14" x14ac:dyDescent="0.35">
      <c r="B3" s="387" t="s">
        <v>350</v>
      </c>
      <c r="C3" t="s">
        <v>1080</v>
      </c>
      <c r="D3" t="s">
        <v>1081</v>
      </c>
      <c r="E3" t="s">
        <v>1082</v>
      </c>
      <c r="F3" t="s">
        <v>1083</v>
      </c>
      <c r="G3" t="s">
        <v>1084</v>
      </c>
      <c r="H3" t="s">
        <v>1085</v>
      </c>
      <c r="I3" t="s">
        <v>1086</v>
      </c>
      <c r="J3" t="s">
        <v>1087</v>
      </c>
      <c r="K3" t="s">
        <v>1088</v>
      </c>
      <c r="L3" t="s">
        <v>927</v>
      </c>
      <c r="M3" t="s">
        <v>1089</v>
      </c>
      <c r="N3" t="s">
        <v>1090</v>
      </c>
    </row>
    <row r="4" spans="2:14" x14ac:dyDescent="0.35">
      <c r="B4" s="388" t="s">
        <v>216</v>
      </c>
      <c r="C4">
        <v>106</v>
      </c>
      <c r="D4">
        <v>1241</v>
      </c>
      <c r="E4">
        <v>1347</v>
      </c>
      <c r="F4">
        <v>216</v>
      </c>
      <c r="G4">
        <v>95</v>
      </c>
      <c r="H4">
        <v>320</v>
      </c>
      <c r="L4">
        <v>112386.7935874821</v>
      </c>
      <c r="M4">
        <v>1.1990000000000001</v>
      </c>
      <c r="N4">
        <v>0.28499999999999998</v>
      </c>
    </row>
    <row r="5" spans="2:14" x14ac:dyDescent="0.35">
      <c r="B5" s="388" t="s">
        <v>221</v>
      </c>
      <c r="C5">
        <v>85</v>
      </c>
      <c r="D5">
        <v>904</v>
      </c>
      <c r="E5">
        <v>989</v>
      </c>
      <c r="F5">
        <v>147</v>
      </c>
      <c r="G5">
        <v>94</v>
      </c>
      <c r="H5">
        <v>247</v>
      </c>
      <c r="L5">
        <v>117418.94062026255</v>
      </c>
      <c r="M5">
        <v>0.84199999999999997</v>
      </c>
      <c r="N5">
        <v>0.21</v>
      </c>
    </row>
    <row r="6" spans="2:14" x14ac:dyDescent="0.35">
      <c r="B6" s="388" t="s">
        <v>225</v>
      </c>
      <c r="C6">
        <v>86</v>
      </c>
      <c r="D6">
        <v>636</v>
      </c>
      <c r="E6">
        <v>722</v>
      </c>
      <c r="F6">
        <v>149</v>
      </c>
      <c r="G6">
        <v>65</v>
      </c>
      <c r="H6">
        <v>228</v>
      </c>
      <c r="L6">
        <v>54997.612762941659</v>
      </c>
      <c r="M6">
        <v>1.3129999999999999</v>
      </c>
      <c r="N6">
        <v>0.41499999999999998</v>
      </c>
    </row>
    <row r="7" spans="2:14" x14ac:dyDescent="0.35">
      <c r="B7" s="388" t="s">
        <v>229</v>
      </c>
      <c r="C7">
        <v>70</v>
      </c>
      <c r="D7">
        <v>556</v>
      </c>
      <c r="E7">
        <v>626</v>
      </c>
      <c r="F7">
        <v>151</v>
      </c>
      <c r="G7">
        <v>71</v>
      </c>
      <c r="H7">
        <v>224</v>
      </c>
      <c r="L7">
        <v>42831.175905558739</v>
      </c>
      <c r="M7">
        <v>1.462</v>
      </c>
      <c r="N7">
        <v>0.52300000000000002</v>
      </c>
    </row>
    <row r="8" spans="2:14" x14ac:dyDescent="0.35">
      <c r="B8" s="388" t="s">
        <v>235</v>
      </c>
      <c r="C8">
        <v>204</v>
      </c>
      <c r="D8">
        <v>2496</v>
      </c>
      <c r="E8">
        <v>2700</v>
      </c>
      <c r="F8">
        <v>221</v>
      </c>
      <c r="G8">
        <v>216</v>
      </c>
      <c r="H8">
        <v>472</v>
      </c>
      <c r="L8">
        <v>244791.4683634642</v>
      </c>
      <c r="M8">
        <v>1.103</v>
      </c>
      <c r="N8">
        <v>0.193</v>
      </c>
    </row>
    <row r="9" spans="2:14" x14ac:dyDescent="0.35">
      <c r="B9" s="388" t="s">
        <v>241</v>
      </c>
      <c r="C9">
        <v>29</v>
      </c>
      <c r="D9">
        <v>332</v>
      </c>
      <c r="E9">
        <v>361</v>
      </c>
      <c r="F9">
        <v>32</v>
      </c>
      <c r="G9">
        <v>16</v>
      </c>
      <c r="H9">
        <v>55</v>
      </c>
      <c r="L9">
        <v>24437.594766831102</v>
      </c>
      <c r="M9">
        <v>1.4769999999999999</v>
      </c>
      <c r="N9">
        <v>0.22500000000000001</v>
      </c>
    </row>
    <row r="10" spans="2:14" x14ac:dyDescent="0.35">
      <c r="B10" s="388" t="s">
        <v>245</v>
      </c>
      <c r="C10">
        <v>180</v>
      </c>
      <c r="D10">
        <v>727</v>
      </c>
      <c r="E10">
        <v>907</v>
      </c>
      <c r="F10">
        <v>375</v>
      </c>
      <c r="G10">
        <v>120</v>
      </c>
      <c r="H10">
        <v>540</v>
      </c>
      <c r="L10">
        <v>70971.815561576936</v>
      </c>
      <c r="M10">
        <v>1.278</v>
      </c>
      <c r="N10">
        <v>0.76100000000000001</v>
      </c>
    </row>
    <row r="11" spans="2:14" x14ac:dyDescent="0.35">
      <c r="B11" s="388" t="s">
        <v>248</v>
      </c>
      <c r="C11">
        <v>93</v>
      </c>
      <c r="D11">
        <v>1136</v>
      </c>
      <c r="E11">
        <v>1229</v>
      </c>
      <c r="F11">
        <v>200</v>
      </c>
      <c r="G11">
        <v>56</v>
      </c>
      <c r="H11">
        <v>265</v>
      </c>
      <c r="L11">
        <v>71097.765743088923</v>
      </c>
      <c r="M11">
        <v>1.7290000000000001</v>
      </c>
      <c r="N11">
        <v>0.373</v>
      </c>
    </row>
    <row r="12" spans="2:14" x14ac:dyDescent="0.35">
      <c r="B12" s="388" t="s">
        <v>250</v>
      </c>
      <c r="C12">
        <v>166</v>
      </c>
      <c r="D12">
        <v>776</v>
      </c>
      <c r="E12">
        <v>942</v>
      </c>
      <c r="F12">
        <v>323</v>
      </c>
      <c r="G12">
        <v>68</v>
      </c>
      <c r="H12">
        <v>422</v>
      </c>
      <c r="L12">
        <v>56161.646355943558</v>
      </c>
      <c r="M12">
        <v>1.677</v>
      </c>
      <c r="N12">
        <v>0.751</v>
      </c>
    </row>
    <row r="13" spans="2:14" x14ac:dyDescent="0.35">
      <c r="B13" s="388" t="s">
        <v>254</v>
      </c>
      <c r="C13">
        <v>113</v>
      </c>
      <c r="D13">
        <v>688</v>
      </c>
      <c r="E13">
        <v>801</v>
      </c>
      <c r="F13">
        <v>199</v>
      </c>
      <c r="G13">
        <v>81</v>
      </c>
      <c r="H13">
        <v>317</v>
      </c>
      <c r="L13">
        <v>46742.806549922221</v>
      </c>
      <c r="M13">
        <v>1.714</v>
      </c>
      <c r="N13">
        <v>0.67800000000000005</v>
      </c>
    </row>
    <row r="14" spans="2:14" x14ac:dyDescent="0.35">
      <c r="B14" s="388" t="s">
        <v>256</v>
      </c>
      <c r="C14">
        <v>52</v>
      </c>
      <c r="D14">
        <v>423</v>
      </c>
      <c r="E14">
        <v>475</v>
      </c>
      <c r="F14">
        <v>114</v>
      </c>
      <c r="G14">
        <v>20</v>
      </c>
      <c r="H14">
        <v>138</v>
      </c>
      <c r="L14">
        <v>50562.133092692835</v>
      </c>
      <c r="M14">
        <v>0.93899999999999995</v>
      </c>
      <c r="N14">
        <v>0.27300000000000002</v>
      </c>
    </row>
    <row r="15" spans="2:14" x14ac:dyDescent="0.35">
      <c r="B15" s="388" t="s">
        <v>260</v>
      </c>
      <c r="C15">
        <v>118</v>
      </c>
      <c r="D15">
        <v>543</v>
      </c>
      <c r="E15">
        <v>661</v>
      </c>
      <c r="F15">
        <v>244</v>
      </c>
      <c r="G15">
        <v>39</v>
      </c>
      <c r="H15">
        <v>294</v>
      </c>
      <c r="L15">
        <v>40540.754458151241</v>
      </c>
      <c r="M15">
        <v>1.63</v>
      </c>
      <c r="N15">
        <v>0.72499999999999998</v>
      </c>
    </row>
    <row r="16" spans="2:14" x14ac:dyDescent="0.35">
      <c r="B16" s="388" t="s">
        <v>264</v>
      </c>
      <c r="C16">
        <v>159</v>
      </c>
      <c r="D16">
        <v>880</v>
      </c>
      <c r="E16">
        <v>1039</v>
      </c>
      <c r="F16">
        <v>315</v>
      </c>
      <c r="G16">
        <v>93</v>
      </c>
      <c r="H16">
        <v>469</v>
      </c>
      <c r="L16">
        <v>73237.002643969041</v>
      </c>
      <c r="M16">
        <v>1.419</v>
      </c>
      <c r="N16">
        <v>0.64</v>
      </c>
    </row>
    <row r="17" spans="2:14" x14ac:dyDescent="0.35">
      <c r="B17" s="388" t="s">
        <v>268</v>
      </c>
      <c r="C17">
        <v>330</v>
      </c>
      <c r="D17">
        <v>1696</v>
      </c>
      <c r="E17">
        <v>2026</v>
      </c>
      <c r="F17">
        <v>521</v>
      </c>
      <c r="G17">
        <v>254</v>
      </c>
      <c r="H17">
        <v>823</v>
      </c>
      <c r="L17">
        <v>171913.40662763728</v>
      </c>
      <c r="M17">
        <v>1.179</v>
      </c>
      <c r="N17">
        <v>0.47899999999999998</v>
      </c>
    </row>
    <row r="18" spans="2:14" x14ac:dyDescent="0.35">
      <c r="B18" s="388" t="s">
        <v>271</v>
      </c>
      <c r="C18">
        <v>512</v>
      </c>
      <c r="D18">
        <v>4698</v>
      </c>
      <c r="E18">
        <v>5210</v>
      </c>
      <c r="F18">
        <v>886</v>
      </c>
      <c r="G18">
        <v>293</v>
      </c>
      <c r="H18">
        <v>1343</v>
      </c>
      <c r="L18">
        <v>298250.61170251353</v>
      </c>
      <c r="M18">
        <v>1.7469999999999999</v>
      </c>
      <c r="N18">
        <v>0.45</v>
      </c>
    </row>
    <row r="19" spans="2:14" x14ac:dyDescent="0.35">
      <c r="B19" s="388" t="s">
        <v>274</v>
      </c>
      <c r="C19">
        <v>93</v>
      </c>
      <c r="D19">
        <v>1660</v>
      </c>
      <c r="E19">
        <v>1753</v>
      </c>
      <c r="F19">
        <v>156</v>
      </c>
      <c r="G19">
        <v>111</v>
      </c>
      <c r="H19">
        <v>270</v>
      </c>
      <c r="L19">
        <v>113906.20821736612</v>
      </c>
      <c r="M19">
        <v>1.5390000000000001</v>
      </c>
      <c r="N19">
        <v>0.23699999999999999</v>
      </c>
    </row>
    <row r="20" spans="2:14" x14ac:dyDescent="0.35">
      <c r="B20" s="388" t="s">
        <v>278</v>
      </c>
      <c r="C20">
        <v>131</v>
      </c>
      <c r="D20">
        <v>322</v>
      </c>
      <c r="E20">
        <v>453</v>
      </c>
      <c r="F20">
        <v>259</v>
      </c>
      <c r="G20">
        <v>48</v>
      </c>
      <c r="H20">
        <v>316</v>
      </c>
      <c r="L20">
        <v>37614.524402442781</v>
      </c>
      <c r="M20">
        <v>1.204</v>
      </c>
      <c r="N20">
        <v>0.84</v>
      </c>
    </row>
    <row r="21" spans="2:14" x14ac:dyDescent="0.35">
      <c r="B21" s="388" t="s">
        <v>280</v>
      </c>
      <c r="C21">
        <v>59</v>
      </c>
      <c r="D21">
        <v>334</v>
      </c>
      <c r="E21">
        <v>393</v>
      </c>
      <c r="F21">
        <v>103</v>
      </c>
      <c r="G21">
        <v>66</v>
      </c>
      <c r="H21">
        <v>172</v>
      </c>
      <c r="L21">
        <v>42739.113676722816</v>
      </c>
      <c r="M21">
        <v>0.92</v>
      </c>
      <c r="N21">
        <v>0.40200000000000002</v>
      </c>
    </row>
    <row r="22" spans="2:14" x14ac:dyDescent="0.35">
      <c r="B22" s="388" t="s">
        <v>282</v>
      </c>
      <c r="C22">
        <v>48</v>
      </c>
      <c r="D22">
        <v>502</v>
      </c>
      <c r="E22">
        <v>550</v>
      </c>
      <c r="F22">
        <v>85</v>
      </c>
      <c r="G22">
        <v>37</v>
      </c>
      <c r="H22">
        <v>124</v>
      </c>
      <c r="L22">
        <v>44291.343786430371</v>
      </c>
      <c r="M22">
        <v>1.242</v>
      </c>
      <c r="N22">
        <v>0.28000000000000003</v>
      </c>
    </row>
    <row r="23" spans="2:14" x14ac:dyDescent="0.35">
      <c r="B23" s="388" t="s">
        <v>284</v>
      </c>
      <c r="C23">
        <v>10</v>
      </c>
      <c r="D23">
        <v>96</v>
      </c>
      <c r="E23">
        <v>106</v>
      </c>
      <c r="F23">
        <v>4</v>
      </c>
      <c r="G23">
        <v>18</v>
      </c>
      <c r="H23">
        <v>23</v>
      </c>
      <c r="L23">
        <v>12887.857898960023</v>
      </c>
      <c r="M23">
        <v>0.82199999999999995</v>
      </c>
      <c r="N23">
        <v>0.17799999999999999</v>
      </c>
    </row>
    <row r="24" spans="2:14" x14ac:dyDescent="0.35">
      <c r="B24" s="388" t="s">
        <v>288</v>
      </c>
      <c r="C24">
        <v>183</v>
      </c>
      <c r="D24">
        <v>801</v>
      </c>
      <c r="E24">
        <v>984</v>
      </c>
      <c r="F24">
        <v>263</v>
      </c>
      <c r="G24">
        <v>154</v>
      </c>
      <c r="H24">
        <v>458</v>
      </c>
      <c r="L24">
        <v>65107.059422716513</v>
      </c>
      <c r="M24">
        <v>1.5110000000000001</v>
      </c>
      <c r="N24">
        <v>0.70299999999999996</v>
      </c>
    </row>
    <row r="25" spans="2:14" x14ac:dyDescent="0.35">
      <c r="B25" s="388" t="s">
        <v>290</v>
      </c>
      <c r="C25">
        <v>183</v>
      </c>
      <c r="D25">
        <v>1697</v>
      </c>
      <c r="E25">
        <v>1880</v>
      </c>
      <c r="F25">
        <v>441</v>
      </c>
      <c r="G25">
        <v>99</v>
      </c>
      <c r="H25">
        <v>633</v>
      </c>
      <c r="L25">
        <v>153004.37421296784</v>
      </c>
      <c r="M25">
        <v>1.2290000000000001</v>
      </c>
      <c r="N25">
        <v>0.41399999999999998</v>
      </c>
    </row>
    <row r="26" spans="2:14" x14ac:dyDescent="0.35">
      <c r="B26" s="388" t="s">
        <v>293</v>
      </c>
      <c r="C26">
        <v>16</v>
      </c>
      <c r="D26">
        <v>166</v>
      </c>
      <c r="E26">
        <v>182</v>
      </c>
      <c r="F26">
        <v>42</v>
      </c>
      <c r="G26">
        <v>8</v>
      </c>
      <c r="H26">
        <v>50</v>
      </c>
      <c r="L26">
        <v>10886.945853525613</v>
      </c>
      <c r="M26">
        <v>1.6720000000000002</v>
      </c>
      <c r="N26">
        <v>0.45900000000000002</v>
      </c>
    </row>
    <row r="27" spans="2:14" x14ac:dyDescent="0.35">
      <c r="B27" s="388" t="s">
        <v>295</v>
      </c>
      <c r="C27">
        <v>59</v>
      </c>
      <c r="D27">
        <v>543</v>
      </c>
      <c r="E27">
        <v>602</v>
      </c>
      <c r="F27">
        <v>118</v>
      </c>
      <c r="G27">
        <v>29</v>
      </c>
      <c r="H27">
        <v>169</v>
      </c>
      <c r="L27">
        <v>71441.31977787464</v>
      </c>
      <c r="M27">
        <v>0.84299999999999997</v>
      </c>
      <c r="N27">
        <v>0.23699999999999999</v>
      </c>
    </row>
    <row r="28" spans="2:14" x14ac:dyDescent="0.35">
      <c r="B28" s="388" t="s">
        <v>297</v>
      </c>
      <c r="C28">
        <v>293</v>
      </c>
      <c r="D28">
        <v>807</v>
      </c>
      <c r="E28">
        <v>1100</v>
      </c>
      <c r="F28">
        <v>512</v>
      </c>
      <c r="G28">
        <v>150</v>
      </c>
      <c r="H28">
        <v>706</v>
      </c>
      <c r="L28">
        <v>87749.395499301856</v>
      </c>
      <c r="M28">
        <v>1.254</v>
      </c>
      <c r="N28">
        <v>0.80500000000000005</v>
      </c>
    </row>
    <row r="29" spans="2:14" x14ac:dyDescent="0.35">
      <c r="B29" s="388" t="s">
        <v>299</v>
      </c>
      <c r="C29">
        <v>123</v>
      </c>
      <c r="D29">
        <v>599</v>
      </c>
      <c r="E29">
        <v>722</v>
      </c>
      <c r="F29">
        <v>184</v>
      </c>
      <c r="G29">
        <v>95</v>
      </c>
      <c r="H29">
        <v>334</v>
      </c>
      <c r="L29">
        <v>56084.6598177981</v>
      </c>
      <c r="M29">
        <v>1.2869999999999999</v>
      </c>
      <c r="N29">
        <v>0.59599999999999997</v>
      </c>
    </row>
    <row r="30" spans="2:14" x14ac:dyDescent="0.35">
      <c r="B30" s="388" t="s">
        <v>301</v>
      </c>
      <c r="C30">
        <v>21</v>
      </c>
      <c r="D30">
        <v>160</v>
      </c>
      <c r="E30">
        <v>181</v>
      </c>
      <c r="F30">
        <v>42</v>
      </c>
      <c r="G30">
        <v>30</v>
      </c>
      <c r="H30">
        <v>73</v>
      </c>
      <c r="L30">
        <v>10763.196157324961</v>
      </c>
      <c r="M30">
        <v>1.6819999999999999</v>
      </c>
      <c r="N30">
        <v>0.67800000000000005</v>
      </c>
    </row>
    <row r="31" spans="2:14" x14ac:dyDescent="0.35">
      <c r="B31" s="388" t="s">
        <v>303</v>
      </c>
      <c r="C31">
        <v>77</v>
      </c>
      <c r="D31">
        <v>531</v>
      </c>
      <c r="E31">
        <v>608</v>
      </c>
      <c r="F31">
        <v>147</v>
      </c>
      <c r="G31">
        <v>47</v>
      </c>
      <c r="H31">
        <v>215</v>
      </c>
      <c r="L31">
        <v>53129.170261244602</v>
      </c>
      <c r="M31">
        <v>1.1439999999999999</v>
      </c>
      <c r="N31">
        <v>0.40500000000000003</v>
      </c>
    </row>
    <row r="32" spans="2:14" x14ac:dyDescent="0.35">
      <c r="B32" s="388" t="s">
        <v>305</v>
      </c>
      <c r="C32">
        <v>270</v>
      </c>
      <c r="D32">
        <v>1707</v>
      </c>
      <c r="E32">
        <v>1977</v>
      </c>
      <c r="F32">
        <v>574</v>
      </c>
      <c r="G32">
        <v>162</v>
      </c>
      <c r="H32">
        <v>859</v>
      </c>
      <c r="L32">
        <v>150643.15462185504</v>
      </c>
      <c r="M32">
        <v>1.3120000000000001</v>
      </c>
      <c r="N32">
        <v>0.56999999999999995</v>
      </c>
    </row>
    <row r="33" spans="2:14" x14ac:dyDescent="0.35">
      <c r="B33" s="388" t="s">
        <v>308</v>
      </c>
      <c r="C33">
        <v>86</v>
      </c>
      <c r="D33">
        <v>483</v>
      </c>
      <c r="E33">
        <v>569</v>
      </c>
      <c r="F33">
        <v>172</v>
      </c>
      <c r="G33">
        <v>50</v>
      </c>
      <c r="H33">
        <v>232</v>
      </c>
      <c r="L33">
        <v>41103.45535551112</v>
      </c>
      <c r="M33">
        <v>1.3839999999999999</v>
      </c>
      <c r="N33">
        <v>0.56399999999999995</v>
      </c>
    </row>
    <row r="34" spans="2:14" x14ac:dyDescent="0.35">
      <c r="B34" s="388" t="s">
        <v>310</v>
      </c>
      <c r="C34">
        <v>104</v>
      </c>
      <c r="D34">
        <v>704</v>
      </c>
      <c r="E34">
        <v>808</v>
      </c>
      <c r="F34">
        <v>218</v>
      </c>
      <c r="G34">
        <v>95</v>
      </c>
      <c r="H34">
        <v>330</v>
      </c>
      <c r="L34">
        <v>43050.124248335145</v>
      </c>
      <c r="M34">
        <v>1.877</v>
      </c>
      <c r="N34">
        <v>0.76700000000000002</v>
      </c>
    </row>
    <row r="35" spans="2:14" x14ac:dyDescent="0.35">
      <c r="B35" s="388" t="s">
        <v>312</v>
      </c>
      <c r="C35">
        <v>182</v>
      </c>
      <c r="D35">
        <v>1004</v>
      </c>
      <c r="E35">
        <v>1186</v>
      </c>
      <c r="F35">
        <v>468</v>
      </c>
      <c r="G35">
        <v>133</v>
      </c>
      <c r="H35">
        <v>607</v>
      </c>
      <c r="L35">
        <v>81644.803218683475</v>
      </c>
      <c r="M35">
        <v>1.4530000000000001</v>
      </c>
      <c r="N35">
        <v>0.74299999999999999</v>
      </c>
    </row>
    <row r="36" spans="2:14" x14ac:dyDescent="0.35">
      <c r="B36" s="388" t="s">
        <v>357</v>
      </c>
      <c r="C36">
        <v>4241</v>
      </c>
      <c r="D36">
        <v>29848</v>
      </c>
      <c r="E36">
        <v>34089</v>
      </c>
      <c r="F36">
        <v>7881</v>
      </c>
      <c r="G36">
        <v>2913</v>
      </c>
      <c r="H36">
        <v>11728</v>
      </c>
      <c r="L36">
        <v>2552388.2351710973</v>
      </c>
      <c r="M36">
        <v>43.083000000000006</v>
      </c>
      <c r="N36">
        <v>15.858999999999998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M46"/>
  <sheetViews>
    <sheetView showGridLines="0" zoomScaleNormal="100" workbookViewId="0">
      <pane ySplit="2" topLeftCell="A3" activePane="bottomLeft" state="frozen"/>
      <selection pane="bottomLeft" sqref="A1:C1"/>
    </sheetView>
  </sheetViews>
  <sheetFormatPr defaultRowHeight="14.5" x14ac:dyDescent="0.35"/>
  <cols>
    <col min="1" max="1" width="17.81640625" customWidth="1"/>
    <col min="2" max="2" width="10.81640625" customWidth="1"/>
    <col min="3" max="3" width="9.26953125" customWidth="1"/>
    <col min="4" max="4" width="11.54296875" customWidth="1"/>
    <col min="5" max="5" width="9.26953125" customWidth="1"/>
    <col min="6" max="6" width="11.26953125" customWidth="1"/>
    <col min="7" max="7" width="15.54296875" customWidth="1"/>
    <col min="8" max="8" width="11.81640625" customWidth="1"/>
    <col min="9" max="9" width="16.7265625" customWidth="1"/>
    <col min="10" max="11" width="10.7265625" customWidth="1"/>
    <col min="12" max="12" width="13" customWidth="1"/>
    <col min="13" max="13" width="11.7265625" customWidth="1"/>
    <col min="14" max="14" width="11.81640625" customWidth="1"/>
    <col min="15" max="15" width="10.26953125" customWidth="1"/>
    <col min="17" max="17" width="11.81640625" customWidth="1"/>
    <col min="18" max="18" width="13.1796875" customWidth="1"/>
  </cols>
  <sheetData>
    <row r="1" spans="1:12" ht="15.75" customHeight="1" x14ac:dyDescent="0.35">
      <c r="A1" s="1011" t="s">
        <v>333</v>
      </c>
      <c r="B1" s="1011"/>
      <c r="C1" s="1011"/>
    </row>
    <row r="2" spans="1:12" ht="15.5" x14ac:dyDescent="0.35">
      <c r="A2" s="499" t="s">
        <v>201</v>
      </c>
      <c r="B2" s="581"/>
      <c r="C2" s="581"/>
    </row>
    <row r="4" spans="1:12" ht="18.5" x14ac:dyDescent="0.45">
      <c r="A4" s="573" t="s">
        <v>415</v>
      </c>
    </row>
    <row r="5" spans="1:12" x14ac:dyDescent="0.35">
      <c r="A5" t="s">
        <v>202</v>
      </c>
      <c r="B5" t="s">
        <v>40</v>
      </c>
    </row>
    <row r="6" spans="1:12" x14ac:dyDescent="0.35">
      <c r="A6" t="s">
        <v>203</v>
      </c>
      <c r="B6" s="388" t="s">
        <v>204</v>
      </c>
    </row>
    <row r="7" spans="1:12" x14ac:dyDescent="0.35">
      <c r="A7" t="s">
        <v>205</v>
      </c>
      <c r="B7" s="388" t="s">
        <v>206</v>
      </c>
    </row>
    <row r="8" spans="1:12" x14ac:dyDescent="0.35">
      <c r="B8" s="580"/>
    </row>
    <row r="9" spans="1:12" ht="18.5" x14ac:dyDescent="0.45">
      <c r="B9" s="573" t="s">
        <v>416</v>
      </c>
    </row>
    <row r="10" spans="1:12" ht="15.5" x14ac:dyDescent="0.35">
      <c r="B10" s="572"/>
      <c r="J10" s="300"/>
    </row>
    <row r="11" spans="1:12" x14ac:dyDescent="0.35">
      <c r="A11" s="1015" t="s">
        <v>207</v>
      </c>
      <c r="B11" s="1017" t="s">
        <v>417</v>
      </c>
      <c r="C11" s="1018"/>
      <c r="D11" s="1018"/>
      <c r="E11" s="1019"/>
      <c r="F11" s="1017" t="s">
        <v>418</v>
      </c>
      <c r="G11" s="1018"/>
      <c r="H11" s="1019"/>
      <c r="J11" s="662"/>
      <c r="K11" s="662"/>
    </row>
    <row r="12" spans="1:12" ht="59.15" customHeight="1" x14ac:dyDescent="0.35">
      <c r="A12" s="1016"/>
      <c r="B12" s="522" t="s">
        <v>419</v>
      </c>
      <c r="C12" s="519" t="s">
        <v>420</v>
      </c>
      <c r="D12" s="519" t="s">
        <v>421</v>
      </c>
      <c r="E12" s="519" t="s">
        <v>340</v>
      </c>
      <c r="F12" s="522" t="s">
        <v>422</v>
      </c>
      <c r="G12" s="519" t="s">
        <v>423</v>
      </c>
      <c r="H12" s="574" t="s">
        <v>405</v>
      </c>
      <c r="J12" s="575" t="s">
        <v>424</v>
      </c>
      <c r="K12" s="575" t="s">
        <v>425</v>
      </c>
      <c r="L12" s="460"/>
    </row>
    <row r="13" spans="1:12" x14ac:dyDescent="0.35">
      <c r="A13" s="663" t="s">
        <v>313</v>
      </c>
      <c r="B13" s="664">
        <f>GETPIVOTDATA("Value",CapabilitiesPivot!$C$4,"Fiscal_Yr","2019-20","Capability","ONE PUMP")</f>
        <v>244</v>
      </c>
      <c r="C13" s="664">
        <f>GETPIVOTDATA("Value",CapabilitiesPivot!$C$4,"Fiscal_Yr","2019-20","Capability","TWO PUMPS")</f>
        <v>101</v>
      </c>
      <c r="D13" s="664">
        <f>GETPIVOTDATA("Value",CapabilitiesPivot!$C$4,"Fiscal_Yr","2019-20","Capability","THREE PUMPS")</f>
        <v>6</v>
      </c>
      <c r="E13" s="664">
        <f>SUM(B13:D13)</f>
        <v>351</v>
      </c>
      <c r="F13" s="664">
        <f>GETPIVOTDATA("Value",CapabilitiesPivot!$C$4,"Fiscal_Yr","2019-20","Capability","RRU")</f>
        <v>35</v>
      </c>
      <c r="G13" s="664">
        <f>GETPIVOTDATA("Value",CapabilitiesPivot!$C$4,"Fiscal_Yr","2019-20","Capability","Water C")</f>
        <v>5</v>
      </c>
      <c r="H13" s="664">
        <f>GETPIVOTDATA("Value",CapabilitiesPivot!$C$4,"Fiscal_Yr","2019-20","Capability","Wildfire")</f>
        <v>19</v>
      </c>
      <c r="J13" s="664">
        <f>GETPIVOTDATA("Number of Stations with Capability",CapabilitiesPivot!$D$32,"Fiscal_Yr","2019-20","CapabilityType","Tactical")</f>
        <v>54</v>
      </c>
      <c r="K13" s="663">
        <f t="shared" ref="K13:K14" si="0">SUM(F13:H13)</f>
        <v>59</v>
      </c>
      <c r="L13" s="460"/>
    </row>
    <row r="14" spans="1:12" x14ac:dyDescent="0.35">
      <c r="A14" s="663" t="s">
        <v>319</v>
      </c>
      <c r="B14" s="664">
        <f>GETPIVOTDATA("Value",CapabilitiesPivot!$C$4,"Fiscal_Yr","2020-21","Capability","ONE PUMP")</f>
        <v>244</v>
      </c>
      <c r="C14" s="664">
        <f>GETPIVOTDATA("Value",CapabilitiesPivot!$C$4,"Fiscal_Yr","2020-21","Capability","TWO PUMPS")</f>
        <v>101</v>
      </c>
      <c r="D14" s="664">
        <f>GETPIVOTDATA("Value",CapabilitiesPivot!$C$4,"Fiscal_Yr","2020-21","Capability","THREE PUMPS")</f>
        <v>6</v>
      </c>
      <c r="E14" s="664">
        <f>SUM(B14:D14)</f>
        <v>351</v>
      </c>
      <c r="F14" s="664">
        <f>GETPIVOTDATA("Value",CapabilitiesPivot!$C$4,"Fiscal_Yr","2020-21","Capability","RRU")</f>
        <v>35</v>
      </c>
      <c r="G14" s="664">
        <f>GETPIVOTDATA("Value",CapabilitiesPivot!$C$4,"Fiscal_Yr","2020-21","Capability","Water C")</f>
        <v>5</v>
      </c>
      <c r="H14" s="664">
        <f>GETPIVOTDATA("Value",CapabilitiesPivot!$C$4,"Fiscal_Yr","2020-21","Capability","Wildfire")</f>
        <v>19</v>
      </c>
      <c r="J14" s="664">
        <f>GETPIVOTDATA("Number of Stations with Capability",CapabilitiesPivot!$D$32,"Fiscal_Yr","2020-21","CapabilityType","Tactical")</f>
        <v>54</v>
      </c>
      <c r="K14" s="663">
        <f t="shared" si="0"/>
        <v>59</v>
      </c>
    </row>
    <row r="15" spans="1:12" x14ac:dyDescent="0.35">
      <c r="A15" s="663" t="s">
        <v>321</v>
      </c>
      <c r="B15" s="664">
        <f>GETPIVOTDATA("Value",CapabilitiesPivot!$C$4,"Fiscal_Yr","2021-22","Capability","ONE PUMP")</f>
        <v>243</v>
      </c>
      <c r="C15" s="664">
        <f>GETPIVOTDATA("Value",CapabilitiesPivot!$C$4,"Fiscal_Yr","2021-22","Capability","TWO PUMPS")</f>
        <v>102</v>
      </c>
      <c r="D15" s="664">
        <f>GETPIVOTDATA("Value",CapabilitiesPivot!$C$4,"Fiscal_Yr","2021-22","Capability","THREE PUMPS")</f>
        <v>6</v>
      </c>
      <c r="E15" s="664">
        <f>SUM(B15:D15)</f>
        <v>351</v>
      </c>
      <c r="F15" s="664">
        <f>GETPIVOTDATA("Value",CapabilitiesPivot!$C$4,"Fiscal_Yr","2021-22","Capability","RRU")</f>
        <v>34</v>
      </c>
      <c r="G15" s="664">
        <f>GETPIVOTDATA("Value",CapabilitiesPivot!$C$4,"Fiscal_Yr","2021-22","Capability","Water C")</f>
        <v>5</v>
      </c>
      <c r="H15" s="664">
        <f>GETPIVOTDATA("Value",CapabilitiesPivot!$C$4,"Fiscal_Yr","2021-22","Capability","Wildfire")</f>
        <v>15</v>
      </c>
      <c r="J15" s="664">
        <f>GETPIVOTDATA("Number of Stations with Capability",CapabilitiesPivot!$D$32,"Fiscal_Yr","2021-22","CapabilityType","Tactical")</f>
        <v>52</v>
      </c>
      <c r="K15" s="663">
        <f>SUM(F15:H15)</f>
        <v>54</v>
      </c>
    </row>
    <row r="16" spans="1:12" x14ac:dyDescent="0.35">
      <c r="A16" s="663" t="s">
        <v>326</v>
      </c>
      <c r="B16" s="664">
        <f>GETPIVOTDATA("Value",CapabilitiesPivot!$C$4,"Fiscal_Yr","2022-23","Capability","ONE PUMP")</f>
        <v>244</v>
      </c>
      <c r="C16" s="664">
        <f>GETPIVOTDATA("Value",CapabilitiesPivot!$C$4,"Fiscal_Yr","2022-23","Capability","TWO PUMPS")</f>
        <v>101</v>
      </c>
      <c r="D16" s="664">
        <f>GETPIVOTDATA("Value",CapabilitiesPivot!$C$4,"Fiscal_Yr","2022-23","Capability","THREE PUMPS")</f>
        <v>6</v>
      </c>
      <c r="E16" s="664">
        <f>SUM(B16:D16)</f>
        <v>351</v>
      </c>
      <c r="F16" s="664">
        <f>GETPIVOTDATA("Value",CapabilitiesPivot!$C$4,"Fiscal_Yr","2022-23","Capability","RRU")</f>
        <v>33</v>
      </c>
      <c r="G16" s="664">
        <f>GETPIVOTDATA("Value",CapabilitiesPivot!$C$4,"Fiscal_Yr","2022-23","Capability","Water C")</f>
        <v>5</v>
      </c>
      <c r="H16" s="664">
        <f>GETPIVOTDATA("Value",CapabilitiesPivot!$C$4,"Fiscal_Yr","2022-23","Capability","Wildfire")</f>
        <v>15</v>
      </c>
      <c r="J16" s="664">
        <f>GETPIVOTDATA("Number of Stations with Capability",CapabilitiesPivot!$D$32,"Fiscal_Yr","2022-23","CapabilityType","Tactical")</f>
        <v>52</v>
      </c>
      <c r="K16" s="663">
        <f>SUM(F16:H16)</f>
        <v>53</v>
      </c>
    </row>
    <row r="17" spans="1:13" x14ac:dyDescent="0.35">
      <c r="A17" s="663" t="s">
        <v>327</v>
      </c>
      <c r="B17" s="664">
        <f>GETPIVOTDATA("Value",CapabilitiesPivot!$C$4,"Fiscal_Yr","2023-24","Capability","ONE PUMP")</f>
        <v>251</v>
      </c>
      <c r="C17" s="664">
        <f>GETPIVOTDATA("Value",CapabilitiesPivot!$C$4,"Fiscal_Yr","2023-24","Capability","TWO PUMPS")</f>
        <v>95</v>
      </c>
      <c r="D17" s="664">
        <f>GETPIVOTDATA("Value",CapabilitiesPivot!$C$4,"Fiscal_Yr","2023-24","Capability","THREE PUMPS")</f>
        <v>5</v>
      </c>
      <c r="E17" s="664">
        <f t="shared" ref="E17:E18" si="1">SUM(B17:D17)</f>
        <v>351</v>
      </c>
      <c r="F17" s="664">
        <f>GETPIVOTDATA("Value",CapabilitiesPivot!$C$4,"Fiscal_Yr","2023-24","Capability","RRU")</f>
        <v>34</v>
      </c>
      <c r="G17" s="664">
        <f>GETPIVOTDATA("Value",CapabilitiesPivot!$C$4,"Fiscal_Yr","2023-24","Capability","Water C")</f>
        <v>5</v>
      </c>
      <c r="H17" s="664">
        <f>GETPIVOTDATA("Value",CapabilitiesPivot!$C$4,"Fiscal_Yr","2023-24","Capability","Wildfire")</f>
        <v>15</v>
      </c>
      <c r="J17" s="664">
        <f>GETPIVOTDATA("Number of Stations with Capability",CapabilitiesPivot!$D$32,"Fiscal_Yr","2023-24","CapabilityType","Tactical")</f>
        <v>53</v>
      </c>
      <c r="K17" s="663">
        <f t="shared" ref="K17:K18" si="2">SUM(F17:H17)</f>
        <v>54</v>
      </c>
    </row>
    <row r="18" spans="1:13" ht="15" thickBot="1" x14ac:dyDescent="0.4">
      <c r="A18" s="495" t="s">
        <v>466</v>
      </c>
      <c r="B18" s="455">
        <f>GETPIVOTDATA("Value",CapabilitiesPivot!$C$4,"Fiscal_Yr","2024-25","Capability","ONE PUMP")</f>
        <v>251</v>
      </c>
      <c r="C18" s="455">
        <f>GETPIVOTDATA("Value",CapabilitiesPivot!$C$4,"Fiscal_Yr","2024-25","Capability","TWO PUMPS")</f>
        <v>94</v>
      </c>
      <c r="D18" s="455">
        <f>GETPIVOTDATA("Value",CapabilitiesPivot!$C$4,"Fiscal_Yr","2024-25","Capability","THREE PUMPS")</f>
        <v>6</v>
      </c>
      <c r="E18" s="455">
        <f t="shared" si="1"/>
        <v>351</v>
      </c>
      <c r="F18" s="455">
        <f>GETPIVOTDATA("Value",CapabilitiesPivot!$C$4,"Fiscal_Yr","2024-25","Capability","RRU")</f>
        <v>33</v>
      </c>
      <c r="G18" s="455">
        <f>GETPIVOTDATA("Value",CapabilitiesPivot!$C$4,"Fiscal_Yr","2024-25","Capability","Water C")</f>
        <v>5</v>
      </c>
      <c r="H18" s="455">
        <f>GETPIVOTDATA("Value",CapabilitiesPivot!$C$4,"Fiscal_Yr","2024-25","Capability","Wildfire")</f>
        <v>31</v>
      </c>
      <c r="I18" s="325"/>
      <c r="J18" s="455">
        <f>GETPIVOTDATA("Number of Stations with Capability",CapabilitiesPivot!$D$32,"Fiscal_Yr","2024-25","CapabilityType","Tactical")</f>
        <v>68</v>
      </c>
      <c r="K18" s="495">
        <f t="shared" si="2"/>
        <v>69</v>
      </c>
    </row>
    <row r="19" spans="1:13" x14ac:dyDescent="0.35">
      <c r="A19" s="312"/>
      <c r="K19" s="312"/>
    </row>
    <row r="20" spans="1:13" ht="18.5" x14ac:dyDescent="0.45">
      <c r="A20" s="312"/>
      <c r="B20" s="573" t="s">
        <v>426</v>
      </c>
    </row>
    <row r="21" spans="1:13" x14ac:dyDescent="0.35">
      <c r="A21" s="312"/>
    </row>
    <row r="22" spans="1:13" ht="74.150000000000006" customHeight="1" x14ac:dyDescent="0.35">
      <c r="A22" s="590" t="s">
        <v>207</v>
      </c>
      <c r="B22" s="520" t="s">
        <v>427</v>
      </c>
      <c r="C22" s="521" t="s">
        <v>428</v>
      </c>
      <c r="D22" s="521" t="s">
        <v>429</v>
      </c>
      <c r="E22" s="521" t="s">
        <v>430</v>
      </c>
      <c r="F22" s="521" t="s">
        <v>431</v>
      </c>
      <c r="G22" s="521" t="s">
        <v>432</v>
      </c>
      <c r="H22" s="521" t="s">
        <v>433</v>
      </c>
      <c r="I22" s="521" t="s">
        <v>434</v>
      </c>
      <c r="J22" s="576" t="s">
        <v>435</v>
      </c>
      <c r="L22" s="575" t="s">
        <v>436</v>
      </c>
      <c r="M22" s="575" t="s">
        <v>437</v>
      </c>
    </row>
    <row r="23" spans="1:13" x14ac:dyDescent="0.35">
      <c r="A23" s="663" t="s">
        <v>313</v>
      </c>
      <c r="B23" s="664">
        <f>GETPIVOTDATA("Value",CapabilitiesPivot!$A$1,"Fiscal_Yr","2019-20","Capability","Flood")</f>
        <v>78</v>
      </c>
      <c r="C23" s="664">
        <f>GETPIVOTDATA("Value",CapabilitiesPivot!$A$1,"Fiscal_Yr","2019-20","Capability","SRT")</f>
        <v>20</v>
      </c>
      <c r="D23" s="664">
        <f>GETPIVOTDATA("Value",CapabilitiesPivot!$C$4,"Fiscal_Yr","2019-20","Capability","DIM")</f>
        <v>4</v>
      </c>
      <c r="E23" s="664">
        <f>GETPIVOTDATA("Value",CapabilitiesPivot!$C$4,"Fiscal_Yr","2019-20","Capability","HSU")</f>
        <v>1</v>
      </c>
      <c r="F23" s="664">
        <f>GETPIVOTDATA("Value",CapabilitiesPivot!$C$4,"Fiscal_Yr","2019-20","Capability","SOR")</f>
        <v>3</v>
      </c>
      <c r="G23" s="664">
        <f>GETPIVOTDATA("Value",CapabilitiesPivot!$C$4,"Fiscal_Yr","2019-20","Capability","MD")</f>
        <v>5</v>
      </c>
      <c r="H23" s="664">
        <f>GETPIVOTDATA("Value",CapabilitiesPivot!$C$4,"Fiscal_Yr","2019-20","Capability","USAR")</f>
        <v>10</v>
      </c>
      <c r="I23" s="664">
        <f>GETPIVOTDATA("Value",CapabilitiesPivot!$C$4,"Fiscal_Yr","2019-20","Capability","CSU")</f>
        <v>8</v>
      </c>
      <c r="J23" s="664">
        <f>GETPIVOTDATA("Value",CapabilitiesPivot!$C$4,"Fiscal_Yr","2019-20","Capability","HVP")</f>
        <v>4</v>
      </c>
      <c r="L23" s="300">
        <f>GETPIVOTDATA("Number of Stations with Capability",CapabilitiesPivot!$D$32,"Fiscal_Yr","2019-20","CapabilityType","National Fire Resilience")</f>
        <v>95</v>
      </c>
      <c r="M23" s="663">
        <f t="shared" ref="M23:M24" si="3">SUM(B23:J23)</f>
        <v>133</v>
      </c>
    </row>
    <row r="24" spans="1:13" x14ac:dyDescent="0.35">
      <c r="A24" s="663" t="s">
        <v>319</v>
      </c>
      <c r="B24" s="664">
        <f>GETPIVOTDATA("Value",CapabilitiesPivot!$A$1,"Fiscal_Yr","2019-20","Capability","Flood")</f>
        <v>78</v>
      </c>
      <c r="C24" s="664">
        <f>GETPIVOTDATA("Value",CapabilitiesPivot!$A$1,"Fiscal_Yr","2019-20","Capability","SRT")</f>
        <v>20</v>
      </c>
      <c r="D24" s="664">
        <f>GETPIVOTDATA("Value",CapabilitiesPivot!$C$4,"Fiscal_Yr","2020-21","Capability","DIM")</f>
        <v>4</v>
      </c>
      <c r="E24" s="664">
        <f>GETPIVOTDATA("Value",CapabilitiesPivot!$C$4,"Fiscal_Yr","2020-21","Capability","HSU")</f>
        <v>1</v>
      </c>
      <c r="F24" s="664">
        <f>GETPIVOTDATA("Value",CapabilitiesPivot!$C$4,"Fiscal_Yr","2020-21","Capability","SOR")</f>
        <v>3</v>
      </c>
      <c r="G24" s="664">
        <f>GETPIVOTDATA("Value",CapabilitiesPivot!$C$4,"Fiscal_Yr","2020-21","Capability","MD")</f>
        <v>5</v>
      </c>
      <c r="H24" s="664">
        <f>GETPIVOTDATA("Value",CapabilitiesPivot!$C$4,"Fiscal_Yr","2020-21","Capability","USAR")</f>
        <v>10</v>
      </c>
      <c r="I24" s="664">
        <f>GETPIVOTDATA("Value",CapabilitiesPivot!$C$4,"Fiscal_Yr","2020-21","Capability","CSU")</f>
        <v>8</v>
      </c>
      <c r="J24" s="664">
        <f>GETPIVOTDATA("Value",CapabilitiesPivot!$C$4,"Fiscal_Yr","2020-21","Capability","HVP")</f>
        <v>4</v>
      </c>
      <c r="L24" s="664">
        <f>GETPIVOTDATA("Number of Stations with Capability",CapabilitiesPivot!$D$32,"Fiscal_Yr","2020-21","CapabilityType","National Fire Resilience")</f>
        <v>95</v>
      </c>
      <c r="M24" s="663">
        <f t="shared" si="3"/>
        <v>133</v>
      </c>
    </row>
    <row r="25" spans="1:13" x14ac:dyDescent="0.35">
      <c r="A25" s="663" t="s">
        <v>321</v>
      </c>
      <c r="B25" s="664">
        <f>GETPIVOTDATA("Value",CapabilitiesPivot!$A$1,"Fiscal_Yr","2019-20","Capability","Flood")</f>
        <v>78</v>
      </c>
      <c r="C25" s="664">
        <f>GETPIVOTDATA("Value",CapabilitiesPivot!$A$1,"Fiscal_Yr","2019-20","Capability","SRT")</f>
        <v>20</v>
      </c>
      <c r="D25" s="664">
        <f>GETPIVOTDATA("Value",CapabilitiesPivot!$C$4,"Fiscal_Yr","2021-22","Capability","DIM")</f>
        <v>4</v>
      </c>
      <c r="E25" s="664">
        <f>GETPIVOTDATA("Value",CapabilitiesPivot!$C$4,"Fiscal_Yr","2021-22","Capability","HSU")</f>
        <v>1</v>
      </c>
      <c r="F25" s="664">
        <f>GETPIVOTDATA("Value",CapabilitiesPivot!$C$4,"Fiscal_Yr","2021-22","Capability","SOR")</f>
        <v>4</v>
      </c>
      <c r="G25" s="664">
        <f>GETPIVOTDATA("Value",CapabilitiesPivot!$C$4,"Fiscal_Yr","2021-22","Capability","MD")</f>
        <v>8</v>
      </c>
      <c r="H25" s="664">
        <f>GETPIVOTDATA("Value",CapabilitiesPivot!$C$4,"Fiscal_Yr","2021-22","Capability","USAR")</f>
        <v>7</v>
      </c>
      <c r="I25" s="664">
        <f>GETPIVOTDATA("Value",CapabilitiesPivot!$C$4,"Fiscal_Yr","2021-22","Capability","CSU")</f>
        <v>8</v>
      </c>
      <c r="J25" s="664">
        <f>GETPIVOTDATA("Value",CapabilitiesPivot!$C$4,"Fiscal_Yr","2021-22","Capability","HVP")</f>
        <v>4</v>
      </c>
      <c r="L25" s="664">
        <f>GETPIVOTDATA("Number of Stations with Capability",CapabilitiesPivot!$D$32,"Fiscal_Yr","2021-22","CapabilityType","National Fire Resilience")</f>
        <v>101</v>
      </c>
      <c r="M25" s="663">
        <f>SUM(B25:J25)</f>
        <v>134</v>
      </c>
    </row>
    <row r="26" spans="1:13" x14ac:dyDescent="0.35">
      <c r="A26" s="526" t="s">
        <v>326</v>
      </c>
      <c r="B26" s="664">
        <f>GETPIVOTDATA("Value",CapabilitiesPivot!$A$1,"Fiscal_Yr","2019-20","Capability","Flood")</f>
        <v>78</v>
      </c>
      <c r="C26" s="664">
        <f>GETPIVOTDATA("Value",CapabilitiesPivot!$A$1,"Fiscal_Yr","2019-20","Capability","SRT")</f>
        <v>20</v>
      </c>
      <c r="D26" s="300">
        <f>GETPIVOTDATA("Value",CapabilitiesPivot!$C$4,"Fiscal_Yr","2022-23","Capability","DIM")</f>
        <v>4</v>
      </c>
      <c r="E26" s="300">
        <f>GETPIVOTDATA("Value",CapabilitiesPivot!$C$4,"Fiscal_Yr","2022-23","Capability","HSU")</f>
        <v>1</v>
      </c>
      <c r="F26" s="300">
        <f>GETPIVOTDATA("Value",CapabilitiesPivot!$C$4,"Fiscal_Yr","2022-23","Capability","SOR")</f>
        <v>3</v>
      </c>
      <c r="G26" s="300">
        <f>GETPIVOTDATA("Value",CapabilitiesPivot!$C$4,"Fiscal_Yr","2022-23","Capability","MD")</f>
        <v>7</v>
      </c>
      <c r="H26" s="300">
        <f>GETPIVOTDATA("Value",CapabilitiesPivot!$C$4,"Fiscal_Yr","2022-23","Capability","USAR")</f>
        <v>6</v>
      </c>
      <c r="I26" s="300">
        <f>GETPIVOTDATA("Value",CapabilitiesPivot!$C$4,"Fiscal_Yr","2022-23","Capability","CSU")</f>
        <v>8</v>
      </c>
      <c r="J26" s="300">
        <f>GETPIVOTDATA("Value",CapabilitiesPivot!$C$4,"Fiscal_Yr","2022-23","Capability","HVP")</f>
        <v>4</v>
      </c>
      <c r="L26" s="300">
        <f>GETPIVOTDATA("Number of Stations with Capability",CapabilitiesPivot!$D$32,"Fiscal_Yr","2022-23","CapabilityType","National Fire Resilience")</f>
        <v>104</v>
      </c>
      <c r="M26" s="526">
        <f>SUM(B26:J26)</f>
        <v>131</v>
      </c>
    </row>
    <row r="27" spans="1:13" x14ac:dyDescent="0.35">
      <c r="A27" s="526" t="s">
        <v>327</v>
      </c>
      <c r="B27" s="664">
        <f>GETPIVOTDATA("Value",CapabilitiesPivot!$A$1,"Fiscal_Yr","2019-20","Capability","Flood")</f>
        <v>78</v>
      </c>
      <c r="C27" s="664">
        <f>GETPIVOTDATA("Value",CapabilitiesPivot!$A$1,"Fiscal_Yr","2019-20","Capability","SRT")</f>
        <v>20</v>
      </c>
      <c r="D27" s="300">
        <f>GETPIVOTDATA("Value",CapabilitiesPivot!$C$4,"Fiscal_Yr",A27,"Capability","DIM")</f>
        <v>4</v>
      </c>
      <c r="E27" s="300">
        <f>GETPIVOTDATA("Value",CapabilitiesPivot!$C$4,"Fiscal_Yr",A27,"Capability","HSU")</f>
        <v>1</v>
      </c>
      <c r="F27" s="300">
        <f>GETPIVOTDATA("Value",CapabilitiesPivot!$C$4,"Fiscal_Yr",A27,"Capability","SOR")</f>
        <v>4</v>
      </c>
      <c r="G27" s="300">
        <f>GETPIVOTDATA("Value",CapabilitiesPivot!$C$4,"Fiscal_Yr",A27,"Capability","MD")</f>
        <v>7</v>
      </c>
      <c r="H27" s="300">
        <f>GETPIVOTDATA("Value",CapabilitiesPivot!$C$4,"Fiscal_Yr",A27,"Capability","USAR")</f>
        <v>7</v>
      </c>
      <c r="I27" s="300">
        <f>GETPIVOTDATA("Value",CapabilitiesPivot!$C$4,"Fiscal_Yr",A27,"Capability","CSU")</f>
        <v>8</v>
      </c>
      <c r="J27" s="300">
        <f>GETPIVOTDATA("Value",CapabilitiesPivot!$C$4,"Fiscal_Yr",A27,"Capability","HVP")</f>
        <v>4</v>
      </c>
      <c r="L27" s="300">
        <f>GETPIVOTDATA("Number of Stations with Capability",CapabilitiesPivot!$D$32,"Fiscal_Yr",A27,"CapabilityType","National Fire Resilience")</f>
        <v>105</v>
      </c>
      <c r="M27" s="526">
        <f>SUM(B27:J27)</f>
        <v>133</v>
      </c>
    </row>
    <row r="28" spans="1:13" ht="15" thickBot="1" x14ac:dyDescent="0.4">
      <c r="A28" s="495" t="s">
        <v>466</v>
      </c>
      <c r="B28" s="455">
        <f>GETPIVOTDATA("Value",CapabilitiesPivot!$A$1,"Fiscal_Yr","2019-20","Capability","Flood")</f>
        <v>78</v>
      </c>
      <c r="C28" s="455">
        <f>GETPIVOTDATA("Value",CapabilitiesPivot!$A$1,"Fiscal_Yr","2019-20","Capability","SRT")</f>
        <v>20</v>
      </c>
      <c r="D28" s="455">
        <f>GETPIVOTDATA("Value",CapabilitiesPivot!$C$4,"Fiscal_Yr",A28,"Capability","DIM")</f>
        <v>4</v>
      </c>
      <c r="E28" s="455">
        <f>GETPIVOTDATA("Value",CapabilitiesPivot!$C$4,"Fiscal_Yr",A28,"Capability","HSU")</f>
        <v>1</v>
      </c>
      <c r="F28" s="455">
        <f>GETPIVOTDATA("Value",CapabilitiesPivot!$C$4,"Fiscal_Yr",A28,"Capability","SOR")</f>
        <v>4</v>
      </c>
      <c r="G28" s="455">
        <f>GETPIVOTDATA("Value",CapabilitiesPivot!$C$4,"Fiscal_Yr",A28,"Capability","MD")</f>
        <v>8</v>
      </c>
      <c r="H28" s="455">
        <f>GETPIVOTDATA("Value",CapabilitiesPivot!$C$4,"Fiscal_Yr",A28,"Capability","USAR")</f>
        <v>6</v>
      </c>
      <c r="I28" s="455">
        <f>GETPIVOTDATA("Value",CapabilitiesPivot!$C$4,"Fiscal_Yr",A28,"Capability","CSU")</f>
        <v>8</v>
      </c>
      <c r="J28" s="455">
        <f>GETPIVOTDATA("Value",CapabilitiesPivot!$C$4,"Fiscal_Yr",A28,"Capability","HVP")</f>
        <v>4</v>
      </c>
      <c r="K28" s="325"/>
      <c r="L28" s="455">
        <f>GETPIVOTDATA("Number of Stations with Capability",CapabilitiesPivot!$D$32,"Fiscal_Yr","2024-25","CapabilityType","NationalFireResilience")</f>
        <v>115</v>
      </c>
      <c r="M28" s="495">
        <f>SUM(B28:J28)</f>
        <v>133</v>
      </c>
    </row>
    <row r="29" spans="1:13" x14ac:dyDescent="0.35">
      <c r="A29" s="312"/>
    </row>
    <row r="30" spans="1:13" ht="18.5" x14ac:dyDescent="0.45">
      <c r="B30" s="573" t="s">
        <v>438</v>
      </c>
    </row>
    <row r="31" spans="1:13" ht="15.5" x14ac:dyDescent="0.35">
      <c r="B31" s="572"/>
    </row>
    <row r="32" spans="1:13" ht="58" x14ac:dyDescent="0.35">
      <c r="A32" s="590" t="s">
        <v>207</v>
      </c>
      <c r="B32" s="521" t="s">
        <v>439</v>
      </c>
      <c r="C32" s="521" t="s">
        <v>440</v>
      </c>
      <c r="D32" s="521" t="s">
        <v>441</v>
      </c>
      <c r="E32" s="521" t="s">
        <v>442</v>
      </c>
      <c r="F32" s="576" t="s">
        <v>400</v>
      </c>
      <c r="G32" s="577"/>
      <c r="H32" s="575" t="s">
        <v>443</v>
      </c>
      <c r="I32" s="575" t="s">
        <v>444</v>
      </c>
    </row>
    <row r="33" spans="1:13" x14ac:dyDescent="0.35">
      <c r="A33" s="663" t="s">
        <v>313</v>
      </c>
      <c r="B33" s="664">
        <f>GETPIVOTDATA("Value",CapabilitiesPivot!$C$4,"Fiscal_Yr","2019-20","Capability","EPU")</f>
        <v>5</v>
      </c>
      <c r="C33" s="664">
        <f>GETPIVOTDATA("Value",CapabilitiesPivot!$C$4,"Fiscal_Yr","2019-20","Capability","HighR")</f>
        <v>25</v>
      </c>
      <c r="D33" s="664">
        <f>GETPIVOTDATA("Value",CapabilitiesPivot!$C$4,"Fiscal_Yr","2019-20","Capability","Rope")</f>
        <v>3</v>
      </c>
      <c r="E33" s="664">
        <f>GETPIVOTDATA("Value",CapabilitiesPivot!$C$4,"Fiscal_Yr","2019-20","Capability","HvR")</f>
        <v>8</v>
      </c>
      <c r="F33" s="664">
        <f>GETPIVOTDATA("Value",CapabilitiesPivot!$C$4,"Fiscal_Yr","2019-20","Capability","Welfare")</f>
        <v>7</v>
      </c>
      <c r="H33" s="521">
        <f>GETPIVOTDATA("Number of Stations with Capability",CapabilitiesPivot!$D$32,"Fiscal_Yr","2019-20","CapabilityType","Specialist")</f>
        <v>37</v>
      </c>
      <c r="I33" s="665">
        <f t="shared" ref="I33:I38" si="4">SUM(B33:F33)</f>
        <v>48</v>
      </c>
    </row>
    <row r="34" spans="1:13" x14ac:dyDescent="0.35">
      <c r="A34" s="663" t="s">
        <v>319</v>
      </c>
      <c r="B34" s="664">
        <f>GETPIVOTDATA("Value",CapabilitiesPivot!$C$4,"Fiscal_Yr","2020-21","Capability","EPU")</f>
        <v>5</v>
      </c>
      <c r="C34" s="664">
        <f>GETPIVOTDATA("Value",CapabilitiesPivot!$C$4,"Fiscal_Yr","2020-21","Capability","HighR")</f>
        <v>25</v>
      </c>
      <c r="D34" s="664">
        <f>GETPIVOTDATA("Value",CapabilitiesPivot!$C$4,"Fiscal_Yr","2020-21","Capability","Rope")</f>
        <v>3</v>
      </c>
      <c r="E34" s="664">
        <f>GETPIVOTDATA("Value",CapabilitiesPivot!$C$4,"Fiscal_Yr","2020-21","Capability","HvR")</f>
        <v>8</v>
      </c>
      <c r="F34" s="664">
        <f>GETPIVOTDATA("Value",CapabilitiesPivot!$C$4,"Fiscal_Yr","2020-21","Capability","Welfare")</f>
        <v>7</v>
      </c>
      <c r="H34" s="521">
        <f>GETPIVOTDATA("Number of Stations with Capability",CapabilitiesPivot!$D$32,"Fiscal_Yr","2020-21","CapabilityType","Specialist")</f>
        <v>37</v>
      </c>
      <c r="I34" s="665">
        <f t="shared" si="4"/>
        <v>48</v>
      </c>
    </row>
    <row r="35" spans="1:13" x14ac:dyDescent="0.35">
      <c r="A35" s="663" t="s">
        <v>321</v>
      </c>
      <c r="B35" s="664">
        <f>GETPIVOTDATA("Value",CapabilitiesPivot!$C$4,"Fiscal_Yr","2021-22","Capability","EPU")</f>
        <v>5</v>
      </c>
      <c r="C35" s="664">
        <f>GETPIVOTDATA("Value",CapabilitiesPivot!$C$4,"Fiscal_Yr","2021-22","Capability","HighR")</f>
        <v>25</v>
      </c>
      <c r="D35" s="664">
        <f>GETPIVOTDATA("Value",CapabilitiesPivot!$C$4,"Fiscal_Yr","2021-22","Capability","Rope")</f>
        <v>4</v>
      </c>
      <c r="E35" s="664">
        <f>GETPIVOTDATA("Value",CapabilitiesPivot!$C$4,"Fiscal_Yr","2021-22","Capability","HvR")</f>
        <v>7</v>
      </c>
      <c r="F35" s="664">
        <f>GETPIVOTDATA("Value",CapabilitiesPivot!$C$4,"Fiscal_Yr","2021-22","Capability","Welfare")</f>
        <v>7</v>
      </c>
      <c r="H35" s="664">
        <f>GETPIVOTDATA("Number of Stations with Capability",CapabilitiesPivot!$D$32,"Fiscal_Yr","2021-22","CapabilityType","Specialist")</f>
        <v>36</v>
      </c>
      <c r="I35" s="665">
        <f t="shared" si="4"/>
        <v>48</v>
      </c>
    </row>
    <row r="36" spans="1:13" x14ac:dyDescent="0.35">
      <c r="A36" s="663" t="s">
        <v>326</v>
      </c>
      <c r="B36" s="664">
        <f>GETPIVOTDATA("Value",CapabilitiesPivot!$C$4,"Fiscal_Yr","2022-23","Capability","EPU")</f>
        <v>5</v>
      </c>
      <c r="C36" s="664">
        <f>GETPIVOTDATA("Value",CapabilitiesPivot!$C$4,"Fiscal_Yr","2022-23","Capability","HighR")</f>
        <v>25</v>
      </c>
      <c r="D36" s="664">
        <f>GETPIVOTDATA("Value",CapabilitiesPivot!$C$4,"Fiscal_Yr","2022-23","Capability","Rope")</f>
        <v>4</v>
      </c>
      <c r="E36" s="664">
        <f>GETPIVOTDATA("Value",CapabilitiesPivot!$C$4,"Fiscal_Yr","2022-23","Capability","HvR")</f>
        <v>7</v>
      </c>
      <c r="F36" s="664">
        <f>GETPIVOTDATA("Value",CapabilitiesPivot!$C$4,"Fiscal_Yr","2022-23","Capability","Welfare")</f>
        <v>8</v>
      </c>
      <c r="H36" s="664">
        <f>GETPIVOTDATA("Number of Stations with Capability",CapabilitiesPivot!$D$32,"Fiscal_Yr","2022-23","CapabilityType","Specialist")</f>
        <v>35</v>
      </c>
      <c r="I36" s="665">
        <f t="shared" si="4"/>
        <v>49</v>
      </c>
    </row>
    <row r="37" spans="1:13" x14ac:dyDescent="0.35">
      <c r="A37" s="663" t="s">
        <v>327</v>
      </c>
      <c r="B37" s="664">
        <f>GETPIVOTDATA("Value",CapabilitiesPivot!$C$4,"Fiscal_Yr",A37,"Capability","EPU")</f>
        <v>5</v>
      </c>
      <c r="C37" s="664">
        <f>GETPIVOTDATA("Value",CapabilitiesPivot!$C$4,"Fiscal_Yr",A37,"Capability","HighR")</f>
        <v>16</v>
      </c>
      <c r="D37" s="664">
        <f>GETPIVOTDATA("Value",CapabilitiesPivot!$C$4,"Fiscal_Yr",A37,"Capability","Rope")</f>
        <v>4</v>
      </c>
      <c r="E37" s="664">
        <f>GETPIVOTDATA("Value",CapabilitiesPivot!$C$4,"Fiscal_Yr",A37,"Capability","HvR")</f>
        <v>5</v>
      </c>
      <c r="F37" s="664">
        <f>GETPIVOTDATA("Value",CapabilitiesPivot!$C$4,"Fiscal_Yr",A37,"Capability","Welfare")</f>
        <v>7</v>
      </c>
      <c r="H37" s="664">
        <f>GETPIVOTDATA("Number of Stations with Capability",CapabilitiesPivot!$D$32,"Fiscal_Yr",A37,"CapabilityType","Specialist")</f>
        <v>26</v>
      </c>
      <c r="I37" s="665">
        <f t="shared" si="4"/>
        <v>37</v>
      </c>
    </row>
    <row r="38" spans="1:13" ht="15" thickBot="1" x14ac:dyDescent="0.4">
      <c r="A38" s="525" t="s">
        <v>466</v>
      </c>
      <c r="B38" s="325">
        <f>GETPIVOTDATA("Value",CapabilitiesPivot!$C$4,"Fiscal_Yr",A38,"Capability","EPU")</f>
        <v>4</v>
      </c>
      <c r="C38" s="325">
        <f>GETPIVOTDATA("Value",CapabilitiesPivot!$C$4,"Fiscal_Yr",A38,"Capability","HighR")</f>
        <v>16</v>
      </c>
      <c r="D38" s="325">
        <f>GETPIVOTDATA("Value",CapabilitiesPivot!$C$4,"Fiscal_Yr",A38,"Capability","Rope")</f>
        <v>4</v>
      </c>
      <c r="E38" s="325">
        <f>GETPIVOTDATA("Value",CapabilitiesPivot!$C$4,"Fiscal_Yr",A38,"Capability","HvR")</f>
        <v>6</v>
      </c>
      <c r="F38" s="325">
        <f>GETPIVOTDATA("Value",CapabilitiesPivot!$C$4,"Fiscal_Yr",A38,"Capability","Welfare")</f>
        <v>7</v>
      </c>
      <c r="G38" s="325"/>
      <c r="H38" s="325">
        <f>GETPIVOTDATA("Number of Stations with Capability",CapabilitiesPivot!$D$32,"Fiscal_Yr",A38,"CapabilityType","Specialist")</f>
        <v>26</v>
      </c>
      <c r="I38" s="787">
        <f t="shared" si="4"/>
        <v>37</v>
      </c>
    </row>
    <row r="40" spans="1:13" x14ac:dyDescent="0.35">
      <c r="A40" s="334" t="s">
        <v>329</v>
      </c>
    </row>
    <row r="41" spans="1:13" x14ac:dyDescent="0.35">
      <c r="A41" t="s">
        <v>445</v>
      </c>
    </row>
    <row r="42" spans="1:13" x14ac:dyDescent="0.35">
      <c r="A42" t="s">
        <v>446</v>
      </c>
    </row>
    <row r="43" spans="1:13" x14ac:dyDescent="0.35">
      <c r="A43" t="s">
        <v>447</v>
      </c>
    </row>
    <row r="44" spans="1:13" ht="31" customHeight="1" x14ac:dyDescent="0.35">
      <c r="A44" s="1010" t="s">
        <v>448</v>
      </c>
      <c r="B44" s="1010"/>
      <c r="C44" s="1010"/>
      <c r="D44" s="1010"/>
      <c r="E44" s="1010"/>
      <c r="F44" s="1010"/>
      <c r="G44" s="1010"/>
      <c r="H44" s="1010"/>
      <c r="I44" s="1010"/>
      <c r="J44" s="1010"/>
      <c r="K44" s="1010"/>
      <c r="L44" s="1010"/>
      <c r="M44" s="1010"/>
    </row>
    <row r="45" spans="1:13" ht="46" customHeight="1" x14ac:dyDescent="0.35">
      <c r="A45" s="1010" t="s">
        <v>449</v>
      </c>
      <c r="B45" s="1010"/>
      <c r="C45" s="1010"/>
      <c r="D45" s="1010"/>
      <c r="E45" s="1010"/>
      <c r="F45" s="1010"/>
      <c r="G45" s="1010"/>
      <c r="H45" s="1010"/>
      <c r="I45" s="1010"/>
      <c r="J45" s="1010"/>
      <c r="K45" s="1010"/>
      <c r="L45" s="1010"/>
      <c r="M45" s="1010"/>
    </row>
    <row r="46" spans="1:13" ht="46.5" customHeight="1" x14ac:dyDescent="0.35">
      <c r="A46" s="1010" t="s">
        <v>1296</v>
      </c>
      <c r="B46" s="1010"/>
      <c r="C46" s="1010"/>
      <c r="D46" s="1010"/>
      <c r="E46" s="1010"/>
      <c r="F46" s="1010"/>
      <c r="G46" s="1010"/>
      <c r="H46" s="1010"/>
      <c r="I46" s="1010"/>
    </row>
  </sheetData>
  <sheetProtection algorithmName="SHA-512" hashValue="4GroFlRm3Wq5+RsUQu6AM4b6IWDB/nona08DbL6sa1KxqLQPdsP4DEvnp9cjW4DHWoX4gIGByJhVTJ1SkcOTEQ==" saltValue="8gfU3FBBLL0auZSxfIvugA==" spinCount="100000" sheet="1" scenarios="1" formatCells="0" sort="0" autoFilter="0" pivotTables="0"/>
  <mergeCells count="7">
    <mergeCell ref="A46:I46"/>
    <mergeCell ref="A44:M44"/>
    <mergeCell ref="A45:M45"/>
    <mergeCell ref="A1:C1"/>
    <mergeCell ref="A11:A12"/>
    <mergeCell ref="B11:E11"/>
    <mergeCell ref="F11:H11"/>
  </mergeCells>
  <phoneticPr fontId="53" type="noConversion"/>
  <hyperlinks>
    <hyperlink ref="A2" location="'Table of Contents'!A1" display="Back to Table of Contents"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7" tint="-0.249977111117893"/>
  </sheetPr>
  <dimension ref="A1:O385"/>
  <sheetViews>
    <sheetView zoomScale="90" zoomScaleNormal="90" workbookViewId="0"/>
  </sheetViews>
  <sheetFormatPr defaultRowHeight="14.5" x14ac:dyDescent="0.35"/>
  <cols>
    <col min="1" max="1" width="8" bestFit="1" customWidth="1"/>
    <col min="2" max="2" width="20.81640625" bestFit="1" customWidth="1"/>
    <col min="3" max="3" width="10.90625" bestFit="1" customWidth="1"/>
    <col min="4" max="4" width="22.453125" bestFit="1" customWidth="1"/>
    <col min="5" max="5" width="18.6328125" bestFit="1" customWidth="1"/>
    <col min="6" max="6" width="12.36328125" bestFit="1" customWidth="1"/>
    <col min="7" max="7" width="17.54296875" bestFit="1" customWidth="1"/>
    <col min="8" max="8" width="21.08984375" bestFit="1" customWidth="1"/>
    <col min="9" max="9" width="13.453125" bestFit="1" customWidth="1"/>
    <col min="10" max="10" width="11.453125" bestFit="1" customWidth="1"/>
    <col min="11" max="11" width="21.54296875" bestFit="1" customWidth="1"/>
    <col min="12" max="12" width="22.90625" bestFit="1" customWidth="1"/>
    <col min="13" max="13" width="13.1796875" bestFit="1" customWidth="1"/>
    <col min="14" max="14" width="23.1796875" bestFit="1" customWidth="1"/>
    <col min="15" max="15" width="24.54296875" bestFit="1" customWidth="1"/>
  </cols>
  <sheetData>
    <row r="1" spans="1:15" x14ac:dyDescent="0.35">
      <c r="A1" t="s">
        <v>207</v>
      </c>
      <c r="B1" t="s">
        <v>925</v>
      </c>
      <c r="C1" t="s">
        <v>1091</v>
      </c>
      <c r="D1" t="s">
        <v>1092</v>
      </c>
      <c r="E1" t="s">
        <v>933</v>
      </c>
      <c r="F1" t="s">
        <v>934</v>
      </c>
      <c r="G1" t="s">
        <v>1093</v>
      </c>
      <c r="H1" t="s">
        <v>1094</v>
      </c>
      <c r="I1" t="s">
        <v>1095</v>
      </c>
      <c r="J1" t="s">
        <v>1096</v>
      </c>
      <c r="K1" t="s">
        <v>1097</v>
      </c>
      <c r="L1" t="s">
        <v>1098</v>
      </c>
      <c r="M1" t="s">
        <v>926</v>
      </c>
      <c r="N1" t="s">
        <v>1099</v>
      </c>
      <c r="O1" t="s">
        <v>1100</v>
      </c>
    </row>
    <row r="2" spans="1:15" x14ac:dyDescent="0.35">
      <c r="A2" t="s">
        <v>341</v>
      </c>
      <c r="B2" t="s">
        <v>297</v>
      </c>
      <c r="C2" t="s">
        <v>296</v>
      </c>
      <c r="D2">
        <v>1030</v>
      </c>
      <c r="E2">
        <v>1105</v>
      </c>
      <c r="F2">
        <v>2135</v>
      </c>
      <c r="G2">
        <v>905</v>
      </c>
      <c r="H2">
        <v>674</v>
      </c>
      <c r="I2">
        <v>1579</v>
      </c>
      <c r="J2">
        <v>85724</v>
      </c>
      <c r="K2">
        <v>2.4910000000000001</v>
      </c>
      <c r="L2">
        <v>1.8420000000000001</v>
      </c>
      <c r="M2">
        <v>84025</v>
      </c>
      <c r="N2">
        <v>2.5409999999999999</v>
      </c>
      <c r="O2">
        <v>1.879</v>
      </c>
    </row>
    <row r="3" spans="1:15" x14ac:dyDescent="0.35">
      <c r="A3" t="s">
        <v>364</v>
      </c>
      <c r="B3" t="s">
        <v>284</v>
      </c>
      <c r="C3" t="s">
        <v>283</v>
      </c>
      <c r="D3">
        <v>123</v>
      </c>
      <c r="E3">
        <v>226</v>
      </c>
      <c r="F3">
        <v>349</v>
      </c>
      <c r="G3">
        <v>181</v>
      </c>
      <c r="H3">
        <v>15</v>
      </c>
      <c r="I3">
        <v>196</v>
      </c>
      <c r="J3">
        <v>14490</v>
      </c>
      <c r="K3">
        <v>2.4089999999999998</v>
      </c>
      <c r="L3">
        <v>1.353</v>
      </c>
      <c r="M3">
        <v>12924</v>
      </c>
      <c r="N3">
        <v>2.7</v>
      </c>
      <c r="O3">
        <v>1.5169999999999999</v>
      </c>
    </row>
    <row r="4" spans="1:15" x14ac:dyDescent="0.35">
      <c r="A4" t="s">
        <v>326</v>
      </c>
      <c r="B4" t="s">
        <v>284</v>
      </c>
      <c r="C4" t="s">
        <v>283</v>
      </c>
      <c r="F4">
        <v>134</v>
      </c>
      <c r="J4">
        <v>14975</v>
      </c>
      <c r="K4">
        <v>0.89500000000000002</v>
      </c>
      <c r="M4">
        <v>12986</v>
      </c>
      <c r="N4">
        <v>1.032</v>
      </c>
    </row>
    <row r="5" spans="1:15" x14ac:dyDescent="0.35">
      <c r="A5" t="s">
        <v>364</v>
      </c>
      <c r="B5" t="s">
        <v>254</v>
      </c>
      <c r="C5" t="s">
        <v>253</v>
      </c>
      <c r="D5">
        <v>554</v>
      </c>
      <c r="E5">
        <v>307</v>
      </c>
      <c r="F5">
        <v>861</v>
      </c>
      <c r="G5">
        <v>757</v>
      </c>
      <c r="H5">
        <v>209</v>
      </c>
      <c r="I5">
        <v>966</v>
      </c>
      <c r="J5">
        <v>44864</v>
      </c>
      <c r="K5">
        <v>1.919</v>
      </c>
      <c r="L5">
        <v>2.153</v>
      </c>
      <c r="M5">
        <v>44102</v>
      </c>
      <c r="N5">
        <v>1.952</v>
      </c>
      <c r="O5">
        <v>2.19</v>
      </c>
    </row>
    <row r="6" spans="1:15" x14ac:dyDescent="0.35">
      <c r="A6" t="s">
        <v>342</v>
      </c>
      <c r="B6" t="s">
        <v>271</v>
      </c>
      <c r="C6" t="s">
        <v>270</v>
      </c>
      <c r="D6">
        <v>2973</v>
      </c>
      <c r="E6">
        <v>5059</v>
      </c>
      <c r="F6">
        <v>8032</v>
      </c>
      <c r="G6">
        <v>3089</v>
      </c>
      <c r="H6">
        <v>982</v>
      </c>
      <c r="I6">
        <v>4071</v>
      </c>
      <c r="J6">
        <v>308293</v>
      </c>
      <c r="K6">
        <v>2.605</v>
      </c>
      <c r="L6">
        <v>1.32</v>
      </c>
      <c r="M6">
        <v>291115</v>
      </c>
      <c r="N6">
        <v>2.7589999999999999</v>
      </c>
      <c r="O6">
        <v>1.3980000000000001</v>
      </c>
    </row>
    <row r="7" spans="1:15" x14ac:dyDescent="0.35">
      <c r="A7" t="s">
        <v>321</v>
      </c>
      <c r="B7" t="s">
        <v>256</v>
      </c>
      <c r="C7" t="s">
        <v>255</v>
      </c>
      <c r="F7">
        <v>646</v>
      </c>
      <c r="J7">
        <v>50641</v>
      </c>
      <c r="K7">
        <v>1.276</v>
      </c>
      <c r="M7">
        <v>48440</v>
      </c>
      <c r="N7">
        <v>1.3340000000000001</v>
      </c>
    </row>
    <row r="8" spans="1:15" x14ac:dyDescent="0.35">
      <c r="A8" t="s">
        <v>326</v>
      </c>
      <c r="B8" t="s">
        <v>221</v>
      </c>
      <c r="C8" t="s">
        <v>220</v>
      </c>
      <c r="F8">
        <v>1211</v>
      </c>
      <c r="J8">
        <v>121610</v>
      </c>
      <c r="K8">
        <v>0.996</v>
      </c>
      <c r="M8">
        <v>114897</v>
      </c>
      <c r="N8">
        <v>1.054</v>
      </c>
    </row>
    <row r="9" spans="1:15" x14ac:dyDescent="0.35">
      <c r="A9" t="s">
        <v>466</v>
      </c>
      <c r="B9" t="s">
        <v>305</v>
      </c>
      <c r="D9">
        <v>270</v>
      </c>
      <c r="E9">
        <v>1707</v>
      </c>
      <c r="F9">
        <v>1977</v>
      </c>
      <c r="G9">
        <v>574</v>
      </c>
      <c r="H9">
        <v>162</v>
      </c>
      <c r="I9">
        <v>859</v>
      </c>
      <c r="M9">
        <v>150643.15462185504</v>
      </c>
      <c r="N9">
        <v>1.3120000000000001</v>
      </c>
      <c r="O9">
        <v>0.56999999999999995</v>
      </c>
    </row>
    <row r="10" spans="1:15" x14ac:dyDescent="0.35">
      <c r="A10" t="s">
        <v>214</v>
      </c>
      <c r="B10" t="s">
        <v>284</v>
      </c>
      <c r="C10" t="s">
        <v>283</v>
      </c>
      <c r="D10">
        <v>112</v>
      </c>
      <c r="E10">
        <v>274</v>
      </c>
      <c r="F10">
        <v>386</v>
      </c>
      <c r="G10">
        <v>132</v>
      </c>
      <c r="H10">
        <v>29</v>
      </c>
      <c r="I10">
        <v>161</v>
      </c>
      <c r="J10">
        <v>14706</v>
      </c>
      <c r="K10">
        <v>2.625</v>
      </c>
      <c r="L10">
        <v>1.095</v>
      </c>
      <c r="M10">
        <v>12773</v>
      </c>
      <c r="N10">
        <v>3.0219999999999998</v>
      </c>
      <c r="O10">
        <v>1.26</v>
      </c>
    </row>
    <row r="11" spans="1:15" x14ac:dyDescent="0.35">
      <c r="A11" t="s">
        <v>364</v>
      </c>
      <c r="B11" t="s">
        <v>308</v>
      </c>
      <c r="C11" t="s">
        <v>307</v>
      </c>
      <c r="D11">
        <v>265</v>
      </c>
      <c r="E11">
        <v>607</v>
      </c>
      <c r="F11">
        <v>872</v>
      </c>
      <c r="G11">
        <v>297</v>
      </c>
      <c r="H11">
        <v>113</v>
      </c>
      <c r="I11">
        <v>410</v>
      </c>
      <c r="J11">
        <v>39965</v>
      </c>
      <c r="K11">
        <v>2.1819999999999999</v>
      </c>
      <c r="L11">
        <v>1.026</v>
      </c>
      <c r="M11">
        <v>38056</v>
      </c>
      <c r="N11">
        <v>2.2909999999999999</v>
      </c>
      <c r="O11">
        <v>1.077</v>
      </c>
    </row>
    <row r="12" spans="1:15" x14ac:dyDescent="0.35">
      <c r="A12" t="s">
        <v>321</v>
      </c>
      <c r="B12" t="s">
        <v>271</v>
      </c>
      <c r="C12" t="s">
        <v>270</v>
      </c>
      <c r="F12">
        <v>4705</v>
      </c>
      <c r="J12">
        <v>319810</v>
      </c>
      <c r="K12">
        <v>1.4710000000000001</v>
      </c>
      <c r="M12">
        <v>298847</v>
      </c>
      <c r="N12">
        <v>1.5739999999999998</v>
      </c>
    </row>
    <row r="13" spans="1:15" x14ac:dyDescent="0.35">
      <c r="A13" t="s">
        <v>214</v>
      </c>
      <c r="B13" t="s">
        <v>221</v>
      </c>
      <c r="C13" t="s">
        <v>220</v>
      </c>
      <c r="D13">
        <v>564</v>
      </c>
      <c r="E13">
        <v>1206</v>
      </c>
      <c r="F13">
        <v>1770</v>
      </c>
      <c r="G13">
        <v>618</v>
      </c>
      <c r="H13">
        <v>336</v>
      </c>
      <c r="I13">
        <v>954</v>
      </c>
      <c r="J13">
        <v>118197</v>
      </c>
      <c r="K13">
        <v>1.4969999999999999</v>
      </c>
      <c r="L13">
        <v>0.80700000000000005</v>
      </c>
      <c r="M13">
        <v>111156</v>
      </c>
      <c r="N13">
        <v>1.5920000000000001</v>
      </c>
      <c r="O13">
        <v>0.85799999999999998</v>
      </c>
    </row>
    <row r="14" spans="1:15" x14ac:dyDescent="0.35">
      <c r="A14" t="s">
        <v>342</v>
      </c>
      <c r="B14" t="s">
        <v>256</v>
      </c>
      <c r="C14" t="s">
        <v>255</v>
      </c>
      <c r="D14">
        <v>540</v>
      </c>
      <c r="E14">
        <v>494</v>
      </c>
      <c r="F14">
        <v>1034</v>
      </c>
      <c r="G14">
        <v>544</v>
      </c>
      <c r="H14">
        <v>339</v>
      </c>
      <c r="I14">
        <v>883</v>
      </c>
      <c r="J14">
        <v>47407</v>
      </c>
      <c r="K14">
        <v>2.181</v>
      </c>
      <c r="L14">
        <v>1.863</v>
      </c>
      <c r="M14">
        <v>45301</v>
      </c>
      <c r="N14">
        <v>2.2829999999999999</v>
      </c>
      <c r="O14">
        <v>1.9489999999999998</v>
      </c>
    </row>
    <row r="15" spans="1:15" x14ac:dyDescent="0.35">
      <c r="A15" t="s">
        <v>214</v>
      </c>
      <c r="B15" t="s">
        <v>264</v>
      </c>
      <c r="C15" t="s">
        <v>263</v>
      </c>
      <c r="D15">
        <v>533</v>
      </c>
      <c r="E15">
        <v>1326</v>
      </c>
      <c r="F15">
        <v>1859</v>
      </c>
      <c r="G15">
        <v>606</v>
      </c>
      <c r="H15">
        <v>192</v>
      </c>
      <c r="I15">
        <v>798</v>
      </c>
      <c r="J15">
        <v>74826</v>
      </c>
      <c r="K15">
        <v>2.484</v>
      </c>
      <c r="L15">
        <v>1.0660000000000001</v>
      </c>
      <c r="M15">
        <v>72267</v>
      </c>
      <c r="N15">
        <v>2.5720000000000001</v>
      </c>
      <c r="O15">
        <v>1.1040000000000001</v>
      </c>
    </row>
    <row r="16" spans="1:15" x14ac:dyDescent="0.35">
      <c r="A16" t="s">
        <v>327</v>
      </c>
      <c r="B16" t="s">
        <v>305</v>
      </c>
      <c r="D16">
        <v>424</v>
      </c>
      <c r="E16">
        <v>1895</v>
      </c>
      <c r="F16">
        <v>2319</v>
      </c>
      <c r="G16">
        <v>943</v>
      </c>
      <c r="H16">
        <v>264</v>
      </c>
      <c r="I16">
        <v>1207</v>
      </c>
      <c r="J16">
        <v>158594</v>
      </c>
      <c r="K16">
        <v>1.462</v>
      </c>
      <c r="L16">
        <v>0.76100000000000001</v>
      </c>
      <c r="M16">
        <v>149454</v>
      </c>
      <c r="N16">
        <v>1.552</v>
      </c>
      <c r="O16">
        <v>0.80800000000000005</v>
      </c>
    </row>
    <row r="17" spans="1:15" x14ac:dyDescent="0.35">
      <c r="A17" t="s">
        <v>365</v>
      </c>
      <c r="B17" t="s">
        <v>308</v>
      </c>
      <c r="C17" t="s">
        <v>307</v>
      </c>
      <c r="D17">
        <v>352</v>
      </c>
      <c r="E17">
        <v>667</v>
      </c>
      <c r="F17">
        <v>1019</v>
      </c>
      <c r="G17">
        <v>391</v>
      </c>
      <c r="H17">
        <v>166</v>
      </c>
      <c r="I17">
        <v>557</v>
      </c>
      <c r="J17">
        <v>40320</v>
      </c>
      <c r="K17">
        <v>2.5270000000000001</v>
      </c>
      <c r="L17">
        <v>1.381</v>
      </c>
      <c r="M17">
        <v>38310</v>
      </c>
      <c r="N17">
        <v>2.66</v>
      </c>
      <c r="O17">
        <v>1.454</v>
      </c>
    </row>
    <row r="18" spans="1:15" x14ac:dyDescent="0.35">
      <c r="A18" t="s">
        <v>364</v>
      </c>
      <c r="B18" t="s">
        <v>264</v>
      </c>
      <c r="C18" t="s">
        <v>263</v>
      </c>
      <c r="D18">
        <v>552</v>
      </c>
      <c r="E18">
        <v>1169</v>
      </c>
      <c r="F18">
        <v>1721</v>
      </c>
      <c r="G18">
        <v>614</v>
      </c>
      <c r="H18">
        <v>186</v>
      </c>
      <c r="I18">
        <v>800</v>
      </c>
      <c r="J18">
        <v>72128</v>
      </c>
      <c r="K18">
        <v>2.3860000000000001</v>
      </c>
      <c r="L18">
        <v>1.109</v>
      </c>
      <c r="M18">
        <v>69443</v>
      </c>
      <c r="N18">
        <v>2.4779999999999998</v>
      </c>
      <c r="O18">
        <v>1.1519999999999999</v>
      </c>
    </row>
    <row r="19" spans="1:15" x14ac:dyDescent="0.35">
      <c r="A19" t="s">
        <v>319</v>
      </c>
      <c r="B19" t="s">
        <v>297</v>
      </c>
      <c r="C19" t="s">
        <v>296</v>
      </c>
      <c r="D19">
        <v>333</v>
      </c>
      <c r="E19">
        <v>352</v>
      </c>
      <c r="F19">
        <v>685</v>
      </c>
      <c r="G19">
        <v>424</v>
      </c>
      <c r="H19">
        <v>124</v>
      </c>
      <c r="I19">
        <v>548</v>
      </c>
      <c r="J19">
        <v>88624</v>
      </c>
      <c r="K19">
        <v>0.77300000000000002</v>
      </c>
      <c r="L19">
        <v>0.61799999999999999</v>
      </c>
      <c r="M19">
        <v>87241</v>
      </c>
      <c r="N19">
        <v>0.78500000000000003</v>
      </c>
      <c r="O19">
        <v>0.628</v>
      </c>
    </row>
    <row r="20" spans="1:15" x14ac:dyDescent="0.35">
      <c r="A20" t="s">
        <v>366</v>
      </c>
      <c r="B20" t="s">
        <v>229</v>
      </c>
      <c r="C20" t="s">
        <v>228</v>
      </c>
      <c r="D20">
        <v>667</v>
      </c>
      <c r="E20">
        <v>980</v>
      </c>
      <c r="F20">
        <v>1647</v>
      </c>
      <c r="G20">
        <v>562</v>
      </c>
      <c r="H20">
        <v>512</v>
      </c>
      <c r="I20">
        <v>1074</v>
      </c>
      <c r="J20">
        <v>47712</v>
      </c>
      <c r="K20">
        <v>3.452</v>
      </c>
      <c r="L20">
        <v>2.2509999999999999</v>
      </c>
      <c r="M20">
        <v>40938</v>
      </c>
      <c r="N20">
        <v>4.0229999999999997</v>
      </c>
      <c r="O20">
        <v>2.6230000000000002</v>
      </c>
    </row>
    <row r="21" spans="1:15" x14ac:dyDescent="0.35">
      <c r="A21" t="s">
        <v>364</v>
      </c>
      <c r="B21" t="s">
        <v>221</v>
      </c>
      <c r="C21" t="s">
        <v>220</v>
      </c>
      <c r="D21">
        <v>567</v>
      </c>
      <c r="E21">
        <v>789</v>
      </c>
      <c r="F21">
        <v>1356</v>
      </c>
      <c r="G21">
        <v>497</v>
      </c>
      <c r="H21">
        <v>391</v>
      </c>
      <c r="I21">
        <v>888</v>
      </c>
      <c r="J21">
        <v>112867</v>
      </c>
      <c r="K21">
        <v>1.2010000000000001</v>
      </c>
      <c r="L21">
        <v>0.78700000000000003</v>
      </c>
      <c r="M21">
        <v>107128</v>
      </c>
      <c r="N21">
        <v>1.266</v>
      </c>
      <c r="O21">
        <v>0.82899999999999996</v>
      </c>
    </row>
    <row r="22" spans="1:15" x14ac:dyDescent="0.35">
      <c r="A22" t="s">
        <v>326</v>
      </c>
      <c r="B22" t="s">
        <v>241</v>
      </c>
      <c r="C22" t="s">
        <v>240</v>
      </c>
      <c r="F22">
        <v>428</v>
      </c>
      <c r="J22">
        <v>25109</v>
      </c>
      <c r="K22">
        <v>1.7050000000000001</v>
      </c>
      <c r="M22">
        <v>24157</v>
      </c>
      <c r="N22">
        <v>1.772</v>
      </c>
    </row>
    <row r="23" spans="1:15" x14ac:dyDescent="0.35">
      <c r="A23" t="s">
        <v>327</v>
      </c>
      <c r="B23" t="s">
        <v>250</v>
      </c>
      <c r="D23">
        <v>264</v>
      </c>
      <c r="E23">
        <v>829</v>
      </c>
      <c r="F23">
        <v>1093</v>
      </c>
      <c r="G23">
        <v>597</v>
      </c>
      <c r="H23">
        <v>105</v>
      </c>
      <c r="I23">
        <v>702</v>
      </c>
      <c r="J23">
        <v>59737</v>
      </c>
      <c r="K23">
        <v>1.83</v>
      </c>
      <c r="L23">
        <v>1.175</v>
      </c>
      <c r="M23">
        <v>55811</v>
      </c>
      <c r="N23">
        <v>1.958</v>
      </c>
      <c r="O23">
        <v>1.258</v>
      </c>
    </row>
    <row r="24" spans="1:15" x14ac:dyDescent="0.35">
      <c r="A24" t="s">
        <v>319</v>
      </c>
      <c r="B24" t="s">
        <v>271</v>
      </c>
      <c r="C24" t="s">
        <v>270</v>
      </c>
      <c r="D24">
        <v>767</v>
      </c>
      <c r="E24">
        <v>1321</v>
      </c>
      <c r="F24">
        <v>2088</v>
      </c>
      <c r="G24">
        <v>901</v>
      </c>
      <c r="H24">
        <v>243</v>
      </c>
      <c r="I24">
        <v>1144</v>
      </c>
      <c r="J24">
        <v>317193</v>
      </c>
      <c r="K24">
        <v>0.65800000000000003</v>
      </c>
      <c r="L24">
        <v>0.36099999999999999</v>
      </c>
      <c r="M24">
        <v>295761</v>
      </c>
      <c r="N24">
        <v>0.70599999999999996</v>
      </c>
      <c r="O24">
        <v>0.38700000000000001</v>
      </c>
    </row>
    <row r="25" spans="1:15" x14ac:dyDescent="0.35">
      <c r="A25" t="s">
        <v>365</v>
      </c>
      <c r="B25" t="s">
        <v>274</v>
      </c>
      <c r="C25" t="s">
        <v>273</v>
      </c>
      <c r="D25">
        <v>962</v>
      </c>
      <c r="E25">
        <v>2623</v>
      </c>
      <c r="F25">
        <v>3585</v>
      </c>
      <c r="G25">
        <v>1042</v>
      </c>
      <c r="H25">
        <v>500</v>
      </c>
      <c r="I25">
        <v>1542</v>
      </c>
      <c r="J25">
        <v>114603</v>
      </c>
      <c r="K25">
        <v>3.1280000000000001</v>
      </c>
      <c r="L25">
        <v>1.3460000000000001</v>
      </c>
      <c r="M25">
        <v>105711</v>
      </c>
      <c r="N25">
        <v>3.391</v>
      </c>
      <c r="O25">
        <v>1.4590000000000001</v>
      </c>
    </row>
    <row r="26" spans="1:15" x14ac:dyDescent="0.35">
      <c r="A26" t="s">
        <v>313</v>
      </c>
      <c r="B26" t="s">
        <v>221</v>
      </c>
      <c r="C26" t="s">
        <v>220</v>
      </c>
      <c r="D26">
        <v>699</v>
      </c>
      <c r="E26">
        <v>1579</v>
      </c>
      <c r="F26">
        <v>2278</v>
      </c>
      <c r="G26">
        <v>731</v>
      </c>
      <c r="H26">
        <v>413</v>
      </c>
      <c r="I26">
        <v>1144</v>
      </c>
      <c r="J26">
        <v>119196</v>
      </c>
      <c r="K26">
        <v>1.911</v>
      </c>
      <c r="L26">
        <v>0.96</v>
      </c>
      <c r="M26">
        <v>112114</v>
      </c>
      <c r="N26">
        <v>2.032</v>
      </c>
      <c r="O26">
        <v>1.02</v>
      </c>
    </row>
    <row r="27" spans="1:15" x14ac:dyDescent="0.35">
      <c r="A27" t="s">
        <v>466</v>
      </c>
      <c r="B27" t="s">
        <v>221</v>
      </c>
      <c r="D27">
        <v>85</v>
      </c>
      <c r="E27">
        <v>904</v>
      </c>
      <c r="F27">
        <v>989</v>
      </c>
      <c r="G27">
        <v>147</v>
      </c>
      <c r="H27">
        <v>94</v>
      </c>
      <c r="I27">
        <v>247</v>
      </c>
      <c r="M27">
        <v>117418.94062026255</v>
      </c>
      <c r="N27">
        <v>0.84199999999999997</v>
      </c>
      <c r="O27">
        <v>0.21</v>
      </c>
    </row>
    <row r="28" spans="1:15" x14ac:dyDescent="0.35">
      <c r="A28" t="s">
        <v>341</v>
      </c>
      <c r="B28" t="s">
        <v>271</v>
      </c>
      <c r="C28" t="s">
        <v>270</v>
      </c>
      <c r="D28">
        <v>2485</v>
      </c>
      <c r="E28">
        <v>3499</v>
      </c>
      <c r="F28">
        <v>5984</v>
      </c>
      <c r="G28">
        <v>2530</v>
      </c>
      <c r="H28">
        <v>949</v>
      </c>
      <c r="I28">
        <v>3479</v>
      </c>
      <c r="J28">
        <v>306000</v>
      </c>
      <c r="K28">
        <v>1.956</v>
      </c>
      <c r="L28">
        <v>1.137</v>
      </c>
      <c r="M28">
        <v>289399</v>
      </c>
      <c r="N28">
        <v>2.0680000000000001</v>
      </c>
      <c r="O28">
        <v>1.202</v>
      </c>
    </row>
    <row r="29" spans="1:15" x14ac:dyDescent="0.35">
      <c r="A29" t="s">
        <v>466</v>
      </c>
      <c r="B29" t="s">
        <v>264</v>
      </c>
      <c r="D29">
        <v>159</v>
      </c>
      <c r="E29">
        <v>880</v>
      </c>
      <c r="F29">
        <v>1039</v>
      </c>
      <c r="G29">
        <v>315</v>
      </c>
      <c r="H29">
        <v>93</v>
      </c>
      <c r="I29">
        <v>469</v>
      </c>
      <c r="M29">
        <v>73237.002643969041</v>
      </c>
      <c r="N29">
        <v>1.419</v>
      </c>
      <c r="O29">
        <v>0.64</v>
      </c>
    </row>
    <row r="30" spans="1:15" x14ac:dyDescent="0.35">
      <c r="A30" t="s">
        <v>319</v>
      </c>
      <c r="B30" t="s">
        <v>256</v>
      </c>
      <c r="C30" t="s">
        <v>255</v>
      </c>
      <c r="D30">
        <v>124</v>
      </c>
      <c r="E30">
        <v>154</v>
      </c>
      <c r="F30">
        <v>278</v>
      </c>
      <c r="G30">
        <v>162</v>
      </c>
      <c r="H30">
        <v>64</v>
      </c>
      <c r="I30">
        <v>226</v>
      </c>
      <c r="J30">
        <v>49642</v>
      </c>
      <c r="K30">
        <v>0.56000000000000005</v>
      </c>
      <c r="L30">
        <v>0.45500000000000002</v>
      </c>
      <c r="M30">
        <v>47482</v>
      </c>
      <c r="N30">
        <v>0.58499999999999996</v>
      </c>
      <c r="O30">
        <v>0.47599999999999998</v>
      </c>
    </row>
    <row r="31" spans="1:15" x14ac:dyDescent="0.35">
      <c r="A31" t="s">
        <v>321</v>
      </c>
      <c r="B31" t="s">
        <v>241</v>
      </c>
      <c r="C31" t="s">
        <v>240</v>
      </c>
      <c r="F31">
        <v>520</v>
      </c>
      <c r="J31">
        <v>24931</v>
      </c>
      <c r="K31">
        <v>2.0859999999999999</v>
      </c>
      <c r="M31">
        <v>24077</v>
      </c>
      <c r="N31">
        <v>2.16</v>
      </c>
    </row>
    <row r="32" spans="1:15" x14ac:dyDescent="0.35">
      <c r="A32" t="s">
        <v>214</v>
      </c>
      <c r="B32" t="s">
        <v>241</v>
      </c>
      <c r="C32" t="s">
        <v>240</v>
      </c>
      <c r="D32">
        <v>219</v>
      </c>
      <c r="E32">
        <v>372</v>
      </c>
      <c r="F32">
        <v>591</v>
      </c>
      <c r="G32">
        <v>235</v>
      </c>
      <c r="H32">
        <v>82</v>
      </c>
      <c r="I32">
        <v>317</v>
      </c>
      <c r="J32">
        <v>24524</v>
      </c>
      <c r="K32">
        <v>2.41</v>
      </c>
      <c r="L32">
        <v>1.2929999999999999</v>
      </c>
      <c r="M32">
        <v>23674</v>
      </c>
      <c r="N32">
        <v>2.496</v>
      </c>
      <c r="O32">
        <v>1.339</v>
      </c>
    </row>
    <row r="33" spans="1:15" x14ac:dyDescent="0.35">
      <c r="A33" t="s">
        <v>466</v>
      </c>
      <c r="B33" t="s">
        <v>250</v>
      </c>
      <c r="D33">
        <v>166</v>
      </c>
      <c r="E33">
        <v>776</v>
      </c>
      <c r="F33">
        <v>942</v>
      </c>
      <c r="G33">
        <v>323</v>
      </c>
      <c r="H33">
        <v>68</v>
      </c>
      <c r="I33">
        <v>422</v>
      </c>
      <c r="M33">
        <v>56161.646355943558</v>
      </c>
      <c r="N33">
        <v>1.677</v>
      </c>
      <c r="O33">
        <v>0.751</v>
      </c>
    </row>
    <row r="34" spans="1:15" x14ac:dyDescent="0.35">
      <c r="A34" t="s">
        <v>466</v>
      </c>
      <c r="B34" t="s">
        <v>295</v>
      </c>
      <c r="D34">
        <v>59</v>
      </c>
      <c r="E34">
        <v>543</v>
      </c>
      <c r="F34">
        <v>602</v>
      </c>
      <c r="G34">
        <v>118</v>
      </c>
      <c r="H34">
        <v>29</v>
      </c>
      <c r="I34">
        <v>169</v>
      </c>
      <c r="M34">
        <v>71441.31977787464</v>
      </c>
      <c r="N34">
        <v>0.84299999999999997</v>
      </c>
      <c r="O34">
        <v>0.23699999999999999</v>
      </c>
    </row>
    <row r="35" spans="1:15" x14ac:dyDescent="0.35">
      <c r="A35" t="s">
        <v>366</v>
      </c>
      <c r="B35" t="s">
        <v>274</v>
      </c>
      <c r="C35" t="s">
        <v>273</v>
      </c>
      <c r="D35">
        <v>1073</v>
      </c>
      <c r="E35">
        <v>2605</v>
      </c>
      <c r="F35">
        <v>3678</v>
      </c>
      <c r="G35">
        <v>1225</v>
      </c>
      <c r="H35">
        <v>526</v>
      </c>
      <c r="I35">
        <v>1751</v>
      </c>
      <c r="J35">
        <v>115538</v>
      </c>
      <c r="K35">
        <v>3.1829999999999998</v>
      </c>
      <c r="L35">
        <v>1.516</v>
      </c>
      <c r="M35">
        <v>106834</v>
      </c>
      <c r="N35">
        <v>3.4430000000000001</v>
      </c>
      <c r="O35">
        <v>1.639</v>
      </c>
    </row>
    <row r="36" spans="1:15" x14ac:dyDescent="0.35">
      <c r="A36" t="s">
        <v>313</v>
      </c>
      <c r="B36" t="s">
        <v>282</v>
      </c>
      <c r="C36" t="s">
        <v>281</v>
      </c>
      <c r="D36">
        <v>483</v>
      </c>
      <c r="E36">
        <v>1205</v>
      </c>
      <c r="F36">
        <v>1688</v>
      </c>
      <c r="G36">
        <v>500</v>
      </c>
      <c r="H36">
        <v>377</v>
      </c>
      <c r="I36">
        <v>877</v>
      </c>
      <c r="J36">
        <v>45630</v>
      </c>
      <c r="K36">
        <v>3.6989999999999998</v>
      </c>
      <c r="L36">
        <v>1.9220000000000002</v>
      </c>
      <c r="M36">
        <v>42932</v>
      </c>
      <c r="N36">
        <v>3.9319999999999999</v>
      </c>
      <c r="O36">
        <v>2.0430000000000001</v>
      </c>
    </row>
    <row r="37" spans="1:15" x14ac:dyDescent="0.35">
      <c r="A37" t="s">
        <v>313</v>
      </c>
      <c r="B37" t="s">
        <v>256</v>
      </c>
      <c r="C37" t="s">
        <v>255</v>
      </c>
      <c r="D37">
        <v>372</v>
      </c>
      <c r="E37">
        <v>530</v>
      </c>
      <c r="F37">
        <v>902</v>
      </c>
      <c r="G37">
        <v>448</v>
      </c>
      <c r="H37">
        <v>151</v>
      </c>
      <c r="I37">
        <v>599</v>
      </c>
      <c r="J37">
        <v>48851</v>
      </c>
      <c r="K37">
        <v>1.8460000000000001</v>
      </c>
      <c r="L37">
        <v>1.226</v>
      </c>
      <c r="M37">
        <v>46771</v>
      </c>
      <c r="N37">
        <v>1.929</v>
      </c>
      <c r="O37">
        <v>1.2810000000000001</v>
      </c>
    </row>
    <row r="38" spans="1:15" x14ac:dyDescent="0.35">
      <c r="A38" t="s">
        <v>313</v>
      </c>
      <c r="B38" t="s">
        <v>250</v>
      </c>
      <c r="C38" t="s">
        <v>249</v>
      </c>
      <c r="D38">
        <v>423</v>
      </c>
      <c r="E38">
        <v>680</v>
      </c>
      <c r="F38">
        <v>1103</v>
      </c>
      <c r="G38">
        <v>487</v>
      </c>
      <c r="H38">
        <v>216</v>
      </c>
      <c r="I38">
        <v>703</v>
      </c>
      <c r="J38">
        <v>58628</v>
      </c>
      <c r="K38">
        <v>1.881</v>
      </c>
      <c r="L38">
        <v>1.1990000000000001</v>
      </c>
      <c r="M38">
        <v>55387</v>
      </c>
      <c r="N38">
        <v>1.9910000000000001</v>
      </c>
      <c r="O38">
        <v>1.2690000000000001</v>
      </c>
    </row>
    <row r="39" spans="1:15" x14ac:dyDescent="0.35">
      <c r="A39" t="s">
        <v>364</v>
      </c>
      <c r="B39" t="s">
        <v>274</v>
      </c>
      <c r="C39" t="s">
        <v>273</v>
      </c>
      <c r="D39">
        <v>1287</v>
      </c>
      <c r="E39">
        <v>2547</v>
      </c>
      <c r="F39">
        <v>3834</v>
      </c>
      <c r="G39">
        <v>1317</v>
      </c>
      <c r="H39">
        <v>724</v>
      </c>
      <c r="I39">
        <v>2041</v>
      </c>
      <c r="J39">
        <v>113703</v>
      </c>
      <c r="K39">
        <v>3.3719999999999999</v>
      </c>
      <c r="L39">
        <v>1.7949999999999999</v>
      </c>
      <c r="M39">
        <v>104445</v>
      </c>
      <c r="N39">
        <v>3.6710000000000003</v>
      </c>
      <c r="O39">
        <v>1.954</v>
      </c>
    </row>
    <row r="40" spans="1:15" x14ac:dyDescent="0.35">
      <c r="A40" t="s">
        <v>327</v>
      </c>
      <c r="B40" t="s">
        <v>221</v>
      </c>
      <c r="D40">
        <v>108</v>
      </c>
      <c r="E40">
        <v>1156</v>
      </c>
      <c r="F40">
        <v>1264</v>
      </c>
      <c r="G40">
        <v>253</v>
      </c>
      <c r="H40">
        <v>62</v>
      </c>
      <c r="I40">
        <v>315</v>
      </c>
      <c r="J40">
        <v>122524</v>
      </c>
      <c r="K40">
        <v>1.032</v>
      </c>
      <c r="L40">
        <v>0.25700000000000001</v>
      </c>
      <c r="M40">
        <v>116807</v>
      </c>
      <c r="N40">
        <v>1.0820000000000001</v>
      </c>
      <c r="O40">
        <v>0.27</v>
      </c>
    </row>
    <row r="41" spans="1:15" x14ac:dyDescent="0.35">
      <c r="A41" t="s">
        <v>327</v>
      </c>
      <c r="B41" t="s">
        <v>295</v>
      </c>
      <c r="D41">
        <v>110</v>
      </c>
      <c r="E41">
        <v>642</v>
      </c>
      <c r="F41">
        <v>752</v>
      </c>
      <c r="G41">
        <v>258</v>
      </c>
      <c r="H41">
        <v>52</v>
      </c>
      <c r="I41">
        <v>310</v>
      </c>
      <c r="J41">
        <v>76136</v>
      </c>
      <c r="K41">
        <v>0.98799999999999999</v>
      </c>
      <c r="L41">
        <v>0.40699999999999997</v>
      </c>
      <c r="M41">
        <v>70837</v>
      </c>
      <c r="N41">
        <v>1.0620000000000001</v>
      </c>
      <c r="O41">
        <v>0.438</v>
      </c>
    </row>
    <row r="42" spans="1:15" x14ac:dyDescent="0.35">
      <c r="A42" t="s">
        <v>326</v>
      </c>
      <c r="B42" t="s">
        <v>264</v>
      </c>
      <c r="C42" t="s">
        <v>263</v>
      </c>
      <c r="F42">
        <v>930</v>
      </c>
      <c r="J42">
        <v>76359</v>
      </c>
      <c r="K42">
        <v>1.218</v>
      </c>
      <c r="M42">
        <v>73646</v>
      </c>
      <c r="N42">
        <v>1.2629999999999999</v>
      </c>
    </row>
    <row r="43" spans="1:15" x14ac:dyDescent="0.35">
      <c r="A43" t="s">
        <v>327</v>
      </c>
      <c r="B43" t="s">
        <v>299</v>
      </c>
      <c r="D43">
        <v>129</v>
      </c>
      <c r="E43">
        <v>775</v>
      </c>
      <c r="F43">
        <v>904</v>
      </c>
      <c r="G43">
        <v>261</v>
      </c>
      <c r="H43">
        <v>97</v>
      </c>
      <c r="I43">
        <v>358</v>
      </c>
      <c r="J43">
        <v>59974</v>
      </c>
      <c r="K43">
        <v>1.5070000000000001</v>
      </c>
      <c r="L43">
        <v>0.59699999999999998</v>
      </c>
      <c r="M43">
        <v>55826</v>
      </c>
      <c r="N43">
        <v>1.619</v>
      </c>
      <c r="O43">
        <v>0.64100000000000001</v>
      </c>
    </row>
    <row r="44" spans="1:15" x14ac:dyDescent="0.35">
      <c r="A44" t="s">
        <v>214</v>
      </c>
      <c r="B44" t="s">
        <v>278</v>
      </c>
      <c r="C44" t="s">
        <v>277</v>
      </c>
      <c r="D44">
        <v>635</v>
      </c>
      <c r="E44">
        <v>894</v>
      </c>
      <c r="F44">
        <v>1529</v>
      </c>
      <c r="G44">
        <v>575</v>
      </c>
      <c r="H44">
        <v>360</v>
      </c>
      <c r="I44">
        <v>935</v>
      </c>
      <c r="J44">
        <v>38985</v>
      </c>
      <c r="K44">
        <v>3.9220000000000002</v>
      </c>
      <c r="L44">
        <v>2.3980000000000001</v>
      </c>
      <c r="M44">
        <v>37640</v>
      </c>
      <c r="N44">
        <v>4.0620000000000003</v>
      </c>
      <c r="O44">
        <v>2.484</v>
      </c>
    </row>
    <row r="45" spans="1:15" x14ac:dyDescent="0.35">
      <c r="A45" t="s">
        <v>366</v>
      </c>
      <c r="B45" t="s">
        <v>290</v>
      </c>
      <c r="C45" t="s">
        <v>289</v>
      </c>
      <c r="D45">
        <v>1654</v>
      </c>
      <c r="E45">
        <v>2505</v>
      </c>
      <c r="F45">
        <v>4159</v>
      </c>
      <c r="G45">
        <v>2213</v>
      </c>
      <c r="H45">
        <v>542</v>
      </c>
      <c r="I45">
        <v>2755</v>
      </c>
      <c r="J45">
        <v>152293</v>
      </c>
      <c r="K45">
        <v>2.7309999999999999</v>
      </c>
      <c r="L45">
        <v>1.8090000000000002</v>
      </c>
      <c r="M45">
        <v>149282</v>
      </c>
      <c r="N45">
        <v>2.786</v>
      </c>
      <c r="O45">
        <v>1.8460000000000001</v>
      </c>
    </row>
    <row r="46" spans="1:15" x14ac:dyDescent="0.35">
      <c r="A46" t="s">
        <v>364</v>
      </c>
      <c r="B46" t="s">
        <v>278</v>
      </c>
      <c r="C46" t="s">
        <v>277</v>
      </c>
      <c r="D46">
        <v>649</v>
      </c>
      <c r="E46">
        <v>595</v>
      </c>
      <c r="F46">
        <v>1244</v>
      </c>
      <c r="G46">
        <v>626</v>
      </c>
      <c r="H46">
        <v>354</v>
      </c>
      <c r="I46">
        <v>980</v>
      </c>
      <c r="J46">
        <v>38791</v>
      </c>
      <c r="K46">
        <v>3.2069999999999999</v>
      </c>
      <c r="L46">
        <v>2.5259999999999998</v>
      </c>
      <c r="M46">
        <v>37337</v>
      </c>
      <c r="N46">
        <v>3.3319999999999999</v>
      </c>
      <c r="O46">
        <v>2.625</v>
      </c>
    </row>
    <row r="47" spans="1:15" x14ac:dyDescent="0.35">
      <c r="A47" t="s">
        <v>341</v>
      </c>
      <c r="B47" t="s">
        <v>305</v>
      </c>
      <c r="C47" t="s">
        <v>304</v>
      </c>
      <c r="D47">
        <v>1304</v>
      </c>
      <c r="E47">
        <v>2091</v>
      </c>
      <c r="F47">
        <v>3395</v>
      </c>
      <c r="G47">
        <v>1516</v>
      </c>
      <c r="H47">
        <v>593</v>
      </c>
      <c r="I47">
        <v>2109</v>
      </c>
      <c r="J47">
        <v>148771</v>
      </c>
      <c r="K47">
        <v>2.282</v>
      </c>
      <c r="L47">
        <v>1.4179999999999999</v>
      </c>
      <c r="M47">
        <v>144148</v>
      </c>
      <c r="N47">
        <v>2.355</v>
      </c>
      <c r="O47">
        <v>1.4630000000000001</v>
      </c>
    </row>
    <row r="48" spans="1:15" x14ac:dyDescent="0.35">
      <c r="A48" t="s">
        <v>341</v>
      </c>
      <c r="B48" t="s">
        <v>288</v>
      </c>
      <c r="C48" t="s">
        <v>287</v>
      </c>
      <c r="D48">
        <v>905</v>
      </c>
      <c r="E48">
        <v>1053</v>
      </c>
      <c r="F48">
        <v>1958</v>
      </c>
      <c r="G48">
        <v>831</v>
      </c>
      <c r="H48">
        <v>575</v>
      </c>
      <c r="I48">
        <v>1406</v>
      </c>
      <c r="J48">
        <v>67800</v>
      </c>
      <c r="K48">
        <v>2.8879999999999999</v>
      </c>
      <c r="L48">
        <v>2.0739999999999998</v>
      </c>
      <c r="M48">
        <v>63440</v>
      </c>
      <c r="N48">
        <v>3.0859999999999999</v>
      </c>
      <c r="O48">
        <v>2.2160000000000002</v>
      </c>
    </row>
    <row r="49" spans="1:15" x14ac:dyDescent="0.35">
      <c r="A49" t="s">
        <v>319</v>
      </c>
      <c r="B49" t="s">
        <v>288</v>
      </c>
      <c r="C49" t="s">
        <v>287</v>
      </c>
      <c r="D49">
        <v>230</v>
      </c>
      <c r="E49">
        <v>321</v>
      </c>
      <c r="F49">
        <v>551</v>
      </c>
      <c r="G49">
        <v>255</v>
      </c>
      <c r="H49">
        <v>150</v>
      </c>
      <c r="I49">
        <v>405</v>
      </c>
      <c r="J49">
        <v>68843</v>
      </c>
      <c r="K49">
        <v>0.8</v>
      </c>
      <c r="L49">
        <v>0.58799999999999997</v>
      </c>
      <c r="M49">
        <v>64415</v>
      </c>
      <c r="N49">
        <v>0.85499999999999998</v>
      </c>
      <c r="O49">
        <v>0.629</v>
      </c>
    </row>
    <row r="50" spans="1:15" x14ac:dyDescent="0.35">
      <c r="A50" t="s">
        <v>321</v>
      </c>
      <c r="B50" t="s">
        <v>264</v>
      </c>
      <c r="C50" t="s">
        <v>263</v>
      </c>
      <c r="F50">
        <v>1070</v>
      </c>
      <c r="J50">
        <v>75942</v>
      </c>
      <c r="K50">
        <v>1.409</v>
      </c>
      <c r="M50">
        <v>73375</v>
      </c>
      <c r="N50">
        <v>1.458</v>
      </c>
    </row>
    <row r="51" spans="1:15" x14ac:dyDescent="0.35">
      <c r="A51" t="s">
        <v>321</v>
      </c>
      <c r="B51" t="s">
        <v>295</v>
      </c>
      <c r="C51" t="s">
        <v>294</v>
      </c>
      <c r="F51">
        <v>849</v>
      </c>
      <c r="J51">
        <v>74589</v>
      </c>
      <c r="K51">
        <v>1.1379999999999999</v>
      </c>
      <c r="M51">
        <v>70315</v>
      </c>
      <c r="N51">
        <v>1.2070000000000001</v>
      </c>
    </row>
    <row r="52" spans="1:15" x14ac:dyDescent="0.35">
      <c r="A52" t="s">
        <v>326</v>
      </c>
      <c r="B52" t="s">
        <v>280</v>
      </c>
      <c r="C52" t="s">
        <v>279</v>
      </c>
      <c r="F52">
        <v>443</v>
      </c>
      <c r="J52">
        <v>43231</v>
      </c>
      <c r="K52">
        <v>1.0249999999999999</v>
      </c>
      <c r="M52">
        <v>41676</v>
      </c>
      <c r="N52">
        <v>1.0629999999999999</v>
      </c>
    </row>
    <row r="53" spans="1:15" x14ac:dyDescent="0.35">
      <c r="A53" t="s">
        <v>321</v>
      </c>
      <c r="B53" t="s">
        <v>221</v>
      </c>
      <c r="C53" t="s">
        <v>220</v>
      </c>
      <c r="F53">
        <v>1319</v>
      </c>
      <c r="J53">
        <v>120682</v>
      </c>
      <c r="K53">
        <v>1.093</v>
      </c>
      <c r="M53">
        <v>113861</v>
      </c>
      <c r="N53">
        <v>1.1579999999999999</v>
      </c>
    </row>
    <row r="54" spans="1:15" x14ac:dyDescent="0.35">
      <c r="A54" t="s">
        <v>319</v>
      </c>
      <c r="B54" t="s">
        <v>305</v>
      </c>
      <c r="C54" t="s">
        <v>304</v>
      </c>
      <c r="D54">
        <v>578</v>
      </c>
      <c r="E54">
        <v>758</v>
      </c>
      <c r="F54">
        <v>1336</v>
      </c>
      <c r="G54">
        <v>744</v>
      </c>
      <c r="H54">
        <v>232</v>
      </c>
      <c r="I54">
        <v>976</v>
      </c>
      <c r="J54">
        <v>153863</v>
      </c>
      <c r="K54">
        <v>0.86799999999999999</v>
      </c>
      <c r="L54">
        <v>0.63400000000000001</v>
      </c>
      <c r="M54">
        <v>148483</v>
      </c>
      <c r="N54">
        <v>0.9</v>
      </c>
      <c r="O54">
        <v>0.65700000000000003</v>
      </c>
    </row>
    <row r="55" spans="1:15" x14ac:dyDescent="0.35">
      <c r="A55" t="s">
        <v>214</v>
      </c>
      <c r="B55" t="s">
        <v>280</v>
      </c>
      <c r="C55" t="s">
        <v>279</v>
      </c>
      <c r="D55">
        <v>394</v>
      </c>
      <c r="E55">
        <v>606</v>
      </c>
      <c r="F55">
        <v>1000</v>
      </c>
      <c r="G55">
        <v>353</v>
      </c>
      <c r="H55">
        <v>267</v>
      </c>
      <c r="I55">
        <v>620</v>
      </c>
      <c r="J55">
        <v>40612</v>
      </c>
      <c r="K55">
        <v>2.4620000000000002</v>
      </c>
      <c r="L55">
        <v>1.5270000000000001</v>
      </c>
      <c r="M55">
        <v>39122</v>
      </c>
      <c r="N55">
        <v>2.556</v>
      </c>
      <c r="O55">
        <v>1.585</v>
      </c>
    </row>
    <row r="56" spans="1:15" x14ac:dyDescent="0.35">
      <c r="A56" t="s">
        <v>366</v>
      </c>
      <c r="B56" t="s">
        <v>284</v>
      </c>
      <c r="C56" t="s">
        <v>283</v>
      </c>
      <c r="D56">
        <v>114</v>
      </c>
      <c r="E56">
        <v>205</v>
      </c>
      <c r="F56">
        <v>319</v>
      </c>
      <c r="G56">
        <v>144</v>
      </c>
      <c r="H56">
        <v>41</v>
      </c>
      <c r="I56">
        <v>185</v>
      </c>
      <c r="J56">
        <v>14577</v>
      </c>
      <c r="K56">
        <v>2.1880000000000002</v>
      </c>
      <c r="L56">
        <v>1.2690000000000001</v>
      </c>
      <c r="M56">
        <v>12968</v>
      </c>
      <c r="N56">
        <v>2.46</v>
      </c>
      <c r="O56">
        <v>1.427</v>
      </c>
    </row>
    <row r="57" spans="1:15" x14ac:dyDescent="0.35">
      <c r="A57" t="s">
        <v>364</v>
      </c>
      <c r="B57" t="s">
        <v>225</v>
      </c>
      <c r="C57" t="s">
        <v>224</v>
      </c>
      <c r="D57">
        <v>829</v>
      </c>
      <c r="E57">
        <v>2850</v>
      </c>
      <c r="F57">
        <v>3679</v>
      </c>
      <c r="G57">
        <v>723</v>
      </c>
      <c r="H57">
        <v>504</v>
      </c>
      <c r="I57">
        <v>1227</v>
      </c>
      <c r="J57">
        <v>54872</v>
      </c>
      <c r="K57">
        <v>6.7050000000000001</v>
      </c>
      <c r="L57">
        <v>2.2359999999999998</v>
      </c>
      <c r="M57">
        <v>52413</v>
      </c>
      <c r="N57">
        <v>7.0190000000000001</v>
      </c>
      <c r="O57">
        <v>2.3410000000000002</v>
      </c>
    </row>
    <row r="58" spans="1:15" x14ac:dyDescent="0.35">
      <c r="A58" t="s">
        <v>313</v>
      </c>
      <c r="B58" t="s">
        <v>299</v>
      </c>
      <c r="C58" t="s">
        <v>298</v>
      </c>
      <c r="D58">
        <v>869</v>
      </c>
      <c r="E58">
        <v>1387</v>
      </c>
      <c r="F58">
        <v>2256</v>
      </c>
      <c r="G58">
        <v>798</v>
      </c>
      <c r="H58">
        <v>632</v>
      </c>
      <c r="I58">
        <v>1430</v>
      </c>
      <c r="J58">
        <v>58671</v>
      </c>
      <c r="K58">
        <v>3.8449999999999998</v>
      </c>
      <c r="L58">
        <v>2.4369999999999998</v>
      </c>
      <c r="M58">
        <v>54715</v>
      </c>
      <c r="N58">
        <v>4.1230000000000002</v>
      </c>
      <c r="O58">
        <v>2.6139999999999999</v>
      </c>
    </row>
    <row r="59" spans="1:15" x14ac:dyDescent="0.35">
      <c r="A59" t="s">
        <v>326</v>
      </c>
      <c r="B59" t="s">
        <v>308</v>
      </c>
      <c r="C59" t="s">
        <v>307</v>
      </c>
      <c r="F59">
        <v>450</v>
      </c>
      <c r="J59">
        <v>42644</v>
      </c>
      <c r="K59">
        <v>1.0549999999999999</v>
      </c>
      <c r="M59">
        <v>40609</v>
      </c>
      <c r="N59">
        <v>1.1080000000000001</v>
      </c>
    </row>
    <row r="60" spans="1:15" x14ac:dyDescent="0.35">
      <c r="A60" t="s">
        <v>326</v>
      </c>
      <c r="B60" t="s">
        <v>268</v>
      </c>
      <c r="C60" t="s">
        <v>1101</v>
      </c>
      <c r="F60">
        <v>2647</v>
      </c>
      <c r="J60">
        <v>181405</v>
      </c>
      <c r="K60">
        <v>1.4590000000000001</v>
      </c>
      <c r="M60">
        <v>172287</v>
      </c>
      <c r="N60">
        <v>1.536</v>
      </c>
    </row>
    <row r="61" spans="1:15" x14ac:dyDescent="0.35">
      <c r="A61" t="s">
        <v>364</v>
      </c>
      <c r="B61" t="s">
        <v>280</v>
      </c>
      <c r="C61" t="s">
        <v>279</v>
      </c>
      <c r="D61">
        <v>569</v>
      </c>
      <c r="E61">
        <v>411</v>
      </c>
      <c r="F61">
        <v>980</v>
      </c>
      <c r="G61">
        <v>405</v>
      </c>
      <c r="H61">
        <v>452</v>
      </c>
      <c r="I61">
        <v>857</v>
      </c>
      <c r="J61">
        <v>37503</v>
      </c>
      <c r="K61">
        <v>2.613</v>
      </c>
      <c r="L61">
        <v>2.2850000000000001</v>
      </c>
      <c r="M61">
        <v>36009</v>
      </c>
      <c r="N61">
        <v>2.722</v>
      </c>
      <c r="O61">
        <v>2.38</v>
      </c>
    </row>
    <row r="62" spans="1:15" x14ac:dyDescent="0.35">
      <c r="A62" t="s">
        <v>342</v>
      </c>
      <c r="B62" t="s">
        <v>278</v>
      </c>
      <c r="C62" t="s">
        <v>277</v>
      </c>
      <c r="D62">
        <v>712</v>
      </c>
      <c r="E62">
        <v>762</v>
      </c>
      <c r="F62">
        <v>1474</v>
      </c>
      <c r="G62">
        <v>621</v>
      </c>
      <c r="H62">
        <v>402</v>
      </c>
      <c r="I62">
        <v>1023</v>
      </c>
      <c r="J62">
        <v>38848</v>
      </c>
      <c r="K62">
        <v>3.794</v>
      </c>
      <c r="L62">
        <v>2.633</v>
      </c>
      <c r="M62">
        <v>37651</v>
      </c>
      <c r="N62">
        <v>3.915</v>
      </c>
      <c r="O62">
        <v>2.7170000000000001</v>
      </c>
    </row>
    <row r="63" spans="1:15" x14ac:dyDescent="0.35">
      <c r="A63" t="s">
        <v>319</v>
      </c>
      <c r="B63" t="s">
        <v>250</v>
      </c>
      <c r="C63" t="s">
        <v>249</v>
      </c>
      <c r="D63">
        <v>172</v>
      </c>
      <c r="E63">
        <v>315</v>
      </c>
      <c r="F63">
        <v>487</v>
      </c>
      <c r="G63">
        <v>222</v>
      </c>
      <c r="H63">
        <v>77</v>
      </c>
      <c r="I63">
        <v>299</v>
      </c>
      <c r="J63">
        <v>58821</v>
      </c>
      <c r="K63">
        <v>0.82799999999999996</v>
      </c>
      <c r="L63">
        <v>0.50800000000000001</v>
      </c>
      <c r="M63">
        <v>55564</v>
      </c>
      <c r="N63">
        <v>0.876</v>
      </c>
      <c r="O63">
        <v>0.53800000000000003</v>
      </c>
    </row>
    <row r="64" spans="1:15" x14ac:dyDescent="0.35">
      <c r="A64" t="s">
        <v>319</v>
      </c>
      <c r="B64" t="s">
        <v>295</v>
      </c>
      <c r="C64" t="s">
        <v>294</v>
      </c>
      <c r="D64">
        <v>166</v>
      </c>
      <c r="E64">
        <v>375</v>
      </c>
      <c r="F64">
        <v>541</v>
      </c>
      <c r="G64">
        <v>186</v>
      </c>
      <c r="H64">
        <v>102</v>
      </c>
      <c r="I64">
        <v>288</v>
      </c>
      <c r="J64">
        <v>73775</v>
      </c>
      <c r="K64">
        <v>0.73299999999999998</v>
      </c>
      <c r="L64">
        <v>0.39</v>
      </c>
      <c r="M64">
        <v>69432</v>
      </c>
      <c r="N64">
        <v>0.77900000000000003</v>
      </c>
      <c r="O64">
        <v>0.41499999999999998</v>
      </c>
    </row>
    <row r="65" spans="1:15" x14ac:dyDescent="0.35">
      <c r="A65" t="s">
        <v>466</v>
      </c>
      <c r="B65" t="s">
        <v>271</v>
      </c>
      <c r="D65">
        <v>512</v>
      </c>
      <c r="E65">
        <v>4698</v>
      </c>
      <c r="F65">
        <v>5210</v>
      </c>
      <c r="G65">
        <v>886</v>
      </c>
      <c r="H65">
        <v>293</v>
      </c>
      <c r="I65">
        <v>1343</v>
      </c>
      <c r="M65">
        <v>298250.61170251353</v>
      </c>
      <c r="N65">
        <v>1.7469999999999999</v>
      </c>
      <c r="O65">
        <v>0.45</v>
      </c>
    </row>
    <row r="66" spans="1:15" x14ac:dyDescent="0.35">
      <c r="A66" t="s">
        <v>466</v>
      </c>
      <c r="B66" t="s">
        <v>256</v>
      </c>
      <c r="D66">
        <v>52</v>
      </c>
      <c r="E66">
        <v>423</v>
      </c>
      <c r="F66">
        <v>475</v>
      </c>
      <c r="G66">
        <v>114</v>
      </c>
      <c r="H66">
        <v>20</v>
      </c>
      <c r="I66">
        <v>138</v>
      </c>
      <c r="M66">
        <v>50562.133092692835</v>
      </c>
      <c r="N66">
        <v>0.93899999999999995</v>
      </c>
      <c r="O66">
        <v>0.27300000000000002</v>
      </c>
    </row>
    <row r="67" spans="1:15" x14ac:dyDescent="0.35">
      <c r="A67" t="s">
        <v>341</v>
      </c>
      <c r="B67" t="s">
        <v>293</v>
      </c>
      <c r="C67" t="s">
        <v>292</v>
      </c>
      <c r="D67">
        <v>116</v>
      </c>
      <c r="E67">
        <v>272</v>
      </c>
      <c r="F67">
        <v>388</v>
      </c>
      <c r="G67">
        <v>90</v>
      </c>
      <c r="H67">
        <v>90</v>
      </c>
      <c r="I67">
        <v>180</v>
      </c>
      <c r="J67">
        <v>11063</v>
      </c>
      <c r="K67">
        <v>3.5070000000000001</v>
      </c>
      <c r="L67">
        <v>1.627</v>
      </c>
      <c r="M67">
        <v>10256</v>
      </c>
      <c r="N67">
        <v>3.7829999999999999</v>
      </c>
      <c r="O67">
        <v>1.7549999999999999</v>
      </c>
    </row>
    <row r="68" spans="1:15" x14ac:dyDescent="0.35">
      <c r="A68" t="s">
        <v>313</v>
      </c>
      <c r="B68" t="s">
        <v>278</v>
      </c>
      <c r="C68" t="s">
        <v>277</v>
      </c>
      <c r="D68">
        <v>631</v>
      </c>
      <c r="E68">
        <v>773</v>
      </c>
      <c r="F68">
        <v>1404</v>
      </c>
      <c r="G68">
        <v>603</v>
      </c>
      <c r="H68">
        <v>338</v>
      </c>
      <c r="I68">
        <v>941</v>
      </c>
      <c r="J68">
        <v>38977</v>
      </c>
      <c r="K68">
        <v>3.6019999999999999</v>
      </c>
      <c r="L68">
        <v>2.4140000000000001</v>
      </c>
      <c r="M68">
        <v>37614</v>
      </c>
      <c r="N68">
        <v>3.7330000000000001</v>
      </c>
      <c r="O68">
        <v>2.5019999999999998</v>
      </c>
    </row>
    <row r="69" spans="1:15" x14ac:dyDescent="0.35">
      <c r="A69" t="s">
        <v>214</v>
      </c>
      <c r="B69" t="s">
        <v>245</v>
      </c>
      <c r="C69" t="s">
        <v>244</v>
      </c>
      <c r="D69">
        <v>1028</v>
      </c>
      <c r="E69">
        <v>721</v>
      </c>
      <c r="F69">
        <v>1749</v>
      </c>
      <c r="G69">
        <v>1107</v>
      </c>
      <c r="H69">
        <v>447</v>
      </c>
      <c r="I69">
        <v>1554</v>
      </c>
      <c r="J69">
        <v>74823</v>
      </c>
      <c r="K69">
        <v>2.3380000000000001</v>
      </c>
      <c r="L69">
        <v>2.077</v>
      </c>
      <c r="M69">
        <v>69586</v>
      </c>
      <c r="N69">
        <v>2.5129999999999999</v>
      </c>
      <c r="O69">
        <v>2.2330000000000001</v>
      </c>
    </row>
    <row r="70" spans="1:15" x14ac:dyDescent="0.35">
      <c r="A70" t="s">
        <v>326</v>
      </c>
      <c r="B70" t="s">
        <v>278</v>
      </c>
      <c r="C70" t="s">
        <v>277</v>
      </c>
      <c r="F70">
        <v>592</v>
      </c>
      <c r="J70">
        <v>39776</v>
      </c>
      <c r="K70">
        <v>1.488</v>
      </c>
      <c r="M70">
        <v>38218</v>
      </c>
      <c r="N70">
        <v>1.5489999999999999</v>
      </c>
    </row>
    <row r="71" spans="1:15" x14ac:dyDescent="0.35">
      <c r="A71" t="s">
        <v>341</v>
      </c>
      <c r="B71" t="s">
        <v>295</v>
      </c>
      <c r="C71" t="s">
        <v>294</v>
      </c>
      <c r="D71">
        <v>466</v>
      </c>
      <c r="E71">
        <v>1489</v>
      </c>
      <c r="F71">
        <v>1955</v>
      </c>
      <c r="G71">
        <v>375</v>
      </c>
      <c r="H71">
        <v>285</v>
      </c>
      <c r="I71">
        <v>660</v>
      </c>
      <c r="J71">
        <v>71347</v>
      </c>
      <c r="K71">
        <v>2.74</v>
      </c>
      <c r="L71">
        <v>0.92500000000000004</v>
      </c>
      <c r="M71">
        <v>67101</v>
      </c>
      <c r="N71">
        <v>2.9140000000000001</v>
      </c>
      <c r="O71">
        <v>0.98399999999999999</v>
      </c>
    </row>
    <row r="72" spans="1:15" x14ac:dyDescent="0.35">
      <c r="A72" t="s">
        <v>341</v>
      </c>
      <c r="B72" t="s">
        <v>303</v>
      </c>
      <c r="C72" t="s">
        <v>302</v>
      </c>
      <c r="D72">
        <v>691</v>
      </c>
      <c r="E72">
        <v>784</v>
      </c>
      <c r="F72">
        <v>1475</v>
      </c>
      <c r="G72">
        <v>697</v>
      </c>
      <c r="H72">
        <v>405</v>
      </c>
      <c r="I72">
        <v>1102</v>
      </c>
      <c r="J72">
        <v>54942</v>
      </c>
      <c r="K72">
        <v>2.6850000000000001</v>
      </c>
      <c r="L72">
        <v>2.0059999999999998</v>
      </c>
      <c r="M72">
        <v>51923</v>
      </c>
      <c r="N72">
        <v>2.8410000000000002</v>
      </c>
      <c r="O72">
        <v>2.1219999999999999</v>
      </c>
    </row>
    <row r="73" spans="1:15" x14ac:dyDescent="0.35">
      <c r="A73" t="s">
        <v>313</v>
      </c>
      <c r="B73" t="s">
        <v>301</v>
      </c>
      <c r="C73" t="s">
        <v>300</v>
      </c>
      <c r="D73">
        <v>156</v>
      </c>
      <c r="E73">
        <v>407</v>
      </c>
      <c r="F73">
        <v>563</v>
      </c>
      <c r="G73">
        <v>141</v>
      </c>
      <c r="H73">
        <v>112</v>
      </c>
      <c r="I73">
        <v>253</v>
      </c>
      <c r="J73">
        <v>11305</v>
      </c>
      <c r="K73">
        <v>4.9800000000000004</v>
      </c>
      <c r="L73">
        <v>2.238</v>
      </c>
      <c r="M73">
        <v>10439</v>
      </c>
      <c r="N73">
        <v>5.3929999999999998</v>
      </c>
      <c r="O73">
        <v>2.4239999999999999</v>
      </c>
    </row>
    <row r="74" spans="1:15" x14ac:dyDescent="0.35">
      <c r="A74" t="s">
        <v>341</v>
      </c>
      <c r="B74" t="s">
        <v>250</v>
      </c>
      <c r="C74" t="s">
        <v>249</v>
      </c>
      <c r="D74">
        <v>574</v>
      </c>
      <c r="E74">
        <v>681</v>
      </c>
      <c r="F74">
        <v>1255</v>
      </c>
      <c r="G74">
        <v>584</v>
      </c>
      <c r="H74">
        <v>364</v>
      </c>
      <c r="I74">
        <v>948</v>
      </c>
      <c r="J74">
        <v>57873</v>
      </c>
      <c r="K74">
        <v>2.169</v>
      </c>
      <c r="L74">
        <v>1.6379999999999999</v>
      </c>
      <c r="M74">
        <v>54748</v>
      </c>
      <c r="N74">
        <v>2.2919999999999998</v>
      </c>
      <c r="O74">
        <v>1.732</v>
      </c>
    </row>
    <row r="75" spans="1:15" x14ac:dyDescent="0.35">
      <c r="A75" t="s">
        <v>341</v>
      </c>
      <c r="B75" t="s">
        <v>282</v>
      </c>
      <c r="C75" t="s">
        <v>281</v>
      </c>
      <c r="D75">
        <v>768</v>
      </c>
      <c r="E75">
        <v>1016</v>
      </c>
      <c r="F75">
        <v>1784</v>
      </c>
      <c r="G75">
        <v>709</v>
      </c>
      <c r="H75">
        <v>647</v>
      </c>
      <c r="I75">
        <v>1356</v>
      </c>
      <c r="J75">
        <v>44454</v>
      </c>
      <c r="K75">
        <v>4.0129999999999999</v>
      </c>
      <c r="L75">
        <v>3.05</v>
      </c>
      <c r="M75">
        <v>41961</v>
      </c>
      <c r="N75">
        <v>4.2519999999999998</v>
      </c>
      <c r="O75">
        <v>3.2320000000000002</v>
      </c>
    </row>
    <row r="76" spans="1:15" x14ac:dyDescent="0.35">
      <c r="A76" t="s">
        <v>342</v>
      </c>
      <c r="B76" t="s">
        <v>245</v>
      </c>
      <c r="C76" t="s">
        <v>244</v>
      </c>
      <c r="D76">
        <v>1115</v>
      </c>
      <c r="E76">
        <v>835</v>
      </c>
      <c r="F76">
        <v>1950</v>
      </c>
      <c r="G76">
        <v>1083</v>
      </c>
      <c r="H76">
        <v>534</v>
      </c>
      <c r="I76">
        <v>1617</v>
      </c>
      <c r="J76">
        <v>74687</v>
      </c>
      <c r="K76">
        <v>2.6109999999999998</v>
      </c>
      <c r="L76">
        <v>2.165</v>
      </c>
      <c r="M76">
        <v>69503</v>
      </c>
      <c r="N76">
        <v>2.806</v>
      </c>
      <c r="O76">
        <v>2.327</v>
      </c>
    </row>
    <row r="77" spans="1:15" x14ac:dyDescent="0.35">
      <c r="A77" t="s">
        <v>364</v>
      </c>
      <c r="B77" t="s">
        <v>241</v>
      </c>
      <c r="C77" t="s">
        <v>240</v>
      </c>
      <c r="D77">
        <v>354</v>
      </c>
      <c r="E77">
        <v>518</v>
      </c>
      <c r="F77">
        <v>872</v>
      </c>
      <c r="G77">
        <v>391</v>
      </c>
      <c r="H77">
        <v>151</v>
      </c>
      <c r="I77">
        <v>542</v>
      </c>
      <c r="J77">
        <v>23894</v>
      </c>
      <c r="K77">
        <v>3.649</v>
      </c>
      <c r="L77">
        <v>2.2679999999999998</v>
      </c>
      <c r="M77">
        <v>22978</v>
      </c>
      <c r="N77">
        <v>3.7949999999999999</v>
      </c>
      <c r="O77">
        <v>2.359</v>
      </c>
    </row>
    <row r="78" spans="1:15" x14ac:dyDescent="0.35">
      <c r="A78" t="s">
        <v>342</v>
      </c>
      <c r="B78" t="s">
        <v>248</v>
      </c>
      <c r="C78" t="s">
        <v>247</v>
      </c>
      <c r="D78">
        <v>661</v>
      </c>
      <c r="E78">
        <v>2303</v>
      </c>
      <c r="F78">
        <v>2964</v>
      </c>
      <c r="G78">
        <v>624</v>
      </c>
      <c r="H78">
        <v>289</v>
      </c>
      <c r="I78">
        <v>913</v>
      </c>
      <c r="J78">
        <v>74354</v>
      </c>
      <c r="K78">
        <v>3.9859999999999998</v>
      </c>
      <c r="L78">
        <v>1.228</v>
      </c>
      <c r="M78">
        <v>70049</v>
      </c>
      <c r="N78">
        <v>4.2309999999999999</v>
      </c>
      <c r="O78">
        <v>1.3029999999999999</v>
      </c>
    </row>
    <row r="79" spans="1:15" x14ac:dyDescent="0.35">
      <c r="A79" t="s">
        <v>319</v>
      </c>
      <c r="B79" t="s">
        <v>293</v>
      </c>
      <c r="C79" t="s">
        <v>292</v>
      </c>
      <c r="D79">
        <v>35</v>
      </c>
      <c r="E79">
        <v>35</v>
      </c>
      <c r="F79">
        <v>70</v>
      </c>
      <c r="G79">
        <v>45</v>
      </c>
      <c r="H79">
        <v>39</v>
      </c>
      <c r="I79">
        <v>84</v>
      </c>
      <c r="J79">
        <v>11391</v>
      </c>
      <c r="K79">
        <v>0.61499999999999999</v>
      </c>
      <c r="L79">
        <v>0.73699999999999999</v>
      </c>
      <c r="M79">
        <v>10635</v>
      </c>
      <c r="N79">
        <v>0.65800000000000003</v>
      </c>
      <c r="O79">
        <v>0.79</v>
      </c>
    </row>
    <row r="80" spans="1:15" x14ac:dyDescent="0.35">
      <c r="A80" t="s">
        <v>214</v>
      </c>
      <c r="B80" t="s">
        <v>216</v>
      </c>
      <c r="C80" t="s">
        <v>215</v>
      </c>
      <c r="D80">
        <v>569</v>
      </c>
      <c r="E80">
        <v>2176</v>
      </c>
      <c r="F80">
        <v>2745</v>
      </c>
      <c r="G80">
        <v>546</v>
      </c>
      <c r="H80">
        <v>278</v>
      </c>
      <c r="I80">
        <v>824</v>
      </c>
      <c r="J80">
        <v>118131</v>
      </c>
      <c r="K80">
        <v>2.3239999999999998</v>
      </c>
      <c r="L80">
        <v>0.69799999999999995</v>
      </c>
      <c r="M80">
        <v>107586</v>
      </c>
      <c r="N80">
        <v>2.5510000000000002</v>
      </c>
      <c r="O80">
        <v>0.76600000000000001</v>
      </c>
    </row>
    <row r="81" spans="1:15" x14ac:dyDescent="0.35">
      <c r="A81" t="s">
        <v>313</v>
      </c>
      <c r="B81" t="s">
        <v>268</v>
      </c>
      <c r="C81" t="s">
        <v>1101</v>
      </c>
      <c r="D81">
        <v>2533</v>
      </c>
      <c r="E81">
        <v>3908</v>
      </c>
      <c r="F81">
        <v>6441</v>
      </c>
      <c r="G81">
        <v>2725</v>
      </c>
      <c r="H81">
        <v>1258</v>
      </c>
      <c r="I81">
        <v>3983</v>
      </c>
      <c r="J81">
        <v>178183</v>
      </c>
      <c r="K81">
        <v>3.6150000000000002</v>
      </c>
      <c r="L81">
        <v>2.2349999999999999</v>
      </c>
      <c r="M81">
        <v>169239</v>
      </c>
      <c r="N81">
        <v>3.806</v>
      </c>
      <c r="O81">
        <v>2.3529999999999998</v>
      </c>
    </row>
    <row r="82" spans="1:15" x14ac:dyDescent="0.35">
      <c r="A82" t="s">
        <v>327</v>
      </c>
      <c r="B82" t="s">
        <v>256</v>
      </c>
      <c r="D82">
        <v>65</v>
      </c>
      <c r="E82">
        <v>558</v>
      </c>
      <c r="F82">
        <v>623</v>
      </c>
      <c r="G82">
        <v>123</v>
      </c>
      <c r="H82">
        <v>39</v>
      </c>
      <c r="I82">
        <v>162</v>
      </c>
      <c r="J82">
        <v>52327</v>
      </c>
      <c r="K82">
        <v>1.1910000000000001</v>
      </c>
      <c r="L82">
        <v>0.31</v>
      </c>
      <c r="M82">
        <v>49686</v>
      </c>
      <c r="N82">
        <v>1.254</v>
      </c>
      <c r="O82">
        <v>0.32600000000000001</v>
      </c>
    </row>
    <row r="83" spans="1:15" x14ac:dyDescent="0.35">
      <c r="A83" t="s">
        <v>466</v>
      </c>
      <c r="B83" t="s">
        <v>278</v>
      </c>
      <c r="D83">
        <v>131</v>
      </c>
      <c r="E83">
        <v>322</v>
      </c>
      <c r="F83">
        <v>453</v>
      </c>
      <c r="G83">
        <v>259</v>
      </c>
      <c r="H83">
        <v>48</v>
      </c>
      <c r="I83">
        <v>316</v>
      </c>
      <c r="M83">
        <v>37614.524402442781</v>
      </c>
      <c r="N83">
        <v>1.204</v>
      </c>
      <c r="O83">
        <v>0.84</v>
      </c>
    </row>
    <row r="84" spans="1:15" x14ac:dyDescent="0.35">
      <c r="A84" t="s">
        <v>364</v>
      </c>
      <c r="B84" t="s">
        <v>301</v>
      </c>
      <c r="C84" t="s">
        <v>300</v>
      </c>
      <c r="D84">
        <v>73</v>
      </c>
      <c r="E84">
        <v>218</v>
      </c>
      <c r="F84">
        <v>291</v>
      </c>
      <c r="G84">
        <v>69</v>
      </c>
      <c r="H84">
        <v>56</v>
      </c>
      <c r="I84">
        <v>125</v>
      </c>
      <c r="J84">
        <v>10852</v>
      </c>
      <c r="K84">
        <v>2.6819999999999999</v>
      </c>
      <c r="L84">
        <v>1.1519999999999999</v>
      </c>
      <c r="M84">
        <v>10135</v>
      </c>
      <c r="N84">
        <v>2.871</v>
      </c>
      <c r="O84">
        <v>1.2330000000000001</v>
      </c>
    </row>
    <row r="85" spans="1:15" x14ac:dyDescent="0.35">
      <c r="A85" t="s">
        <v>366</v>
      </c>
      <c r="B85" t="s">
        <v>250</v>
      </c>
      <c r="C85" t="s">
        <v>249</v>
      </c>
      <c r="D85">
        <v>509</v>
      </c>
      <c r="E85">
        <v>828</v>
      </c>
      <c r="F85">
        <v>1337</v>
      </c>
      <c r="G85">
        <v>543</v>
      </c>
      <c r="H85">
        <v>320</v>
      </c>
      <c r="I85">
        <v>863</v>
      </c>
      <c r="J85">
        <v>57654</v>
      </c>
      <c r="K85">
        <v>2.319</v>
      </c>
      <c r="L85">
        <v>1.4969999999999999</v>
      </c>
      <c r="M85">
        <v>54570</v>
      </c>
      <c r="N85">
        <v>2.4500000000000002</v>
      </c>
      <c r="O85">
        <v>1.581</v>
      </c>
    </row>
    <row r="86" spans="1:15" x14ac:dyDescent="0.35">
      <c r="A86" t="s">
        <v>366</v>
      </c>
      <c r="B86" t="s">
        <v>295</v>
      </c>
      <c r="C86" t="s">
        <v>294</v>
      </c>
      <c r="D86">
        <v>443</v>
      </c>
      <c r="E86">
        <v>1554</v>
      </c>
      <c r="F86">
        <v>1997</v>
      </c>
      <c r="G86">
        <v>437</v>
      </c>
      <c r="H86">
        <v>234</v>
      </c>
      <c r="I86">
        <v>671</v>
      </c>
      <c r="J86">
        <v>70828</v>
      </c>
      <c r="K86">
        <v>2.82</v>
      </c>
      <c r="L86">
        <v>0.94699999999999995</v>
      </c>
      <c r="M86">
        <v>66545</v>
      </c>
      <c r="N86">
        <v>3.0009999999999999</v>
      </c>
      <c r="O86">
        <v>1.008</v>
      </c>
    </row>
    <row r="87" spans="1:15" x14ac:dyDescent="0.35">
      <c r="A87" t="s">
        <v>365</v>
      </c>
      <c r="B87" t="s">
        <v>250</v>
      </c>
      <c r="C87" t="s">
        <v>249</v>
      </c>
      <c r="D87">
        <v>467</v>
      </c>
      <c r="E87">
        <v>836</v>
      </c>
      <c r="F87">
        <v>1303</v>
      </c>
      <c r="G87">
        <v>506</v>
      </c>
      <c r="H87">
        <v>256</v>
      </c>
      <c r="I87">
        <v>762</v>
      </c>
      <c r="J87">
        <v>57324</v>
      </c>
      <c r="K87">
        <v>2.2730000000000001</v>
      </c>
      <c r="L87">
        <v>1.329</v>
      </c>
      <c r="M87">
        <v>54401</v>
      </c>
      <c r="N87">
        <v>2.395</v>
      </c>
      <c r="O87">
        <v>1.401</v>
      </c>
    </row>
    <row r="88" spans="1:15" x14ac:dyDescent="0.35">
      <c r="A88" t="s">
        <v>313</v>
      </c>
      <c r="B88" t="s">
        <v>284</v>
      </c>
      <c r="C88" t="s">
        <v>283</v>
      </c>
      <c r="D88">
        <v>67</v>
      </c>
      <c r="E88">
        <v>235</v>
      </c>
      <c r="F88">
        <v>302</v>
      </c>
      <c r="G88">
        <v>69</v>
      </c>
      <c r="H88">
        <v>42</v>
      </c>
      <c r="I88">
        <v>111</v>
      </c>
      <c r="J88">
        <v>14734</v>
      </c>
      <c r="K88">
        <v>2.0499999999999998</v>
      </c>
      <c r="L88">
        <v>0.753</v>
      </c>
      <c r="M88">
        <v>12833</v>
      </c>
      <c r="N88">
        <v>2.3529999999999998</v>
      </c>
      <c r="O88">
        <v>0.86499999999999999</v>
      </c>
    </row>
    <row r="89" spans="1:15" x14ac:dyDescent="0.35">
      <c r="A89" t="s">
        <v>365</v>
      </c>
      <c r="B89" t="s">
        <v>301</v>
      </c>
      <c r="C89" t="s">
        <v>300</v>
      </c>
      <c r="D89">
        <v>55</v>
      </c>
      <c r="E89">
        <v>168</v>
      </c>
      <c r="F89">
        <v>223</v>
      </c>
      <c r="G89">
        <v>60</v>
      </c>
      <c r="H89">
        <v>42</v>
      </c>
      <c r="I89">
        <v>102</v>
      </c>
      <c r="J89">
        <v>10950</v>
      </c>
      <c r="K89">
        <v>2.0369999999999999</v>
      </c>
      <c r="L89">
        <v>0.93200000000000005</v>
      </c>
      <c r="M89">
        <v>10166</v>
      </c>
      <c r="N89">
        <v>2.194</v>
      </c>
      <c r="O89">
        <v>1.0029999999999999</v>
      </c>
    </row>
    <row r="90" spans="1:15" x14ac:dyDescent="0.35">
      <c r="A90" t="s">
        <v>327</v>
      </c>
      <c r="B90" t="s">
        <v>290</v>
      </c>
      <c r="D90">
        <v>356</v>
      </c>
      <c r="E90">
        <v>1712</v>
      </c>
      <c r="F90">
        <v>2068</v>
      </c>
      <c r="G90">
        <v>746</v>
      </c>
      <c r="H90">
        <v>208</v>
      </c>
      <c r="I90">
        <v>954</v>
      </c>
      <c r="J90">
        <v>160560</v>
      </c>
      <c r="K90">
        <v>1.288</v>
      </c>
      <c r="L90">
        <v>0.59399999999999997</v>
      </c>
      <c r="M90">
        <v>152653</v>
      </c>
      <c r="N90">
        <v>1.355</v>
      </c>
      <c r="O90">
        <v>0.625</v>
      </c>
    </row>
    <row r="91" spans="1:15" x14ac:dyDescent="0.35">
      <c r="A91" t="s">
        <v>364</v>
      </c>
      <c r="B91" t="s">
        <v>250</v>
      </c>
      <c r="C91" t="s">
        <v>249</v>
      </c>
      <c r="D91">
        <v>582</v>
      </c>
      <c r="E91">
        <v>1242</v>
      </c>
      <c r="F91">
        <v>1824</v>
      </c>
      <c r="G91">
        <v>662</v>
      </c>
      <c r="H91">
        <v>298</v>
      </c>
      <c r="I91">
        <v>960</v>
      </c>
      <c r="J91">
        <v>57172</v>
      </c>
      <c r="K91">
        <v>3.19</v>
      </c>
      <c r="L91">
        <v>1.679</v>
      </c>
      <c r="M91">
        <v>54453</v>
      </c>
      <c r="N91">
        <v>3.35</v>
      </c>
      <c r="O91">
        <v>1.7629999999999999</v>
      </c>
    </row>
    <row r="92" spans="1:15" x14ac:dyDescent="0.35">
      <c r="A92" t="s">
        <v>466</v>
      </c>
      <c r="B92" t="s">
        <v>290</v>
      </c>
      <c r="D92">
        <v>183</v>
      </c>
      <c r="E92">
        <v>1697</v>
      </c>
      <c r="F92">
        <v>1880</v>
      </c>
      <c r="G92">
        <v>441</v>
      </c>
      <c r="H92">
        <v>99</v>
      </c>
      <c r="I92">
        <v>633</v>
      </c>
      <c r="M92">
        <v>153004.37421296784</v>
      </c>
      <c r="N92">
        <v>1.2290000000000001</v>
      </c>
      <c r="O92">
        <v>0.41399999999999998</v>
      </c>
    </row>
    <row r="93" spans="1:15" x14ac:dyDescent="0.35">
      <c r="A93" t="s">
        <v>326</v>
      </c>
      <c r="B93" t="s">
        <v>301</v>
      </c>
      <c r="C93" t="s">
        <v>300</v>
      </c>
      <c r="F93">
        <v>228</v>
      </c>
      <c r="J93">
        <v>11544</v>
      </c>
      <c r="K93">
        <v>1.9750000000000001</v>
      </c>
      <c r="M93">
        <v>10633</v>
      </c>
      <c r="N93">
        <v>2.1440000000000001</v>
      </c>
    </row>
    <row r="94" spans="1:15" x14ac:dyDescent="0.35">
      <c r="A94" t="s">
        <v>319</v>
      </c>
      <c r="B94" t="s">
        <v>241</v>
      </c>
      <c r="C94" t="s">
        <v>240</v>
      </c>
      <c r="D94">
        <v>63</v>
      </c>
      <c r="E94">
        <v>100</v>
      </c>
      <c r="F94">
        <v>163</v>
      </c>
      <c r="G94">
        <v>94</v>
      </c>
      <c r="H94">
        <v>28</v>
      </c>
      <c r="I94">
        <v>122</v>
      </c>
      <c r="J94">
        <v>24838</v>
      </c>
      <c r="K94">
        <v>0.65600000000000003</v>
      </c>
      <c r="L94">
        <v>0.49099999999999999</v>
      </c>
      <c r="M94">
        <v>24066</v>
      </c>
      <c r="N94">
        <v>0.67700000000000005</v>
      </c>
      <c r="O94">
        <v>0.50700000000000001</v>
      </c>
    </row>
    <row r="95" spans="1:15" x14ac:dyDescent="0.35">
      <c r="A95" t="s">
        <v>466</v>
      </c>
      <c r="B95" t="s">
        <v>284</v>
      </c>
      <c r="D95">
        <v>10</v>
      </c>
      <c r="E95">
        <v>96</v>
      </c>
      <c r="F95">
        <v>106</v>
      </c>
      <c r="G95">
        <v>4</v>
      </c>
      <c r="H95">
        <v>18</v>
      </c>
      <c r="I95">
        <v>23</v>
      </c>
      <c r="M95">
        <v>12887.857898960023</v>
      </c>
      <c r="N95">
        <v>0.82199999999999995</v>
      </c>
      <c r="O95">
        <v>0.17799999999999999</v>
      </c>
    </row>
    <row r="96" spans="1:15" x14ac:dyDescent="0.35">
      <c r="A96" t="s">
        <v>342</v>
      </c>
      <c r="B96" t="s">
        <v>297</v>
      </c>
      <c r="C96" t="s">
        <v>296</v>
      </c>
      <c r="D96">
        <v>1137</v>
      </c>
      <c r="E96">
        <v>1411</v>
      </c>
      <c r="F96">
        <v>2548</v>
      </c>
      <c r="G96">
        <v>1077</v>
      </c>
      <c r="H96">
        <v>656</v>
      </c>
      <c r="I96">
        <v>1733</v>
      </c>
      <c r="J96">
        <v>86449</v>
      </c>
      <c r="K96">
        <v>2.9470000000000001</v>
      </c>
      <c r="L96">
        <v>2.0049999999999999</v>
      </c>
      <c r="M96">
        <v>84938</v>
      </c>
      <c r="N96">
        <v>3</v>
      </c>
      <c r="O96">
        <v>2.04</v>
      </c>
    </row>
    <row r="97" spans="1:15" x14ac:dyDescent="0.35">
      <c r="A97" t="s">
        <v>214</v>
      </c>
      <c r="B97" t="s">
        <v>312</v>
      </c>
      <c r="C97" t="s">
        <v>311</v>
      </c>
      <c r="D97">
        <v>851</v>
      </c>
      <c r="E97">
        <v>1470</v>
      </c>
      <c r="F97">
        <v>2321</v>
      </c>
      <c r="G97">
        <v>780</v>
      </c>
      <c r="H97">
        <v>506</v>
      </c>
      <c r="I97">
        <v>1286</v>
      </c>
      <c r="J97">
        <v>79854</v>
      </c>
      <c r="K97">
        <v>2.907</v>
      </c>
      <c r="L97">
        <v>1.6099999999999999</v>
      </c>
      <c r="M97">
        <v>77953</v>
      </c>
      <c r="N97">
        <v>2.9769999999999999</v>
      </c>
      <c r="O97">
        <v>1.65</v>
      </c>
    </row>
    <row r="98" spans="1:15" x14ac:dyDescent="0.35">
      <c r="A98" t="s">
        <v>319</v>
      </c>
      <c r="B98" t="s">
        <v>225</v>
      </c>
      <c r="C98" t="s">
        <v>224</v>
      </c>
      <c r="D98">
        <v>199</v>
      </c>
      <c r="E98">
        <v>513</v>
      </c>
      <c r="F98">
        <v>712</v>
      </c>
      <c r="G98">
        <v>175</v>
      </c>
      <c r="H98">
        <v>113</v>
      </c>
      <c r="I98">
        <v>288</v>
      </c>
      <c r="J98">
        <v>57206</v>
      </c>
      <c r="K98">
        <v>1.2450000000000001</v>
      </c>
      <c r="L98">
        <v>0.503</v>
      </c>
      <c r="M98">
        <v>54480</v>
      </c>
      <c r="N98">
        <v>1.3069999999999999</v>
      </c>
      <c r="O98">
        <v>0.52900000000000003</v>
      </c>
    </row>
    <row r="99" spans="1:15" x14ac:dyDescent="0.35">
      <c r="A99" t="s">
        <v>466</v>
      </c>
      <c r="B99" t="s">
        <v>274</v>
      </c>
      <c r="D99">
        <v>93</v>
      </c>
      <c r="E99">
        <v>1660</v>
      </c>
      <c r="F99">
        <v>1753</v>
      </c>
      <c r="G99">
        <v>156</v>
      </c>
      <c r="H99">
        <v>111</v>
      </c>
      <c r="I99">
        <v>270</v>
      </c>
      <c r="M99">
        <v>113906.20821736612</v>
      </c>
      <c r="N99">
        <v>1.5390000000000001</v>
      </c>
      <c r="O99">
        <v>0.23699999999999999</v>
      </c>
    </row>
    <row r="100" spans="1:15" x14ac:dyDescent="0.35">
      <c r="A100" t="s">
        <v>341</v>
      </c>
      <c r="B100" t="s">
        <v>268</v>
      </c>
      <c r="C100" t="s">
        <v>1101</v>
      </c>
      <c r="D100">
        <v>3392</v>
      </c>
      <c r="E100">
        <v>3061</v>
      </c>
      <c r="F100">
        <v>6453</v>
      </c>
      <c r="G100">
        <v>3462</v>
      </c>
      <c r="H100">
        <v>1853</v>
      </c>
      <c r="I100">
        <v>5315</v>
      </c>
      <c r="J100">
        <v>174528</v>
      </c>
      <c r="K100">
        <v>3.6970000000000001</v>
      </c>
      <c r="L100">
        <v>3.0449999999999999</v>
      </c>
      <c r="M100">
        <v>165833</v>
      </c>
      <c r="N100">
        <v>3.891</v>
      </c>
      <c r="O100">
        <v>3.2050000000000001</v>
      </c>
    </row>
    <row r="101" spans="1:15" x14ac:dyDescent="0.35">
      <c r="A101" t="s">
        <v>341</v>
      </c>
      <c r="B101" t="s">
        <v>225</v>
      </c>
      <c r="C101" t="s">
        <v>224</v>
      </c>
      <c r="D101">
        <v>499</v>
      </c>
      <c r="E101">
        <v>1528</v>
      </c>
      <c r="F101">
        <v>2027</v>
      </c>
      <c r="G101">
        <v>450</v>
      </c>
      <c r="H101">
        <v>277</v>
      </c>
      <c r="I101">
        <v>727</v>
      </c>
      <c r="J101">
        <v>55872</v>
      </c>
      <c r="K101">
        <v>3.6280000000000001</v>
      </c>
      <c r="L101">
        <v>1.3009999999999999</v>
      </c>
      <c r="M101">
        <v>53333</v>
      </c>
      <c r="N101">
        <v>3.8010000000000002</v>
      </c>
      <c r="O101">
        <v>1.363</v>
      </c>
    </row>
    <row r="102" spans="1:15" x14ac:dyDescent="0.35">
      <c r="A102" t="s">
        <v>326</v>
      </c>
      <c r="B102" t="s">
        <v>312</v>
      </c>
      <c r="C102" t="s">
        <v>311</v>
      </c>
      <c r="F102">
        <v>1240</v>
      </c>
      <c r="J102">
        <v>83624</v>
      </c>
      <c r="K102">
        <v>1.4830000000000001</v>
      </c>
      <c r="M102">
        <v>81779</v>
      </c>
      <c r="N102">
        <v>1.516</v>
      </c>
    </row>
    <row r="103" spans="1:15" x14ac:dyDescent="0.35">
      <c r="A103" t="s">
        <v>327</v>
      </c>
      <c r="B103" t="s">
        <v>280</v>
      </c>
      <c r="D103">
        <v>68</v>
      </c>
      <c r="E103">
        <v>350</v>
      </c>
      <c r="F103">
        <v>418</v>
      </c>
      <c r="G103">
        <v>133</v>
      </c>
      <c r="H103">
        <v>47</v>
      </c>
      <c r="I103">
        <v>180</v>
      </c>
      <c r="J103">
        <v>44052</v>
      </c>
      <c r="K103">
        <v>0.94899999999999995</v>
      </c>
      <c r="L103">
        <v>0.40899999999999997</v>
      </c>
      <c r="M103">
        <v>41958</v>
      </c>
      <c r="N103">
        <v>0.996</v>
      </c>
      <c r="O103">
        <v>0.42899999999999999</v>
      </c>
    </row>
    <row r="104" spans="1:15" x14ac:dyDescent="0.35">
      <c r="A104" t="s">
        <v>313</v>
      </c>
      <c r="B104" t="s">
        <v>280</v>
      </c>
      <c r="C104" t="s">
        <v>279</v>
      </c>
      <c r="D104">
        <v>338</v>
      </c>
      <c r="E104">
        <v>669</v>
      </c>
      <c r="F104">
        <v>1007</v>
      </c>
      <c r="G104">
        <v>303</v>
      </c>
      <c r="H104">
        <v>225</v>
      </c>
      <c r="I104">
        <v>528</v>
      </c>
      <c r="J104">
        <v>41226</v>
      </c>
      <c r="K104">
        <v>2.4430000000000001</v>
      </c>
      <c r="L104">
        <v>1.2810000000000001</v>
      </c>
      <c r="M104">
        <v>39733</v>
      </c>
      <c r="N104">
        <v>2.5339999999999998</v>
      </c>
      <c r="O104">
        <v>1.329</v>
      </c>
    </row>
    <row r="105" spans="1:15" x14ac:dyDescent="0.35">
      <c r="A105" t="s">
        <v>365</v>
      </c>
      <c r="B105" t="s">
        <v>299</v>
      </c>
      <c r="C105" t="s">
        <v>298</v>
      </c>
      <c r="D105">
        <v>1229</v>
      </c>
      <c r="E105">
        <v>1194</v>
      </c>
      <c r="F105">
        <v>2423</v>
      </c>
      <c r="G105">
        <v>844</v>
      </c>
      <c r="H105">
        <v>1072</v>
      </c>
      <c r="I105">
        <v>1916</v>
      </c>
      <c r="J105">
        <v>57274</v>
      </c>
      <c r="K105">
        <v>4.2309999999999999</v>
      </c>
      <c r="L105">
        <v>3.3449999999999998</v>
      </c>
      <c r="M105">
        <v>53157</v>
      </c>
      <c r="N105">
        <v>4.5579999999999998</v>
      </c>
      <c r="O105">
        <v>3.6040000000000001</v>
      </c>
    </row>
    <row r="106" spans="1:15" x14ac:dyDescent="0.35">
      <c r="A106" t="s">
        <v>364</v>
      </c>
      <c r="B106" t="s">
        <v>290</v>
      </c>
      <c r="C106" t="s">
        <v>289</v>
      </c>
      <c r="D106">
        <v>1381</v>
      </c>
      <c r="E106">
        <v>1452</v>
      </c>
      <c r="F106">
        <v>2833</v>
      </c>
      <c r="G106">
        <v>1819</v>
      </c>
      <c r="H106">
        <v>538</v>
      </c>
      <c r="I106">
        <v>2357</v>
      </c>
      <c r="J106">
        <v>150541</v>
      </c>
      <c r="K106">
        <v>1.8820000000000001</v>
      </c>
      <c r="L106">
        <v>1.5659999999999998</v>
      </c>
      <c r="M106">
        <v>147554</v>
      </c>
      <c r="N106">
        <v>1.92</v>
      </c>
      <c r="O106">
        <v>1.597</v>
      </c>
    </row>
    <row r="107" spans="1:15" x14ac:dyDescent="0.35">
      <c r="A107" t="s">
        <v>366</v>
      </c>
      <c r="B107" t="s">
        <v>278</v>
      </c>
      <c r="C107" t="s">
        <v>277</v>
      </c>
      <c r="D107">
        <v>758</v>
      </c>
      <c r="E107">
        <v>936</v>
      </c>
      <c r="F107">
        <v>1694</v>
      </c>
      <c r="G107">
        <v>685</v>
      </c>
      <c r="H107">
        <v>396</v>
      </c>
      <c r="I107">
        <v>1081</v>
      </c>
      <c r="J107">
        <v>38787</v>
      </c>
      <c r="K107">
        <v>4.367</v>
      </c>
      <c r="L107">
        <v>2.7869999999999999</v>
      </c>
      <c r="M107">
        <v>37426</v>
      </c>
      <c r="N107">
        <v>4.5259999999999998</v>
      </c>
      <c r="O107">
        <v>2.8879999999999999</v>
      </c>
    </row>
    <row r="108" spans="1:15" x14ac:dyDescent="0.35">
      <c r="A108" t="s">
        <v>365</v>
      </c>
      <c r="B108" t="s">
        <v>305</v>
      </c>
      <c r="C108" t="s">
        <v>304</v>
      </c>
      <c r="D108">
        <v>1155</v>
      </c>
      <c r="E108">
        <v>1979</v>
      </c>
      <c r="F108">
        <v>3134</v>
      </c>
      <c r="G108">
        <v>1410</v>
      </c>
      <c r="H108">
        <v>474</v>
      </c>
      <c r="I108">
        <v>1884</v>
      </c>
      <c r="J108">
        <v>146925</v>
      </c>
      <c r="K108">
        <v>2.133</v>
      </c>
      <c r="L108">
        <v>1.282</v>
      </c>
      <c r="M108">
        <v>142286</v>
      </c>
      <c r="N108">
        <v>2.2029999999999998</v>
      </c>
      <c r="O108">
        <v>1.3240000000000001</v>
      </c>
    </row>
    <row r="109" spans="1:15" x14ac:dyDescent="0.35">
      <c r="A109" t="s">
        <v>214</v>
      </c>
      <c r="B109" t="s">
        <v>290</v>
      </c>
      <c r="C109" t="s">
        <v>289</v>
      </c>
      <c r="D109">
        <v>1248</v>
      </c>
      <c r="E109">
        <v>2019</v>
      </c>
      <c r="F109">
        <v>3267</v>
      </c>
      <c r="G109">
        <v>1614</v>
      </c>
      <c r="H109">
        <v>428</v>
      </c>
      <c r="I109">
        <v>2042</v>
      </c>
      <c r="J109">
        <v>155364</v>
      </c>
      <c r="K109">
        <v>2.1030000000000002</v>
      </c>
      <c r="L109">
        <v>1.3140000000000001</v>
      </c>
      <c r="M109">
        <v>151744</v>
      </c>
      <c r="N109">
        <v>2.153</v>
      </c>
      <c r="O109">
        <v>1.3460000000000001</v>
      </c>
    </row>
    <row r="110" spans="1:15" x14ac:dyDescent="0.35">
      <c r="A110" t="s">
        <v>365</v>
      </c>
      <c r="B110" t="s">
        <v>278</v>
      </c>
      <c r="C110" t="s">
        <v>277</v>
      </c>
      <c r="D110">
        <v>673</v>
      </c>
      <c r="E110">
        <v>631</v>
      </c>
      <c r="F110">
        <v>1304</v>
      </c>
      <c r="G110">
        <v>636</v>
      </c>
      <c r="H110">
        <v>386</v>
      </c>
      <c r="I110">
        <v>1022</v>
      </c>
      <c r="J110">
        <v>38699</v>
      </c>
      <c r="K110">
        <v>3.37</v>
      </c>
      <c r="L110">
        <v>2.641</v>
      </c>
      <c r="M110">
        <v>37384</v>
      </c>
      <c r="N110">
        <v>3.488</v>
      </c>
      <c r="O110">
        <v>2.734</v>
      </c>
    </row>
    <row r="111" spans="1:15" x14ac:dyDescent="0.35">
      <c r="A111" t="s">
        <v>326</v>
      </c>
      <c r="B111" t="s">
        <v>299</v>
      </c>
      <c r="C111" t="s">
        <v>298</v>
      </c>
      <c r="F111">
        <v>859</v>
      </c>
      <c r="J111">
        <v>59557</v>
      </c>
      <c r="K111">
        <v>1.4419999999999999</v>
      </c>
      <c r="M111">
        <v>55660</v>
      </c>
      <c r="N111">
        <v>1.5430000000000001</v>
      </c>
    </row>
    <row r="112" spans="1:15" x14ac:dyDescent="0.35">
      <c r="A112" t="s">
        <v>364</v>
      </c>
      <c r="B112" t="s">
        <v>303</v>
      </c>
      <c r="C112" t="s">
        <v>302</v>
      </c>
      <c r="D112">
        <v>601</v>
      </c>
      <c r="E112">
        <v>462</v>
      </c>
      <c r="F112">
        <v>1063</v>
      </c>
      <c r="G112">
        <v>577</v>
      </c>
      <c r="H112">
        <v>430</v>
      </c>
      <c r="I112">
        <v>1007</v>
      </c>
      <c r="J112">
        <v>54385</v>
      </c>
      <c r="K112">
        <v>1.9550000000000001</v>
      </c>
      <c r="L112">
        <v>1.8519999999999999</v>
      </c>
      <c r="M112">
        <v>51654</v>
      </c>
      <c r="N112">
        <v>2.0579999999999998</v>
      </c>
      <c r="O112">
        <v>1.95</v>
      </c>
    </row>
    <row r="113" spans="1:15" x14ac:dyDescent="0.35">
      <c r="A113" t="s">
        <v>341</v>
      </c>
      <c r="B113" t="s">
        <v>308</v>
      </c>
      <c r="C113" t="s">
        <v>307</v>
      </c>
      <c r="D113">
        <v>336</v>
      </c>
      <c r="E113">
        <v>720</v>
      </c>
      <c r="F113">
        <v>1056</v>
      </c>
      <c r="G113">
        <v>334</v>
      </c>
      <c r="H113">
        <v>201</v>
      </c>
      <c r="I113">
        <v>535</v>
      </c>
      <c r="J113">
        <v>40998</v>
      </c>
      <c r="K113">
        <v>2.5760000000000001</v>
      </c>
      <c r="L113">
        <v>1.3049999999999999</v>
      </c>
      <c r="M113">
        <v>38951</v>
      </c>
      <c r="N113">
        <v>2.7109999999999999</v>
      </c>
      <c r="O113">
        <v>1.3740000000000001</v>
      </c>
    </row>
    <row r="114" spans="1:15" x14ac:dyDescent="0.35">
      <c r="A114" t="s">
        <v>319</v>
      </c>
      <c r="B114" t="s">
        <v>245</v>
      </c>
      <c r="C114" t="s">
        <v>244</v>
      </c>
      <c r="D114">
        <v>143</v>
      </c>
      <c r="E114">
        <v>231</v>
      </c>
      <c r="F114">
        <v>374</v>
      </c>
      <c r="G114">
        <v>125</v>
      </c>
      <c r="H114">
        <v>82</v>
      </c>
      <c r="I114">
        <v>207</v>
      </c>
      <c r="J114">
        <v>75298</v>
      </c>
      <c r="K114">
        <v>0.497</v>
      </c>
      <c r="L114">
        <v>0.27500000000000002</v>
      </c>
      <c r="M114">
        <v>69957</v>
      </c>
      <c r="N114">
        <v>0.53500000000000003</v>
      </c>
      <c r="O114">
        <v>0.29599999999999999</v>
      </c>
    </row>
    <row r="115" spans="1:15" x14ac:dyDescent="0.35">
      <c r="A115" t="s">
        <v>313</v>
      </c>
      <c r="B115" t="s">
        <v>308</v>
      </c>
      <c r="C115" t="s">
        <v>307</v>
      </c>
      <c r="D115">
        <v>311</v>
      </c>
      <c r="E115">
        <v>590</v>
      </c>
      <c r="F115">
        <v>901</v>
      </c>
      <c r="G115">
        <v>360</v>
      </c>
      <c r="H115">
        <v>153</v>
      </c>
      <c r="I115">
        <v>513</v>
      </c>
      <c r="J115">
        <v>41638</v>
      </c>
      <c r="K115">
        <v>2.1640000000000001</v>
      </c>
      <c r="L115">
        <v>1.232</v>
      </c>
      <c r="M115">
        <v>39654</v>
      </c>
      <c r="N115">
        <v>2.2720000000000002</v>
      </c>
      <c r="O115">
        <v>1.294</v>
      </c>
    </row>
    <row r="116" spans="1:15" x14ac:dyDescent="0.35">
      <c r="A116" t="s">
        <v>364</v>
      </c>
      <c r="B116" t="s">
        <v>282</v>
      </c>
      <c r="C116" t="s">
        <v>281</v>
      </c>
      <c r="D116">
        <v>332</v>
      </c>
      <c r="E116">
        <v>299</v>
      </c>
      <c r="F116">
        <v>631</v>
      </c>
      <c r="G116">
        <v>317</v>
      </c>
      <c r="H116">
        <v>264</v>
      </c>
      <c r="I116">
        <v>581</v>
      </c>
      <c r="J116">
        <v>43495</v>
      </c>
      <c r="K116">
        <v>1.4510000000000001</v>
      </c>
      <c r="L116">
        <v>1.3360000000000001</v>
      </c>
      <c r="M116">
        <v>40839</v>
      </c>
      <c r="N116">
        <v>1.5449999999999999</v>
      </c>
      <c r="O116">
        <v>1.423</v>
      </c>
    </row>
    <row r="117" spans="1:15" x14ac:dyDescent="0.35">
      <c r="A117" t="s">
        <v>326</v>
      </c>
      <c r="B117" t="s">
        <v>310</v>
      </c>
      <c r="C117" t="s">
        <v>309</v>
      </c>
      <c r="F117">
        <v>928</v>
      </c>
      <c r="J117">
        <v>45846</v>
      </c>
      <c r="K117">
        <v>2.024</v>
      </c>
      <c r="M117">
        <v>43481</v>
      </c>
      <c r="N117">
        <v>2.1339999999999999</v>
      </c>
    </row>
    <row r="118" spans="1:15" x14ac:dyDescent="0.35">
      <c r="A118" t="s">
        <v>366</v>
      </c>
      <c r="B118" t="s">
        <v>256</v>
      </c>
      <c r="C118" t="s">
        <v>255</v>
      </c>
      <c r="D118">
        <v>716</v>
      </c>
      <c r="E118">
        <v>704</v>
      </c>
      <c r="F118">
        <v>1420</v>
      </c>
      <c r="G118">
        <v>715</v>
      </c>
      <c r="H118">
        <v>505</v>
      </c>
      <c r="I118">
        <v>1220</v>
      </c>
      <c r="J118">
        <v>46332</v>
      </c>
      <c r="K118">
        <v>3.0649999999999999</v>
      </c>
      <c r="L118">
        <v>2.633</v>
      </c>
      <c r="M118">
        <v>44384</v>
      </c>
      <c r="N118">
        <v>3.1989999999999998</v>
      </c>
      <c r="O118">
        <v>2.7490000000000001</v>
      </c>
    </row>
    <row r="119" spans="1:15" x14ac:dyDescent="0.35">
      <c r="A119" t="s">
        <v>321</v>
      </c>
      <c r="B119" t="s">
        <v>229</v>
      </c>
      <c r="C119" t="s">
        <v>228</v>
      </c>
      <c r="F119">
        <v>1019</v>
      </c>
      <c r="J119">
        <v>48411</v>
      </c>
      <c r="K119">
        <v>2.105</v>
      </c>
      <c r="M119">
        <v>42384</v>
      </c>
      <c r="N119">
        <v>2.4039999999999999</v>
      </c>
    </row>
    <row r="120" spans="1:15" x14ac:dyDescent="0.35">
      <c r="A120" t="s">
        <v>319</v>
      </c>
      <c r="B120" t="s">
        <v>248</v>
      </c>
      <c r="C120" t="s">
        <v>247</v>
      </c>
      <c r="D120">
        <v>286</v>
      </c>
      <c r="E120">
        <v>637</v>
      </c>
      <c r="F120">
        <v>923</v>
      </c>
      <c r="G120">
        <v>280</v>
      </c>
      <c r="H120">
        <v>166</v>
      </c>
      <c r="I120">
        <v>446</v>
      </c>
      <c r="J120">
        <v>75027</v>
      </c>
      <c r="K120">
        <v>1.23</v>
      </c>
      <c r="L120">
        <v>0.59399999999999997</v>
      </c>
      <c r="M120">
        <v>70689</v>
      </c>
      <c r="N120">
        <v>1.306</v>
      </c>
      <c r="O120">
        <v>0.63100000000000001</v>
      </c>
    </row>
    <row r="121" spans="1:15" x14ac:dyDescent="0.35">
      <c r="A121" t="s">
        <v>326</v>
      </c>
      <c r="B121" t="s">
        <v>260</v>
      </c>
      <c r="C121" t="s">
        <v>259</v>
      </c>
      <c r="F121">
        <v>679</v>
      </c>
      <c r="J121">
        <v>40507</v>
      </c>
      <c r="K121">
        <v>1.6760000000000002</v>
      </c>
      <c r="M121">
        <v>40697</v>
      </c>
      <c r="N121">
        <v>1.6680000000000001</v>
      </c>
    </row>
    <row r="122" spans="1:15" x14ac:dyDescent="0.35">
      <c r="A122" t="s">
        <v>365</v>
      </c>
      <c r="B122" t="s">
        <v>290</v>
      </c>
      <c r="C122" t="s">
        <v>289</v>
      </c>
      <c r="D122">
        <v>1427</v>
      </c>
      <c r="E122">
        <v>2067</v>
      </c>
      <c r="F122">
        <v>3494</v>
      </c>
      <c r="G122">
        <v>1929</v>
      </c>
      <c r="H122">
        <v>499</v>
      </c>
      <c r="I122">
        <v>2428</v>
      </c>
      <c r="J122">
        <v>151424</v>
      </c>
      <c r="K122">
        <v>2.3069999999999999</v>
      </c>
      <c r="L122">
        <v>1.603</v>
      </c>
      <c r="M122">
        <v>148610</v>
      </c>
      <c r="N122">
        <v>2.351</v>
      </c>
      <c r="O122">
        <v>1.6339999999999999</v>
      </c>
    </row>
    <row r="123" spans="1:15" x14ac:dyDescent="0.35">
      <c r="A123" t="s">
        <v>342</v>
      </c>
      <c r="B123" t="s">
        <v>295</v>
      </c>
      <c r="C123" t="s">
        <v>294</v>
      </c>
      <c r="D123">
        <v>484</v>
      </c>
      <c r="E123">
        <v>1014</v>
      </c>
      <c r="F123">
        <v>1498</v>
      </c>
      <c r="G123">
        <v>451</v>
      </c>
      <c r="H123">
        <v>265</v>
      </c>
      <c r="I123">
        <v>716</v>
      </c>
      <c r="J123">
        <v>71810</v>
      </c>
      <c r="K123">
        <v>2.0859999999999999</v>
      </c>
      <c r="L123">
        <v>0.997</v>
      </c>
      <c r="M123">
        <v>67618</v>
      </c>
      <c r="N123">
        <v>2.2149999999999999</v>
      </c>
      <c r="O123">
        <v>1.0589999999999999</v>
      </c>
    </row>
    <row r="124" spans="1:15" x14ac:dyDescent="0.35">
      <c r="A124" t="s">
        <v>342</v>
      </c>
      <c r="B124" t="s">
        <v>250</v>
      </c>
      <c r="C124" t="s">
        <v>249</v>
      </c>
      <c r="D124">
        <v>485</v>
      </c>
      <c r="E124">
        <v>664</v>
      </c>
      <c r="F124">
        <v>1149</v>
      </c>
      <c r="G124">
        <v>538</v>
      </c>
      <c r="H124">
        <v>276</v>
      </c>
      <c r="I124">
        <v>814</v>
      </c>
      <c r="J124">
        <v>58158</v>
      </c>
      <c r="K124">
        <v>1.976</v>
      </c>
      <c r="L124">
        <v>1.4</v>
      </c>
      <c r="M124">
        <v>54873</v>
      </c>
      <c r="N124">
        <v>2.0939999999999999</v>
      </c>
      <c r="O124">
        <v>1.4830000000000001</v>
      </c>
    </row>
    <row r="125" spans="1:15" x14ac:dyDescent="0.35">
      <c r="A125" t="s">
        <v>341</v>
      </c>
      <c r="B125" t="s">
        <v>264</v>
      </c>
      <c r="C125" t="s">
        <v>263</v>
      </c>
      <c r="D125">
        <v>570</v>
      </c>
      <c r="E125">
        <v>980</v>
      </c>
      <c r="F125">
        <v>1550</v>
      </c>
      <c r="G125">
        <v>612</v>
      </c>
      <c r="H125">
        <v>266</v>
      </c>
      <c r="I125">
        <v>878</v>
      </c>
      <c r="J125">
        <v>73767</v>
      </c>
      <c r="K125">
        <v>2.101</v>
      </c>
      <c r="L125">
        <v>1.19</v>
      </c>
      <c r="M125">
        <v>71072</v>
      </c>
      <c r="N125">
        <v>2.181</v>
      </c>
      <c r="O125">
        <v>1.2349999999999999</v>
      </c>
    </row>
    <row r="126" spans="1:15" x14ac:dyDescent="0.35">
      <c r="A126" t="s">
        <v>313</v>
      </c>
      <c r="B126" t="s">
        <v>264</v>
      </c>
      <c r="C126" t="s">
        <v>263</v>
      </c>
      <c r="D126">
        <v>511</v>
      </c>
      <c r="E126">
        <v>1174</v>
      </c>
      <c r="F126">
        <v>1685</v>
      </c>
      <c r="G126">
        <v>590</v>
      </c>
      <c r="H126">
        <v>172</v>
      </c>
      <c r="I126">
        <v>762</v>
      </c>
      <c r="J126">
        <v>75226</v>
      </c>
      <c r="K126">
        <v>2.2400000000000002</v>
      </c>
      <c r="L126">
        <v>1.0129999999999999</v>
      </c>
      <c r="M126">
        <v>72672</v>
      </c>
      <c r="N126">
        <v>2.319</v>
      </c>
      <c r="O126">
        <v>1.0489999999999999</v>
      </c>
    </row>
    <row r="127" spans="1:15" x14ac:dyDescent="0.35">
      <c r="A127" t="s">
        <v>313</v>
      </c>
      <c r="B127" t="s">
        <v>241</v>
      </c>
      <c r="C127" t="s">
        <v>240</v>
      </c>
      <c r="D127">
        <v>292</v>
      </c>
      <c r="E127">
        <v>379</v>
      </c>
      <c r="F127">
        <v>671</v>
      </c>
      <c r="G127">
        <v>445</v>
      </c>
      <c r="H127">
        <v>50</v>
      </c>
      <c r="I127">
        <v>495</v>
      </c>
      <c r="J127">
        <v>24716</v>
      </c>
      <c r="K127">
        <v>2.7149999999999999</v>
      </c>
      <c r="L127">
        <v>2.0030000000000001</v>
      </c>
      <c r="M127">
        <v>23890</v>
      </c>
      <c r="N127">
        <v>2.8090000000000002</v>
      </c>
      <c r="O127">
        <v>2.0720000000000001</v>
      </c>
    </row>
    <row r="128" spans="1:15" x14ac:dyDescent="0.35">
      <c r="A128" t="s">
        <v>341</v>
      </c>
      <c r="B128" t="s">
        <v>241</v>
      </c>
      <c r="C128" t="s">
        <v>240</v>
      </c>
      <c r="D128">
        <v>270</v>
      </c>
      <c r="E128">
        <v>361</v>
      </c>
      <c r="F128">
        <v>631</v>
      </c>
      <c r="G128">
        <v>281</v>
      </c>
      <c r="H128">
        <v>120</v>
      </c>
      <c r="I128">
        <v>401</v>
      </c>
      <c r="J128">
        <v>24221</v>
      </c>
      <c r="K128">
        <v>2.605</v>
      </c>
      <c r="L128">
        <v>1.6560000000000001</v>
      </c>
      <c r="M128">
        <v>23401</v>
      </c>
      <c r="N128">
        <v>2.6959999999999997</v>
      </c>
      <c r="O128">
        <v>1.714</v>
      </c>
    </row>
    <row r="129" spans="1:15" x14ac:dyDescent="0.35">
      <c r="A129" t="s">
        <v>214</v>
      </c>
      <c r="B129" t="s">
        <v>295</v>
      </c>
      <c r="C129" t="s">
        <v>294</v>
      </c>
      <c r="D129">
        <v>385</v>
      </c>
      <c r="E129">
        <v>1084</v>
      </c>
      <c r="F129">
        <v>1469</v>
      </c>
      <c r="G129">
        <v>357</v>
      </c>
      <c r="H129">
        <v>249</v>
      </c>
      <c r="I129">
        <v>606</v>
      </c>
      <c r="J129">
        <v>72441</v>
      </c>
      <c r="K129">
        <v>2.028</v>
      </c>
      <c r="L129">
        <v>0.83699999999999997</v>
      </c>
      <c r="M129">
        <v>68196</v>
      </c>
      <c r="N129">
        <v>2.1539999999999999</v>
      </c>
      <c r="O129">
        <v>0.88900000000000001</v>
      </c>
    </row>
    <row r="130" spans="1:15" x14ac:dyDescent="0.35">
      <c r="A130" t="s">
        <v>321</v>
      </c>
      <c r="B130" t="s">
        <v>250</v>
      </c>
      <c r="C130" t="s">
        <v>249</v>
      </c>
      <c r="F130">
        <v>1194</v>
      </c>
      <c r="J130">
        <v>58973</v>
      </c>
      <c r="K130">
        <v>2.0249999999999999</v>
      </c>
      <c r="M130">
        <v>56149</v>
      </c>
      <c r="N130">
        <v>2.1259999999999999</v>
      </c>
    </row>
    <row r="131" spans="1:15" x14ac:dyDescent="0.35">
      <c r="A131" t="s">
        <v>365</v>
      </c>
      <c r="B131" t="s">
        <v>297</v>
      </c>
      <c r="C131" t="s">
        <v>296</v>
      </c>
      <c r="D131">
        <v>884</v>
      </c>
      <c r="E131">
        <v>1268</v>
      </c>
      <c r="F131">
        <v>2152</v>
      </c>
      <c r="G131">
        <v>1019</v>
      </c>
      <c r="H131">
        <v>425</v>
      </c>
      <c r="I131">
        <v>1444</v>
      </c>
      <c r="J131">
        <v>84442</v>
      </c>
      <c r="K131">
        <v>2.548</v>
      </c>
      <c r="L131">
        <v>1.71</v>
      </c>
      <c r="M131">
        <v>82385</v>
      </c>
      <c r="N131">
        <v>2.6120000000000001</v>
      </c>
      <c r="O131">
        <v>1.7530000000000001</v>
      </c>
    </row>
    <row r="132" spans="1:15" x14ac:dyDescent="0.35">
      <c r="A132" t="s">
        <v>326</v>
      </c>
      <c r="B132" t="s">
        <v>250</v>
      </c>
      <c r="C132" t="s">
        <v>249</v>
      </c>
      <c r="F132">
        <v>1109</v>
      </c>
      <c r="J132">
        <v>59305</v>
      </c>
      <c r="K132">
        <v>1.87</v>
      </c>
      <c r="M132">
        <v>56621</v>
      </c>
      <c r="N132">
        <v>1.9590000000000001</v>
      </c>
    </row>
    <row r="133" spans="1:15" x14ac:dyDescent="0.35">
      <c r="A133" t="s">
        <v>341</v>
      </c>
      <c r="B133" t="s">
        <v>221</v>
      </c>
      <c r="C133" t="s">
        <v>220</v>
      </c>
      <c r="D133">
        <v>739</v>
      </c>
      <c r="E133">
        <v>1595</v>
      </c>
      <c r="F133">
        <v>2334</v>
      </c>
      <c r="G133">
        <v>712</v>
      </c>
      <c r="H133">
        <v>510</v>
      </c>
      <c r="I133">
        <v>1222</v>
      </c>
      <c r="J133">
        <v>116421</v>
      </c>
      <c r="K133">
        <v>2.0049999999999999</v>
      </c>
      <c r="L133">
        <v>1.05</v>
      </c>
      <c r="M133">
        <v>110296</v>
      </c>
      <c r="N133">
        <v>2.1160000000000001</v>
      </c>
      <c r="O133">
        <v>1.1080000000000001</v>
      </c>
    </row>
    <row r="134" spans="1:15" x14ac:dyDescent="0.35">
      <c r="A134" t="s">
        <v>366</v>
      </c>
      <c r="B134" t="s">
        <v>312</v>
      </c>
      <c r="C134" t="s">
        <v>311</v>
      </c>
      <c r="D134">
        <v>1092</v>
      </c>
      <c r="E134">
        <v>779</v>
      </c>
      <c r="F134">
        <v>1871</v>
      </c>
      <c r="G134">
        <v>1051</v>
      </c>
      <c r="H134">
        <v>659</v>
      </c>
      <c r="I134">
        <v>1710</v>
      </c>
      <c r="J134">
        <v>77834</v>
      </c>
      <c r="K134">
        <v>2.4039999999999999</v>
      </c>
      <c r="L134">
        <v>2.1970000000000001</v>
      </c>
      <c r="M134">
        <v>75782</v>
      </c>
      <c r="N134">
        <v>2.4689999999999999</v>
      </c>
      <c r="O134">
        <v>2.2560000000000002</v>
      </c>
    </row>
    <row r="135" spans="1:15" x14ac:dyDescent="0.35">
      <c r="A135" t="s">
        <v>327</v>
      </c>
      <c r="B135" t="s">
        <v>241</v>
      </c>
      <c r="D135">
        <v>58</v>
      </c>
      <c r="E135">
        <v>398</v>
      </c>
      <c r="F135">
        <v>456</v>
      </c>
      <c r="G135">
        <v>88</v>
      </c>
      <c r="H135">
        <v>43</v>
      </c>
      <c r="I135">
        <v>131</v>
      </c>
      <c r="J135">
        <v>25277</v>
      </c>
      <c r="K135">
        <v>1.804</v>
      </c>
      <c r="L135">
        <v>0.51800000000000002</v>
      </c>
      <c r="M135">
        <v>24305</v>
      </c>
      <c r="N135">
        <v>1.8759999999999999</v>
      </c>
      <c r="O135">
        <v>0.53900000000000003</v>
      </c>
    </row>
    <row r="136" spans="1:15" x14ac:dyDescent="0.35">
      <c r="A136" t="s">
        <v>327</v>
      </c>
      <c r="B136" t="s">
        <v>264</v>
      </c>
      <c r="D136">
        <v>126</v>
      </c>
      <c r="E136">
        <v>678</v>
      </c>
      <c r="F136">
        <v>804</v>
      </c>
      <c r="G136">
        <v>275</v>
      </c>
      <c r="H136">
        <v>91</v>
      </c>
      <c r="I136">
        <v>366</v>
      </c>
      <c r="J136">
        <v>76689</v>
      </c>
      <c r="K136">
        <v>1.048</v>
      </c>
      <c r="L136">
        <v>0.47699999999999998</v>
      </c>
      <c r="M136">
        <v>72907</v>
      </c>
      <c r="N136">
        <v>1.103</v>
      </c>
      <c r="O136">
        <v>0.502</v>
      </c>
    </row>
    <row r="137" spans="1:15" x14ac:dyDescent="0.35">
      <c r="A137" t="s">
        <v>342</v>
      </c>
      <c r="B137" t="s">
        <v>293</v>
      </c>
      <c r="C137" t="s">
        <v>292</v>
      </c>
      <c r="D137">
        <v>126</v>
      </c>
      <c r="E137">
        <v>250</v>
      </c>
      <c r="F137">
        <v>376</v>
      </c>
      <c r="G137">
        <v>88</v>
      </c>
      <c r="H137">
        <v>105</v>
      </c>
      <c r="I137">
        <v>193</v>
      </c>
      <c r="J137">
        <v>11192</v>
      </c>
      <c r="K137">
        <v>3.36</v>
      </c>
      <c r="L137">
        <v>1.724</v>
      </c>
      <c r="M137">
        <v>10385</v>
      </c>
      <c r="N137">
        <v>3.621</v>
      </c>
      <c r="O137">
        <v>1.8580000000000001</v>
      </c>
    </row>
    <row r="138" spans="1:15" x14ac:dyDescent="0.35">
      <c r="A138" t="s">
        <v>321</v>
      </c>
      <c r="B138" t="s">
        <v>293</v>
      </c>
      <c r="C138" t="s">
        <v>292</v>
      </c>
      <c r="F138">
        <v>209</v>
      </c>
      <c r="J138">
        <v>11475</v>
      </c>
      <c r="K138">
        <v>1.821</v>
      </c>
      <c r="M138">
        <v>10758</v>
      </c>
      <c r="N138">
        <v>1.9430000000000001</v>
      </c>
    </row>
    <row r="139" spans="1:15" x14ac:dyDescent="0.35">
      <c r="A139" t="s">
        <v>366</v>
      </c>
      <c r="B139" t="s">
        <v>301</v>
      </c>
      <c r="C139" t="s">
        <v>300</v>
      </c>
      <c r="D139">
        <v>100</v>
      </c>
      <c r="E139">
        <v>177</v>
      </c>
      <c r="F139">
        <v>277</v>
      </c>
      <c r="G139">
        <v>101</v>
      </c>
      <c r="H139">
        <v>94</v>
      </c>
      <c r="I139">
        <v>195</v>
      </c>
      <c r="J139">
        <v>11021</v>
      </c>
      <c r="K139">
        <v>2.5129999999999999</v>
      </c>
      <c r="L139">
        <v>1.7690000000000001</v>
      </c>
      <c r="M139">
        <v>10235</v>
      </c>
      <c r="N139">
        <v>2.706</v>
      </c>
      <c r="O139">
        <v>1.905</v>
      </c>
    </row>
    <row r="140" spans="1:15" x14ac:dyDescent="0.35">
      <c r="A140" t="s">
        <v>319</v>
      </c>
      <c r="B140" t="s">
        <v>278</v>
      </c>
      <c r="C140" t="s">
        <v>277</v>
      </c>
      <c r="D140">
        <v>292</v>
      </c>
      <c r="E140">
        <v>201</v>
      </c>
      <c r="F140">
        <v>493</v>
      </c>
      <c r="G140">
        <v>339</v>
      </c>
      <c r="H140">
        <v>129</v>
      </c>
      <c r="I140">
        <v>468</v>
      </c>
      <c r="J140">
        <v>39107</v>
      </c>
      <c r="K140">
        <v>1.2610000000000001</v>
      </c>
      <c r="L140">
        <v>1.1970000000000001</v>
      </c>
      <c r="M140">
        <v>37646</v>
      </c>
      <c r="N140">
        <v>1.31</v>
      </c>
      <c r="O140">
        <v>1.2429999999999999</v>
      </c>
    </row>
    <row r="141" spans="1:15" x14ac:dyDescent="0.35">
      <c r="A141" t="s">
        <v>364</v>
      </c>
      <c r="B141" t="s">
        <v>295</v>
      </c>
      <c r="C141" t="s">
        <v>294</v>
      </c>
      <c r="D141">
        <v>922</v>
      </c>
      <c r="E141">
        <v>3441</v>
      </c>
      <c r="F141">
        <v>4363</v>
      </c>
      <c r="G141">
        <v>890</v>
      </c>
      <c r="H141">
        <v>524</v>
      </c>
      <c r="I141">
        <v>1414</v>
      </c>
      <c r="J141">
        <v>69923</v>
      </c>
      <c r="K141">
        <v>6.24</v>
      </c>
      <c r="L141">
        <v>2.0219999999999998</v>
      </c>
      <c r="M141">
        <v>65616</v>
      </c>
      <c r="N141">
        <v>6.649</v>
      </c>
      <c r="O141">
        <v>2.1549999999999998</v>
      </c>
    </row>
    <row r="142" spans="1:15" x14ac:dyDescent="0.35">
      <c r="A142" t="s">
        <v>214</v>
      </c>
      <c r="B142" t="s">
        <v>297</v>
      </c>
      <c r="C142" t="s">
        <v>296</v>
      </c>
      <c r="D142">
        <v>848</v>
      </c>
      <c r="E142">
        <v>1039</v>
      </c>
      <c r="F142">
        <v>1887</v>
      </c>
      <c r="G142">
        <v>803</v>
      </c>
      <c r="H142">
        <v>475</v>
      </c>
      <c r="I142">
        <v>1278</v>
      </c>
      <c r="J142">
        <v>87265</v>
      </c>
      <c r="K142">
        <v>2.1619999999999999</v>
      </c>
      <c r="L142">
        <v>1.4650000000000001</v>
      </c>
      <c r="M142">
        <v>85745</v>
      </c>
      <c r="N142">
        <v>2.2010000000000001</v>
      </c>
      <c r="O142">
        <v>1.49</v>
      </c>
    </row>
    <row r="143" spans="1:15" x14ac:dyDescent="0.35">
      <c r="A143" t="s">
        <v>321</v>
      </c>
      <c r="B143" t="s">
        <v>305</v>
      </c>
      <c r="C143" t="s">
        <v>304</v>
      </c>
      <c r="F143">
        <v>3086</v>
      </c>
      <c r="J143">
        <v>155373</v>
      </c>
      <c r="K143">
        <v>1.986</v>
      </c>
      <c r="M143">
        <v>149864</v>
      </c>
      <c r="N143">
        <v>2.0590000000000002</v>
      </c>
    </row>
    <row r="144" spans="1:15" x14ac:dyDescent="0.35">
      <c r="A144" t="s">
        <v>342</v>
      </c>
      <c r="B144" t="s">
        <v>305</v>
      </c>
      <c r="C144" t="s">
        <v>304</v>
      </c>
      <c r="D144">
        <v>1336</v>
      </c>
      <c r="E144">
        <v>2180</v>
      </c>
      <c r="F144">
        <v>3516</v>
      </c>
      <c r="G144">
        <v>1607</v>
      </c>
      <c r="H144">
        <v>503</v>
      </c>
      <c r="I144">
        <v>2110</v>
      </c>
      <c r="J144">
        <v>149972</v>
      </c>
      <c r="K144">
        <v>2.3439999999999999</v>
      </c>
      <c r="L144">
        <v>1.407</v>
      </c>
      <c r="M144">
        <v>145182</v>
      </c>
      <c r="N144">
        <v>2.4220000000000002</v>
      </c>
      <c r="O144">
        <v>1.4530000000000001</v>
      </c>
    </row>
    <row r="145" spans="1:15" x14ac:dyDescent="0.35">
      <c r="A145" t="s">
        <v>313</v>
      </c>
      <c r="B145" t="s">
        <v>293</v>
      </c>
      <c r="C145" t="s">
        <v>292</v>
      </c>
      <c r="D145">
        <v>122</v>
      </c>
      <c r="E145">
        <v>237</v>
      </c>
      <c r="F145">
        <v>359</v>
      </c>
      <c r="G145">
        <v>127</v>
      </c>
      <c r="H145">
        <v>84</v>
      </c>
      <c r="I145">
        <v>211</v>
      </c>
      <c r="J145">
        <v>11322</v>
      </c>
      <c r="K145">
        <v>3.1709999999999998</v>
      </c>
      <c r="L145">
        <v>1.8639999999999999</v>
      </c>
      <c r="M145">
        <v>10589</v>
      </c>
      <c r="N145">
        <v>3.39</v>
      </c>
      <c r="O145">
        <v>1.9929999999999999</v>
      </c>
    </row>
    <row r="146" spans="1:15" x14ac:dyDescent="0.35">
      <c r="A146" t="s">
        <v>214</v>
      </c>
      <c r="B146" t="s">
        <v>305</v>
      </c>
      <c r="C146" t="s">
        <v>304</v>
      </c>
      <c r="D146">
        <v>1352</v>
      </c>
      <c r="E146">
        <v>2193</v>
      </c>
      <c r="F146">
        <v>3545</v>
      </c>
      <c r="G146">
        <v>1663</v>
      </c>
      <c r="H146">
        <v>484</v>
      </c>
      <c r="I146">
        <v>2147</v>
      </c>
      <c r="J146">
        <v>151352</v>
      </c>
      <c r="K146">
        <v>2.3420000000000001</v>
      </c>
      <c r="L146">
        <v>1.419</v>
      </c>
      <c r="M146">
        <v>146173</v>
      </c>
      <c r="N146">
        <v>2.4249999999999998</v>
      </c>
      <c r="O146">
        <v>1.4689999999999999</v>
      </c>
    </row>
    <row r="147" spans="1:15" x14ac:dyDescent="0.35">
      <c r="A147" t="s">
        <v>327</v>
      </c>
      <c r="B147" t="s">
        <v>293</v>
      </c>
      <c r="D147">
        <v>31</v>
      </c>
      <c r="E147">
        <v>175</v>
      </c>
      <c r="F147">
        <v>206</v>
      </c>
      <c r="G147">
        <v>95</v>
      </c>
      <c r="H147">
        <v>16</v>
      </c>
      <c r="I147">
        <v>111</v>
      </c>
      <c r="J147">
        <v>11719</v>
      </c>
      <c r="K147">
        <v>1.758</v>
      </c>
      <c r="L147">
        <v>0.94699999999999995</v>
      </c>
      <c r="M147">
        <v>10811</v>
      </c>
      <c r="N147">
        <v>1.905</v>
      </c>
      <c r="O147">
        <v>1.0269999999999999</v>
      </c>
    </row>
    <row r="148" spans="1:15" x14ac:dyDescent="0.35">
      <c r="A148" t="s">
        <v>321</v>
      </c>
      <c r="B148" t="s">
        <v>278</v>
      </c>
      <c r="C148" t="s">
        <v>277</v>
      </c>
      <c r="F148">
        <v>871</v>
      </c>
      <c r="J148">
        <v>39446</v>
      </c>
      <c r="K148">
        <v>2.2080000000000002</v>
      </c>
      <c r="M148">
        <v>37958</v>
      </c>
      <c r="N148">
        <v>2.2949999999999999</v>
      </c>
    </row>
    <row r="149" spans="1:15" x14ac:dyDescent="0.35">
      <c r="A149" t="s">
        <v>214</v>
      </c>
      <c r="B149" t="s">
        <v>256</v>
      </c>
      <c r="C149" t="s">
        <v>255</v>
      </c>
      <c r="D149">
        <v>440</v>
      </c>
      <c r="E149">
        <v>524</v>
      </c>
      <c r="F149">
        <v>964</v>
      </c>
      <c r="G149">
        <v>530</v>
      </c>
      <c r="H149">
        <v>193</v>
      </c>
      <c r="I149">
        <v>723</v>
      </c>
      <c r="J149">
        <v>48055</v>
      </c>
      <c r="K149">
        <v>2.0059999999999998</v>
      </c>
      <c r="L149">
        <v>1.5049999999999999</v>
      </c>
      <c r="M149">
        <v>45975</v>
      </c>
      <c r="N149">
        <v>2.097</v>
      </c>
      <c r="O149">
        <v>1.573</v>
      </c>
    </row>
    <row r="150" spans="1:15" x14ac:dyDescent="0.35">
      <c r="A150" t="s">
        <v>326</v>
      </c>
      <c r="B150" t="s">
        <v>271</v>
      </c>
      <c r="C150" t="s">
        <v>270</v>
      </c>
      <c r="F150">
        <v>4422</v>
      </c>
      <c r="J150">
        <v>322238</v>
      </c>
      <c r="K150">
        <v>1.3719999999999999</v>
      </c>
      <c r="M150">
        <v>300340</v>
      </c>
      <c r="N150">
        <v>1.472</v>
      </c>
    </row>
    <row r="151" spans="1:15" x14ac:dyDescent="0.35">
      <c r="A151" t="s">
        <v>366</v>
      </c>
      <c r="B151" t="s">
        <v>299</v>
      </c>
      <c r="C151" t="s">
        <v>298</v>
      </c>
      <c r="D151">
        <v>1347</v>
      </c>
      <c r="E151">
        <v>1196</v>
      </c>
      <c r="F151">
        <v>2543</v>
      </c>
      <c r="G151">
        <v>802</v>
      </c>
      <c r="H151">
        <v>1330</v>
      </c>
      <c r="I151">
        <v>2132</v>
      </c>
      <c r="J151">
        <v>57628</v>
      </c>
      <c r="K151">
        <v>4.4130000000000003</v>
      </c>
      <c r="L151">
        <v>3.7</v>
      </c>
      <c r="M151">
        <v>53351</v>
      </c>
      <c r="N151">
        <v>4.7670000000000003</v>
      </c>
      <c r="O151">
        <v>3.996</v>
      </c>
    </row>
    <row r="152" spans="1:15" x14ac:dyDescent="0.35">
      <c r="A152" t="s">
        <v>214</v>
      </c>
      <c r="B152" t="s">
        <v>271</v>
      </c>
      <c r="C152" t="s">
        <v>270</v>
      </c>
      <c r="D152">
        <v>2993</v>
      </c>
      <c r="E152">
        <v>7060</v>
      </c>
      <c r="F152">
        <v>10053</v>
      </c>
      <c r="G152">
        <v>3265</v>
      </c>
      <c r="H152">
        <v>886</v>
      </c>
      <c r="I152">
        <v>4151</v>
      </c>
      <c r="J152">
        <v>311447</v>
      </c>
      <c r="K152">
        <v>3.2280000000000002</v>
      </c>
      <c r="L152">
        <v>1.333</v>
      </c>
      <c r="M152">
        <v>292619</v>
      </c>
      <c r="N152">
        <v>3.4359999999999999</v>
      </c>
      <c r="O152">
        <v>1.419</v>
      </c>
    </row>
    <row r="153" spans="1:15" x14ac:dyDescent="0.35">
      <c r="A153" t="s">
        <v>366</v>
      </c>
      <c r="B153" t="s">
        <v>254</v>
      </c>
      <c r="C153" t="s">
        <v>253</v>
      </c>
      <c r="D153">
        <v>662</v>
      </c>
      <c r="E153">
        <v>793</v>
      </c>
      <c r="F153">
        <v>1455</v>
      </c>
      <c r="G153">
        <v>844</v>
      </c>
      <c r="H153">
        <v>248</v>
      </c>
      <c r="I153">
        <v>1092</v>
      </c>
      <c r="J153">
        <v>45678</v>
      </c>
      <c r="K153">
        <v>3.1850000000000001</v>
      </c>
      <c r="L153">
        <v>2.391</v>
      </c>
      <c r="M153">
        <v>45008</v>
      </c>
      <c r="N153">
        <v>3.2330000000000001</v>
      </c>
      <c r="O153">
        <v>2.4260000000000002</v>
      </c>
    </row>
    <row r="154" spans="1:15" x14ac:dyDescent="0.35">
      <c r="A154" t="s">
        <v>326</v>
      </c>
      <c r="B154" t="s">
        <v>256</v>
      </c>
      <c r="C154" t="s">
        <v>255</v>
      </c>
      <c r="F154">
        <v>520</v>
      </c>
      <c r="J154">
        <v>51409</v>
      </c>
      <c r="K154">
        <v>1.0109999999999999</v>
      </c>
      <c r="M154">
        <v>49220</v>
      </c>
      <c r="N154">
        <v>1.056</v>
      </c>
    </row>
    <row r="155" spans="1:15" x14ac:dyDescent="0.35">
      <c r="A155" t="s">
        <v>321</v>
      </c>
      <c r="B155" t="s">
        <v>284</v>
      </c>
      <c r="C155" t="s">
        <v>283</v>
      </c>
      <c r="F155">
        <v>242</v>
      </c>
      <c r="J155">
        <v>14856</v>
      </c>
      <c r="K155">
        <v>1.629</v>
      </c>
      <c r="M155">
        <v>12925</v>
      </c>
      <c r="N155">
        <v>1.8719999999999999</v>
      </c>
    </row>
    <row r="156" spans="1:15" x14ac:dyDescent="0.35">
      <c r="A156" t="s">
        <v>466</v>
      </c>
      <c r="B156" t="s">
        <v>297</v>
      </c>
      <c r="D156">
        <v>293</v>
      </c>
      <c r="E156">
        <v>807</v>
      </c>
      <c r="F156">
        <v>1100</v>
      </c>
      <c r="G156">
        <v>512</v>
      </c>
      <c r="H156">
        <v>150</v>
      </c>
      <c r="I156">
        <v>706</v>
      </c>
      <c r="M156">
        <v>87749.395499301856</v>
      </c>
      <c r="N156">
        <v>1.254</v>
      </c>
      <c r="O156">
        <v>0.80500000000000005</v>
      </c>
    </row>
    <row r="157" spans="1:15" x14ac:dyDescent="0.35">
      <c r="A157" t="s">
        <v>321</v>
      </c>
      <c r="B157" t="s">
        <v>290</v>
      </c>
      <c r="C157" t="s">
        <v>289</v>
      </c>
      <c r="F157">
        <v>3283</v>
      </c>
      <c r="J157">
        <v>158456</v>
      </c>
      <c r="K157">
        <v>2.0720000000000001</v>
      </c>
      <c r="M157">
        <v>153643</v>
      </c>
      <c r="N157">
        <v>2.137</v>
      </c>
    </row>
    <row r="158" spans="1:15" x14ac:dyDescent="0.35">
      <c r="A158" t="s">
        <v>214</v>
      </c>
      <c r="B158" t="s">
        <v>288</v>
      </c>
      <c r="C158" t="s">
        <v>287</v>
      </c>
      <c r="D158">
        <v>701</v>
      </c>
      <c r="E158">
        <v>879</v>
      </c>
      <c r="F158">
        <v>1580</v>
      </c>
      <c r="G158">
        <v>725</v>
      </c>
      <c r="H158">
        <v>449</v>
      </c>
      <c r="I158">
        <v>1174</v>
      </c>
      <c r="J158">
        <v>68158</v>
      </c>
      <c r="K158">
        <v>2.3180000000000001</v>
      </c>
      <c r="L158">
        <v>1.722</v>
      </c>
      <c r="M158">
        <v>63935</v>
      </c>
      <c r="N158">
        <v>2.4710000000000001</v>
      </c>
      <c r="O158">
        <v>1.8359999999999999</v>
      </c>
    </row>
    <row r="159" spans="1:15" x14ac:dyDescent="0.35">
      <c r="A159" t="s">
        <v>326</v>
      </c>
      <c r="B159" t="s">
        <v>305</v>
      </c>
      <c r="C159" t="s">
        <v>304</v>
      </c>
      <c r="F159">
        <v>2707</v>
      </c>
      <c r="J159">
        <v>157277</v>
      </c>
      <c r="K159">
        <v>1.7210000000000001</v>
      </c>
      <c r="M159">
        <v>151587</v>
      </c>
      <c r="N159">
        <v>1.786</v>
      </c>
    </row>
    <row r="160" spans="1:15" x14ac:dyDescent="0.35">
      <c r="A160" t="s">
        <v>466</v>
      </c>
      <c r="B160" t="s">
        <v>293</v>
      </c>
      <c r="D160">
        <v>16</v>
      </c>
      <c r="E160">
        <v>166</v>
      </c>
      <c r="F160">
        <v>182</v>
      </c>
      <c r="G160">
        <v>42</v>
      </c>
      <c r="H160">
        <v>8</v>
      </c>
      <c r="I160">
        <v>50</v>
      </c>
      <c r="M160">
        <v>10886.945853525613</v>
      </c>
      <c r="N160">
        <v>1.6720000000000002</v>
      </c>
      <c r="O160">
        <v>0.45900000000000002</v>
      </c>
    </row>
    <row r="161" spans="1:15" x14ac:dyDescent="0.35">
      <c r="A161" t="s">
        <v>326</v>
      </c>
      <c r="B161" t="s">
        <v>288</v>
      </c>
      <c r="C161" t="s">
        <v>287</v>
      </c>
      <c r="F161">
        <v>944</v>
      </c>
      <c r="J161">
        <v>69747</v>
      </c>
      <c r="K161">
        <v>1.353</v>
      </c>
      <c r="M161">
        <v>65237</v>
      </c>
      <c r="N161">
        <v>1.4470000000000001</v>
      </c>
    </row>
    <row r="162" spans="1:15" x14ac:dyDescent="0.35">
      <c r="A162" t="s">
        <v>319</v>
      </c>
      <c r="B162" t="s">
        <v>280</v>
      </c>
      <c r="C162" t="s">
        <v>279</v>
      </c>
      <c r="D162">
        <v>103</v>
      </c>
      <c r="E162">
        <v>196</v>
      </c>
      <c r="F162">
        <v>299</v>
      </c>
      <c r="G162">
        <v>110</v>
      </c>
      <c r="H162">
        <v>58</v>
      </c>
      <c r="I162">
        <v>168</v>
      </c>
      <c r="J162">
        <v>41657</v>
      </c>
      <c r="K162">
        <v>0.71799999999999997</v>
      </c>
      <c r="L162">
        <v>0.40300000000000002</v>
      </c>
      <c r="M162">
        <v>40137</v>
      </c>
      <c r="N162">
        <v>0.745</v>
      </c>
      <c r="O162">
        <v>0.41899999999999998</v>
      </c>
    </row>
    <row r="163" spans="1:15" x14ac:dyDescent="0.35">
      <c r="A163" t="s">
        <v>366</v>
      </c>
      <c r="B163" t="s">
        <v>260</v>
      </c>
      <c r="C163" t="s">
        <v>259</v>
      </c>
      <c r="D163">
        <v>587</v>
      </c>
      <c r="E163">
        <v>1106</v>
      </c>
      <c r="F163">
        <v>1693</v>
      </c>
      <c r="G163">
        <v>640</v>
      </c>
      <c r="H163">
        <v>250</v>
      </c>
      <c r="I163">
        <v>890</v>
      </c>
      <c r="J163">
        <v>38061</v>
      </c>
      <c r="K163">
        <v>4.4480000000000004</v>
      </c>
      <c r="L163">
        <v>2.3380000000000001</v>
      </c>
      <c r="M163">
        <v>38270</v>
      </c>
      <c r="N163">
        <v>4.4240000000000004</v>
      </c>
      <c r="O163">
        <v>2.3260000000000001</v>
      </c>
    </row>
    <row r="164" spans="1:15" x14ac:dyDescent="0.35">
      <c r="A164" t="s">
        <v>364</v>
      </c>
      <c r="B164" t="s">
        <v>245</v>
      </c>
      <c r="C164" t="s">
        <v>244</v>
      </c>
      <c r="D164">
        <v>1064</v>
      </c>
      <c r="E164">
        <v>392</v>
      </c>
      <c r="F164">
        <v>1456</v>
      </c>
      <c r="G164">
        <v>882</v>
      </c>
      <c r="H164">
        <v>540</v>
      </c>
      <c r="I164">
        <v>1422</v>
      </c>
      <c r="J164">
        <v>73555</v>
      </c>
      <c r="K164">
        <v>1.9790000000000001</v>
      </c>
      <c r="L164">
        <v>1.9330000000000001</v>
      </c>
      <c r="M164">
        <v>68682</v>
      </c>
      <c r="N164">
        <v>2.12</v>
      </c>
      <c r="O164">
        <v>2.0699999999999998</v>
      </c>
    </row>
    <row r="165" spans="1:15" x14ac:dyDescent="0.35">
      <c r="A165" t="s">
        <v>313</v>
      </c>
      <c r="B165" t="s">
        <v>254</v>
      </c>
      <c r="C165" t="s">
        <v>253</v>
      </c>
      <c r="D165">
        <v>656</v>
      </c>
      <c r="E165">
        <v>662</v>
      </c>
      <c r="F165">
        <v>1318</v>
      </c>
      <c r="G165">
        <v>758</v>
      </c>
      <c r="H165">
        <v>299</v>
      </c>
      <c r="I165">
        <v>1057</v>
      </c>
      <c r="J165">
        <v>46986</v>
      </c>
      <c r="K165">
        <v>2.8050000000000002</v>
      </c>
      <c r="L165">
        <v>2.25</v>
      </c>
      <c r="M165">
        <v>46228</v>
      </c>
      <c r="N165">
        <v>2.851</v>
      </c>
      <c r="O165">
        <v>2.286</v>
      </c>
    </row>
    <row r="166" spans="1:15" x14ac:dyDescent="0.35">
      <c r="A166" t="s">
        <v>327</v>
      </c>
      <c r="B166" t="s">
        <v>254</v>
      </c>
      <c r="D166">
        <v>166</v>
      </c>
      <c r="E166">
        <v>855</v>
      </c>
      <c r="F166">
        <v>1021</v>
      </c>
      <c r="G166">
        <v>316</v>
      </c>
      <c r="H166">
        <v>101</v>
      </c>
      <c r="I166">
        <v>417</v>
      </c>
      <c r="J166">
        <v>48165</v>
      </c>
      <c r="K166">
        <v>2.12</v>
      </c>
      <c r="L166">
        <v>0.86599999999999999</v>
      </c>
      <c r="M166">
        <v>46610</v>
      </c>
      <c r="N166">
        <v>2.1909999999999998</v>
      </c>
      <c r="O166">
        <v>0.89500000000000002</v>
      </c>
    </row>
    <row r="167" spans="1:15" x14ac:dyDescent="0.35">
      <c r="A167" t="s">
        <v>321</v>
      </c>
      <c r="B167" t="s">
        <v>299</v>
      </c>
      <c r="C167" t="s">
        <v>298</v>
      </c>
      <c r="F167">
        <v>1001</v>
      </c>
      <c r="J167">
        <v>59126</v>
      </c>
      <c r="K167">
        <v>1.6930000000000001</v>
      </c>
      <c r="M167">
        <v>55296</v>
      </c>
      <c r="N167">
        <v>1.81</v>
      </c>
    </row>
    <row r="168" spans="1:15" x14ac:dyDescent="0.35">
      <c r="A168" t="s">
        <v>319</v>
      </c>
      <c r="B168" t="s">
        <v>301</v>
      </c>
      <c r="C168" t="s">
        <v>300</v>
      </c>
      <c r="D168">
        <v>17</v>
      </c>
      <c r="E168">
        <v>59</v>
      </c>
      <c r="F168">
        <v>76</v>
      </c>
      <c r="G168">
        <v>8</v>
      </c>
      <c r="H168">
        <v>26</v>
      </c>
      <c r="I168">
        <v>34</v>
      </c>
      <c r="J168">
        <v>11374</v>
      </c>
      <c r="K168">
        <v>0.66800000000000004</v>
      </c>
      <c r="L168">
        <v>0.29899999999999999</v>
      </c>
      <c r="M168">
        <v>10461</v>
      </c>
      <c r="N168">
        <v>0.72699999999999998</v>
      </c>
      <c r="O168">
        <v>0.32500000000000001</v>
      </c>
    </row>
    <row r="169" spans="1:15" x14ac:dyDescent="0.35">
      <c r="A169" t="s">
        <v>327</v>
      </c>
      <c r="B169" t="s">
        <v>260</v>
      </c>
      <c r="D169">
        <v>159</v>
      </c>
      <c r="E169">
        <v>487</v>
      </c>
      <c r="F169">
        <v>646</v>
      </c>
      <c r="G169">
        <v>314</v>
      </c>
      <c r="H169">
        <v>68</v>
      </c>
      <c r="I169">
        <v>382</v>
      </c>
      <c r="J169">
        <v>40849</v>
      </c>
      <c r="K169">
        <v>1.581</v>
      </c>
      <c r="L169">
        <v>0.93500000000000005</v>
      </c>
      <c r="M169">
        <v>40260</v>
      </c>
      <c r="N169">
        <v>1.605</v>
      </c>
      <c r="O169">
        <v>0.94899999999999995</v>
      </c>
    </row>
    <row r="170" spans="1:15" x14ac:dyDescent="0.35">
      <c r="A170" t="s">
        <v>327</v>
      </c>
      <c r="B170" t="s">
        <v>310</v>
      </c>
      <c r="D170">
        <v>194</v>
      </c>
      <c r="E170">
        <v>749</v>
      </c>
      <c r="F170">
        <v>943</v>
      </c>
      <c r="G170">
        <v>268</v>
      </c>
      <c r="H170">
        <v>137</v>
      </c>
      <c r="I170">
        <v>405</v>
      </c>
      <c r="J170">
        <v>46068</v>
      </c>
      <c r="K170">
        <v>2.0470000000000002</v>
      </c>
      <c r="L170">
        <v>0.879</v>
      </c>
      <c r="M170">
        <v>42822</v>
      </c>
      <c r="N170">
        <v>2.202</v>
      </c>
      <c r="O170">
        <v>0.94599999999999995</v>
      </c>
    </row>
    <row r="171" spans="1:15" x14ac:dyDescent="0.35">
      <c r="A171" t="s">
        <v>466</v>
      </c>
      <c r="B171" t="s">
        <v>282</v>
      </c>
      <c r="D171">
        <v>48</v>
      </c>
      <c r="E171">
        <v>502</v>
      </c>
      <c r="F171">
        <v>550</v>
      </c>
      <c r="G171">
        <v>85</v>
      </c>
      <c r="H171">
        <v>37</v>
      </c>
      <c r="I171">
        <v>124</v>
      </c>
      <c r="M171">
        <v>44291.343786430371</v>
      </c>
      <c r="N171">
        <v>1.242</v>
      </c>
      <c r="O171">
        <v>0.28000000000000003</v>
      </c>
    </row>
    <row r="172" spans="1:15" x14ac:dyDescent="0.35">
      <c r="A172" t="s">
        <v>366</v>
      </c>
      <c r="B172" t="s">
        <v>245</v>
      </c>
      <c r="C172" t="s">
        <v>244</v>
      </c>
      <c r="D172">
        <v>1086</v>
      </c>
      <c r="E172">
        <v>1068</v>
      </c>
      <c r="F172">
        <v>2154</v>
      </c>
      <c r="G172">
        <v>923</v>
      </c>
      <c r="H172">
        <v>558</v>
      </c>
      <c r="I172">
        <v>1481</v>
      </c>
      <c r="J172">
        <v>74190</v>
      </c>
      <c r="K172">
        <v>2.903</v>
      </c>
      <c r="L172">
        <v>1.996</v>
      </c>
      <c r="M172">
        <v>68999</v>
      </c>
      <c r="N172">
        <v>3.1219999999999999</v>
      </c>
      <c r="O172">
        <v>2.1459999999999999</v>
      </c>
    </row>
    <row r="173" spans="1:15" x14ac:dyDescent="0.35">
      <c r="A173" t="s">
        <v>466</v>
      </c>
      <c r="B173" t="s">
        <v>254</v>
      </c>
      <c r="D173">
        <v>113</v>
      </c>
      <c r="E173">
        <v>688</v>
      </c>
      <c r="F173">
        <v>801</v>
      </c>
      <c r="G173">
        <v>199</v>
      </c>
      <c r="H173">
        <v>81</v>
      </c>
      <c r="I173">
        <v>317</v>
      </c>
      <c r="M173">
        <v>46742.806549922221</v>
      </c>
      <c r="N173">
        <v>1.714</v>
      </c>
      <c r="O173">
        <v>0.67800000000000005</v>
      </c>
    </row>
    <row r="174" spans="1:15" x14ac:dyDescent="0.35">
      <c r="A174" t="s">
        <v>342</v>
      </c>
      <c r="B174" t="s">
        <v>299</v>
      </c>
      <c r="C174" t="s">
        <v>298</v>
      </c>
      <c r="D174">
        <v>1121</v>
      </c>
      <c r="E174">
        <v>1263</v>
      </c>
      <c r="F174">
        <v>2384</v>
      </c>
      <c r="G174">
        <v>779</v>
      </c>
      <c r="H174">
        <v>941</v>
      </c>
      <c r="I174">
        <v>1720</v>
      </c>
      <c r="J174">
        <v>58167</v>
      </c>
      <c r="K174">
        <v>4.0990000000000002</v>
      </c>
      <c r="L174">
        <v>2.9569999999999999</v>
      </c>
      <c r="M174">
        <v>54306</v>
      </c>
      <c r="N174">
        <v>4.3899999999999997</v>
      </c>
      <c r="O174">
        <v>3.1669999999999998</v>
      </c>
    </row>
    <row r="175" spans="1:15" x14ac:dyDescent="0.35">
      <c r="A175" t="s">
        <v>366</v>
      </c>
      <c r="B175" t="s">
        <v>248</v>
      </c>
      <c r="C175" t="s">
        <v>247</v>
      </c>
      <c r="D175">
        <v>849</v>
      </c>
      <c r="E175">
        <v>3502</v>
      </c>
      <c r="F175">
        <v>4351</v>
      </c>
      <c r="G175">
        <v>818</v>
      </c>
      <c r="H175">
        <v>370</v>
      </c>
      <c r="I175">
        <v>1188</v>
      </c>
      <c r="J175">
        <v>73689</v>
      </c>
      <c r="K175">
        <v>5.9050000000000002</v>
      </c>
      <c r="L175">
        <v>1.6120000000000001</v>
      </c>
      <c r="M175">
        <v>69534</v>
      </c>
      <c r="N175">
        <v>6.2569999999999997</v>
      </c>
      <c r="O175">
        <v>1.7090000000000001</v>
      </c>
    </row>
    <row r="176" spans="1:15" x14ac:dyDescent="0.35">
      <c r="A176" t="s">
        <v>366</v>
      </c>
      <c r="B176" t="s">
        <v>293</v>
      </c>
      <c r="C176" t="s">
        <v>292</v>
      </c>
      <c r="D176">
        <v>134</v>
      </c>
      <c r="E176">
        <v>192</v>
      </c>
      <c r="F176">
        <v>326</v>
      </c>
      <c r="G176">
        <v>109</v>
      </c>
      <c r="H176">
        <v>92</v>
      </c>
      <c r="I176">
        <v>201</v>
      </c>
      <c r="J176">
        <v>10924</v>
      </c>
      <c r="K176">
        <v>2.984</v>
      </c>
      <c r="L176">
        <v>1.8399999999999999</v>
      </c>
      <c r="M176">
        <v>10146</v>
      </c>
      <c r="N176">
        <v>3.2130000000000001</v>
      </c>
      <c r="O176">
        <v>1.9809999999999999</v>
      </c>
    </row>
    <row r="177" spans="1:15" x14ac:dyDescent="0.35">
      <c r="A177" t="s">
        <v>466</v>
      </c>
      <c r="B177" t="s">
        <v>303</v>
      </c>
      <c r="D177">
        <v>77</v>
      </c>
      <c r="E177">
        <v>531</v>
      </c>
      <c r="F177">
        <v>608</v>
      </c>
      <c r="G177">
        <v>147</v>
      </c>
      <c r="H177">
        <v>47</v>
      </c>
      <c r="I177">
        <v>215</v>
      </c>
      <c r="M177">
        <v>53129.170261244602</v>
      </c>
      <c r="N177">
        <v>1.1439999999999999</v>
      </c>
      <c r="O177">
        <v>0.40500000000000003</v>
      </c>
    </row>
    <row r="178" spans="1:15" x14ac:dyDescent="0.35">
      <c r="A178" t="s">
        <v>466</v>
      </c>
      <c r="B178" t="s">
        <v>310</v>
      </c>
      <c r="D178">
        <v>104</v>
      </c>
      <c r="E178">
        <v>704</v>
      </c>
      <c r="F178">
        <v>808</v>
      </c>
      <c r="G178">
        <v>218</v>
      </c>
      <c r="H178">
        <v>95</v>
      </c>
      <c r="I178">
        <v>330</v>
      </c>
      <c r="M178">
        <v>43050.124248335145</v>
      </c>
      <c r="N178">
        <v>1.877</v>
      </c>
      <c r="O178">
        <v>0.76700000000000002</v>
      </c>
    </row>
    <row r="179" spans="1:15" x14ac:dyDescent="0.35">
      <c r="A179" t="s">
        <v>342</v>
      </c>
      <c r="B179" t="s">
        <v>241</v>
      </c>
      <c r="C179" t="s">
        <v>240</v>
      </c>
      <c r="D179">
        <v>205</v>
      </c>
      <c r="E179">
        <v>360</v>
      </c>
      <c r="F179">
        <v>565</v>
      </c>
      <c r="G179">
        <v>233</v>
      </c>
      <c r="H179">
        <v>85</v>
      </c>
      <c r="I179">
        <v>318</v>
      </c>
      <c r="J179">
        <v>24377</v>
      </c>
      <c r="K179">
        <v>2.3180000000000001</v>
      </c>
      <c r="L179">
        <v>1.3049999999999999</v>
      </c>
      <c r="M179">
        <v>23563</v>
      </c>
      <c r="N179">
        <v>2.3980000000000001</v>
      </c>
      <c r="O179">
        <v>1.35</v>
      </c>
    </row>
    <row r="180" spans="1:15" x14ac:dyDescent="0.35">
      <c r="A180" t="s">
        <v>365</v>
      </c>
      <c r="B180" t="s">
        <v>248</v>
      </c>
      <c r="C180" t="s">
        <v>247</v>
      </c>
      <c r="D180">
        <v>698</v>
      </c>
      <c r="E180">
        <v>3024</v>
      </c>
      <c r="F180">
        <v>3722</v>
      </c>
      <c r="G180">
        <v>677</v>
      </c>
      <c r="H180">
        <v>308</v>
      </c>
      <c r="I180">
        <v>985</v>
      </c>
      <c r="J180">
        <v>73575</v>
      </c>
      <c r="K180">
        <v>5.0590000000000002</v>
      </c>
      <c r="L180">
        <v>1.339</v>
      </c>
      <c r="M180">
        <v>69610</v>
      </c>
      <c r="N180">
        <v>5.3469999999999995</v>
      </c>
      <c r="O180">
        <v>1.415</v>
      </c>
    </row>
    <row r="181" spans="1:15" x14ac:dyDescent="0.35">
      <c r="A181" t="s">
        <v>313</v>
      </c>
      <c r="B181" t="s">
        <v>295</v>
      </c>
      <c r="C181" t="s">
        <v>294</v>
      </c>
      <c r="D181">
        <v>389</v>
      </c>
      <c r="E181">
        <v>1165</v>
      </c>
      <c r="F181">
        <v>1554</v>
      </c>
      <c r="G181">
        <v>403</v>
      </c>
      <c r="H181">
        <v>198</v>
      </c>
      <c r="I181">
        <v>601</v>
      </c>
      <c r="J181">
        <v>73267</v>
      </c>
      <c r="K181">
        <v>2.121</v>
      </c>
      <c r="L181">
        <v>0.82</v>
      </c>
      <c r="M181">
        <v>69003</v>
      </c>
      <c r="N181">
        <v>2.2519999999999998</v>
      </c>
      <c r="O181">
        <v>0.871</v>
      </c>
    </row>
    <row r="182" spans="1:15" x14ac:dyDescent="0.35">
      <c r="A182" t="s">
        <v>341</v>
      </c>
      <c r="B182" t="s">
        <v>256</v>
      </c>
      <c r="C182" t="s">
        <v>255</v>
      </c>
      <c r="D182">
        <v>596</v>
      </c>
      <c r="E182">
        <v>578</v>
      </c>
      <c r="F182">
        <v>1174</v>
      </c>
      <c r="G182">
        <v>608</v>
      </c>
      <c r="H182">
        <v>364</v>
      </c>
      <c r="I182">
        <v>972</v>
      </c>
      <c r="J182">
        <v>46672</v>
      </c>
      <c r="K182">
        <v>2.5150000000000001</v>
      </c>
      <c r="L182">
        <v>2.0830000000000002</v>
      </c>
      <c r="M182">
        <v>44749</v>
      </c>
      <c r="N182">
        <v>2.6240000000000001</v>
      </c>
      <c r="O182">
        <v>2.1720000000000002</v>
      </c>
    </row>
    <row r="183" spans="1:15" x14ac:dyDescent="0.35">
      <c r="A183" t="s">
        <v>341</v>
      </c>
      <c r="B183" t="s">
        <v>301</v>
      </c>
      <c r="C183" t="s">
        <v>300</v>
      </c>
      <c r="D183">
        <v>86</v>
      </c>
      <c r="E183">
        <v>283</v>
      </c>
      <c r="F183">
        <v>369</v>
      </c>
      <c r="G183">
        <v>90</v>
      </c>
      <c r="H183">
        <v>70</v>
      </c>
      <c r="I183">
        <v>160</v>
      </c>
      <c r="J183">
        <v>11109</v>
      </c>
      <c r="K183">
        <v>3.3220000000000001</v>
      </c>
      <c r="L183">
        <v>1.44</v>
      </c>
      <c r="M183">
        <v>10283</v>
      </c>
      <c r="N183">
        <v>3.5880000000000001</v>
      </c>
      <c r="O183">
        <v>1.556</v>
      </c>
    </row>
    <row r="184" spans="1:15" x14ac:dyDescent="0.35">
      <c r="A184" t="s">
        <v>313</v>
      </c>
      <c r="B184" t="s">
        <v>235</v>
      </c>
      <c r="C184" t="s">
        <v>234</v>
      </c>
      <c r="D184">
        <v>1502</v>
      </c>
      <c r="E184">
        <v>3441</v>
      </c>
      <c r="F184">
        <v>4943</v>
      </c>
      <c r="G184">
        <v>1592</v>
      </c>
      <c r="H184">
        <v>578</v>
      </c>
      <c r="I184">
        <v>2170</v>
      </c>
      <c r="J184">
        <v>252731</v>
      </c>
      <c r="K184">
        <v>1.956</v>
      </c>
      <c r="L184">
        <v>0.85899999999999999</v>
      </c>
      <c r="M184">
        <v>238269</v>
      </c>
      <c r="N184">
        <v>2.0750000000000002</v>
      </c>
      <c r="O184">
        <v>0.91100000000000003</v>
      </c>
    </row>
    <row r="185" spans="1:15" x14ac:dyDescent="0.35">
      <c r="A185" t="s">
        <v>365</v>
      </c>
      <c r="B185" t="s">
        <v>284</v>
      </c>
      <c r="C185" t="s">
        <v>283</v>
      </c>
      <c r="D185">
        <v>93</v>
      </c>
      <c r="E185">
        <v>199</v>
      </c>
      <c r="F185">
        <v>292</v>
      </c>
      <c r="G185">
        <v>116</v>
      </c>
      <c r="H185">
        <v>30</v>
      </c>
      <c r="I185">
        <v>146</v>
      </c>
      <c r="J185">
        <v>14520</v>
      </c>
      <c r="K185">
        <v>2.0110000000000001</v>
      </c>
      <c r="L185">
        <v>1.006</v>
      </c>
      <c r="M185">
        <v>12920</v>
      </c>
      <c r="N185">
        <v>2.2599999999999998</v>
      </c>
      <c r="O185">
        <v>1.1299999999999999</v>
      </c>
    </row>
    <row r="186" spans="1:15" x14ac:dyDescent="0.35">
      <c r="A186" t="s">
        <v>326</v>
      </c>
      <c r="B186" t="s">
        <v>235</v>
      </c>
      <c r="C186" t="s">
        <v>234</v>
      </c>
      <c r="F186">
        <v>2046</v>
      </c>
      <c r="J186">
        <v>261000</v>
      </c>
      <c r="K186">
        <v>0.78400000000000003</v>
      </c>
      <c r="M186">
        <v>244738</v>
      </c>
      <c r="N186">
        <v>0.83599999999999997</v>
      </c>
    </row>
    <row r="187" spans="1:15" x14ac:dyDescent="0.35">
      <c r="A187" t="s">
        <v>342</v>
      </c>
      <c r="B187" t="s">
        <v>221</v>
      </c>
      <c r="C187" t="s">
        <v>220</v>
      </c>
      <c r="D187">
        <v>735</v>
      </c>
      <c r="E187">
        <v>1405</v>
      </c>
      <c r="F187">
        <v>2140</v>
      </c>
      <c r="G187">
        <v>828</v>
      </c>
      <c r="H187">
        <v>451</v>
      </c>
      <c r="I187">
        <v>1279</v>
      </c>
      <c r="J187">
        <v>117363</v>
      </c>
      <c r="K187">
        <v>1.823</v>
      </c>
      <c r="L187">
        <v>1.0900000000000001</v>
      </c>
      <c r="M187">
        <v>110941</v>
      </c>
      <c r="N187">
        <v>1.929</v>
      </c>
      <c r="O187">
        <v>1.153</v>
      </c>
    </row>
    <row r="188" spans="1:15" x14ac:dyDescent="0.35">
      <c r="A188" t="s">
        <v>466</v>
      </c>
      <c r="B188" t="s">
        <v>241</v>
      </c>
      <c r="D188">
        <v>29</v>
      </c>
      <c r="E188">
        <v>332</v>
      </c>
      <c r="F188">
        <v>361</v>
      </c>
      <c r="G188">
        <v>32</v>
      </c>
      <c r="H188">
        <v>16</v>
      </c>
      <c r="I188">
        <v>55</v>
      </c>
      <c r="M188">
        <v>24437.594766831102</v>
      </c>
      <c r="N188">
        <v>1.4769999999999999</v>
      </c>
      <c r="O188">
        <v>0.22500000000000001</v>
      </c>
    </row>
    <row r="189" spans="1:15" x14ac:dyDescent="0.35">
      <c r="A189" t="s">
        <v>342</v>
      </c>
      <c r="B189" t="s">
        <v>264</v>
      </c>
      <c r="C189" t="s">
        <v>263</v>
      </c>
      <c r="D189">
        <v>512</v>
      </c>
      <c r="E189">
        <v>1083</v>
      </c>
      <c r="F189">
        <v>1595</v>
      </c>
      <c r="G189">
        <v>530</v>
      </c>
      <c r="H189">
        <v>280</v>
      </c>
      <c r="I189">
        <v>810</v>
      </c>
      <c r="J189">
        <v>74361</v>
      </c>
      <c r="K189">
        <v>2.145</v>
      </c>
      <c r="L189">
        <v>1.089</v>
      </c>
      <c r="M189">
        <v>71800</v>
      </c>
      <c r="N189">
        <v>2.2210000000000001</v>
      </c>
      <c r="O189">
        <v>1.1280000000000001</v>
      </c>
    </row>
    <row r="190" spans="1:15" x14ac:dyDescent="0.35">
      <c r="A190" t="s">
        <v>341</v>
      </c>
      <c r="B190" t="s">
        <v>312</v>
      </c>
      <c r="C190" t="s">
        <v>311</v>
      </c>
      <c r="D190">
        <v>972</v>
      </c>
      <c r="E190">
        <v>766</v>
      </c>
      <c r="F190">
        <v>1738</v>
      </c>
      <c r="G190">
        <v>837</v>
      </c>
      <c r="H190">
        <v>665</v>
      </c>
      <c r="I190">
        <v>1502</v>
      </c>
      <c r="J190">
        <v>78604</v>
      </c>
      <c r="K190">
        <v>2.2109999999999999</v>
      </c>
      <c r="L190">
        <v>1.911</v>
      </c>
      <c r="M190">
        <v>76630</v>
      </c>
      <c r="N190">
        <v>2.2679999999999998</v>
      </c>
      <c r="O190">
        <v>1.96</v>
      </c>
    </row>
    <row r="191" spans="1:15" x14ac:dyDescent="0.35">
      <c r="A191" t="s">
        <v>365</v>
      </c>
      <c r="B191" t="s">
        <v>225</v>
      </c>
      <c r="C191" t="s">
        <v>224</v>
      </c>
      <c r="D191">
        <v>486</v>
      </c>
      <c r="E191">
        <v>1357</v>
      </c>
      <c r="F191">
        <v>1843</v>
      </c>
      <c r="G191">
        <v>498</v>
      </c>
      <c r="H191">
        <v>226</v>
      </c>
      <c r="I191">
        <v>724</v>
      </c>
      <c r="J191">
        <v>55267</v>
      </c>
      <c r="K191">
        <v>3.335</v>
      </c>
      <c r="L191">
        <v>1.31</v>
      </c>
      <c r="M191">
        <v>52692</v>
      </c>
      <c r="N191">
        <v>3.4980000000000002</v>
      </c>
      <c r="O191">
        <v>1.3740000000000001</v>
      </c>
    </row>
    <row r="192" spans="1:15" x14ac:dyDescent="0.35">
      <c r="A192" t="s">
        <v>466</v>
      </c>
      <c r="B192" t="s">
        <v>299</v>
      </c>
      <c r="D192">
        <v>123</v>
      </c>
      <c r="E192">
        <v>599</v>
      </c>
      <c r="F192">
        <v>722</v>
      </c>
      <c r="G192">
        <v>184</v>
      </c>
      <c r="H192">
        <v>95</v>
      </c>
      <c r="I192">
        <v>334</v>
      </c>
      <c r="M192">
        <v>56084.6598177981</v>
      </c>
      <c r="N192">
        <v>1.2869999999999999</v>
      </c>
      <c r="O192">
        <v>0.59599999999999997</v>
      </c>
    </row>
    <row r="193" spans="1:15" x14ac:dyDescent="0.35">
      <c r="A193" t="s">
        <v>342</v>
      </c>
      <c r="B193" t="s">
        <v>308</v>
      </c>
      <c r="C193" t="s">
        <v>307</v>
      </c>
      <c r="D193">
        <v>335</v>
      </c>
      <c r="E193">
        <v>625</v>
      </c>
      <c r="F193">
        <v>960</v>
      </c>
      <c r="G193">
        <v>315</v>
      </c>
      <c r="H193">
        <v>213</v>
      </c>
      <c r="I193">
        <v>528</v>
      </c>
      <c r="J193">
        <v>41250</v>
      </c>
      <c r="K193">
        <v>2.327</v>
      </c>
      <c r="L193">
        <v>1.28</v>
      </c>
      <c r="M193">
        <v>39285</v>
      </c>
      <c r="N193">
        <v>2.444</v>
      </c>
      <c r="O193">
        <v>1.3439999999999999</v>
      </c>
    </row>
    <row r="194" spans="1:15" x14ac:dyDescent="0.35">
      <c r="A194" t="s">
        <v>366</v>
      </c>
      <c r="B194" t="s">
        <v>297</v>
      </c>
      <c r="C194" t="s">
        <v>296</v>
      </c>
      <c r="D194">
        <v>794</v>
      </c>
      <c r="E194">
        <v>944</v>
      </c>
      <c r="F194">
        <v>1738</v>
      </c>
      <c r="G194">
        <v>865</v>
      </c>
      <c r="H194">
        <v>399</v>
      </c>
      <c r="I194">
        <v>1264</v>
      </c>
      <c r="J194">
        <v>84997</v>
      </c>
      <c r="K194">
        <v>2.0449999999999999</v>
      </c>
      <c r="L194">
        <v>1.4870000000000001</v>
      </c>
      <c r="M194">
        <v>83245</v>
      </c>
      <c r="N194">
        <v>2.0880000000000001</v>
      </c>
      <c r="O194">
        <v>1.518</v>
      </c>
    </row>
    <row r="195" spans="1:15" x14ac:dyDescent="0.35">
      <c r="A195" t="s">
        <v>326</v>
      </c>
      <c r="B195" t="s">
        <v>225</v>
      </c>
      <c r="C195" t="s">
        <v>224</v>
      </c>
      <c r="F195">
        <v>1332</v>
      </c>
      <c r="J195">
        <v>58088</v>
      </c>
      <c r="K195">
        <v>2.2930000000000001</v>
      </c>
      <c r="M195">
        <v>55441</v>
      </c>
      <c r="N195">
        <v>2.403</v>
      </c>
    </row>
    <row r="196" spans="1:15" x14ac:dyDescent="0.35">
      <c r="A196" t="s">
        <v>319</v>
      </c>
      <c r="B196" t="s">
        <v>312</v>
      </c>
      <c r="C196" t="s">
        <v>311</v>
      </c>
      <c r="D196">
        <v>272</v>
      </c>
      <c r="E196">
        <v>405</v>
      </c>
      <c r="F196">
        <v>677</v>
      </c>
      <c r="G196">
        <v>260</v>
      </c>
      <c r="H196">
        <v>158</v>
      </c>
      <c r="I196">
        <v>418</v>
      </c>
      <c r="J196">
        <v>81723</v>
      </c>
      <c r="K196">
        <v>0.82799999999999996</v>
      </c>
      <c r="L196">
        <v>0.51100000000000001</v>
      </c>
      <c r="M196">
        <v>79892</v>
      </c>
      <c r="N196">
        <v>0.84699999999999998</v>
      </c>
      <c r="O196">
        <v>0.52300000000000002</v>
      </c>
    </row>
    <row r="197" spans="1:15" x14ac:dyDescent="0.35">
      <c r="A197" t="s">
        <v>327</v>
      </c>
      <c r="B197" t="s">
        <v>216</v>
      </c>
      <c r="D197">
        <v>158</v>
      </c>
      <c r="E197">
        <v>1521</v>
      </c>
      <c r="F197">
        <v>1679</v>
      </c>
      <c r="G197">
        <v>349</v>
      </c>
      <c r="H197">
        <v>132</v>
      </c>
      <c r="I197">
        <v>481</v>
      </c>
      <c r="J197">
        <v>124369</v>
      </c>
      <c r="K197">
        <v>1.35</v>
      </c>
      <c r="L197">
        <v>0.38700000000000001</v>
      </c>
      <c r="M197">
        <v>111024</v>
      </c>
      <c r="N197">
        <v>1.512</v>
      </c>
      <c r="O197">
        <v>0.433</v>
      </c>
    </row>
    <row r="198" spans="1:15" x14ac:dyDescent="0.35">
      <c r="A198" t="s">
        <v>327</v>
      </c>
      <c r="B198" t="s">
        <v>229</v>
      </c>
      <c r="D198">
        <v>97</v>
      </c>
      <c r="E198">
        <v>739</v>
      </c>
      <c r="F198">
        <v>836</v>
      </c>
      <c r="G198">
        <v>182</v>
      </c>
      <c r="H198">
        <v>82</v>
      </c>
      <c r="I198">
        <v>264</v>
      </c>
      <c r="J198">
        <v>49144</v>
      </c>
      <c r="K198">
        <v>1.7010000000000001</v>
      </c>
      <c r="L198">
        <v>0.53700000000000003</v>
      </c>
      <c r="M198">
        <v>42610</v>
      </c>
      <c r="N198">
        <v>1.962</v>
      </c>
      <c r="O198">
        <v>0.62</v>
      </c>
    </row>
    <row r="199" spans="1:15" x14ac:dyDescent="0.35">
      <c r="A199" t="s">
        <v>321</v>
      </c>
      <c r="B199" t="s">
        <v>235</v>
      </c>
      <c r="C199" t="s">
        <v>234</v>
      </c>
      <c r="F199">
        <v>2702</v>
      </c>
      <c r="J199">
        <v>257658</v>
      </c>
      <c r="K199">
        <v>1.0489999999999999</v>
      </c>
      <c r="M199">
        <v>241658</v>
      </c>
      <c r="N199">
        <v>1.1179999999999999</v>
      </c>
    </row>
    <row r="200" spans="1:15" x14ac:dyDescent="0.35">
      <c r="A200" t="s">
        <v>321</v>
      </c>
      <c r="B200" t="s">
        <v>303</v>
      </c>
      <c r="C200" t="s">
        <v>302</v>
      </c>
      <c r="F200">
        <v>834</v>
      </c>
      <c r="J200">
        <v>56016</v>
      </c>
      <c r="K200">
        <v>1.4889999999999999</v>
      </c>
      <c r="M200">
        <v>52753</v>
      </c>
      <c r="N200">
        <v>1.581</v>
      </c>
    </row>
    <row r="201" spans="1:15" x14ac:dyDescent="0.35">
      <c r="A201" t="s">
        <v>313</v>
      </c>
      <c r="B201" t="s">
        <v>216</v>
      </c>
      <c r="C201" t="s">
        <v>215</v>
      </c>
      <c r="D201">
        <v>392</v>
      </c>
      <c r="E201">
        <v>2273</v>
      </c>
      <c r="F201">
        <v>2665</v>
      </c>
      <c r="G201">
        <v>391</v>
      </c>
      <c r="H201">
        <v>199</v>
      </c>
      <c r="I201">
        <v>590</v>
      </c>
      <c r="J201">
        <v>119523</v>
      </c>
      <c r="K201">
        <v>2.23</v>
      </c>
      <c r="L201">
        <v>0.49399999999999999</v>
      </c>
      <c r="M201">
        <v>108381</v>
      </c>
      <c r="N201">
        <v>2.4590000000000001</v>
      </c>
      <c r="O201">
        <v>0.54400000000000004</v>
      </c>
    </row>
    <row r="202" spans="1:15" x14ac:dyDescent="0.35">
      <c r="A202" t="s">
        <v>321</v>
      </c>
      <c r="B202" t="s">
        <v>268</v>
      </c>
      <c r="C202" t="s">
        <v>1101</v>
      </c>
      <c r="F202">
        <v>3158</v>
      </c>
      <c r="J202">
        <v>180234</v>
      </c>
      <c r="K202">
        <v>1.752</v>
      </c>
      <c r="M202">
        <v>171086</v>
      </c>
      <c r="N202">
        <v>1.8460000000000001</v>
      </c>
    </row>
    <row r="203" spans="1:15" x14ac:dyDescent="0.35">
      <c r="A203" t="s">
        <v>214</v>
      </c>
      <c r="B203" t="s">
        <v>268</v>
      </c>
      <c r="C203" t="s">
        <v>1101</v>
      </c>
      <c r="D203">
        <v>2778</v>
      </c>
      <c r="E203">
        <v>3429</v>
      </c>
      <c r="F203">
        <v>6207</v>
      </c>
      <c r="G203">
        <v>2925</v>
      </c>
      <c r="H203">
        <v>1478</v>
      </c>
      <c r="I203">
        <v>4403</v>
      </c>
      <c r="J203">
        <v>177084</v>
      </c>
      <c r="K203">
        <v>3.5049999999999999</v>
      </c>
      <c r="L203">
        <v>2.4859999999999998</v>
      </c>
      <c r="M203">
        <v>167944</v>
      </c>
      <c r="N203">
        <v>3.6959999999999997</v>
      </c>
      <c r="O203">
        <v>2.6219999999999999</v>
      </c>
    </row>
    <row r="204" spans="1:15" x14ac:dyDescent="0.35">
      <c r="A204" t="s">
        <v>365</v>
      </c>
      <c r="B204" t="s">
        <v>280</v>
      </c>
      <c r="C204" t="s">
        <v>279</v>
      </c>
      <c r="D204">
        <v>479</v>
      </c>
      <c r="E204">
        <v>491</v>
      </c>
      <c r="F204">
        <v>970</v>
      </c>
      <c r="G204">
        <v>465</v>
      </c>
      <c r="H204">
        <v>272</v>
      </c>
      <c r="I204">
        <v>737</v>
      </c>
      <c r="J204">
        <v>38159</v>
      </c>
      <c r="K204">
        <v>2.5419999999999998</v>
      </c>
      <c r="L204">
        <v>1.931</v>
      </c>
      <c r="M204">
        <v>36602</v>
      </c>
      <c r="N204">
        <v>2.65</v>
      </c>
      <c r="O204">
        <v>2.0139999999999998</v>
      </c>
    </row>
    <row r="205" spans="1:15" x14ac:dyDescent="0.35">
      <c r="A205" t="s">
        <v>342</v>
      </c>
      <c r="B205" t="s">
        <v>284</v>
      </c>
      <c r="C205" t="s">
        <v>283</v>
      </c>
      <c r="D205">
        <v>125</v>
      </c>
      <c r="E205">
        <v>223</v>
      </c>
      <c r="F205">
        <v>348</v>
      </c>
      <c r="G205">
        <v>171</v>
      </c>
      <c r="H205">
        <v>11</v>
      </c>
      <c r="I205">
        <v>182</v>
      </c>
      <c r="J205">
        <v>14714</v>
      </c>
      <c r="K205">
        <v>2.3650000000000002</v>
      </c>
      <c r="L205">
        <v>1.2370000000000001</v>
      </c>
      <c r="M205">
        <v>12805</v>
      </c>
      <c r="N205">
        <v>2.718</v>
      </c>
      <c r="O205">
        <v>1.421</v>
      </c>
    </row>
    <row r="206" spans="1:15" x14ac:dyDescent="0.35">
      <c r="A206" t="s">
        <v>341</v>
      </c>
      <c r="B206" t="s">
        <v>235</v>
      </c>
      <c r="C206" t="s">
        <v>234</v>
      </c>
      <c r="D206">
        <v>2671</v>
      </c>
      <c r="E206">
        <v>2368</v>
      </c>
      <c r="F206">
        <v>5039</v>
      </c>
      <c r="G206">
        <v>2446</v>
      </c>
      <c r="H206">
        <v>1264</v>
      </c>
      <c r="I206">
        <v>3710</v>
      </c>
      <c r="J206">
        <v>244131</v>
      </c>
      <c r="K206">
        <v>2.0640000000000001</v>
      </c>
      <c r="L206">
        <v>1.52</v>
      </c>
      <c r="M206">
        <v>231383</v>
      </c>
      <c r="N206">
        <v>2.1779999999999999</v>
      </c>
      <c r="O206">
        <v>1.603</v>
      </c>
    </row>
    <row r="207" spans="1:15" x14ac:dyDescent="0.35">
      <c r="A207" t="s">
        <v>313</v>
      </c>
      <c r="B207" t="s">
        <v>312</v>
      </c>
      <c r="C207" t="s">
        <v>311</v>
      </c>
      <c r="D207">
        <v>658</v>
      </c>
      <c r="E207">
        <v>1193</v>
      </c>
      <c r="F207">
        <v>1851</v>
      </c>
      <c r="G207">
        <v>631</v>
      </c>
      <c r="H207">
        <v>327</v>
      </c>
      <c r="I207">
        <v>958</v>
      </c>
      <c r="J207">
        <v>80911</v>
      </c>
      <c r="K207">
        <v>2.2879999999999998</v>
      </c>
      <c r="L207">
        <v>1.1839999999999999</v>
      </c>
      <c r="M207">
        <v>78966</v>
      </c>
      <c r="N207">
        <v>2.3439999999999999</v>
      </c>
      <c r="O207">
        <v>1.2130000000000001</v>
      </c>
    </row>
    <row r="208" spans="1:15" x14ac:dyDescent="0.35">
      <c r="A208" t="s">
        <v>313</v>
      </c>
      <c r="B208" t="s">
        <v>305</v>
      </c>
      <c r="C208" t="s">
        <v>304</v>
      </c>
      <c r="D208">
        <v>1364</v>
      </c>
      <c r="E208">
        <v>2345</v>
      </c>
      <c r="F208">
        <v>3709</v>
      </c>
      <c r="G208">
        <v>1628</v>
      </c>
      <c r="H208">
        <v>551</v>
      </c>
      <c r="I208">
        <v>2179</v>
      </c>
      <c r="J208">
        <v>152998</v>
      </c>
      <c r="K208">
        <v>2.4239999999999999</v>
      </c>
      <c r="L208">
        <v>1.4239999999999999</v>
      </c>
      <c r="M208">
        <v>147434</v>
      </c>
      <c r="N208">
        <v>2.516</v>
      </c>
      <c r="O208">
        <v>1.478</v>
      </c>
    </row>
    <row r="209" spans="1:15" x14ac:dyDescent="0.35">
      <c r="A209" t="s">
        <v>342</v>
      </c>
      <c r="B209" t="s">
        <v>301</v>
      </c>
      <c r="C209" t="s">
        <v>300</v>
      </c>
      <c r="D209">
        <v>113</v>
      </c>
      <c r="E209">
        <v>212</v>
      </c>
      <c r="F209">
        <v>325</v>
      </c>
      <c r="G209">
        <v>128</v>
      </c>
      <c r="H209">
        <v>76</v>
      </c>
      <c r="I209">
        <v>204</v>
      </c>
      <c r="J209">
        <v>11180</v>
      </c>
      <c r="K209">
        <v>2.907</v>
      </c>
      <c r="L209">
        <v>1.825</v>
      </c>
      <c r="M209">
        <v>10341</v>
      </c>
      <c r="N209">
        <v>3.1429999999999998</v>
      </c>
      <c r="O209">
        <v>1.9729999999999999</v>
      </c>
    </row>
    <row r="210" spans="1:15" x14ac:dyDescent="0.35">
      <c r="A210" t="s">
        <v>342</v>
      </c>
      <c r="B210" t="s">
        <v>254</v>
      </c>
      <c r="C210" t="s">
        <v>253</v>
      </c>
      <c r="D210">
        <v>721</v>
      </c>
      <c r="E210">
        <v>684</v>
      </c>
      <c r="F210">
        <v>1405</v>
      </c>
      <c r="G210">
        <v>764</v>
      </c>
      <c r="H210">
        <v>348</v>
      </c>
      <c r="I210">
        <v>1112</v>
      </c>
      <c r="J210">
        <v>46430</v>
      </c>
      <c r="K210">
        <v>3.0259999999999998</v>
      </c>
      <c r="L210">
        <v>2.395</v>
      </c>
      <c r="M210">
        <v>45690</v>
      </c>
      <c r="N210">
        <v>3.0750000000000002</v>
      </c>
      <c r="O210">
        <v>2.4340000000000002</v>
      </c>
    </row>
    <row r="211" spans="1:15" x14ac:dyDescent="0.35">
      <c r="A211" t="s">
        <v>327</v>
      </c>
      <c r="B211" t="s">
        <v>312</v>
      </c>
      <c r="D211">
        <v>229</v>
      </c>
      <c r="E211">
        <v>1062</v>
      </c>
      <c r="F211">
        <v>1291</v>
      </c>
      <c r="G211">
        <v>626</v>
      </c>
      <c r="H211">
        <v>164</v>
      </c>
      <c r="I211">
        <v>790</v>
      </c>
      <c r="J211">
        <v>84929</v>
      </c>
      <c r="K211">
        <v>1.52</v>
      </c>
      <c r="L211">
        <v>0.93</v>
      </c>
      <c r="M211">
        <v>81029</v>
      </c>
      <c r="N211">
        <v>1.593</v>
      </c>
      <c r="O211">
        <v>0.97499999999999998</v>
      </c>
    </row>
    <row r="212" spans="1:15" x14ac:dyDescent="0.35">
      <c r="A212" t="s">
        <v>319</v>
      </c>
      <c r="B212" t="s">
        <v>299</v>
      </c>
      <c r="C212" t="s">
        <v>298</v>
      </c>
      <c r="D212">
        <v>265</v>
      </c>
      <c r="E212">
        <v>374</v>
      </c>
      <c r="F212">
        <v>639</v>
      </c>
      <c r="G212">
        <v>252</v>
      </c>
      <c r="H212">
        <v>193</v>
      </c>
      <c r="I212">
        <v>445</v>
      </c>
      <c r="J212">
        <v>58814</v>
      </c>
      <c r="K212">
        <v>1.0860000000000001</v>
      </c>
      <c r="L212">
        <v>0.75700000000000001</v>
      </c>
      <c r="M212">
        <v>54796</v>
      </c>
      <c r="N212">
        <v>1.1659999999999999</v>
      </c>
      <c r="O212">
        <v>0.81200000000000006</v>
      </c>
    </row>
    <row r="213" spans="1:15" x14ac:dyDescent="0.35">
      <c r="A213" t="s">
        <v>341</v>
      </c>
      <c r="B213" t="s">
        <v>290</v>
      </c>
      <c r="C213" t="s">
        <v>289</v>
      </c>
      <c r="D213">
        <v>1400</v>
      </c>
      <c r="E213">
        <v>2084</v>
      </c>
      <c r="F213">
        <v>3484</v>
      </c>
      <c r="G213">
        <v>1722</v>
      </c>
      <c r="H213">
        <v>548</v>
      </c>
      <c r="I213">
        <v>2270</v>
      </c>
      <c r="J213">
        <v>153388</v>
      </c>
      <c r="K213">
        <v>2.2709999999999999</v>
      </c>
      <c r="L213">
        <v>1.48</v>
      </c>
      <c r="M213">
        <v>150364</v>
      </c>
      <c r="N213">
        <v>2.3170000000000002</v>
      </c>
      <c r="O213">
        <v>1.51</v>
      </c>
    </row>
    <row r="214" spans="1:15" x14ac:dyDescent="0.35">
      <c r="A214" t="s">
        <v>319</v>
      </c>
      <c r="B214" t="s">
        <v>229</v>
      </c>
      <c r="C214" t="s">
        <v>228</v>
      </c>
      <c r="D214">
        <v>165</v>
      </c>
      <c r="E214">
        <v>320</v>
      </c>
      <c r="F214">
        <v>485</v>
      </c>
      <c r="G214">
        <v>154</v>
      </c>
      <c r="H214">
        <v>116</v>
      </c>
      <c r="I214">
        <v>270</v>
      </c>
      <c r="J214">
        <v>48199</v>
      </c>
      <c r="K214">
        <v>1.006</v>
      </c>
      <c r="L214">
        <v>0.56000000000000005</v>
      </c>
      <c r="M214">
        <v>41839</v>
      </c>
      <c r="N214">
        <v>1.159</v>
      </c>
      <c r="O214">
        <v>0.64500000000000002</v>
      </c>
    </row>
    <row r="215" spans="1:15" x14ac:dyDescent="0.35">
      <c r="A215" t="s">
        <v>366</v>
      </c>
      <c r="B215" t="s">
        <v>288</v>
      </c>
      <c r="C215" t="s">
        <v>287</v>
      </c>
      <c r="D215">
        <v>932</v>
      </c>
      <c r="E215">
        <v>1137</v>
      </c>
      <c r="F215">
        <v>2069</v>
      </c>
      <c r="G215">
        <v>954</v>
      </c>
      <c r="H215">
        <v>531</v>
      </c>
      <c r="I215">
        <v>1485</v>
      </c>
      <c r="J215">
        <v>67590</v>
      </c>
      <c r="K215">
        <v>3.0609999999999999</v>
      </c>
      <c r="L215">
        <v>2.1970000000000001</v>
      </c>
      <c r="M215">
        <v>63189</v>
      </c>
      <c r="N215">
        <v>3.274</v>
      </c>
      <c r="O215">
        <v>2.35</v>
      </c>
    </row>
    <row r="216" spans="1:15" x14ac:dyDescent="0.35">
      <c r="A216" t="s">
        <v>366</v>
      </c>
      <c r="B216" t="s">
        <v>280</v>
      </c>
      <c r="C216" t="s">
        <v>279</v>
      </c>
      <c r="D216">
        <v>574</v>
      </c>
      <c r="E216">
        <v>527</v>
      </c>
      <c r="F216">
        <v>1101</v>
      </c>
      <c r="G216">
        <v>474</v>
      </c>
      <c r="H216">
        <v>435</v>
      </c>
      <c r="I216">
        <v>909</v>
      </c>
      <c r="J216">
        <v>38675</v>
      </c>
      <c r="K216">
        <v>2.847</v>
      </c>
      <c r="L216">
        <v>2.35</v>
      </c>
      <c r="M216">
        <v>37069</v>
      </c>
      <c r="N216">
        <v>2.9699999999999998</v>
      </c>
      <c r="O216">
        <v>2.452</v>
      </c>
    </row>
    <row r="217" spans="1:15" x14ac:dyDescent="0.35">
      <c r="A217" t="s">
        <v>342</v>
      </c>
      <c r="B217" t="s">
        <v>225</v>
      </c>
      <c r="C217" t="s">
        <v>224</v>
      </c>
      <c r="D217">
        <v>469</v>
      </c>
      <c r="E217">
        <v>1121</v>
      </c>
      <c r="F217">
        <v>1590</v>
      </c>
      <c r="G217">
        <v>434</v>
      </c>
      <c r="H217">
        <v>216</v>
      </c>
      <c r="I217">
        <v>650</v>
      </c>
      <c r="J217">
        <v>56135</v>
      </c>
      <c r="K217">
        <v>2.8319999999999999</v>
      </c>
      <c r="L217">
        <v>1.1579999999999999</v>
      </c>
      <c r="M217">
        <v>53627</v>
      </c>
      <c r="N217">
        <v>2.9649999999999999</v>
      </c>
      <c r="O217">
        <v>1.212</v>
      </c>
    </row>
    <row r="218" spans="1:15" x14ac:dyDescent="0.35">
      <c r="A218" t="s">
        <v>321</v>
      </c>
      <c r="B218" t="s">
        <v>301</v>
      </c>
      <c r="C218" t="s">
        <v>300</v>
      </c>
      <c r="F218">
        <v>342</v>
      </c>
      <c r="J218">
        <v>11462</v>
      </c>
      <c r="K218">
        <v>2.984</v>
      </c>
      <c r="M218">
        <v>10554</v>
      </c>
      <c r="N218">
        <v>3.24</v>
      </c>
    </row>
    <row r="219" spans="1:15" x14ac:dyDescent="0.35">
      <c r="A219" t="s">
        <v>365</v>
      </c>
      <c r="B219" t="s">
        <v>264</v>
      </c>
      <c r="C219" t="s">
        <v>263</v>
      </c>
      <c r="D219">
        <v>533</v>
      </c>
      <c r="E219">
        <v>1084</v>
      </c>
      <c r="F219">
        <v>1617</v>
      </c>
      <c r="G219">
        <v>573</v>
      </c>
      <c r="H219">
        <v>201</v>
      </c>
      <c r="I219">
        <v>774</v>
      </c>
      <c r="J219">
        <v>72624</v>
      </c>
      <c r="K219">
        <v>2.2269999999999999</v>
      </c>
      <c r="L219">
        <v>1.0660000000000001</v>
      </c>
      <c r="M219">
        <v>69693</v>
      </c>
      <c r="N219">
        <v>2.3199999999999998</v>
      </c>
      <c r="O219">
        <v>1.111</v>
      </c>
    </row>
    <row r="220" spans="1:15" x14ac:dyDescent="0.35">
      <c r="A220" t="s">
        <v>214</v>
      </c>
      <c r="B220" t="s">
        <v>308</v>
      </c>
      <c r="C220" t="s">
        <v>307</v>
      </c>
      <c r="D220">
        <v>323</v>
      </c>
      <c r="E220">
        <v>611</v>
      </c>
      <c r="F220">
        <v>934</v>
      </c>
      <c r="G220">
        <v>329</v>
      </c>
      <c r="H220">
        <v>182</v>
      </c>
      <c r="I220">
        <v>511</v>
      </c>
      <c r="J220">
        <v>41443</v>
      </c>
      <c r="K220">
        <v>2.254</v>
      </c>
      <c r="L220">
        <v>1.2330000000000001</v>
      </c>
      <c r="M220">
        <v>39440</v>
      </c>
      <c r="N220">
        <v>2.3679999999999999</v>
      </c>
      <c r="O220">
        <v>1.296</v>
      </c>
    </row>
    <row r="221" spans="1:15" x14ac:dyDescent="0.35">
      <c r="A221" t="s">
        <v>214</v>
      </c>
      <c r="B221" t="s">
        <v>254</v>
      </c>
      <c r="C221" t="s">
        <v>253</v>
      </c>
      <c r="D221">
        <v>653</v>
      </c>
      <c r="E221">
        <v>579</v>
      </c>
      <c r="F221">
        <v>1232</v>
      </c>
      <c r="G221">
        <v>755</v>
      </c>
      <c r="H221">
        <v>285</v>
      </c>
      <c r="I221">
        <v>1040</v>
      </c>
      <c r="J221">
        <v>46721</v>
      </c>
      <c r="K221">
        <v>2.637</v>
      </c>
      <c r="L221">
        <v>2.226</v>
      </c>
      <c r="M221">
        <v>46023</v>
      </c>
      <c r="N221">
        <v>2.677</v>
      </c>
      <c r="O221">
        <v>2.2599999999999998</v>
      </c>
    </row>
    <row r="222" spans="1:15" x14ac:dyDescent="0.35">
      <c r="A222" t="s">
        <v>341</v>
      </c>
      <c r="B222" t="s">
        <v>299</v>
      </c>
      <c r="C222" t="s">
        <v>298</v>
      </c>
      <c r="D222">
        <v>1359</v>
      </c>
      <c r="E222">
        <v>1477</v>
      </c>
      <c r="F222">
        <v>2836</v>
      </c>
      <c r="G222">
        <v>832</v>
      </c>
      <c r="H222">
        <v>1288</v>
      </c>
      <c r="I222">
        <v>2120</v>
      </c>
      <c r="J222">
        <v>57940</v>
      </c>
      <c r="K222">
        <v>4.8949999999999996</v>
      </c>
      <c r="L222">
        <v>3.6589999999999998</v>
      </c>
      <c r="M222">
        <v>53787</v>
      </c>
      <c r="N222">
        <v>5.2729999999999997</v>
      </c>
      <c r="O222">
        <v>3.9409999999999998</v>
      </c>
    </row>
    <row r="223" spans="1:15" x14ac:dyDescent="0.35">
      <c r="A223" t="s">
        <v>321</v>
      </c>
      <c r="B223" t="s">
        <v>225</v>
      </c>
      <c r="C223" t="s">
        <v>224</v>
      </c>
      <c r="F223">
        <v>1585</v>
      </c>
      <c r="J223">
        <v>57711</v>
      </c>
      <c r="K223">
        <v>2.746</v>
      </c>
      <c r="M223">
        <v>55003</v>
      </c>
      <c r="N223">
        <v>2.8820000000000001</v>
      </c>
    </row>
    <row r="224" spans="1:15" x14ac:dyDescent="0.35">
      <c r="A224" t="s">
        <v>365</v>
      </c>
      <c r="B224" t="s">
        <v>221</v>
      </c>
      <c r="C224" t="s">
        <v>220</v>
      </c>
      <c r="D224">
        <v>617</v>
      </c>
      <c r="E224">
        <v>831</v>
      </c>
      <c r="F224">
        <v>1448</v>
      </c>
      <c r="G224">
        <v>609</v>
      </c>
      <c r="H224">
        <v>394</v>
      </c>
      <c r="I224">
        <v>1003</v>
      </c>
      <c r="J224">
        <v>114086</v>
      </c>
      <c r="K224">
        <v>1.2690000000000001</v>
      </c>
      <c r="L224">
        <v>0.879</v>
      </c>
      <c r="M224">
        <v>108381</v>
      </c>
      <c r="N224">
        <v>1.3360000000000001</v>
      </c>
      <c r="O224">
        <v>0.92500000000000004</v>
      </c>
    </row>
    <row r="225" spans="1:15" x14ac:dyDescent="0.35">
      <c r="A225" t="s">
        <v>341</v>
      </c>
      <c r="B225" t="s">
        <v>254</v>
      </c>
      <c r="C225" t="s">
        <v>253</v>
      </c>
      <c r="D225">
        <v>720</v>
      </c>
      <c r="E225">
        <v>659</v>
      </c>
      <c r="F225">
        <v>1379</v>
      </c>
      <c r="G225">
        <v>857</v>
      </c>
      <c r="H225">
        <v>291</v>
      </c>
      <c r="I225">
        <v>1148</v>
      </c>
      <c r="J225">
        <v>46026</v>
      </c>
      <c r="K225">
        <v>2.996</v>
      </c>
      <c r="L225">
        <v>2.4939999999999998</v>
      </c>
      <c r="M225">
        <v>45350</v>
      </c>
      <c r="N225">
        <v>3.0409999999999999</v>
      </c>
      <c r="O225">
        <v>2.5310000000000001</v>
      </c>
    </row>
    <row r="226" spans="1:15" x14ac:dyDescent="0.35">
      <c r="A226" t="s">
        <v>342</v>
      </c>
      <c r="B226" t="s">
        <v>274</v>
      </c>
      <c r="C226" t="s">
        <v>273</v>
      </c>
      <c r="D226">
        <v>1288</v>
      </c>
      <c r="E226">
        <v>3927</v>
      </c>
      <c r="F226">
        <v>5215</v>
      </c>
      <c r="G226">
        <v>1385</v>
      </c>
      <c r="H226">
        <v>742</v>
      </c>
      <c r="I226">
        <v>2127</v>
      </c>
      <c r="J226">
        <v>117291</v>
      </c>
      <c r="K226">
        <v>4.4459999999999997</v>
      </c>
      <c r="L226">
        <v>1.8129999999999999</v>
      </c>
      <c r="M226">
        <v>108319</v>
      </c>
      <c r="N226">
        <v>4.8140000000000001</v>
      </c>
      <c r="O226">
        <v>1.964</v>
      </c>
    </row>
    <row r="227" spans="1:15" x14ac:dyDescent="0.35">
      <c r="A227" t="s">
        <v>214</v>
      </c>
      <c r="B227" t="s">
        <v>299</v>
      </c>
      <c r="C227" t="s">
        <v>298</v>
      </c>
      <c r="D227">
        <v>920</v>
      </c>
      <c r="E227">
        <v>1208</v>
      </c>
      <c r="F227">
        <v>2128</v>
      </c>
      <c r="G227">
        <v>740</v>
      </c>
      <c r="H227">
        <v>673</v>
      </c>
      <c r="I227">
        <v>1413</v>
      </c>
      <c r="J227">
        <v>58425</v>
      </c>
      <c r="K227">
        <v>3.6419999999999999</v>
      </c>
      <c r="L227">
        <v>2.4180000000000001</v>
      </c>
      <c r="M227">
        <v>54413</v>
      </c>
      <c r="N227">
        <v>3.911</v>
      </c>
      <c r="O227">
        <v>2.597</v>
      </c>
    </row>
    <row r="228" spans="1:15" x14ac:dyDescent="0.35">
      <c r="A228" t="s">
        <v>326</v>
      </c>
      <c r="B228" t="s">
        <v>290</v>
      </c>
      <c r="C228" t="s">
        <v>289</v>
      </c>
      <c r="F228">
        <v>2568</v>
      </c>
      <c r="J228">
        <v>159586</v>
      </c>
      <c r="K228">
        <v>1.609</v>
      </c>
      <c r="M228">
        <v>154382</v>
      </c>
      <c r="N228">
        <v>1.663</v>
      </c>
    </row>
    <row r="229" spans="1:15" x14ac:dyDescent="0.35">
      <c r="A229" t="s">
        <v>364</v>
      </c>
      <c r="B229" t="s">
        <v>299</v>
      </c>
      <c r="C229" t="s">
        <v>298</v>
      </c>
      <c r="D229">
        <v>1252</v>
      </c>
      <c r="E229">
        <v>1347</v>
      </c>
      <c r="F229">
        <v>2599</v>
      </c>
      <c r="G229">
        <v>948</v>
      </c>
      <c r="H229">
        <v>1046</v>
      </c>
      <c r="I229">
        <v>1994</v>
      </c>
      <c r="J229">
        <v>57097</v>
      </c>
      <c r="K229">
        <v>4.5519999999999996</v>
      </c>
      <c r="L229">
        <v>3.492</v>
      </c>
      <c r="M229">
        <v>52934</v>
      </c>
      <c r="N229">
        <v>4.91</v>
      </c>
      <c r="O229">
        <v>3.7669999999999999</v>
      </c>
    </row>
    <row r="230" spans="1:15" x14ac:dyDescent="0.35">
      <c r="A230" t="s">
        <v>321</v>
      </c>
      <c r="B230" t="s">
        <v>274</v>
      </c>
      <c r="C230" t="s">
        <v>273</v>
      </c>
      <c r="F230">
        <v>2214</v>
      </c>
      <c r="J230">
        <v>120785</v>
      </c>
      <c r="K230">
        <v>1.833</v>
      </c>
      <c r="M230">
        <v>110743</v>
      </c>
      <c r="N230">
        <v>1.9990000000000001</v>
      </c>
    </row>
    <row r="231" spans="1:15" x14ac:dyDescent="0.35">
      <c r="A231" t="s">
        <v>214</v>
      </c>
      <c r="B231" t="s">
        <v>282</v>
      </c>
      <c r="C231" t="s">
        <v>281</v>
      </c>
      <c r="D231">
        <v>516</v>
      </c>
      <c r="E231">
        <v>1149</v>
      </c>
      <c r="F231">
        <v>1665</v>
      </c>
      <c r="G231">
        <v>399</v>
      </c>
      <c r="H231">
        <v>473</v>
      </c>
      <c r="I231">
        <v>872</v>
      </c>
      <c r="J231">
        <v>45209</v>
      </c>
      <c r="K231">
        <v>3.6829999999999998</v>
      </c>
      <c r="L231">
        <v>1.929</v>
      </c>
      <c r="M231">
        <v>42554</v>
      </c>
      <c r="N231">
        <v>3.9130000000000003</v>
      </c>
      <c r="O231">
        <v>2.0489999999999999</v>
      </c>
    </row>
    <row r="232" spans="1:15" x14ac:dyDescent="0.35">
      <c r="A232" t="s">
        <v>321</v>
      </c>
      <c r="B232" t="s">
        <v>282</v>
      </c>
      <c r="C232" t="s">
        <v>281</v>
      </c>
      <c r="F232">
        <v>931</v>
      </c>
      <c r="J232">
        <v>46166</v>
      </c>
      <c r="K232">
        <v>2.0169999999999999</v>
      </c>
      <c r="M232">
        <v>43590</v>
      </c>
      <c r="N232">
        <v>2.1360000000000001</v>
      </c>
    </row>
    <row r="233" spans="1:15" x14ac:dyDescent="0.35">
      <c r="A233" t="s">
        <v>342</v>
      </c>
      <c r="B233" t="s">
        <v>310</v>
      </c>
      <c r="C233" t="s">
        <v>309</v>
      </c>
      <c r="D233">
        <v>654</v>
      </c>
      <c r="E233">
        <v>1023</v>
      </c>
      <c r="F233">
        <v>1677</v>
      </c>
      <c r="G233">
        <v>714</v>
      </c>
      <c r="H233">
        <v>285</v>
      </c>
      <c r="I233">
        <v>999</v>
      </c>
      <c r="J233">
        <v>45093</v>
      </c>
      <c r="K233">
        <v>3.7189999999999999</v>
      </c>
      <c r="L233">
        <v>2.2149999999999999</v>
      </c>
      <c r="M233">
        <v>42746</v>
      </c>
      <c r="N233">
        <v>3.923</v>
      </c>
      <c r="O233">
        <v>2.3370000000000002</v>
      </c>
    </row>
    <row r="234" spans="1:15" x14ac:dyDescent="0.35">
      <c r="A234" t="s">
        <v>326</v>
      </c>
      <c r="B234" t="s">
        <v>274</v>
      </c>
      <c r="C234" t="s">
        <v>273</v>
      </c>
      <c r="F234">
        <v>2133</v>
      </c>
      <c r="J234">
        <v>122235</v>
      </c>
      <c r="K234">
        <v>1.7450000000000001</v>
      </c>
      <c r="M234">
        <v>111633</v>
      </c>
      <c r="N234">
        <v>1.911</v>
      </c>
    </row>
    <row r="235" spans="1:15" x14ac:dyDescent="0.35">
      <c r="A235" t="s">
        <v>342</v>
      </c>
      <c r="B235" t="s">
        <v>260</v>
      </c>
      <c r="C235" t="s">
        <v>259</v>
      </c>
      <c r="D235">
        <v>604</v>
      </c>
      <c r="E235">
        <v>662</v>
      </c>
      <c r="F235">
        <v>1266</v>
      </c>
      <c r="G235">
        <v>700</v>
      </c>
      <c r="H235">
        <v>194</v>
      </c>
      <c r="I235">
        <v>894</v>
      </c>
      <c r="J235">
        <v>38677</v>
      </c>
      <c r="K235">
        <v>3.2730000000000001</v>
      </c>
      <c r="L235">
        <v>2.3109999999999999</v>
      </c>
      <c r="M235">
        <v>38899</v>
      </c>
      <c r="N235">
        <v>3.2549999999999999</v>
      </c>
      <c r="O235">
        <v>2.298</v>
      </c>
    </row>
    <row r="236" spans="1:15" x14ac:dyDescent="0.35">
      <c r="A236" t="s">
        <v>214</v>
      </c>
      <c r="B236" t="s">
        <v>303</v>
      </c>
      <c r="C236" t="s">
        <v>302</v>
      </c>
      <c r="D236">
        <v>437</v>
      </c>
      <c r="E236">
        <v>687</v>
      </c>
      <c r="F236">
        <v>1124</v>
      </c>
      <c r="G236">
        <v>531</v>
      </c>
      <c r="H236">
        <v>204</v>
      </c>
      <c r="I236">
        <v>735</v>
      </c>
      <c r="J236">
        <v>55486</v>
      </c>
      <c r="K236">
        <v>2.0259999999999998</v>
      </c>
      <c r="L236">
        <v>1.325</v>
      </c>
      <c r="M236">
        <v>52281</v>
      </c>
      <c r="N236">
        <v>2.15</v>
      </c>
      <c r="O236">
        <v>1.4060000000000001</v>
      </c>
    </row>
    <row r="237" spans="1:15" x14ac:dyDescent="0.35">
      <c r="A237" t="s">
        <v>319</v>
      </c>
      <c r="B237" t="s">
        <v>254</v>
      </c>
      <c r="C237" t="s">
        <v>253</v>
      </c>
      <c r="D237">
        <v>229</v>
      </c>
      <c r="E237">
        <v>173</v>
      </c>
      <c r="F237">
        <v>402</v>
      </c>
      <c r="G237">
        <v>238</v>
      </c>
      <c r="H237">
        <v>133</v>
      </c>
      <c r="I237">
        <v>371</v>
      </c>
      <c r="J237">
        <v>47251</v>
      </c>
      <c r="K237">
        <v>0.85099999999999998</v>
      </c>
      <c r="L237">
        <v>0.78500000000000003</v>
      </c>
      <c r="M237">
        <v>46563</v>
      </c>
      <c r="N237">
        <v>0.86299999999999999</v>
      </c>
      <c r="O237">
        <v>0.79700000000000004</v>
      </c>
    </row>
    <row r="238" spans="1:15" x14ac:dyDescent="0.35">
      <c r="A238" t="s">
        <v>214</v>
      </c>
      <c r="B238" t="s">
        <v>274</v>
      </c>
      <c r="C238" t="s">
        <v>273</v>
      </c>
      <c r="D238">
        <v>813</v>
      </c>
      <c r="E238">
        <v>2969</v>
      </c>
      <c r="F238">
        <v>3782</v>
      </c>
      <c r="G238">
        <v>818</v>
      </c>
      <c r="H238">
        <v>537</v>
      </c>
      <c r="I238">
        <v>1355</v>
      </c>
      <c r="J238">
        <v>118117</v>
      </c>
      <c r="K238">
        <v>3.202</v>
      </c>
      <c r="L238">
        <v>1.147</v>
      </c>
      <c r="M238">
        <v>108878</v>
      </c>
      <c r="N238">
        <v>3.4740000000000002</v>
      </c>
      <c r="O238">
        <v>1.2450000000000001</v>
      </c>
    </row>
    <row r="239" spans="1:15" x14ac:dyDescent="0.35">
      <c r="A239" t="s">
        <v>319</v>
      </c>
      <c r="B239" t="s">
        <v>216</v>
      </c>
      <c r="C239" t="s">
        <v>215</v>
      </c>
      <c r="D239">
        <v>130</v>
      </c>
      <c r="E239">
        <v>406</v>
      </c>
      <c r="F239">
        <v>536</v>
      </c>
      <c r="G239">
        <v>135</v>
      </c>
      <c r="H239">
        <v>54</v>
      </c>
      <c r="I239">
        <v>189</v>
      </c>
      <c r="J239">
        <v>120980</v>
      </c>
      <c r="K239">
        <v>0.443</v>
      </c>
      <c r="L239">
        <v>0.156</v>
      </c>
      <c r="M239">
        <v>108893</v>
      </c>
      <c r="N239">
        <v>0.49199999999999999</v>
      </c>
      <c r="O239">
        <v>0.17399999999999999</v>
      </c>
    </row>
    <row r="240" spans="1:15" x14ac:dyDescent="0.35">
      <c r="A240" t="s">
        <v>342</v>
      </c>
      <c r="B240" t="s">
        <v>229</v>
      </c>
      <c r="C240" t="s">
        <v>228</v>
      </c>
      <c r="D240">
        <v>650</v>
      </c>
      <c r="E240">
        <v>1030</v>
      </c>
      <c r="F240">
        <v>1680</v>
      </c>
      <c r="G240">
        <v>503</v>
      </c>
      <c r="H240">
        <v>462</v>
      </c>
      <c r="I240">
        <v>965</v>
      </c>
      <c r="J240">
        <v>47884</v>
      </c>
      <c r="K240">
        <v>3.508</v>
      </c>
      <c r="L240">
        <v>2.0150000000000001</v>
      </c>
      <c r="M240">
        <v>41455</v>
      </c>
      <c r="N240">
        <v>4.0529999999999999</v>
      </c>
      <c r="O240">
        <v>2.3279999999999998</v>
      </c>
    </row>
    <row r="241" spans="1:15" x14ac:dyDescent="0.35">
      <c r="A241" t="s">
        <v>214</v>
      </c>
      <c r="B241" t="s">
        <v>260</v>
      </c>
      <c r="C241" t="s">
        <v>259</v>
      </c>
      <c r="D241">
        <v>445</v>
      </c>
      <c r="E241">
        <v>651</v>
      </c>
      <c r="F241">
        <v>1096</v>
      </c>
      <c r="G241">
        <v>492</v>
      </c>
      <c r="H241">
        <v>194</v>
      </c>
      <c r="I241">
        <v>686</v>
      </c>
      <c r="J241">
        <v>38902</v>
      </c>
      <c r="K241">
        <v>2.8170000000000002</v>
      </c>
      <c r="L241">
        <v>1.7629999999999999</v>
      </c>
      <c r="M241">
        <v>39108</v>
      </c>
      <c r="N241">
        <v>2.802</v>
      </c>
      <c r="O241">
        <v>1.754</v>
      </c>
    </row>
    <row r="242" spans="1:15" x14ac:dyDescent="0.35">
      <c r="A242" t="s">
        <v>321</v>
      </c>
      <c r="B242" t="s">
        <v>310</v>
      </c>
      <c r="C242" t="s">
        <v>309</v>
      </c>
      <c r="F242">
        <v>1111</v>
      </c>
      <c r="J242">
        <v>45607</v>
      </c>
      <c r="K242">
        <v>2.4359999999999999</v>
      </c>
      <c r="M242">
        <v>43364</v>
      </c>
      <c r="N242">
        <v>2.5620000000000003</v>
      </c>
    </row>
    <row r="243" spans="1:15" x14ac:dyDescent="0.35">
      <c r="A243" t="s">
        <v>214</v>
      </c>
      <c r="B243" t="s">
        <v>235</v>
      </c>
      <c r="C243" t="s">
        <v>234</v>
      </c>
      <c r="D243">
        <v>1893</v>
      </c>
      <c r="E243">
        <v>2567</v>
      </c>
      <c r="F243">
        <v>4460</v>
      </c>
      <c r="G243">
        <v>1882</v>
      </c>
      <c r="H243">
        <v>776</v>
      </c>
      <c r="I243">
        <v>2658</v>
      </c>
      <c r="J243">
        <v>249810</v>
      </c>
      <c r="K243">
        <v>1.7850000000000001</v>
      </c>
      <c r="L243">
        <v>1.0640000000000001</v>
      </c>
      <c r="M243">
        <v>235771</v>
      </c>
      <c r="N243">
        <v>1.8919999999999999</v>
      </c>
      <c r="O243">
        <v>1.127</v>
      </c>
    </row>
    <row r="244" spans="1:15" x14ac:dyDescent="0.35">
      <c r="A244" t="s">
        <v>327</v>
      </c>
      <c r="B244" t="s">
        <v>308</v>
      </c>
      <c r="D244">
        <v>103</v>
      </c>
      <c r="E244">
        <v>516</v>
      </c>
      <c r="F244">
        <v>619</v>
      </c>
      <c r="G244">
        <v>181</v>
      </c>
      <c r="H244">
        <v>85</v>
      </c>
      <c r="I244">
        <v>266</v>
      </c>
      <c r="J244">
        <v>42990</v>
      </c>
      <c r="K244">
        <v>1.44</v>
      </c>
      <c r="L244">
        <v>0.61899999999999999</v>
      </c>
      <c r="M244">
        <v>40810</v>
      </c>
      <c r="N244">
        <v>1.5169999999999999</v>
      </c>
      <c r="O244">
        <v>0.65200000000000002</v>
      </c>
    </row>
    <row r="245" spans="1:15" x14ac:dyDescent="0.35">
      <c r="A245" t="s">
        <v>327</v>
      </c>
      <c r="B245" t="s">
        <v>301</v>
      </c>
      <c r="D245">
        <v>23</v>
      </c>
      <c r="E245">
        <v>193</v>
      </c>
      <c r="F245">
        <v>216</v>
      </c>
      <c r="G245">
        <v>19</v>
      </c>
      <c r="H245">
        <v>53</v>
      </c>
      <c r="I245">
        <v>72</v>
      </c>
      <c r="J245">
        <v>11629</v>
      </c>
      <c r="K245">
        <v>1.857</v>
      </c>
      <c r="L245">
        <v>0.61899999999999999</v>
      </c>
      <c r="M245">
        <v>10621</v>
      </c>
      <c r="N245">
        <v>2.0339999999999998</v>
      </c>
      <c r="O245">
        <v>0.67800000000000005</v>
      </c>
    </row>
    <row r="246" spans="1:15" x14ac:dyDescent="0.35">
      <c r="A246" t="s">
        <v>313</v>
      </c>
      <c r="B246" t="s">
        <v>271</v>
      </c>
      <c r="C246" t="s">
        <v>270</v>
      </c>
      <c r="D246">
        <v>2529</v>
      </c>
      <c r="E246">
        <v>7410</v>
      </c>
      <c r="F246">
        <v>9939</v>
      </c>
      <c r="G246">
        <v>2783</v>
      </c>
      <c r="H246">
        <v>753</v>
      </c>
      <c r="I246">
        <v>3536</v>
      </c>
      <c r="J246">
        <v>314604</v>
      </c>
      <c r="K246">
        <v>3.1589999999999998</v>
      </c>
      <c r="L246">
        <v>1.1240000000000001</v>
      </c>
      <c r="M246">
        <v>294622</v>
      </c>
      <c r="N246">
        <v>3.3730000000000002</v>
      </c>
      <c r="O246">
        <v>1.2</v>
      </c>
    </row>
    <row r="247" spans="1:15" x14ac:dyDescent="0.35">
      <c r="A247" t="s">
        <v>327</v>
      </c>
      <c r="B247" t="s">
        <v>271</v>
      </c>
      <c r="D247">
        <v>751</v>
      </c>
      <c r="E247">
        <v>3363</v>
      </c>
      <c r="F247">
        <v>4114</v>
      </c>
      <c r="G247">
        <v>1394</v>
      </c>
      <c r="H247">
        <v>534</v>
      </c>
      <c r="I247">
        <v>1928</v>
      </c>
      <c r="J247">
        <v>324431</v>
      </c>
      <c r="K247">
        <v>1.268</v>
      </c>
      <c r="L247">
        <v>0.59399999999999997</v>
      </c>
      <c r="M247">
        <v>297386</v>
      </c>
      <c r="N247">
        <v>1.383</v>
      </c>
      <c r="O247">
        <v>0.64800000000000002</v>
      </c>
    </row>
    <row r="248" spans="1:15" x14ac:dyDescent="0.35">
      <c r="A248" t="s">
        <v>327</v>
      </c>
      <c r="B248" t="s">
        <v>225</v>
      </c>
      <c r="D248">
        <v>107</v>
      </c>
      <c r="E248">
        <v>867</v>
      </c>
      <c r="F248">
        <v>974</v>
      </c>
      <c r="G248">
        <v>138</v>
      </c>
      <c r="H248">
        <v>132</v>
      </c>
      <c r="I248">
        <v>270</v>
      </c>
      <c r="J248">
        <v>58286</v>
      </c>
      <c r="K248">
        <v>1.671</v>
      </c>
      <c r="L248">
        <v>0.46300000000000002</v>
      </c>
      <c r="M248">
        <v>54804</v>
      </c>
      <c r="N248">
        <v>1.7770000000000001</v>
      </c>
      <c r="O248">
        <v>0.49299999999999999</v>
      </c>
    </row>
    <row r="249" spans="1:15" x14ac:dyDescent="0.35">
      <c r="A249" t="s">
        <v>319</v>
      </c>
      <c r="B249" t="s">
        <v>310</v>
      </c>
      <c r="C249" t="s">
        <v>309</v>
      </c>
      <c r="D249">
        <v>222</v>
      </c>
      <c r="E249">
        <v>355</v>
      </c>
      <c r="F249">
        <v>577</v>
      </c>
      <c r="G249">
        <v>269</v>
      </c>
      <c r="H249">
        <v>67</v>
      </c>
      <c r="I249">
        <v>336</v>
      </c>
      <c r="J249">
        <v>45148</v>
      </c>
      <c r="K249">
        <v>1.278</v>
      </c>
      <c r="L249">
        <v>0.74399999999999999</v>
      </c>
      <c r="M249">
        <v>43164</v>
      </c>
      <c r="N249">
        <v>1.337</v>
      </c>
      <c r="O249">
        <v>0.77800000000000002</v>
      </c>
    </row>
    <row r="250" spans="1:15" x14ac:dyDescent="0.35">
      <c r="A250" t="s">
        <v>342</v>
      </c>
      <c r="B250" t="s">
        <v>216</v>
      </c>
      <c r="C250" t="s">
        <v>215</v>
      </c>
      <c r="D250">
        <v>478</v>
      </c>
      <c r="E250">
        <v>1669</v>
      </c>
      <c r="F250">
        <v>2147</v>
      </c>
      <c r="G250">
        <v>432</v>
      </c>
      <c r="H250">
        <v>260</v>
      </c>
      <c r="I250">
        <v>692</v>
      </c>
      <c r="J250">
        <v>116821</v>
      </c>
      <c r="K250">
        <v>1.8380000000000001</v>
      </c>
      <c r="L250">
        <v>0.59199999999999997</v>
      </c>
      <c r="M250">
        <v>106802</v>
      </c>
      <c r="N250">
        <v>2.0099999999999998</v>
      </c>
      <c r="O250">
        <v>0.64800000000000002</v>
      </c>
    </row>
    <row r="251" spans="1:15" x14ac:dyDescent="0.35">
      <c r="A251" t="s">
        <v>466</v>
      </c>
      <c r="B251" t="s">
        <v>268</v>
      </c>
      <c r="D251">
        <v>330</v>
      </c>
      <c r="E251">
        <v>1696</v>
      </c>
      <c r="F251">
        <v>2026</v>
      </c>
      <c r="G251">
        <v>521</v>
      </c>
      <c r="H251">
        <v>254</v>
      </c>
      <c r="I251">
        <v>823</v>
      </c>
      <c r="M251">
        <v>171913.40662763728</v>
      </c>
      <c r="N251">
        <v>1.179</v>
      </c>
      <c r="O251">
        <v>0.47899999999999998</v>
      </c>
    </row>
    <row r="252" spans="1:15" x14ac:dyDescent="0.35">
      <c r="A252" t="s">
        <v>319</v>
      </c>
      <c r="B252" t="s">
        <v>260</v>
      </c>
      <c r="C252" t="s">
        <v>259</v>
      </c>
      <c r="D252">
        <v>204</v>
      </c>
      <c r="E252">
        <v>172</v>
      </c>
      <c r="F252">
        <v>376</v>
      </c>
      <c r="G252">
        <v>222</v>
      </c>
      <c r="H252">
        <v>100</v>
      </c>
      <c r="I252">
        <v>322</v>
      </c>
      <c r="J252">
        <v>39453</v>
      </c>
      <c r="K252">
        <v>0.95299999999999996</v>
      </c>
      <c r="L252">
        <v>0.81599999999999995</v>
      </c>
      <c r="M252">
        <v>39586</v>
      </c>
      <c r="N252">
        <v>0.95</v>
      </c>
      <c r="O252">
        <v>0.81299999999999994</v>
      </c>
    </row>
    <row r="253" spans="1:15" x14ac:dyDescent="0.35">
      <c r="A253" t="s">
        <v>366</v>
      </c>
      <c r="B253" t="s">
        <v>241</v>
      </c>
      <c r="C253" t="s">
        <v>240</v>
      </c>
      <c r="D253">
        <v>243</v>
      </c>
      <c r="E253">
        <v>382</v>
      </c>
      <c r="F253">
        <v>625</v>
      </c>
      <c r="G253">
        <v>229</v>
      </c>
      <c r="H253">
        <v>130</v>
      </c>
      <c r="I253">
        <v>359</v>
      </c>
      <c r="J253">
        <v>24114</v>
      </c>
      <c r="K253">
        <v>2.5920000000000001</v>
      </c>
      <c r="L253">
        <v>1.4889999999999999</v>
      </c>
      <c r="M253">
        <v>23333</v>
      </c>
      <c r="N253">
        <v>2.6790000000000003</v>
      </c>
      <c r="O253">
        <v>1.5390000000000001</v>
      </c>
    </row>
    <row r="254" spans="1:15" x14ac:dyDescent="0.35">
      <c r="A254" t="s">
        <v>466</v>
      </c>
      <c r="B254" t="s">
        <v>235</v>
      </c>
      <c r="D254">
        <v>204</v>
      </c>
      <c r="E254">
        <v>2496</v>
      </c>
      <c r="F254">
        <v>2700</v>
      </c>
      <c r="G254">
        <v>221</v>
      </c>
      <c r="H254">
        <v>216</v>
      </c>
      <c r="I254">
        <v>472</v>
      </c>
      <c r="M254">
        <v>244791.4683634642</v>
      </c>
      <c r="N254">
        <v>1.103</v>
      </c>
      <c r="O254">
        <v>0.193</v>
      </c>
    </row>
    <row r="255" spans="1:15" x14ac:dyDescent="0.35">
      <c r="A255" t="s">
        <v>313</v>
      </c>
      <c r="B255" t="s">
        <v>225</v>
      </c>
      <c r="C255" t="s">
        <v>224</v>
      </c>
      <c r="D255">
        <v>440</v>
      </c>
      <c r="E255">
        <v>1358</v>
      </c>
      <c r="F255">
        <v>1798</v>
      </c>
      <c r="G255">
        <v>474</v>
      </c>
      <c r="H255">
        <v>203</v>
      </c>
      <c r="I255">
        <v>677</v>
      </c>
      <c r="J255">
        <v>56928</v>
      </c>
      <c r="K255">
        <v>3.1579999999999999</v>
      </c>
      <c r="L255">
        <v>1.1890000000000001</v>
      </c>
      <c r="M255">
        <v>54221</v>
      </c>
      <c r="N255">
        <v>3.3159999999999998</v>
      </c>
      <c r="O255">
        <v>1.2490000000000001</v>
      </c>
    </row>
    <row r="256" spans="1:15" x14ac:dyDescent="0.35">
      <c r="A256" t="s">
        <v>326</v>
      </c>
      <c r="B256" t="s">
        <v>248</v>
      </c>
      <c r="C256" t="s">
        <v>247</v>
      </c>
      <c r="F256">
        <v>1763</v>
      </c>
      <c r="J256">
        <v>75840</v>
      </c>
      <c r="K256">
        <v>2.3250000000000002</v>
      </c>
      <c r="M256">
        <v>71701</v>
      </c>
      <c r="N256">
        <v>2.4590000000000001</v>
      </c>
    </row>
    <row r="257" spans="1:15" x14ac:dyDescent="0.35">
      <c r="A257" t="s">
        <v>326</v>
      </c>
      <c r="B257" t="s">
        <v>245</v>
      </c>
      <c r="C257" t="s">
        <v>244</v>
      </c>
      <c r="F257">
        <v>1049</v>
      </c>
      <c r="J257">
        <v>75922</v>
      </c>
      <c r="K257">
        <v>1.3820000000000001</v>
      </c>
      <c r="M257">
        <v>70984</v>
      </c>
      <c r="N257">
        <v>1.478</v>
      </c>
    </row>
    <row r="258" spans="1:15" x14ac:dyDescent="0.35">
      <c r="A258" t="s">
        <v>326</v>
      </c>
      <c r="B258" t="s">
        <v>216</v>
      </c>
      <c r="C258" t="s">
        <v>215</v>
      </c>
      <c r="F258">
        <v>1645</v>
      </c>
      <c r="J258">
        <v>123363</v>
      </c>
      <c r="K258">
        <v>1.333</v>
      </c>
      <c r="M258">
        <v>109827</v>
      </c>
      <c r="N258">
        <v>1.498</v>
      </c>
    </row>
    <row r="259" spans="1:15" x14ac:dyDescent="0.35">
      <c r="A259" t="s">
        <v>341</v>
      </c>
      <c r="B259" t="s">
        <v>310</v>
      </c>
      <c r="C259" t="s">
        <v>309</v>
      </c>
      <c r="D259">
        <v>558</v>
      </c>
      <c r="E259">
        <v>1036</v>
      </c>
      <c r="F259">
        <v>1594</v>
      </c>
      <c r="G259">
        <v>620</v>
      </c>
      <c r="H259">
        <v>238</v>
      </c>
      <c r="I259">
        <v>858</v>
      </c>
      <c r="J259">
        <v>45104</v>
      </c>
      <c r="K259">
        <v>3.5339999999999998</v>
      </c>
      <c r="L259">
        <v>1.9020000000000001</v>
      </c>
      <c r="M259">
        <v>42657</v>
      </c>
      <c r="N259">
        <v>3.7370000000000001</v>
      </c>
      <c r="O259">
        <v>2.0110000000000001</v>
      </c>
    </row>
    <row r="260" spans="1:15" x14ac:dyDescent="0.35">
      <c r="A260" t="s">
        <v>321</v>
      </c>
      <c r="B260" t="s">
        <v>216</v>
      </c>
      <c r="C260" t="s">
        <v>215</v>
      </c>
      <c r="F260">
        <v>1463</v>
      </c>
      <c r="J260">
        <v>122242</v>
      </c>
      <c r="K260">
        <v>1.1970000000000001</v>
      </c>
      <c r="M260">
        <v>108844</v>
      </c>
      <c r="N260">
        <v>1.3439999999999999</v>
      </c>
    </row>
    <row r="261" spans="1:15" x14ac:dyDescent="0.35">
      <c r="A261" t="s">
        <v>466</v>
      </c>
      <c r="B261" t="s">
        <v>225</v>
      </c>
      <c r="D261">
        <v>86</v>
      </c>
      <c r="E261">
        <v>636</v>
      </c>
      <c r="F261">
        <v>722</v>
      </c>
      <c r="G261">
        <v>149</v>
      </c>
      <c r="H261">
        <v>65</v>
      </c>
      <c r="I261">
        <v>228</v>
      </c>
      <c r="M261">
        <v>54997.612762941659</v>
      </c>
      <c r="N261">
        <v>1.3129999999999999</v>
      </c>
      <c r="O261">
        <v>0.41499999999999998</v>
      </c>
    </row>
    <row r="262" spans="1:15" x14ac:dyDescent="0.35">
      <c r="A262" t="s">
        <v>321</v>
      </c>
      <c r="B262" t="s">
        <v>248</v>
      </c>
      <c r="C262" t="s">
        <v>247</v>
      </c>
      <c r="F262">
        <v>1766</v>
      </c>
      <c r="J262">
        <v>75453</v>
      </c>
      <c r="K262">
        <v>2.3410000000000002</v>
      </c>
      <c r="M262">
        <v>71224</v>
      </c>
      <c r="N262">
        <v>2.48</v>
      </c>
    </row>
    <row r="263" spans="1:15" x14ac:dyDescent="0.35">
      <c r="A263" t="s">
        <v>466</v>
      </c>
      <c r="B263" t="s">
        <v>301</v>
      </c>
      <c r="D263">
        <v>21</v>
      </c>
      <c r="E263">
        <v>160</v>
      </c>
      <c r="F263">
        <v>181</v>
      </c>
      <c r="G263">
        <v>42</v>
      </c>
      <c r="H263">
        <v>30</v>
      </c>
      <c r="I263">
        <v>73</v>
      </c>
      <c r="M263">
        <v>10763.196157324961</v>
      </c>
      <c r="N263">
        <v>1.6819999999999999</v>
      </c>
      <c r="O263">
        <v>0.67800000000000005</v>
      </c>
    </row>
    <row r="264" spans="1:15" x14ac:dyDescent="0.35">
      <c r="A264" t="s">
        <v>365</v>
      </c>
      <c r="B264" t="s">
        <v>241</v>
      </c>
      <c r="C264" t="s">
        <v>240</v>
      </c>
      <c r="D264">
        <v>273</v>
      </c>
      <c r="E264">
        <v>511</v>
      </c>
      <c r="F264">
        <v>784</v>
      </c>
      <c r="G264">
        <v>314</v>
      </c>
      <c r="H264">
        <v>87</v>
      </c>
      <c r="I264">
        <v>401</v>
      </c>
      <c r="J264">
        <v>23995</v>
      </c>
      <c r="K264">
        <v>3.2669999999999999</v>
      </c>
      <c r="L264">
        <v>1.671</v>
      </c>
      <c r="M264">
        <v>23217</v>
      </c>
      <c r="N264">
        <v>3.3769999999999998</v>
      </c>
      <c r="O264">
        <v>1.7269999999999999</v>
      </c>
    </row>
    <row r="265" spans="1:15" x14ac:dyDescent="0.35">
      <c r="A265" t="s">
        <v>319</v>
      </c>
      <c r="B265" t="s">
        <v>303</v>
      </c>
      <c r="C265" t="s">
        <v>302</v>
      </c>
      <c r="D265">
        <v>130</v>
      </c>
      <c r="E265">
        <v>263</v>
      </c>
      <c r="F265">
        <v>393</v>
      </c>
      <c r="G265">
        <v>197</v>
      </c>
      <c r="H265">
        <v>53</v>
      </c>
      <c r="I265">
        <v>250</v>
      </c>
      <c r="J265">
        <v>55793</v>
      </c>
      <c r="K265">
        <v>0.70399999999999996</v>
      </c>
      <c r="L265">
        <v>0.44800000000000001</v>
      </c>
      <c r="M265">
        <v>52571</v>
      </c>
      <c r="N265">
        <v>0.748</v>
      </c>
      <c r="O265">
        <v>0.47599999999999998</v>
      </c>
    </row>
    <row r="266" spans="1:15" x14ac:dyDescent="0.35">
      <c r="A266" t="s">
        <v>214</v>
      </c>
      <c r="B266" t="s">
        <v>229</v>
      </c>
      <c r="C266" t="s">
        <v>228</v>
      </c>
      <c r="D266">
        <v>531</v>
      </c>
      <c r="E266">
        <v>939</v>
      </c>
      <c r="F266">
        <v>1470</v>
      </c>
      <c r="G266">
        <v>480</v>
      </c>
      <c r="H266">
        <v>351</v>
      </c>
      <c r="I266">
        <v>831</v>
      </c>
      <c r="J266">
        <v>48020</v>
      </c>
      <c r="K266">
        <v>3.0609999999999999</v>
      </c>
      <c r="L266">
        <v>1.7309999999999999</v>
      </c>
      <c r="M266">
        <v>41630</v>
      </c>
      <c r="N266">
        <v>3.5310000000000001</v>
      </c>
      <c r="O266">
        <v>1.996</v>
      </c>
    </row>
    <row r="267" spans="1:15" x14ac:dyDescent="0.35">
      <c r="A267" t="s">
        <v>366</v>
      </c>
      <c r="B267" t="s">
        <v>216</v>
      </c>
      <c r="C267" t="s">
        <v>215</v>
      </c>
      <c r="D267">
        <v>572</v>
      </c>
      <c r="E267">
        <v>2074</v>
      </c>
      <c r="F267">
        <v>2646</v>
      </c>
      <c r="G267">
        <v>538</v>
      </c>
      <c r="H267">
        <v>281</v>
      </c>
      <c r="I267">
        <v>819</v>
      </c>
      <c r="J267">
        <v>114234</v>
      </c>
      <c r="K267">
        <v>2.3159999999999998</v>
      </c>
      <c r="L267">
        <v>0.71699999999999997</v>
      </c>
      <c r="M267">
        <v>105311</v>
      </c>
      <c r="N267">
        <v>2.5129999999999999</v>
      </c>
      <c r="O267">
        <v>0.77800000000000002</v>
      </c>
    </row>
    <row r="268" spans="1:15" x14ac:dyDescent="0.35">
      <c r="A268" t="s">
        <v>327</v>
      </c>
      <c r="B268" t="s">
        <v>245</v>
      </c>
      <c r="D268">
        <v>238</v>
      </c>
      <c r="E268">
        <v>849</v>
      </c>
      <c r="F268">
        <v>1087</v>
      </c>
      <c r="G268">
        <v>469</v>
      </c>
      <c r="H268">
        <v>162</v>
      </c>
      <c r="I268">
        <v>631</v>
      </c>
      <c r="J268">
        <v>76275</v>
      </c>
      <c r="K268">
        <v>1.425</v>
      </c>
      <c r="L268">
        <v>0.82699999999999996</v>
      </c>
      <c r="M268">
        <v>70696</v>
      </c>
      <c r="N268">
        <v>1.538</v>
      </c>
      <c r="O268">
        <v>0.89300000000000002</v>
      </c>
    </row>
    <row r="269" spans="1:15" x14ac:dyDescent="0.35">
      <c r="A269" t="s">
        <v>327</v>
      </c>
      <c r="B269" t="s">
        <v>248</v>
      </c>
      <c r="D269">
        <v>134</v>
      </c>
      <c r="E269">
        <v>1306</v>
      </c>
      <c r="F269">
        <v>1440</v>
      </c>
      <c r="G269">
        <v>158</v>
      </c>
      <c r="H269">
        <v>117</v>
      </c>
      <c r="I269">
        <v>275</v>
      </c>
      <c r="J269">
        <v>76306</v>
      </c>
      <c r="K269">
        <v>1.887</v>
      </c>
      <c r="L269">
        <v>0.36</v>
      </c>
      <c r="M269">
        <v>70409</v>
      </c>
      <c r="N269">
        <v>2.0449999999999999</v>
      </c>
      <c r="O269">
        <v>0.39100000000000001</v>
      </c>
    </row>
    <row r="270" spans="1:15" x14ac:dyDescent="0.35">
      <c r="A270" t="s">
        <v>341</v>
      </c>
      <c r="B270" t="s">
        <v>280</v>
      </c>
      <c r="C270" t="s">
        <v>279</v>
      </c>
      <c r="D270">
        <v>528</v>
      </c>
      <c r="E270">
        <v>438</v>
      </c>
      <c r="F270">
        <v>966</v>
      </c>
      <c r="G270">
        <v>416</v>
      </c>
      <c r="H270">
        <v>424</v>
      </c>
      <c r="I270">
        <v>840</v>
      </c>
      <c r="J270">
        <v>39297</v>
      </c>
      <c r="K270">
        <v>2.4580000000000002</v>
      </c>
      <c r="L270">
        <v>2.1379999999999999</v>
      </c>
      <c r="M270">
        <v>37766</v>
      </c>
      <c r="N270">
        <v>2.5579999999999998</v>
      </c>
      <c r="O270">
        <v>2.2240000000000002</v>
      </c>
    </row>
    <row r="271" spans="1:15" x14ac:dyDescent="0.35">
      <c r="A271" t="s">
        <v>366</v>
      </c>
      <c r="B271" t="s">
        <v>310</v>
      </c>
      <c r="C271" t="s">
        <v>309</v>
      </c>
      <c r="D271">
        <v>470</v>
      </c>
      <c r="E271">
        <v>934</v>
      </c>
      <c r="F271">
        <v>1404</v>
      </c>
      <c r="G271">
        <v>586</v>
      </c>
      <c r="H271">
        <v>154</v>
      </c>
      <c r="I271">
        <v>740</v>
      </c>
      <c r="J271">
        <v>45056</v>
      </c>
      <c r="K271">
        <v>3.1160000000000001</v>
      </c>
      <c r="L271">
        <v>1.6419999999999999</v>
      </c>
      <c r="M271">
        <v>42571</v>
      </c>
      <c r="N271">
        <v>3.298</v>
      </c>
      <c r="O271">
        <v>1.738</v>
      </c>
    </row>
    <row r="272" spans="1:15" x14ac:dyDescent="0.35">
      <c r="A272" t="s">
        <v>365</v>
      </c>
      <c r="B272" t="s">
        <v>271</v>
      </c>
      <c r="C272" t="s">
        <v>270</v>
      </c>
      <c r="D272">
        <v>2493</v>
      </c>
      <c r="E272">
        <v>3638</v>
      </c>
      <c r="F272">
        <v>6131</v>
      </c>
      <c r="G272">
        <v>2836</v>
      </c>
      <c r="H272">
        <v>867</v>
      </c>
      <c r="I272">
        <v>3703</v>
      </c>
      <c r="J272">
        <v>301891</v>
      </c>
      <c r="K272">
        <v>2.0310000000000001</v>
      </c>
      <c r="L272">
        <v>1.2270000000000001</v>
      </c>
      <c r="M272">
        <v>286377</v>
      </c>
      <c r="N272">
        <v>2.141</v>
      </c>
      <c r="O272">
        <v>1.2929999999999999</v>
      </c>
    </row>
    <row r="273" spans="1:15" x14ac:dyDescent="0.35">
      <c r="A273" t="s">
        <v>365</v>
      </c>
      <c r="B273" t="s">
        <v>254</v>
      </c>
      <c r="C273" t="s">
        <v>253</v>
      </c>
      <c r="D273">
        <v>562</v>
      </c>
      <c r="E273">
        <v>539</v>
      </c>
      <c r="F273">
        <v>1101</v>
      </c>
      <c r="G273">
        <v>734</v>
      </c>
      <c r="H273">
        <v>214</v>
      </c>
      <c r="I273">
        <v>948</v>
      </c>
      <c r="J273">
        <v>45281</v>
      </c>
      <c r="K273">
        <v>2.431</v>
      </c>
      <c r="L273">
        <v>2.0939999999999999</v>
      </c>
      <c r="M273">
        <v>44504</v>
      </c>
      <c r="N273">
        <v>2.4740000000000002</v>
      </c>
      <c r="O273">
        <v>2.13</v>
      </c>
    </row>
    <row r="274" spans="1:15" x14ac:dyDescent="0.35">
      <c r="A274" t="s">
        <v>365</v>
      </c>
      <c r="B274" t="s">
        <v>256</v>
      </c>
      <c r="C274" t="s">
        <v>255</v>
      </c>
      <c r="D274">
        <v>737</v>
      </c>
      <c r="E274">
        <v>511</v>
      </c>
      <c r="F274">
        <v>1248</v>
      </c>
      <c r="G274">
        <v>708</v>
      </c>
      <c r="H274">
        <v>526</v>
      </c>
      <c r="I274">
        <v>1234</v>
      </c>
      <c r="J274">
        <v>45968</v>
      </c>
      <c r="K274">
        <v>2.7149999999999999</v>
      </c>
      <c r="L274">
        <v>2.6840000000000002</v>
      </c>
      <c r="M274">
        <v>43981</v>
      </c>
      <c r="N274">
        <v>2.8380000000000001</v>
      </c>
      <c r="O274">
        <v>2.806</v>
      </c>
    </row>
    <row r="275" spans="1:15" x14ac:dyDescent="0.35">
      <c r="A275" t="s">
        <v>364</v>
      </c>
      <c r="B275" t="s">
        <v>305</v>
      </c>
      <c r="C275" t="s">
        <v>304</v>
      </c>
      <c r="D275">
        <v>1230</v>
      </c>
      <c r="E275">
        <v>1647</v>
      </c>
      <c r="F275">
        <v>2877</v>
      </c>
      <c r="G275">
        <v>1474</v>
      </c>
      <c r="H275">
        <v>585</v>
      </c>
      <c r="I275">
        <v>2059</v>
      </c>
      <c r="J275">
        <v>146110</v>
      </c>
      <c r="K275">
        <v>1.9689999999999999</v>
      </c>
      <c r="L275">
        <v>1.409</v>
      </c>
      <c r="M275">
        <v>141129</v>
      </c>
      <c r="N275">
        <v>2.0390000000000001</v>
      </c>
      <c r="O275">
        <v>1.4590000000000001</v>
      </c>
    </row>
    <row r="276" spans="1:15" x14ac:dyDescent="0.35">
      <c r="A276" t="s">
        <v>364</v>
      </c>
      <c r="B276" t="s">
        <v>216</v>
      </c>
      <c r="C276" t="s">
        <v>215</v>
      </c>
      <c r="D276">
        <v>492</v>
      </c>
      <c r="E276">
        <v>1898</v>
      </c>
      <c r="F276">
        <v>2390</v>
      </c>
      <c r="G276">
        <v>419</v>
      </c>
      <c r="H276">
        <v>245</v>
      </c>
      <c r="I276">
        <v>664</v>
      </c>
      <c r="J276">
        <v>112713</v>
      </c>
      <c r="K276">
        <v>2.12</v>
      </c>
      <c r="L276">
        <v>0.58899999999999997</v>
      </c>
      <c r="M276">
        <v>105047</v>
      </c>
      <c r="N276">
        <v>2.2749999999999999</v>
      </c>
      <c r="O276">
        <v>0.63200000000000001</v>
      </c>
    </row>
    <row r="277" spans="1:15" x14ac:dyDescent="0.35">
      <c r="A277" t="s">
        <v>327</v>
      </c>
      <c r="B277" t="s">
        <v>297</v>
      </c>
      <c r="D277">
        <v>342</v>
      </c>
      <c r="E277">
        <v>826</v>
      </c>
      <c r="F277">
        <v>1168</v>
      </c>
      <c r="G277">
        <v>726</v>
      </c>
      <c r="H277">
        <v>131</v>
      </c>
      <c r="I277">
        <v>857</v>
      </c>
      <c r="J277">
        <v>91192</v>
      </c>
      <c r="K277">
        <v>1.2810000000000001</v>
      </c>
      <c r="L277">
        <v>0.94</v>
      </c>
      <c r="M277">
        <v>87576</v>
      </c>
      <c r="N277">
        <v>1.3340000000000001</v>
      </c>
      <c r="O277">
        <v>0.97899999999999998</v>
      </c>
    </row>
    <row r="278" spans="1:15" x14ac:dyDescent="0.35">
      <c r="A278" t="s">
        <v>364</v>
      </c>
      <c r="B278" t="s">
        <v>288</v>
      </c>
      <c r="C278" t="s">
        <v>287</v>
      </c>
      <c r="D278">
        <v>958</v>
      </c>
      <c r="E278">
        <v>660</v>
      </c>
      <c r="F278">
        <v>1618</v>
      </c>
      <c r="G278">
        <v>972</v>
      </c>
      <c r="H278">
        <v>661</v>
      </c>
      <c r="I278">
        <v>1633</v>
      </c>
      <c r="J278">
        <v>67082</v>
      </c>
      <c r="K278">
        <v>2.4119999999999999</v>
      </c>
      <c r="L278">
        <v>2.4340000000000002</v>
      </c>
      <c r="M278">
        <v>62613</v>
      </c>
      <c r="N278">
        <v>2.5840000000000001</v>
      </c>
      <c r="O278">
        <v>2.6080000000000001</v>
      </c>
    </row>
    <row r="279" spans="1:15" x14ac:dyDescent="0.35">
      <c r="A279" t="s">
        <v>364</v>
      </c>
      <c r="B279" t="s">
        <v>229</v>
      </c>
      <c r="C279" t="s">
        <v>228</v>
      </c>
      <c r="D279">
        <v>529</v>
      </c>
      <c r="E279">
        <v>457</v>
      </c>
      <c r="F279">
        <v>986</v>
      </c>
      <c r="G279">
        <v>539</v>
      </c>
      <c r="H279">
        <v>425</v>
      </c>
      <c r="I279">
        <v>964</v>
      </c>
      <c r="J279">
        <v>47336</v>
      </c>
      <c r="K279">
        <v>2.0830000000000002</v>
      </c>
      <c r="L279">
        <v>2.0369999999999999</v>
      </c>
      <c r="M279">
        <v>40934</v>
      </c>
      <c r="N279">
        <v>2.4089999999999998</v>
      </c>
      <c r="O279">
        <v>2.355</v>
      </c>
    </row>
    <row r="280" spans="1:15" x14ac:dyDescent="0.35">
      <c r="A280" t="s">
        <v>365</v>
      </c>
      <c r="B280" t="s">
        <v>282</v>
      </c>
      <c r="C280" t="s">
        <v>281</v>
      </c>
      <c r="D280">
        <v>372</v>
      </c>
      <c r="E280">
        <v>356</v>
      </c>
      <c r="F280">
        <v>728</v>
      </c>
      <c r="G280">
        <v>336</v>
      </c>
      <c r="H280">
        <v>293</v>
      </c>
      <c r="I280">
        <v>629</v>
      </c>
      <c r="J280">
        <v>43788</v>
      </c>
      <c r="K280">
        <v>1.663</v>
      </c>
      <c r="L280">
        <v>1.4359999999999999</v>
      </c>
      <c r="M280">
        <v>41288</v>
      </c>
      <c r="N280">
        <v>1.7629999999999999</v>
      </c>
      <c r="O280">
        <v>1.5230000000000001</v>
      </c>
    </row>
    <row r="281" spans="1:15" x14ac:dyDescent="0.35">
      <c r="A281" t="s">
        <v>313</v>
      </c>
      <c r="B281" t="s">
        <v>297</v>
      </c>
      <c r="C281" t="s">
        <v>296</v>
      </c>
      <c r="D281">
        <v>774</v>
      </c>
      <c r="E281">
        <v>1023</v>
      </c>
      <c r="F281">
        <v>1797</v>
      </c>
      <c r="G281">
        <v>786</v>
      </c>
      <c r="H281">
        <v>396</v>
      </c>
      <c r="I281">
        <v>1182</v>
      </c>
      <c r="J281">
        <v>88086</v>
      </c>
      <c r="K281">
        <v>2.04</v>
      </c>
      <c r="L281">
        <v>1.3420000000000001</v>
      </c>
      <c r="M281">
        <v>86683</v>
      </c>
      <c r="N281">
        <v>2.073</v>
      </c>
      <c r="O281">
        <v>1.3639999999999999</v>
      </c>
    </row>
    <row r="282" spans="1:15" x14ac:dyDescent="0.35">
      <c r="A282" t="s">
        <v>365</v>
      </c>
      <c r="B282" t="s">
        <v>235</v>
      </c>
      <c r="C282" t="s">
        <v>234</v>
      </c>
      <c r="D282">
        <v>2833</v>
      </c>
      <c r="E282">
        <v>2754</v>
      </c>
      <c r="F282">
        <v>5587</v>
      </c>
      <c r="G282">
        <v>2716</v>
      </c>
      <c r="H282">
        <v>1169</v>
      </c>
      <c r="I282">
        <v>3885</v>
      </c>
      <c r="J282">
        <v>239525</v>
      </c>
      <c r="K282">
        <v>2.3330000000000002</v>
      </c>
      <c r="L282">
        <v>1.6219999999999999</v>
      </c>
      <c r="M282">
        <v>229231</v>
      </c>
      <c r="N282">
        <v>2.4369999999999998</v>
      </c>
      <c r="O282">
        <v>1.6949999999999998</v>
      </c>
    </row>
    <row r="283" spans="1:15" x14ac:dyDescent="0.35">
      <c r="A283" t="s">
        <v>364</v>
      </c>
      <c r="B283" t="s">
        <v>271</v>
      </c>
      <c r="C283" t="s">
        <v>270</v>
      </c>
      <c r="D283">
        <v>2763</v>
      </c>
      <c r="E283">
        <v>3336</v>
      </c>
      <c r="F283">
        <v>6099</v>
      </c>
      <c r="G283">
        <v>3186</v>
      </c>
      <c r="H283">
        <v>954</v>
      </c>
      <c r="I283">
        <v>4140</v>
      </c>
      <c r="J283">
        <v>301633</v>
      </c>
      <c r="K283">
        <v>2.0219999999999998</v>
      </c>
      <c r="L283">
        <v>1.373</v>
      </c>
      <c r="M283">
        <v>285346</v>
      </c>
      <c r="N283">
        <v>2.137</v>
      </c>
      <c r="O283">
        <v>1.4510000000000001</v>
      </c>
    </row>
    <row r="284" spans="1:15" x14ac:dyDescent="0.35">
      <c r="A284" t="s">
        <v>365</v>
      </c>
      <c r="B284" t="s">
        <v>216</v>
      </c>
      <c r="C284" t="s">
        <v>215</v>
      </c>
      <c r="D284">
        <v>524</v>
      </c>
      <c r="E284">
        <v>1951</v>
      </c>
      <c r="F284">
        <v>2475</v>
      </c>
      <c r="G284">
        <v>469</v>
      </c>
      <c r="H284">
        <v>283</v>
      </c>
      <c r="I284">
        <v>752</v>
      </c>
      <c r="J284">
        <v>113508</v>
      </c>
      <c r="K284">
        <v>2.1800000000000002</v>
      </c>
      <c r="L284">
        <v>0.66300000000000003</v>
      </c>
      <c r="M284">
        <v>105287</v>
      </c>
      <c r="N284">
        <v>2.351</v>
      </c>
      <c r="O284">
        <v>0.71399999999999997</v>
      </c>
    </row>
    <row r="285" spans="1:15" x14ac:dyDescent="0.35">
      <c r="A285" t="s">
        <v>214</v>
      </c>
      <c r="B285" t="s">
        <v>250</v>
      </c>
      <c r="C285" t="s">
        <v>249</v>
      </c>
      <c r="D285">
        <v>421</v>
      </c>
      <c r="E285">
        <v>656</v>
      </c>
      <c r="F285">
        <v>1077</v>
      </c>
      <c r="G285">
        <v>446</v>
      </c>
      <c r="H285">
        <v>251</v>
      </c>
      <c r="I285">
        <v>697</v>
      </c>
      <c r="J285">
        <v>58453</v>
      </c>
      <c r="K285">
        <v>1.843</v>
      </c>
      <c r="L285">
        <v>1.1919999999999999</v>
      </c>
      <c r="M285">
        <v>55107</v>
      </c>
      <c r="N285">
        <v>1.954</v>
      </c>
      <c r="O285">
        <v>1.2650000000000001</v>
      </c>
    </row>
    <row r="286" spans="1:15" x14ac:dyDescent="0.35">
      <c r="A286" t="s">
        <v>341</v>
      </c>
      <c r="B286" t="s">
        <v>284</v>
      </c>
      <c r="C286" t="s">
        <v>283</v>
      </c>
      <c r="D286">
        <v>94</v>
      </c>
      <c r="E286">
        <v>249</v>
      </c>
      <c r="F286">
        <v>343</v>
      </c>
      <c r="G286">
        <v>95</v>
      </c>
      <c r="H286">
        <v>46</v>
      </c>
      <c r="I286">
        <v>141</v>
      </c>
      <c r="J286">
        <v>14599</v>
      </c>
      <c r="K286">
        <v>2.3490000000000002</v>
      </c>
      <c r="L286">
        <v>0.96599999999999997</v>
      </c>
      <c r="M286">
        <v>12951</v>
      </c>
      <c r="N286">
        <v>2.6480000000000001</v>
      </c>
      <c r="O286">
        <v>1.089</v>
      </c>
    </row>
    <row r="287" spans="1:15" x14ac:dyDescent="0.35">
      <c r="A287" t="s">
        <v>319</v>
      </c>
      <c r="B287" t="s">
        <v>264</v>
      </c>
      <c r="C287" t="s">
        <v>263</v>
      </c>
      <c r="D287">
        <v>157</v>
      </c>
      <c r="E287">
        <v>297</v>
      </c>
      <c r="F287">
        <v>454</v>
      </c>
      <c r="G287">
        <v>179</v>
      </c>
      <c r="H287">
        <v>71</v>
      </c>
      <c r="I287">
        <v>250</v>
      </c>
      <c r="J287">
        <v>75595</v>
      </c>
      <c r="K287">
        <v>0.60099999999999998</v>
      </c>
      <c r="L287">
        <v>0.33100000000000002</v>
      </c>
      <c r="M287">
        <v>72994</v>
      </c>
      <c r="N287">
        <v>0.622</v>
      </c>
      <c r="O287">
        <v>0.34200000000000003</v>
      </c>
    </row>
    <row r="288" spans="1:15" x14ac:dyDescent="0.35">
      <c r="A288" t="s">
        <v>319</v>
      </c>
      <c r="B288" t="s">
        <v>284</v>
      </c>
      <c r="C288" t="s">
        <v>283</v>
      </c>
      <c r="D288">
        <v>23</v>
      </c>
      <c r="E288">
        <v>34</v>
      </c>
      <c r="F288">
        <v>57</v>
      </c>
      <c r="G288">
        <v>26</v>
      </c>
      <c r="H288">
        <v>12</v>
      </c>
      <c r="I288">
        <v>38</v>
      </c>
      <c r="J288">
        <v>14764</v>
      </c>
      <c r="K288">
        <v>0.38600000000000001</v>
      </c>
      <c r="L288">
        <v>0.25700000000000001</v>
      </c>
      <c r="M288">
        <v>12849</v>
      </c>
      <c r="N288">
        <v>0.44400000000000001</v>
      </c>
      <c r="O288">
        <v>0.29599999999999999</v>
      </c>
    </row>
    <row r="289" spans="1:15" x14ac:dyDescent="0.35">
      <c r="A289" t="s">
        <v>364</v>
      </c>
      <c r="B289" t="s">
        <v>297</v>
      </c>
      <c r="C289" t="s">
        <v>296</v>
      </c>
      <c r="D289">
        <v>1045</v>
      </c>
      <c r="E289">
        <v>832</v>
      </c>
      <c r="F289">
        <v>1877</v>
      </c>
      <c r="G289">
        <v>1240</v>
      </c>
      <c r="H289">
        <v>486</v>
      </c>
      <c r="I289">
        <v>1726</v>
      </c>
      <c r="J289">
        <v>83933</v>
      </c>
      <c r="K289">
        <v>2.2359999999999998</v>
      </c>
      <c r="L289">
        <v>2.056</v>
      </c>
      <c r="M289">
        <v>81787</v>
      </c>
      <c r="N289">
        <v>2.2949999999999999</v>
      </c>
      <c r="O289">
        <v>2.11</v>
      </c>
    </row>
    <row r="290" spans="1:15" x14ac:dyDescent="0.35">
      <c r="A290" t="s">
        <v>319</v>
      </c>
      <c r="B290" t="s">
        <v>221</v>
      </c>
      <c r="C290" t="s">
        <v>220</v>
      </c>
      <c r="D290">
        <v>127</v>
      </c>
      <c r="E290">
        <v>310</v>
      </c>
      <c r="F290">
        <v>437</v>
      </c>
      <c r="G290">
        <v>150</v>
      </c>
      <c r="H290">
        <v>76</v>
      </c>
      <c r="I290">
        <v>226</v>
      </c>
      <c r="J290">
        <v>119854</v>
      </c>
      <c r="K290">
        <v>0.36499999999999999</v>
      </c>
      <c r="L290">
        <v>0.189</v>
      </c>
      <c r="M290">
        <v>112713</v>
      </c>
      <c r="N290">
        <v>0.38800000000000001</v>
      </c>
      <c r="O290">
        <v>0.20100000000000001</v>
      </c>
    </row>
    <row r="291" spans="1:15" x14ac:dyDescent="0.35">
      <c r="A291" t="s">
        <v>365</v>
      </c>
      <c r="B291" t="s">
        <v>312</v>
      </c>
      <c r="C291" t="s">
        <v>311</v>
      </c>
      <c r="D291">
        <v>1103</v>
      </c>
      <c r="E291">
        <v>638</v>
      </c>
      <c r="F291">
        <v>1741</v>
      </c>
      <c r="G291">
        <v>967</v>
      </c>
      <c r="H291">
        <v>813</v>
      </c>
      <c r="I291">
        <v>1780</v>
      </c>
      <c r="J291">
        <v>77186</v>
      </c>
      <c r="K291">
        <v>2.2560000000000002</v>
      </c>
      <c r="L291">
        <v>2.306</v>
      </c>
      <c r="M291">
        <v>75035</v>
      </c>
      <c r="N291">
        <v>2.3199999999999998</v>
      </c>
      <c r="O291">
        <v>2.3719999999999999</v>
      </c>
    </row>
    <row r="292" spans="1:15" x14ac:dyDescent="0.35">
      <c r="A292" t="s">
        <v>326</v>
      </c>
      <c r="B292" t="s">
        <v>297</v>
      </c>
      <c r="C292" t="s">
        <v>296</v>
      </c>
      <c r="F292">
        <v>1179</v>
      </c>
      <c r="J292">
        <v>90485</v>
      </c>
      <c r="K292">
        <v>1.3029999999999999</v>
      </c>
      <c r="M292">
        <v>88749</v>
      </c>
      <c r="N292">
        <v>1.3280000000000001</v>
      </c>
    </row>
    <row r="293" spans="1:15" x14ac:dyDescent="0.35">
      <c r="A293" t="s">
        <v>364</v>
      </c>
      <c r="B293" t="s">
        <v>312</v>
      </c>
      <c r="C293" t="s">
        <v>311</v>
      </c>
      <c r="D293">
        <v>1381</v>
      </c>
      <c r="E293">
        <v>546</v>
      </c>
      <c r="F293">
        <v>1927</v>
      </c>
      <c r="G293">
        <v>1141</v>
      </c>
      <c r="H293">
        <v>1121</v>
      </c>
      <c r="I293">
        <v>2262</v>
      </c>
      <c r="J293">
        <v>76473</v>
      </c>
      <c r="K293">
        <v>2.52</v>
      </c>
      <c r="L293">
        <v>2.9580000000000002</v>
      </c>
      <c r="M293">
        <v>74335</v>
      </c>
      <c r="N293">
        <v>2.5920000000000001</v>
      </c>
      <c r="O293">
        <v>3.0430000000000001</v>
      </c>
    </row>
    <row r="294" spans="1:15" x14ac:dyDescent="0.35">
      <c r="A294" t="s">
        <v>365</v>
      </c>
      <c r="B294" t="s">
        <v>268</v>
      </c>
      <c r="C294" t="s">
        <v>1101</v>
      </c>
      <c r="D294">
        <v>3404</v>
      </c>
      <c r="E294">
        <v>3462</v>
      </c>
      <c r="F294">
        <v>6866</v>
      </c>
      <c r="G294">
        <v>3640</v>
      </c>
      <c r="H294">
        <v>1737</v>
      </c>
      <c r="I294">
        <v>5377</v>
      </c>
      <c r="J294">
        <v>172425</v>
      </c>
      <c r="K294">
        <v>3.9820000000000002</v>
      </c>
      <c r="L294">
        <v>3.1179999999999999</v>
      </c>
      <c r="M294">
        <v>163958</v>
      </c>
      <c r="N294">
        <v>4.1879999999999997</v>
      </c>
      <c r="O294">
        <v>3.2789999999999999</v>
      </c>
    </row>
    <row r="295" spans="1:15" x14ac:dyDescent="0.35">
      <c r="A295" t="s">
        <v>466</v>
      </c>
      <c r="B295" t="s">
        <v>288</v>
      </c>
      <c r="D295">
        <v>183</v>
      </c>
      <c r="E295">
        <v>801</v>
      </c>
      <c r="F295">
        <v>984</v>
      </c>
      <c r="G295">
        <v>263</v>
      </c>
      <c r="H295">
        <v>154</v>
      </c>
      <c r="I295">
        <v>458</v>
      </c>
      <c r="M295">
        <v>65107.059422716513</v>
      </c>
      <c r="N295">
        <v>1.5110000000000001</v>
      </c>
      <c r="O295">
        <v>0.70299999999999996</v>
      </c>
    </row>
    <row r="296" spans="1:15" x14ac:dyDescent="0.35">
      <c r="A296" t="s">
        <v>364</v>
      </c>
      <c r="B296" t="s">
        <v>293</v>
      </c>
      <c r="C296" t="s">
        <v>292</v>
      </c>
      <c r="D296">
        <v>115</v>
      </c>
      <c r="E296">
        <v>150</v>
      </c>
      <c r="F296">
        <v>265</v>
      </c>
      <c r="G296">
        <v>183</v>
      </c>
      <c r="H296">
        <v>64</v>
      </c>
      <c r="I296">
        <v>247</v>
      </c>
      <c r="J296">
        <v>10717</v>
      </c>
      <c r="K296">
        <v>2.4729999999999999</v>
      </c>
      <c r="L296">
        <v>2.3050000000000002</v>
      </c>
      <c r="M296">
        <v>9945</v>
      </c>
      <c r="N296">
        <v>2.665</v>
      </c>
      <c r="O296">
        <v>2.484</v>
      </c>
    </row>
    <row r="297" spans="1:15" x14ac:dyDescent="0.35">
      <c r="A297" t="s">
        <v>326</v>
      </c>
      <c r="B297" t="s">
        <v>295</v>
      </c>
      <c r="C297" t="s">
        <v>294</v>
      </c>
      <c r="F297">
        <v>890</v>
      </c>
      <c r="J297">
        <v>75321</v>
      </c>
      <c r="K297">
        <v>1.1819999999999999</v>
      </c>
      <c r="M297">
        <v>71103</v>
      </c>
      <c r="N297">
        <v>1.252</v>
      </c>
    </row>
    <row r="298" spans="1:15" x14ac:dyDescent="0.35">
      <c r="A298" t="s">
        <v>326</v>
      </c>
      <c r="B298" t="s">
        <v>293</v>
      </c>
      <c r="C298" t="s">
        <v>292</v>
      </c>
      <c r="F298">
        <v>148</v>
      </c>
      <c r="J298">
        <v>11618</v>
      </c>
      <c r="K298">
        <v>1.274</v>
      </c>
      <c r="M298">
        <v>10799</v>
      </c>
      <c r="N298">
        <v>1.37</v>
      </c>
    </row>
    <row r="299" spans="1:15" x14ac:dyDescent="0.35">
      <c r="A299" t="s">
        <v>364</v>
      </c>
      <c r="B299" t="s">
        <v>268</v>
      </c>
      <c r="C299" t="s">
        <v>1101</v>
      </c>
      <c r="D299">
        <v>3531</v>
      </c>
      <c r="E299">
        <v>3068</v>
      </c>
      <c r="F299">
        <v>6599</v>
      </c>
      <c r="G299">
        <v>3943</v>
      </c>
      <c r="H299">
        <v>1691</v>
      </c>
      <c r="I299">
        <v>5634</v>
      </c>
      <c r="J299">
        <v>171560</v>
      </c>
      <c r="K299">
        <v>3.8460000000000001</v>
      </c>
      <c r="L299">
        <v>3.2839999999999998</v>
      </c>
      <c r="M299">
        <v>162200</v>
      </c>
      <c r="N299">
        <v>4.0679999999999996</v>
      </c>
      <c r="O299">
        <v>3.4729999999999999</v>
      </c>
    </row>
    <row r="300" spans="1:15" x14ac:dyDescent="0.35">
      <c r="A300" t="s">
        <v>466</v>
      </c>
      <c r="B300" t="s">
        <v>229</v>
      </c>
      <c r="D300">
        <v>70</v>
      </c>
      <c r="E300">
        <v>556</v>
      </c>
      <c r="F300">
        <v>626</v>
      </c>
      <c r="G300">
        <v>151</v>
      </c>
      <c r="H300">
        <v>71</v>
      </c>
      <c r="I300">
        <v>224</v>
      </c>
      <c r="M300">
        <v>42831.175905558739</v>
      </c>
      <c r="N300">
        <v>1.462</v>
      </c>
      <c r="O300">
        <v>0.52300000000000002</v>
      </c>
    </row>
    <row r="301" spans="1:15" x14ac:dyDescent="0.35">
      <c r="A301" t="s">
        <v>321</v>
      </c>
      <c r="B301" t="s">
        <v>280</v>
      </c>
      <c r="C301" t="s">
        <v>279</v>
      </c>
      <c r="F301">
        <v>577</v>
      </c>
      <c r="J301">
        <v>42492</v>
      </c>
      <c r="K301">
        <v>1.3580000000000001</v>
      </c>
      <c r="M301">
        <v>40876</v>
      </c>
      <c r="N301">
        <v>1.4119999999999999</v>
      </c>
    </row>
    <row r="302" spans="1:15" x14ac:dyDescent="0.35">
      <c r="A302" t="s">
        <v>214</v>
      </c>
      <c r="B302" t="s">
        <v>293</v>
      </c>
      <c r="C302" t="s">
        <v>292</v>
      </c>
      <c r="D302">
        <v>96</v>
      </c>
      <c r="E302">
        <v>194</v>
      </c>
      <c r="F302">
        <v>290</v>
      </c>
      <c r="G302">
        <v>82</v>
      </c>
      <c r="H302">
        <v>85</v>
      </c>
      <c r="I302">
        <v>167</v>
      </c>
      <c r="J302">
        <v>11261</v>
      </c>
      <c r="K302">
        <v>2.5750000000000002</v>
      </c>
      <c r="L302">
        <v>1.4830000000000001</v>
      </c>
      <c r="M302">
        <v>10506</v>
      </c>
      <c r="N302">
        <v>2.76</v>
      </c>
      <c r="O302">
        <v>1.5899999999999999</v>
      </c>
    </row>
    <row r="303" spans="1:15" x14ac:dyDescent="0.35">
      <c r="A303" t="s">
        <v>342</v>
      </c>
      <c r="B303" t="s">
        <v>280</v>
      </c>
      <c r="C303" t="s">
        <v>279</v>
      </c>
      <c r="D303">
        <v>489</v>
      </c>
      <c r="E303">
        <v>509</v>
      </c>
      <c r="F303">
        <v>998</v>
      </c>
      <c r="G303">
        <v>349</v>
      </c>
      <c r="H303">
        <v>448</v>
      </c>
      <c r="I303">
        <v>797</v>
      </c>
      <c r="J303">
        <v>39937</v>
      </c>
      <c r="K303">
        <v>2.4990000000000001</v>
      </c>
      <c r="L303">
        <v>1.996</v>
      </c>
      <c r="M303">
        <v>38557</v>
      </c>
      <c r="N303">
        <v>2.5880000000000001</v>
      </c>
      <c r="O303">
        <v>2.0670000000000002</v>
      </c>
    </row>
    <row r="304" spans="1:15" x14ac:dyDescent="0.35">
      <c r="A304" t="s">
        <v>366</v>
      </c>
      <c r="B304" t="s">
        <v>225</v>
      </c>
      <c r="C304" t="s">
        <v>224</v>
      </c>
      <c r="D304">
        <v>485</v>
      </c>
      <c r="E304">
        <v>1685</v>
      </c>
      <c r="F304">
        <v>2170</v>
      </c>
      <c r="G304">
        <v>462</v>
      </c>
      <c r="H304">
        <v>262</v>
      </c>
      <c r="I304">
        <v>724</v>
      </c>
      <c r="J304">
        <v>55619</v>
      </c>
      <c r="K304">
        <v>3.9020000000000001</v>
      </c>
      <c r="L304">
        <v>1.302</v>
      </c>
      <c r="M304">
        <v>53142</v>
      </c>
      <c r="N304">
        <v>4.0830000000000002</v>
      </c>
      <c r="O304">
        <v>1.3620000000000001</v>
      </c>
    </row>
    <row r="305" spans="1:15" x14ac:dyDescent="0.35">
      <c r="A305" t="s">
        <v>366</v>
      </c>
      <c r="B305" t="s">
        <v>268</v>
      </c>
      <c r="C305" t="s">
        <v>1101</v>
      </c>
      <c r="D305">
        <v>3204</v>
      </c>
      <c r="E305">
        <v>3874</v>
      </c>
      <c r="F305">
        <v>7078</v>
      </c>
      <c r="G305">
        <v>3231</v>
      </c>
      <c r="H305">
        <v>1803</v>
      </c>
      <c r="I305">
        <v>5034</v>
      </c>
      <c r="J305">
        <v>173366</v>
      </c>
      <c r="K305">
        <v>4.0830000000000002</v>
      </c>
      <c r="L305">
        <v>2.9039999999999999</v>
      </c>
      <c r="M305">
        <v>164705</v>
      </c>
      <c r="N305">
        <v>4.2969999999999997</v>
      </c>
      <c r="O305">
        <v>3.056</v>
      </c>
    </row>
    <row r="306" spans="1:15" x14ac:dyDescent="0.35">
      <c r="A306" t="s">
        <v>466</v>
      </c>
      <c r="B306" t="s">
        <v>260</v>
      </c>
      <c r="D306">
        <v>118</v>
      </c>
      <c r="E306">
        <v>543</v>
      </c>
      <c r="F306">
        <v>661</v>
      </c>
      <c r="G306">
        <v>244</v>
      </c>
      <c r="H306">
        <v>39</v>
      </c>
      <c r="I306">
        <v>294</v>
      </c>
      <c r="M306">
        <v>40540.754458151241</v>
      </c>
      <c r="N306">
        <v>1.63</v>
      </c>
      <c r="O306">
        <v>0.72499999999999998</v>
      </c>
    </row>
    <row r="307" spans="1:15" x14ac:dyDescent="0.35">
      <c r="A307" t="s">
        <v>313</v>
      </c>
      <c r="B307" t="s">
        <v>303</v>
      </c>
      <c r="C307" t="s">
        <v>302</v>
      </c>
      <c r="D307">
        <v>413</v>
      </c>
      <c r="E307">
        <v>588</v>
      </c>
      <c r="F307">
        <v>1001</v>
      </c>
      <c r="G307">
        <v>525</v>
      </c>
      <c r="H307">
        <v>185</v>
      </c>
      <c r="I307">
        <v>710</v>
      </c>
      <c r="J307">
        <v>55668</v>
      </c>
      <c r="K307">
        <v>1.798</v>
      </c>
      <c r="L307">
        <v>1.2749999999999999</v>
      </c>
      <c r="M307">
        <v>52588</v>
      </c>
      <c r="N307">
        <v>1.903</v>
      </c>
      <c r="O307">
        <v>1.35</v>
      </c>
    </row>
    <row r="308" spans="1:15" x14ac:dyDescent="0.35">
      <c r="A308" t="s">
        <v>365</v>
      </c>
      <c r="B308" t="s">
        <v>245</v>
      </c>
      <c r="C308" t="s">
        <v>244</v>
      </c>
      <c r="D308">
        <v>897</v>
      </c>
      <c r="E308">
        <v>629</v>
      </c>
      <c r="F308">
        <v>1526</v>
      </c>
      <c r="G308">
        <v>765</v>
      </c>
      <c r="H308">
        <v>450</v>
      </c>
      <c r="I308">
        <v>1215</v>
      </c>
      <c r="J308">
        <v>73895</v>
      </c>
      <c r="K308">
        <v>2.0649999999999999</v>
      </c>
      <c r="L308">
        <v>1.6440000000000001</v>
      </c>
      <c r="M308">
        <v>68818</v>
      </c>
      <c r="N308">
        <v>2.2170000000000001</v>
      </c>
      <c r="O308">
        <v>1.766</v>
      </c>
    </row>
    <row r="309" spans="1:15" x14ac:dyDescent="0.35">
      <c r="A309" t="s">
        <v>364</v>
      </c>
      <c r="B309" t="s">
        <v>248</v>
      </c>
      <c r="C309" t="s">
        <v>247</v>
      </c>
      <c r="D309">
        <v>1038</v>
      </c>
      <c r="E309">
        <v>6335</v>
      </c>
      <c r="F309">
        <v>7373</v>
      </c>
      <c r="G309">
        <v>936</v>
      </c>
      <c r="H309">
        <v>496</v>
      </c>
      <c r="I309">
        <v>1432</v>
      </c>
      <c r="J309">
        <v>73560</v>
      </c>
      <c r="K309">
        <v>10.023</v>
      </c>
      <c r="L309">
        <v>1.9470000000000001</v>
      </c>
      <c r="M309">
        <v>69500</v>
      </c>
      <c r="N309">
        <v>10.609</v>
      </c>
      <c r="O309">
        <v>2.06</v>
      </c>
    </row>
    <row r="310" spans="1:15" x14ac:dyDescent="0.35">
      <c r="A310" t="s">
        <v>313</v>
      </c>
      <c r="B310" t="s">
        <v>310</v>
      </c>
      <c r="C310" t="s">
        <v>309</v>
      </c>
      <c r="D310">
        <v>468</v>
      </c>
      <c r="E310">
        <v>931</v>
      </c>
      <c r="F310">
        <v>1399</v>
      </c>
      <c r="G310">
        <v>550</v>
      </c>
      <c r="H310">
        <v>172</v>
      </c>
      <c r="I310">
        <v>722</v>
      </c>
      <c r="J310">
        <v>45357</v>
      </c>
      <c r="K310">
        <v>3.0840000000000001</v>
      </c>
      <c r="L310">
        <v>1.5920000000000001</v>
      </c>
      <c r="M310">
        <v>43030</v>
      </c>
      <c r="N310">
        <v>3.2509999999999999</v>
      </c>
      <c r="O310">
        <v>1.6779999999999999</v>
      </c>
    </row>
    <row r="311" spans="1:15" x14ac:dyDescent="0.35">
      <c r="A311" t="s">
        <v>327</v>
      </c>
      <c r="B311" t="s">
        <v>303</v>
      </c>
      <c r="D311">
        <v>161</v>
      </c>
      <c r="E311">
        <v>529</v>
      </c>
      <c r="F311">
        <v>690</v>
      </c>
      <c r="G311">
        <v>302</v>
      </c>
      <c r="H311">
        <v>110</v>
      </c>
      <c r="I311">
        <v>412</v>
      </c>
      <c r="J311">
        <v>56697</v>
      </c>
      <c r="K311">
        <v>1.2170000000000001</v>
      </c>
      <c r="L311">
        <v>0.72699999999999998</v>
      </c>
      <c r="M311">
        <v>52851</v>
      </c>
      <c r="N311">
        <v>1.306</v>
      </c>
      <c r="O311">
        <v>0.78</v>
      </c>
    </row>
    <row r="312" spans="1:15" x14ac:dyDescent="0.35">
      <c r="A312" t="s">
        <v>466</v>
      </c>
      <c r="B312" t="s">
        <v>308</v>
      </c>
      <c r="D312">
        <v>86</v>
      </c>
      <c r="E312">
        <v>483</v>
      </c>
      <c r="F312">
        <v>569</v>
      </c>
      <c r="G312">
        <v>172</v>
      </c>
      <c r="H312">
        <v>50</v>
      </c>
      <c r="I312">
        <v>232</v>
      </c>
      <c r="M312">
        <v>41103.45535551112</v>
      </c>
      <c r="N312">
        <v>1.3839999999999999</v>
      </c>
      <c r="O312">
        <v>0.56399999999999995</v>
      </c>
    </row>
    <row r="313" spans="1:15" x14ac:dyDescent="0.35">
      <c r="A313" t="s">
        <v>327</v>
      </c>
      <c r="B313" t="s">
        <v>282</v>
      </c>
      <c r="D313">
        <v>58</v>
      </c>
      <c r="E313">
        <v>619</v>
      </c>
      <c r="F313">
        <v>677</v>
      </c>
      <c r="G313">
        <v>104</v>
      </c>
      <c r="H313">
        <v>71</v>
      </c>
      <c r="I313">
        <v>175</v>
      </c>
      <c r="J313">
        <v>47060</v>
      </c>
      <c r="K313">
        <v>1.4390000000000001</v>
      </c>
      <c r="L313">
        <v>0.372</v>
      </c>
      <c r="M313">
        <v>43891</v>
      </c>
      <c r="N313">
        <v>1.542</v>
      </c>
      <c r="O313">
        <v>0.39900000000000002</v>
      </c>
    </row>
    <row r="314" spans="1:15" x14ac:dyDescent="0.35">
      <c r="A314" t="s">
        <v>313</v>
      </c>
      <c r="B314" t="s">
        <v>260</v>
      </c>
      <c r="C314" t="s">
        <v>259</v>
      </c>
      <c r="D314">
        <v>366</v>
      </c>
      <c r="E314">
        <v>587</v>
      </c>
      <c r="F314">
        <v>953</v>
      </c>
      <c r="G314">
        <v>397</v>
      </c>
      <c r="H314">
        <v>172</v>
      </c>
      <c r="I314">
        <v>569</v>
      </c>
      <c r="J314">
        <v>39144</v>
      </c>
      <c r="K314">
        <v>2.4350000000000001</v>
      </c>
      <c r="L314">
        <v>1.454</v>
      </c>
      <c r="M314">
        <v>39345</v>
      </c>
      <c r="N314">
        <v>2.4220000000000002</v>
      </c>
      <c r="O314">
        <v>1.446</v>
      </c>
    </row>
    <row r="315" spans="1:15" x14ac:dyDescent="0.35">
      <c r="A315" t="s">
        <v>365</v>
      </c>
      <c r="B315" t="s">
        <v>293</v>
      </c>
      <c r="C315" t="s">
        <v>292</v>
      </c>
      <c r="D315">
        <v>87</v>
      </c>
      <c r="E315">
        <v>161</v>
      </c>
      <c r="F315">
        <v>248</v>
      </c>
      <c r="G315">
        <v>64</v>
      </c>
      <c r="H315">
        <v>81</v>
      </c>
      <c r="I315">
        <v>145</v>
      </c>
      <c r="J315">
        <v>10816</v>
      </c>
      <c r="K315">
        <v>2.2930000000000001</v>
      </c>
      <c r="L315">
        <v>1.341</v>
      </c>
      <c r="M315">
        <v>10042</v>
      </c>
      <c r="N315">
        <v>2.4699999999999998</v>
      </c>
      <c r="O315">
        <v>1.444</v>
      </c>
    </row>
    <row r="316" spans="1:15" x14ac:dyDescent="0.35">
      <c r="A316" t="s">
        <v>366</v>
      </c>
      <c r="B316" t="s">
        <v>221</v>
      </c>
      <c r="C316" t="s">
        <v>220</v>
      </c>
      <c r="D316">
        <v>683</v>
      </c>
      <c r="E316">
        <v>1249</v>
      </c>
      <c r="F316">
        <v>1932</v>
      </c>
      <c r="G316">
        <v>648</v>
      </c>
      <c r="H316">
        <v>431</v>
      </c>
      <c r="I316">
        <v>1079</v>
      </c>
      <c r="J316">
        <v>115223</v>
      </c>
      <c r="K316">
        <v>1.677</v>
      </c>
      <c r="L316">
        <v>0.93600000000000005</v>
      </c>
      <c r="M316">
        <v>109631</v>
      </c>
      <c r="N316">
        <v>1.762</v>
      </c>
      <c r="O316">
        <v>0.98399999999999999</v>
      </c>
    </row>
    <row r="317" spans="1:15" x14ac:dyDescent="0.35">
      <c r="A317" t="s">
        <v>327</v>
      </c>
      <c r="B317" t="s">
        <v>284</v>
      </c>
      <c r="D317">
        <v>12</v>
      </c>
      <c r="E317">
        <v>90</v>
      </c>
      <c r="F317">
        <v>102</v>
      </c>
      <c r="G317">
        <v>28</v>
      </c>
      <c r="H317">
        <v>18</v>
      </c>
      <c r="I317">
        <v>46</v>
      </c>
      <c r="J317">
        <v>15097</v>
      </c>
      <c r="K317">
        <v>0.67600000000000005</v>
      </c>
      <c r="L317">
        <v>0.30499999999999999</v>
      </c>
      <c r="M317">
        <v>12806</v>
      </c>
      <c r="N317">
        <v>0.79700000000000004</v>
      </c>
      <c r="O317">
        <v>0.35899999999999999</v>
      </c>
    </row>
    <row r="318" spans="1:15" x14ac:dyDescent="0.35">
      <c r="A318" t="s">
        <v>327</v>
      </c>
      <c r="B318" t="s">
        <v>278</v>
      </c>
      <c r="D318">
        <v>177</v>
      </c>
      <c r="E318">
        <v>315</v>
      </c>
      <c r="F318">
        <v>492</v>
      </c>
      <c r="G318">
        <v>328</v>
      </c>
      <c r="H318">
        <v>116</v>
      </c>
      <c r="I318">
        <v>444</v>
      </c>
      <c r="J318">
        <v>39913</v>
      </c>
      <c r="K318">
        <v>1.2330000000000001</v>
      </c>
      <c r="L318">
        <v>1.1120000000000001</v>
      </c>
      <c r="M318">
        <v>37556</v>
      </c>
      <c r="N318">
        <v>1.31</v>
      </c>
      <c r="O318">
        <v>1.1819999999999999</v>
      </c>
    </row>
    <row r="319" spans="1:15" x14ac:dyDescent="0.35">
      <c r="A319" t="s">
        <v>321</v>
      </c>
      <c r="B319" t="s">
        <v>297</v>
      </c>
      <c r="C319" t="s">
        <v>296</v>
      </c>
      <c r="F319">
        <v>1377</v>
      </c>
      <c r="J319">
        <v>89571</v>
      </c>
      <c r="K319">
        <v>1.5369999999999999</v>
      </c>
      <c r="M319">
        <v>87910</v>
      </c>
      <c r="N319">
        <v>1.5659999999999998</v>
      </c>
    </row>
    <row r="320" spans="1:15" x14ac:dyDescent="0.35">
      <c r="A320" t="s">
        <v>313</v>
      </c>
      <c r="B320" t="s">
        <v>290</v>
      </c>
      <c r="C320" t="s">
        <v>289</v>
      </c>
      <c r="D320">
        <v>1328</v>
      </c>
      <c r="E320">
        <v>2916</v>
      </c>
      <c r="F320">
        <v>4244</v>
      </c>
      <c r="G320">
        <v>1742</v>
      </c>
      <c r="H320">
        <v>411</v>
      </c>
      <c r="I320">
        <v>2153</v>
      </c>
      <c r="J320">
        <v>156694</v>
      </c>
      <c r="K320">
        <v>2.7080000000000002</v>
      </c>
      <c r="L320">
        <v>1.3740000000000001</v>
      </c>
      <c r="M320">
        <v>152443</v>
      </c>
      <c r="N320">
        <v>2.7839999999999998</v>
      </c>
      <c r="O320">
        <v>1.4119999999999999</v>
      </c>
    </row>
    <row r="321" spans="1:15" x14ac:dyDescent="0.35">
      <c r="A321" t="s">
        <v>366</v>
      </c>
      <c r="B321" t="s">
        <v>264</v>
      </c>
      <c r="C321" t="s">
        <v>263</v>
      </c>
      <c r="D321">
        <v>552</v>
      </c>
      <c r="E321">
        <v>1153</v>
      </c>
      <c r="F321">
        <v>1705</v>
      </c>
      <c r="G321">
        <v>631</v>
      </c>
      <c r="H321">
        <v>207</v>
      </c>
      <c r="I321">
        <v>838</v>
      </c>
      <c r="J321">
        <v>73290</v>
      </c>
      <c r="K321">
        <v>2.3260000000000001</v>
      </c>
      <c r="L321">
        <v>1.143</v>
      </c>
      <c r="M321">
        <v>70431</v>
      </c>
      <c r="N321">
        <v>2.4209999999999998</v>
      </c>
      <c r="O321">
        <v>1.19</v>
      </c>
    </row>
    <row r="322" spans="1:15" x14ac:dyDescent="0.35">
      <c r="A322" t="s">
        <v>313</v>
      </c>
      <c r="B322" t="s">
        <v>274</v>
      </c>
      <c r="C322" t="s">
        <v>273</v>
      </c>
      <c r="D322">
        <v>592</v>
      </c>
      <c r="E322">
        <v>2276</v>
      </c>
      <c r="F322">
        <v>2868</v>
      </c>
      <c r="G322">
        <v>522</v>
      </c>
      <c r="H322">
        <v>464</v>
      </c>
      <c r="I322">
        <v>986</v>
      </c>
      <c r="J322">
        <v>119061</v>
      </c>
      <c r="K322">
        <v>2.4089999999999998</v>
      </c>
      <c r="L322">
        <v>0.82799999999999996</v>
      </c>
      <c r="M322">
        <v>109514</v>
      </c>
      <c r="N322">
        <v>2.6189999999999998</v>
      </c>
      <c r="O322">
        <v>0.9</v>
      </c>
    </row>
    <row r="323" spans="1:15" x14ac:dyDescent="0.35">
      <c r="A323" t="s">
        <v>342</v>
      </c>
      <c r="B323" t="s">
        <v>312</v>
      </c>
      <c r="C323" t="s">
        <v>311</v>
      </c>
      <c r="D323">
        <v>963</v>
      </c>
      <c r="E323">
        <v>1092</v>
      </c>
      <c r="F323">
        <v>2055</v>
      </c>
      <c r="G323">
        <v>850</v>
      </c>
      <c r="H323">
        <v>604</v>
      </c>
      <c r="I323">
        <v>1454</v>
      </c>
      <c r="J323">
        <v>79112</v>
      </c>
      <c r="K323">
        <v>2.5979999999999999</v>
      </c>
      <c r="L323">
        <v>1.8380000000000001</v>
      </c>
      <c r="M323">
        <v>77369</v>
      </c>
      <c r="N323">
        <v>2.6560000000000001</v>
      </c>
      <c r="O323">
        <v>1.879</v>
      </c>
    </row>
    <row r="324" spans="1:15" x14ac:dyDescent="0.35">
      <c r="A324" t="s">
        <v>365</v>
      </c>
      <c r="B324" t="s">
        <v>295</v>
      </c>
      <c r="C324" t="s">
        <v>294</v>
      </c>
      <c r="D324">
        <v>635</v>
      </c>
      <c r="E324">
        <v>1787</v>
      </c>
      <c r="F324">
        <v>2422</v>
      </c>
      <c r="G324">
        <v>628</v>
      </c>
      <c r="H324">
        <v>319</v>
      </c>
      <c r="I324">
        <v>947</v>
      </c>
      <c r="J324">
        <v>70312</v>
      </c>
      <c r="K324">
        <v>3.4449999999999998</v>
      </c>
      <c r="L324">
        <v>1.347</v>
      </c>
      <c r="M324">
        <v>66035</v>
      </c>
      <c r="N324">
        <v>3.6680000000000001</v>
      </c>
      <c r="O324">
        <v>1.4339999999999999</v>
      </c>
    </row>
    <row r="325" spans="1:15" x14ac:dyDescent="0.35">
      <c r="A325" t="s">
        <v>214</v>
      </c>
      <c r="B325" t="s">
        <v>301</v>
      </c>
      <c r="C325" t="s">
        <v>300</v>
      </c>
      <c r="D325">
        <v>87</v>
      </c>
      <c r="E325">
        <v>209</v>
      </c>
      <c r="F325">
        <v>296</v>
      </c>
      <c r="G325">
        <v>85</v>
      </c>
      <c r="H325">
        <v>74</v>
      </c>
      <c r="I325">
        <v>159</v>
      </c>
      <c r="J325">
        <v>11270</v>
      </c>
      <c r="K325">
        <v>2.6259999999999999</v>
      </c>
      <c r="L325">
        <v>1.411</v>
      </c>
      <c r="M325">
        <v>10384</v>
      </c>
      <c r="N325">
        <v>2.851</v>
      </c>
      <c r="O325">
        <v>1.5310000000000001</v>
      </c>
    </row>
    <row r="326" spans="1:15" x14ac:dyDescent="0.35">
      <c r="A326" t="s">
        <v>319</v>
      </c>
      <c r="B326" t="s">
        <v>235</v>
      </c>
      <c r="C326" t="s">
        <v>234</v>
      </c>
      <c r="D326">
        <v>676</v>
      </c>
      <c r="E326">
        <v>738</v>
      </c>
      <c r="F326">
        <v>1414</v>
      </c>
      <c r="G326">
        <v>694</v>
      </c>
      <c r="H326">
        <v>310</v>
      </c>
      <c r="I326">
        <v>1004</v>
      </c>
      <c r="J326">
        <v>254929</v>
      </c>
      <c r="K326">
        <v>0.55500000000000005</v>
      </c>
      <c r="L326">
        <v>0.39400000000000002</v>
      </c>
      <c r="M326">
        <v>239364</v>
      </c>
      <c r="N326">
        <v>0.59099999999999997</v>
      </c>
      <c r="O326">
        <v>0.41899999999999998</v>
      </c>
    </row>
    <row r="327" spans="1:15" x14ac:dyDescent="0.35">
      <c r="A327" t="s">
        <v>319</v>
      </c>
      <c r="B327" t="s">
        <v>268</v>
      </c>
      <c r="C327" t="s">
        <v>1101</v>
      </c>
      <c r="D327">
        <v>580</v>
      </c>
      <c r="E327">
        <v>716</v>
      </c>
      <c r="F327">
        <v>1296</v>
      </c>
      <c r="G327">
        <v>652</v>
      </c>
      <c r="H327">
        <v>329</v>
      </c>
      <c r="I327">
        <v>981</v>
      </c>
      <c r="J327">
        <v>179232</v>
      </c>
      <c r="K327">
        <v>0.72299999999999998</v>
      </c>
      <c r="L327">
        <v>0.54700000000000004</v>
      </c>
      <c r="M327">
        <v>169886</v>
      </c>
      <c r="N327">
        <v>0.76300000000000001</v>
      </c>
      <c r="O327">
        <v>0.57699999999999996</v>
      </c>
    </row>
    <row r="328" spans="1:15" x14ac:dyDescent="0.35">
      <c r="A328" t="s">
        <v>321</v>
      </c>
      <c r="B328" t="s">
        <v>312</v>
      </c>
      <c r="C328" t="s">
        <v>311</v>
      </c>
      <c r="F328">
        <v>1287</v>
      </c>
      <c r="J328">
        <v>82591</v>
      </c>
      <c r="K328">
        <v>1.5580000000000001</v>
      </c>
      <c r="M328">
        <v>80932</v>
      </c>
      <c r="N328">
        <v>1.5899999999999999</v>
      </c>
    </row>
    <row r="329" spans="1:15" x14ac:dyDescent="0.35">
      <c r="A329" t="s">
        <v>327</v>
      </c>
      <c r="B329" t="s">
        <v>274</v>
      </c>
      <c r="D329">
        <v>145</v>
      </c>
      <c r="E329">
        <v>1925</v>
      </c>
      <c r="F329">
        <v>2070</v>
      </c>
      <c r="G329">
        <v>233</v>
      </c>
      <c r="H329">
        <v>226</v>
      </c>
      <c r="I329">
        <v>459</v>
      </c>
      <c r="J329">
        <v>123568</v>
      </c>
      <c r="K329">
        <v>1.675</v>
      </c>
      <c r="L329">
        <v>0.371</v>
      </c>
      <c r="M329">
        <v>112857</v>
      </c>
      <c r="N329">
        <v>1.8340000000000001</v>
      </c>
      <c r="O329">
        <v>0.40699999999999997</v>
      </c>
    </row>
    <row r="330" spans="1:15" x14ac:dyDescent="0.35">
      <c r="A330" t="s">
        <v>341</v>
      </c>
      <c r="B330" t="s">
        <v>229</v>
      </c>
      <c r="C330" t="s">
        <v>228</v>
      </c>
      <c r="D330">
        <v>630</v>
      </c>
      <c r="E330">
        <v>925</v>
      </c>
      <c r="F330">
        <v>1555</v>
      </c>
      <c r="G330">
        <v>481</v>
      </c>
      <c r="H330">
        <v>497</v>
      </c>
      <c r="I330">
        <v>978</v>
      </c>
      <c r="J330">
        <v>47780</v>
      </c>
      <c r="K330">
        <v>3.254</v>
      </c>
      <c r="L330">
        <v>2.0470000000000002</v>
      </c>
      <c r="M330">
        <v>41040</v>
      </c>
      <c r="N330">
        <v>3.7890000000000001</v>
      </c>
      <c r="O330">
        <v>2.383</v>
      </c>
    </row>
    <row r="331" spans="1:15" x14ac:dyDescent="0.35">
      <c r="A331" t="s">
        <v>342</v>
      </c>
      <c r="B331" t="s">
        <v>268</v>
      </c>
      <c r="C331" t="s">
        <v>1101</v>
      </c>
      <c r="D331">
        <v>3137</v>
      </c>
      <c r="E331">
        <v>3401</v>
      </c>
      <c r="F331">
        <v>6538</v>
      </c>
      <c r="G331">
        <v>3292</v>
      </c>
      <c r="H331">
        <v>1655</v>
      </c>
      <c r="I331">
        <v>4947</v>
      </c>
      <c r="J331">
        <v>175915</v>
      </c>
      <c r="K331">
        <v>3.7170000000000001</v>
      </c>
      <c r="L331">
        <v>2.8120000000000003</v>
      </c>
      <c r="M331">
        <v>166960</v>
      </c>
      <c r="N331">
        <v>3.9159999999999999</v>
      </c>
      <c r="O331">
        <v>2.9630000000000001</v>
      </c>
    </row>
    <row r="332" spans="1:15" x14ac:dyDescent="0.35">
      <c r="A332" t="s">
        <v>466</v>
      </c>
      <c r="B332" t="s">
        <v>216</v>
      </c>
      <c r="D332">
        <v>106</v>
      </c>
      <c r="E332">
        <v>1241</v>
      </c>
      <c r="F332">
        <v>1347</v>
      </c>
      <c r="G332">
        <v>216</v>
      </c>
      <c r="H332">
        <v>95</v>
      </c>
      <c r="I332">
        <v>320</v>
      </c>
      <c r="M332">
        <v>112386.7935874821</v>
      </c>
      <c r="N332">
        <v>1.1990000000000001</v>
      </c>
      <c r="O332">
        <v>0.28499999999999998</v>
      </c>
    </row>
    <row r="333" spans="1:15" x14ac:dyDescent="0.35">
      <c r="A333" t="s">
        <v>214</v>
      </c>
      <c r="B333" t="s">
        <v>225</v>
      </c>
      <c r="C333" t="s">
        <v>224</v>
      </c>
      <c r="D333">
        <v>429</v>
      </c>
      <c r="E333">
        <v>1339</v>
      </c>
      <c r="F333">
        <v>1768</v>
      </c>
      <c r="G333">
        <v>450</v>
      </c>
      <c r="H333">
        <v>177</v>
      </c>
      <c r="I333">
        <v>627</v>
      </c>
      <c r="J333">
        <v>56485</v>
      </c>
      <c r="K333">
        <v>3.13</v>
      </c>
      <c r="L333">
        <v>1.1100000000000001</v>
      </c>
      <c r="M333">
        <v>53888</v>
      </c>
      <c r="N333">
        <v>3.2810000000000001</v>
      </c>
      <c r="O333">
        <v>1.1639999999999999</v>
      </c>
    </row>
    <row r="334" spans="1:15" x14ac:dyDescent="0.35">
      <c r="A334" t="s">
        <v>313</v>
      </c>
      <c r="B334" t="s">
        <v>229</v>
      </c>
      <c r="C334" t="s">
        <v>228</v>
      </c>
      <c r="D334">
        <v>451</v>
      </c>
      <c r="E334">
        <v>1072</v>
      </c>
      <c r="F334">
        <v>1523</v>
      </c>
      <c r="G334">
        <v>389</v>
      </c>
      <c r="H334">
        <v>332</v>
      </c>
      <c r="I334">
        <v>721</v>
      </c>
      <c r="J334">
        <v>48134</v>
      </c>
      <c r="K334">
        <v>3.1640000000000001</v>
      </c>
      <c r="L334">
        <v>1.498</v>
      </c>
      <c r="M334">
        <v>41789</v>
      </c>
      <c r="N334">
        <v>3.6440000000000001</v>
      </c>
      <c r="O334">
        <v>1.7250000000000001</v>
      </c>
    </row>
    <row r="335" spans="1:15" x14ac:dyDescent="0.35">
      <c r="A335" t="s">
        <v>321</v>
      </c>
      <c r="B335" t="s">
        <v>308</v>
      </c>
      <c r="C335" t="s">
        <v>307</v>
      </c>
      <c r="F335">
        <v>479</v>
      </c>
      <c r="J335">
        <v>42140</v>
      </c>
      <c r="K335">
        <v>1.137</v>
      </c>
      <c r="M335">
        <v>40174</v>
      </c>
      <c r="N335">
        <v>1.1919999999999999</v>
      </c>
    </row>
    <row r="336" spans="1:15" x14ac:dyDescent="0.35">
      <c r="A336" t="s">
        <v>466</v>
      </c>
      <c r="B336" t="s">
        <v>312</v>
      </c>
      <c r="D336">
        <v>182</v>
      </c>
      <c r="E336">
        <v>1004</v>
      </c>
      <c r="F336">
        <v>1186</v>
      </c>
      <c r="G336">
        <v>468</v>
      </c>
      <c r="H336">
        <v>133</v>
      </c>
      <c r="I336">
        <v>607</v>
      </c>
      <c r="M336">
        <v>81644.803218683475</v>
      </c>
      <c r="N336">
        <v>1.4530000000000001</v>
      </c>
      <c r="O336">
        <v>0.74299999999999999</v>
      </c>
    </row>
    <row r="337" spans="1:15" x14ac:dyDescent="0.35">
      <c r="A337" t="s">
        <v>326</v>
      </c>
      <c r="B337" t="s">
        <v>254</v>
      </c>
      <c r="C337" t="s">
        <v>253</v>
      </c>
      <c r="F337">
        <v>1173</v>
      </c>
      <c r="J337">
        <v>47934</v>
      </c>
      <c r="K337">
        <v>2.4470000000000001</v>
      </c>
      <c r="M337">
        <v>47131</v>
      </c>
      <c r="N337">
        <v>2.4889999999999999</v>
      </c>
    </row>
    <row r="338" spans="1:15" x14ac:dyDescent="0.35">
      <c r="A338" t="s">
        <v>319</v>
      </c>
      <c r="B338" t="s">
        <v>290</v>
      </c>
      <c r="C338" t="s">
        <v>289</v>
      </c>
      <c r="D338">
        <v>678</v>
      </c>
      <c r="E338">
        <v>1189</v>
      </c>
      <c r="F338">
        <v>1867</v>
      </c>
      <c r="G338">
        <v>858</v>
      </c>
      <c r="H338">
        <v>263</v>
      </c>
      <c r="I338">
        <v>1121</v>
      </c>
      <c r="J338">
        <v>157625</v>
      </c>
      <c r="K338">
        <v>1.1839999999999999</v>
      </c>
      <c r="L338">
        <v>0.71099999999999997</v>
      </c>
      <c r="M338">
        <v>152910</v>
      </c>
      <c r="N338">
        <v>1.2210000000000001</v>
      </c>
      <c r="O338">
        <v>0.73299999999999998</v>
      </c>
    </row>
    <row r="339" spans="1:15" x14ac:dyDescent="0.35">
      <c r="A339" t="s">
        <v>321</v>
      </c>
      <c r="B339" t="s">
        <v>254</v>
      </c>
      <c r="C339" t="s">
        <v>253</v>
      </c>
      <c r="F339">
        <v>1279</v>
      </c>
      <c r="J339">
        <v>47549</v>
      </c>
      <c r="K339">
        <v>2.69</v>
      </c>
      <c r="M339">
        <v>46849</v>
      </c>
      <c r="N339">
        <v>2.73</v>
      </c>
    </row>
    <row r="340" spans="1:15" x14ac:dyDescent="0.35">
      <c r="A340" t="s">
        <v>326</v>
      </c>
      <c r="B340" t="s">
        <v>303</v>
      </c>
      <c r="C340" t="s">
        <v>302</v>
      </c>
      <c r="F340">
        <v>675</v>
      </c>
      <c r="J340">
        <v>56453</v>
      </c>
      <c r="K340">
        <v>1.196</v>
      </c>
      <c r="M340">
        <v>52920</v>
      </c>
      <c r="N340">
        <v>1.276</v>
      </c>
    </row>
    <row r="341" spans="1:15" x14ac:dyDescent="0.35">
      <c r="A341" t="s">
        <v>321</v>
      </c>
      <c r="B341" t="s">
        <v>288</v>
      </c>
      <c r="C341" t="s">
        <v>287</v>
      </c>
      <c r="F341">
        <v>1177</v>
      </c>
      <c r="J341">
        <v>69175</v>
      </c>
      <c r="K341">
        <v>1.7010000000000001</v>
      </c>
      <c r="M341">
        <v>64886</v>
      </c>
      <c r="N341">
        <v>1.8140000000000001</v>
      </c>
    </row>
    <row r="342" spans="1:15" x14ac:dyDescent="0.35">
      <c r="A342" t="s">
        <v>342</v>
      </c>
      <c r="B342" t="s">
        <v>288</v>
      </c>
      <c r="C342" t="s">
        <v>287</v>
      </c>
      <c r="D342">
        <v>805</v>
      </c>
      <c r="E342">
        <v>932</v>
      </c>
      <c r="F342">
        <v>1737</v>
      </c>
      <c r="G342">
        <v>822</v>
      </c>
      <c r="H342">
        <v>457</v>
      </c>
      <c r="I342">
        <v>1279</v>
      </c>
      <c r="J342">
        <v>67960</v>
      </c>
      <c r="K342">
        <v>2.556</v>
      </c>
      <c r="L342">
        <v>1.8820000000000001</v>
      </c>
      <c r="M342">
        <v>63756</v>
      </c>
      <c r="N342">
        <v>2.7240000000000002</v>
      </c>
      <c r="O342">
        <v>2.0059999999999998</v>
      </c>
    </row>
    <row r="343" spans="1:15" x14ac:dyDescent="0.35">
      <c r="A343" t="s">
        <v>341</v>
      </c>
      <c r="B343" t="s">
        <v>248</v>
      </c>
      <c r="C343" t="s">
        <v>247</v>
      </c>
      <c r="D343">
        <v>870</v>
      </c>
      <c r="E343">
        <v>3053</v>
      </c>
      <c r="F343">
        <v>3923</v>
      </c>
      <c r="G343">
        <v>823</v>
      </c>
      <c r="H343">
        <v>377</v>
      </c>
      <c r="I343">
        <v>1200</v>
      </c>
      <c r="J343">
        <v>74026</v>
      </c>
      <c r="K343">
        <v>5.2990000000000004</v>
      </c>
      <c r="L343">
        <v>1.621</v>
      </c>
      <c r="M343">
        <v>69635</v>
      </c>
      <c r="N343">
        <v>5.6340000000000003</v>
      </c>
      <c r="O343">
        <v>1.7229999999999999</v>
      </c>
    </row>
    <row r="344" spans="1:15" x14ac:dyDescent="0.35">
      <c r="A344" t="s">
        <v>466</v>
      </c>
      <c r="B344" t="s">
        <v>280</v>
      </c>
      <c r="D344">
        <v>59</v>
      </c>
      <c r="E344">
        <v>334</v>
      </c>
      <c r="F344">
        <v>393</v>
      </c>
      <c r="G344">
        <v>103</v>
      </c>
      <c r="H344">
        <v>66</v>
      </c>
      <c r="I344">
        <v>172</v>
      </c>
      <c r="M344">
        <v>42739.113676722816</v>
      </c>
      <c r="N344">
        <v>0.92</v>
      </c>
      <c r="O344">
        <v>0.40200000000000002</v>
      </c>
    </row>
    <row r="345" spans="1:15" x14ac:dyDescent="0.35">
      <c r="A345" t="s">
        <v>341</v>
      </c>
      <c r="B345" t="s">
        <v>216</v>
      </c>
      <c r="C345" t="s">
        <v>215</v>
      </c>
      <c r="D345">
        <v>466</v>
      </c>
      <c r="E345">
        <v>1427</v>
      </c>
      <c r="F345">
        <v>1893</v>
      </c>
      <c r="G345">
        <v>374</v>
      </c>
      <c r="H345">
        <v>299</v>
      </c>
      <c r="I345">
        <v>673</v>
      </c>
      <c r="J345">
        <v>115080</v>
      </c>
      <c r="K345">
        <v>1.645</v>
      </c>
      <c r="L345">
        <v>0.58499999999999996</v>
      </c>
      <c r="M345">
        <v>106749</v>
      </c>
      <c r="N345">
        <v>1.7730000000000001</v>
      </c>
      <c r="O345">
        <v>0.63</v>
      </c>
    </row>
    <row r="346" spans="1:15" x14ac:dyDescent="0.35">
      <c r="A346" t="s">
        <v>321</v>
      </c>
      <c r="B346" t="s">
        <v>260</v>
      </c>
      <c r="C346" t="s">
        <v>259</v>
      </c>
      <c r="F346">
        <v>645</v>
      </c>
      <c r="J346">
        <v>39909</v>
      </c>
      <c r="K346">
        <v>1.6160000000000001</v>
      </c>
      <c r="M346">
        <v>40081</v>
      </c>
      <c r="N346">
        <v>1.609</v>
      </c>
    </row>
    <row r="347" spans="1:15" x14ac:dyDescent="0.35">
      <c r="A347" t="s">
        <v>341</v>
      </c>
      <c r="B347" t="s">
        <v>245</v>
      </c>
      <c r="C347" t="s">
        <v>244</v>
      </c>
      <c r="D347">
        <v>1262</v>
      </c>
      <c r="E347">
        <v>848</v>
      </c>
      <c r="F347">
        <v>2110</v>
      </c>
      <c r="G347">
        <v>1150</v>
      </c>
      <c r="H347">
        <v>642</v>
      </c>
      <c r="I347">
        <v>1792</v>
      </c>
      <c r="J347">
        <v>74453</v>
      </c>
      <c r="K347">
        <v>2.8340000000000001</v>
      </c>
      <c r="L347">
        <v>2.407</v>
      </c>
      <c r="M347">
        <v>69202</v>
      </c>
      <c r="N347">
        <v>3.0489999999999999</v>
      </c>
      <c r="O347">
        <v>2.59</v>
      </c>
    </row>
    <row r="348" spans="1:15" x14ac:dyDescent="0.35">
      <c r="A348" t="s">
        <v>326</v>
      </c>
      <c r="B348" t="s">
        <v>282</v>
      </c>
      <c r="C348" t="s">
        <v>281</v>
      </c>
      <c r="F348">
        <v>687</v>
      </c>
      <c r="J348">
        <v>46585</v>
      </c>
      <c r="K348">
        <v>1.4750000000000001</v>
      </c>
      <c r="M348">
        <v>43995</v>
      </c>
      <c r="N348">
        <v>1.5620000000000001</v>
      </c>
    </row>
    <row r="349" spans="1:15" x14ac:dyDescent="0.35">
      <c r="A349" t="s">
        <v>214</v>
      </c>
      <c r="B349" t="s">
        <v>310</v>
      </c>
      <c r="C349" t="s">
        <v>309</v>
      </c>
      <c r="D349">
        <v>556</v>
      </c>
      <c r="E349">
        <v>1008</v>
      </c>
      <c r="F349">
        <v>1564</v>
      </c>
      <c r="G349">
        <v>642</v>
      </c>
      <c r="H349">
        <v>185</v>
      </c>
      <c r="I349">
        <v>827</v>
      </c>
      <c r="J349">
        <v>45228</v>
      </c>
      <c r="K349">
        <v>3.4580000000000002</v>
      </c>
      <c r="L349">
        <v>1.829</v>
      </c>
      <c r="M349">
        <v>42868</v>
      </c>
      <c r="N349">
        <v>3.6480000000000001</v>
      </c>
      <c r="O349">
        <v>1.929</v>
      </c>
    </row>
    <row r="350" spans="1:15" x14ac:dyDescent="0.35">
      <c r="A350" t="s">
        <v>366</v>
      </c>
      <c r="B350" t="s">
        <v>305</v>
      </c>
      <c r="C350" t="s">
        <v>304</v>
      </c>
      <c r="D350">
        <v>1189</v>
      </c>
      <c r="E350">
        <v>2143</v>
      </c>
      <c r="F350">
        <v>3332</v>
      </c>
      <c r="G350">
        <v>1396</v>
      </c>
      <c r="H350">
        <v>511</v>
      </c>
      <c r="I350">
        <v>1907</v>
      </c>
      <c r="J350">
        <v>147849</v>
      </c>
      <c r="K350">
        <v>2.254</v>
      </c>
      <c r="L350">
        <v>1.29</v>
      </c>
      <c r="M350">
        <v>143313</v>
      </c>
      <c r="N350">
        <v>2.3250000000000002</v>
      </c>
      <c r="O350">
        <v>1.331</v>
      </c>
    </row>
    <row r="351" spans="1:15" x14ac:dyDescent="0.35">
      <c r="A351" t="s">
        <v>342</v>
      </c>
      <c r="B351" t="s">
        <v>290</v>
      </c>
      <c r="C351" t="s">
        <v>289</v>
      </c>
      <c r="D351">
        <v>1327</v>
      </c>
      <c r="E351">
        <v>1990</v>
      </c>
      <c r="F351">
        <v>3317</v>
      </c>
      <c r="G351">
        <v>1744</v>
      </c>
      <c r="H351">
        <v>446</v>
      </c>
      <c r="I351">
        <v>2190</v>
      </c>
      <c r="J351">
        <v>154286</v>
      </c>
      <c r="K351">
        <v>2.15</v>
      </c>
      <c r="L351">
        <v>1.419</v>
      </c>
      <c r="M351">
        <v>151155</v>
      </c>
      <c r="N351">
        <v>2.194</v>
      </c>
      <c r="O351">
        <v>1.4490000000000001</v>
      </c>
    </row>
    <row r="352" spans="1:15" x14ac:dyDescent="0.35">
      <c r="A352" t="s">
        <v>366</v>
      </c>
      <c r="B352" t="s">
        <v>271</v>
      </c>
      <c r="C352" t="s">
        <v>270</v>
      </c>
      <c r="D352">
        <v>2649</v>
      </c>
      <c r="E352">
        <v>3737</v>
      </c>
      <c r="F352">
        <v>6386</v>
      </c>
      <c r="G352">
        <v>2864</v>
      </c>
      <c r="H352">
        <v>956</v>
      </c>
      <c r="I352">
        <v>3820</v>
      </c>
      <c r="J352">
        <v>304013</v>
      </c>
      <c r="K352">
        <v>2.101</v>
      </c>
      <c r="L352">
        <v>1.2570000000000001</v>
      </c>
      <c r="M352">
        <v>287862</v>
      </c>
      <c r="N352">
        <v>2.218</v>
      </c>
      <c r="O352">
        <v>1.327</v>
      </c>
    </row>
    <row r="353" spans="1:15" x14ac:dyDescent="0.35">
      <c r="A353" t="s">
        <v>342</v>
      </c>
      <c r="B353" t="s">
        <v>282</v>
      </c>
      <c r="C353" t="s">
        <v>281</v>
      </c>
      <c r="D353">
        <v>609</v>
      </c>
      <c r="E353">
        <v>826</v>
      </c>
      <c r="F353">
        <v>1435</v>
      </c>
      <c r="G353">
        <v>554</v>
      </c>
      <c r="H353">
        <v>522</v>
      </c>
      <c r="I353">
        <v>1076</v>
      </c>
      <c r="J353">
        <v>44838</v>
      </c>
      <c r="K353">
        <v>3.2</v>
      </c>
      <c r="L353">
        <v>2.4</v>
      </c>
      <c r="M353">
        <v>42269</v>
      </c>
      <c r="N353">
        <v>3.395</v>
      </c>
      <c r="O353">
        <v>2.5460000000000003</v>
      </c>
    </row>
    <row r="354" spans="1:15" x14ac:dyDescent="0.35">
      <c r="A354" t="s">
        <v>342</v>
      </c>
      <c r="B354" t="s">
        <v>235</v>
      </c>
      <c r="C354" t="s">
        <v>234</v>
      </c>
      <c r="D354">
        <v>2302</v>
      </c>
      <c r="E354">
        <v>2297</v>
      </c>
      <c r="F354">
        <v>4599</v>
      </c>
      <c r="G354">
        <v>2309</v>
      </c>
      <c r="H354">
        <v>888</v>
      </c>
      <c r="I354">
        <v>3197</v>
      </c>
      <c r="J354">
        <v>246818</v>
      </c>
      <c r="K354">
        <v>1.863</v>
      </c>
      <c r="L354">
        <v>1.2949999999999999</v>
      </c>
      <c r="M354">
        <v>233369</v>
      </c>
      <c r="N354">
        <v>1.9710000000000001</v>
      </c>
      <c r="O354">
        <v>1.37</v>
      </c>
    </row>
    <row r="355" spans="1:15" x14ac:dyDescent="0.35">
      <c r="A355" t="s">
        <v>342</v>
      </c>
      <c r="B355" t="s">
        <v>303</v>
      </c>
      <c r="C355" t="s">
        <v>302</v>
      </c>
      <c r="D355">
        <v>543</v>
      </c>
      <c r="E355">
        <v>765</v>
      </c>
      <c r="F355">
        <v>1308</v>
      </c>
      <c r="G355">
        <v>559</v>
      </c>
      <c r="H355">
        <v>334</v>
      </c>
      <c r="I355">
        <v>893</v>
      </c>
      <c r="J355">
        <v>55252</v>
      </c>
      <c r="K355">
        <v>2.367</v>
      </c>
      <c r="L355">
        <v>1.6160000000000001</v>
      </c>
      <c r="M355">
        <v>52104</v>
      </c>
      <c r="N355">
        <v>2.5099999999999998</v>
      </c>
      <c r="O355">
        <v>1.714</v>
      </c>
    </row>
    <row r="356" spans="1:15" x14ac:dyDescent="0.35">
      <c r="A356" t="s">
        <v>326</v>
      </c>
      <c r="B356" t="s">
        <v>229</v>
      </c>
      <c r="C356" t="s">
        <v>228</v>
      </c>
      <c r="F356">
        <v>940</v>
      </c>
      <c r="J356">
        <v>48786</v>
      </c>
      <c r="K356">
        <v>1.927</v>
      </c>
      <c r="M356">
        <v>42664</v>
      </c>
      <c r="N356">
        <v>2.2029999999999998</v>
      </c>
    </row>
    <row r="357" spans="1:15" x14ac:dyDescent="0.35">
      <c r="A357" t="s">
        <v>321</v>
      </c>
      <c r="B357" t="s">
        <v>245</v>
      </c>
      <c r="C357" t="s">
        <v>244</v>
      </c>
      <c r="F357">
        <v>1255</v>
      </c>
      <c r="J357">
        <v>75521</v>
      </c>
      <c r="K357">
        <v>1.6619999999999999</v>
      </c>
      <c r="M357">
        <v>70405</v>
      </c>
      <c r="N357">
        <v>1.7829999999999999</v>
      </c>
    </row>
    <row r="358" spans="1:15" x14ac:dyDescent="0.35">
      <c r="A358" t="s">
        <v>341</v>
      </c>
      <c r="B358" t="s">
        <v>274</v>
      </c>
      <c r="C358" t="s">
        <v>273</v>
      </c>
      <c r="D358">
        <v>1215</v>
      </c>
      <c r="E358">
        <v>3439</v>
      </c>
      <c r="F358">
        <v>4654</v>
      </c>
      <c r="G358">
        <v>1204</v>
      </c>
      <c r="H358">
        <v>702</v>
      </c>
      <c r="I358">
        <v>1906</v>
      </c>
      <c r="J358">
        <v>116453</v>
      </c>
      <c r="K358">
        <v>3.996</v>
      </c>
      <c r="L358">
        <v>1.637</v>
      </c>
      <c r="M358">
        <v>107573</v>
      </c>
      <c r="N358">
        <v>4.3259999999999996</v>
      </c>
      <c r="O358">
        <v>1.772</v>
      </c>
    </row>
    <row r="359" spans="1:15" x14ac:dyDescent="0.35">
      <c r="A359" t="s">
        <v>341</v>
      </c>
      <c r="B359" t="s">
        <v>260</v>
      </c>
      <c r="C359" t="s">
        <v>259</v>
      </c>
      <c r="D359">
        <v>644</v>
      </c>
      <c r="E359">
        <v>916</v>
      </c>
      <c r="F359">
        <v>1560</v>
      </c>
      <c r="G359">
        <v>686</v>
      </c>
      <c r="H359">
        <v>274</v>
      </c>
      <c r="I359">
        <v>960</v>
      </c>
      <c r="J359">
        <v>38389</v>
      </c>
      <c r="K359">
        <v>4.0640000000000001</v>
      </c>
      <c r="L359">
        <v>2.5009999999999999</v>
      </c>
      <c r="M359">
        <v>38581</v>
      </c>
      <c r="N359">
        <v>4.0430000000000001</v>
      </c>
      <c r="O359">
        <v>2.488</v>
      </c>
    </row>
    <row r="360" spans="1:15" x14ac:dyDescent="0.35">
      <c r="A360" t="s">
        <v>319</v>
      </c>
      <c r="B360" t="s">
        <v>274</v>
      </c>
      <c r="C360" t="s">
        <v>273</v>
      </c>
      <c r="D360">
        <v>164</v>
      </c>
      <c r="E360">
        <v>631</v>
      </c>
      <c r="F360">
        <v>795</v>
      </c>
      <c r="G360">
        <v>167</v>
      </c>
      <c r="H360">
        <v>166</v>
      </c>
      <c r="I360">
        <v>333</v>
      </c>
      <c r="J360">
        <v>119918</v>
      </c>
      <c r="K360">
        <v>0.66300000000000003</v>
      </c>
      <c r="L360">
        <v>0.27800000000000002</v>
      </c>
      <c r="M360">
        <v>110084</v>
      </c>
      <c r="N360">
        <v>0.72199999999999998</v>
      </c>
      <c r="O360">
        <v>0.30199999999999999</v>
      </c>
    </row>
    <row r="361" spans="1:15" x14ac:dyDescent="0.35">
      <c r="A361" t="s">
        <v>319</v>
      </c>
      <c r="B361" t="s">
        <v>282</v>
      </c>
      <c r="C361" t="s">
        <v>281</v>
      </c>
      <c r="D361">
        <v>86</v>
      </c>
      <c r="E361">
        <v>260</v>
      </c>
      <c r="F361">
        <v>346</v>
      </c>
      <c r="G361">
        <v>97</v>
      </c>
      <c r="H361">
        <v>61</v>
      </c>
      <c r="I361">
        <v>158</v>
      </c>
      <c r="J361">
        <v>45838</v>
      </c>
      <c r="K361">
        <v>0.755</v>
      </c>
      <c r="L361">
        <v>0.34499999999999997</v>
      </c>
      <c r="M361">
        <v>43175</v>
      </c>
      <c r="N361">
        <v>0.80100000000000005</v>
      </c>
      <c r="O361">
        <v>0.36599999999999999</v>
      </c>
    </row>
    <row r="362" spans="1:15" x14ac:dyDescent="0.35">
      <c r="A362" t="s">
        <v>327</v>
      </c>
      <c r="B362" t="s">
        <v>235</v>
      </c>
      <c r="D362">
        <v>261</v>
      </c>
      <c r="E362">
        <v>2310</v>
      </c>
      <c r="F362">
        <v>2571</v>
      </c>
      <c r="G362">
        <v>433</v>
      </c>
      <c r="H362">
        <v>284</v>
      </c>
      <c r="I362">
        <v>717</v>
      </c>
      <c r="J362">
        <v>263670</v>
      </c>
      <c r="K362">
        <v>0.97499999999999998</v>
      </c>
      <c r="L362">
        <v>0.27200000000000002</v>
      </c>
      <c r="M362">
        <v>242021</v>
      </c>
      <c r="N362">
        <v>1.0620000000000001</v>
      </c>
      <c r="O362">
        <v>0.29599999999999999</v>
      </c>
    </row>
    <row r="363" spans="1:15" x14ac:dyDescent="0.35">
      <c r="A363" t="s">
        <v>327</v>
      </c>
      <c r="B363" t="s">
        <v>268</v>
      </c>
      <c r="D363">
        <v>484</v>
      </c>
      <c r="E363">
        <v>1848</v>
      </c>
      <c r="F363">
        <v>2332</v>
      </c>
      <c r="G363">
        <v>832</v>
      </c>
      <c r="H363">
        <v>385</v>
      </c>
      <c r="I363">
        <v>1217</v>
      </c>
      <c r="J363">
        <v>182775</v>
      </c>
      <c r="K363">
        <v>1.276</v>
      </c>
      <c r="L363">
        <v>0.66600000000000004</v>
      </c>
      <c r="M363">
        <v>170982</v>
      </c>
      <c r="N363">
        <v>1.3639999999999999</v>
      </c>
      <c r="O363">
        <v>0.71199999999999997</v>
      </c>
    </row>
    <row r="364" spans="1:15" x14ac:dyDescent="0.35">
      <c r="A364" t="s">
        <v>214</v>
      </c>
      <c r="B364" t="s">
        <v>248</v>
      </c>
      <c r="C364" t="s">
        <v>247</v>
      </c>
      <c r="D364">
        <v>692</v>
      </c>
      <c r="E364">
        <v>2702</v>
      </c>
      <c r="F364">
        <v>3394</v>
      </c>
      <c r="G364">
        <v>680</v>
      </c>
      <c r="H364">
        <v>318</v>
      </c>
      <c r="I364">
        <v>998</v>
      </c>
      <c r="J364">
        <v>74531</v>
      </c>
      <c r="K364">
        <v>4.5540000000000003</v>
      </c>
      <c r="L364">
        <v>1.339</v>
      </c>
      <c r="M364">
        <v>70337</v>
      </c>
      <c r="N364">
        <v>4.8250000000000002</v>
      </c>
      <c r="O364">
        <v>1.419</v>
      </c>
    </row>
    <row r="365" spans="1:15" x14ac:dyDescent="0.35">
      <c r="A365" t="s">
        <v>341</v>
      </c>
      <c r="B365" t="s">
        <v>278</v>
      </c>
      <c r="C365" t="s">
        <v>277</v>
      </c>
      <c r="D365">
        <v>797</v>
      </c>
      <c r="E365">
        <v>1003</v>
      </c>
      <c r="F365">
        <v>1800</v>
      </c>
      <c r="G365">
        <v>621</v>
      </c>
      <c r="H365">
        <v>567</v>
      </c>
      <c r="I365">
        <v>1188</v>
      </c>
      <c r="J365">
        <v>38835</v>
      </c>
      <c r="K365">
        <v>4.6349999999999998</v>
      </c>
      <c r="L365">
        <v>3.0590000000000002</v>
      </c>
      <c r="M365">
        <v>37586</v>
      </c>
      <c r="N365">
        <v>4.7889999999999997</v>
      </c>
      <c r="O365">
        <v>3.161</v>
      </c>
    </row>
    <row r="366" spans="1:15" x14ac:dyDescent="0.35">
      <c r="A366" t="s">
        <v>313</v>
      </c>
      <c r="B366" t="s">
        <v>248</v>
      </c>
      <c r="C366" t="s">
        <v>247</v>
      </c>
      <c r="D366">
        <v>577</v>
      </c>
      <c r="E366">
        <v>2144</v>
      </c>
      <c r="F366">
        <v>2721</v>
      </c>
      <c r="G366">
        <v>510</v>
      </c>
      <c r="H366">
        <v>327</v>
      </c>
      <c r="I366">
        <v>837</v>
      </c>
      <c r="J366">
        <v>74891</v>
      </c>
      <c r="K366">
        <v>3.633</v>
      </c>
      <c r="L366">
        <v>1.1179999999999999</v>
      </c>
      <c r="M366">
        <v>70685</v>
      </c>
      <c r="N366">
        <v>3.8490000000000002</v>
      </c>
      <c r="O366">
        <v>1.1839999999999999</v>
      </c>
    </row>
    <row r="367" spans="1:15" x14ac:dyDescent="0.35">
      <c r="A367" t="s">
        <v>364</v>
      </c>
      <c r="B367" t="s">
        <v>235</v>
      </c>
      <c r="C367" t="s">
        <v>234</v>
      </c>
      <c r="D367">
        <v>2962</v>
      </c>
      <c r="E367">
        <v>2362</v>
      </c>
      <c r="F367">
        <v>5324</v>
      </c>
      <c r="G367">
        <v>2668</v>
      </c>
      <c r="H367">
        <v>1393</v>
      </c>
      <c r="I367">
        <v>4061</v>
      </c>
      <c r="J367">
        <v>237524</v>
      </c>
      <c r="K367">
        <v>2.2410000000000001</v>
      </c>
      <c r="L367">
        <v>1.71</v>
      </c>
      <c r="M367">
        <v>227222</v>
      </c>
      <c r="N367">
        <v>2.343</v>
      </c>
      <c r="O367">
        <v>1.7869999999999999</v>
      </c>
    </row>
    <row r="368" spans="1:15" x14ac:dyDescent="0.35">
      <c r="A368" t="s">
        <v>319</v>
      </c>
      <c r="B368" t="s">
        <v>308</v>
      </c>
      <c r="C368" t="s">
        <v>307</v>
      </c>
      <c r="D368">
        <v>63</v>
      </c>
      <c r="E368">
        <v>108</v>
      </c>
      <c r="F368">
        <v>171</v>
      </c>
      <c r="G368">
        <v>76</v>
      </c>
      <c r="H368">
        <v>44</v>
      </c>
      <c r="I368">
        <v>120</v>
      </c>
      <c r="J368">
        <v>41950</v>
      </c>
      <c r="K368">
        <v>0.40799999999999997</v>
      </c>
      <c r="L368">
        <v>0.28599999999999998</v>
      </c>
      <c r="M368">
        <v>39896</v>
      </c>
      <c r="N368">
        <v>0.42899999999999999</v>
      </c>
      <c r="O368">
        <v>0.30099999999999999</v>
      </c>
    </row>
    <row r="369" spans="1:15" x14ac:dyDescent="0.35">
      <c r="A369" t="s">
        <v>365</v>
      </c>
      <c r="B369" t="s">
        <v>303</v>
      </c>
      <c r="C369" t="s">
        <v>302</v>
      </c>
      <c r="D369">
        <v>608</v>
      </c>
      <c r="E369">
        <v>517</v>
      </c>
      <c r="F369">
        <v>1125</v>
      </c>
      <c r="G369">
        <v>715</v>
      </c>
      <c r="H369">
        <v>318</v>
      </c>
      <c r="I369">
        <v>1033</v>
      </c>
      <c r="J369">
        <v>54489</v>
      </c>
      <c r="K369">
        <v>2.0649999999999999</v>
      </c>
      <c r="L369">
        <v>1.8959999999999999</v>
      </c>
      <c r="M369">
        <v>51874</v>
      </c>
      <c r="N369">
        <v>2.169</v>
      </c>
      <c r="O369">
        <v>1.9910000000000001</v>
      </c>
    </row>
    <row r="370" spans="1:15" x14ac:dyDescent="0.35">
      <c r="A370" t="s">
        <v>313</v>
      </c>
      <c r="B370" t="s">
        <v>245</v>
      </c>
      <c r="C370" t="s">
        <v>244</v>
      </c>
      <c r="D370">
        <v>870</v>
      </c>
      <c r="E370">
        <v>839</v>
      </c>
      <c r="F370">
        <v>1709</v>
      </c>
      <c r="G370">
        <v>824</v>
      </c>
      <c r="H370">
        <v>438</v>
      </c>
      <c r="I370">
        <v>1262</v>
      </c>
      <c r="J370">
        <v>75089</v>
      </c>
      <c r="K370">
        <v>2.2759999999999998</v>
      </c>
      <c r="L370">
        <v>1.681</v>
      </c>
      <c r="M370">
        <v>69699</v>
      </c>
      <c r="N370">
        <v>2.452</v>
      </c>
      <c r="O370">
        <v>1.8109999999999999</v>
      </c>
    </row>
    <row r="371" spans="1:15" x14ac:dyDescent="0.35">
      <c r="A371" t="s">
        <v>366</v>
      </c>
      <c r="B371" t="s">
        <v>308</v>
      </c>
      <c r="C371" t="s">
        <v>307</v>
      </c>
      <c r="D371">
        <v>358</v>
      </c>
      <c r="E371">
        <v>653</v>
      </c>
      <c r="F371">
        <v>1011</v>
      </c>
      <c r="G371">
        <v>384</v>
      </c>
      <c r="H371">
        <v>181</v>
      </c>
      <c r="I371">
        <v>565</v>
      </c>
      <c r="J371">
        <v>40646</v>
      </c>
      <c r="K371">
        <v>2.4870000000000001</v>
      </c>
      <c r="L371">
        <v>1.3900000000000001</v>
      </c>
      <c r="M371">
        <v>38665</v>
      </c>
      <c r="N371">
        <v>2.6150000000000002</v>
      </c>
      <c r="O371">
        <v>1.4610000000000001</v>
      </c>
    </row>
    <row r="372" spans="1:15" x14ac:dyDescent="0.35">
      <c r="A372" t="s">
        <v>364</v>
      </c>
      <c r="B372" t="s">
        <v>310</v>
      </c>
      <c r="C372" t="s">
        <v>309</v>
      </c>
      <c r="D372">
        <v>436</v>
      </c>
      <c r="E372">
        <v>496</v>
      </c>
      <c r="F372">
        <v>932</v>
      </c>
      <c r="G372">
        <v>473</v>
      </c>
      <c r="H372">
        <v>195</v>
      </c>
      <c r="I372">
        <v>668</v>
      </c>
      <c r="J372">
        <v>44880</v>
      </c>
      <c r="K372">
        <v>2.077</v>
      </c>
      <c r="L372">
        <v>1.488</v>
      </c>
      <c r="M372">
        <v>42097</v>
      </c>
      <c r="N372">
        <v>2.214</v>
      </c>
      <c r="O372">
        <v>1.587</v>
      </c>
    </row>
    <row r="373" spans="1:15" x14ac:dyDescent="0.35">
      <c r="A373" t="s">
        <v>364</v>
      </c>
      <c r="B373" t="s">
        <v>260</v>
      </c>
      <c r="C373" t="s">
        <v>259</v>
      </c>
      <c r="D373">
        <v>492</v>
      </c>
      <c r="E373">
        <v>448</v>
      </c>
      <c r="F373">
        <v>940</v>
      </c>
      <c r="G373">
        <v>603</v>
      </c>
      <c r="H373">
        <v>198</v>
      </c>
      <c r="I373">
        <v>801</v>
      </c>
      <c r="J373">
        <v>37639</v>
      </c>
      <c r="K373">
        <v>2.4969999999999999</v>
      </c>
      <c r="L373">
        <v>2.1280000000000001</v>
      </c>
      <c r="M373">
        <v>37804</v>
      </c>
      <c r="N373">
        <v>2.4870000000000001</v>
      </c>
      <c r="O373">
        <v>2.1189999999999998</v>
      </c>
    </row>
    <row r="374" spans="1:15" x14ac:dyDescent="0.35">
      <c r="A374" t="s">
        <v>466</v>
      </c>
      <c r="B374" t="s">
        <v>248</v>
      </c>
      <c r="D374">
        <v>93</v>
      </c>
      <c r="E374">
        <v>1136</v>
      </c>
      <c r="F374">
        <v>1229</v>
      </c>
      <c r="G374">
        <v>200</v>
      </c>
      <c r="H374">
        <v>56</v>
      </c>
      <c r="I374">
        <v>265</v>
      </c>
      <c r="M374">
        <v>71097.765743088923</v>
      </c>
      <c r="N374">
        <v>1.7290000000000001</v>
      </c>
      <c r="O374">
        <v>0.373</v>
      </c>
    </row>
    <row r="375" spans="1:15" x14ac:dyDescent="0.35">
      <c r="A375" t="s">
        <v>466</v>
      </c>
      <c r="B375" t="s">
        <v>245</v>
      </c>
      <c r="D375">
        <v>180</v>
      </c>
      <c r="E375">
        <v>727</v>
      </c>
      <c r="F375">
        <v>907</v>
      </c>
      <c r="G375">
        <v>375</v>
      </c>
      <c r="H375">
        <v>120</v>
      </c>
      <c r="I375">
        <v>540</v>
      </c>
      <c r="M375">
        <v>70971.815561576936</v>
      </c>
      <c r="N375">
        <v>1.278</v>
      </c>
      <c r="O375">
        <v>0.76100000000000001</v>
      </c>
    </row>
    <row r="376" spans="1:15" x14ac:dyDescent="0.35">
      <c r="A376" t="s">
        <v>365</v>
      </c>
      <c r="B376" t="s">
        <v>288</v>
      </c>
      <c r="C376" t="s">
        <v>287</v>
      </c>
      <c r="D376">
        <v>901</v>
      </c>
      <c r="E376">
        <v>964</v>
      </c>
      <c r="F376">
        <v>1865</v>
      </c>
      <c r="G376">
        <v>932</v>
      </c>
      <c r="H376">
        <v>551</v>
      </c>
      <c r="I376">
        <v>1483</v>
      </c>
      <c r="J376">
        <v>67204</v>
      </c>
      <c r="K376">
        <v>2.7749999999999999</v>
      </c>
      <c r="L376">
        <v>2.2069999999999999</v>
      </c>
      <c r="M376">
        <v>62802</v>
      </c>
      <c r="N376">
        <v>2.9699999999999998</v>
      </c>
      <c r="O376">
        <v>2.3609999999999998</v>
      </c>
    </row>
    <row r="377" spans="1:15" x14ac:dyDescent="0.35">
      <c r="A377" t="s">
        <v>365</v>
      </c>
      <c r="B377" t="s">
        <v>310</v>
      </c>
      <c r="C377" t="s">
        <v>309</v>
      </c>
      <c r="D377">
        <v>402</v>
      </c>
      <c r="E377">
        <v>519</v>
      </c>
      <c r="F377">
        <v>921</v>
      </c>
      <c r="G377">
        <v>471</v>
      </c>
      <c r="H377">
        <v>160</v>
      </c>
      <c r="I377">
        <v>631</v>
      </c>
      <c r="J377">
        <v>44734</v>
      </c>
      <c r="K377">
        <v>2.0590000000000002</v>
      </c>
      <c r="L377">
        <v>1.411</v>
      </c>
      <c r="M377">
        <v>42353</v>
      </c>
      <c r="N377">
        <v>2.1749999999999998</v>
      </c>
      <c r="O377">
        <v>1.49</v>
      </c>
    </row>
    <row r="378" spans="1:15" x14ac:dyDescent="0.35">
      <c r="A378" t="s">
        <v>366</v>
      </c>
      <c r="B378" t="s">
        <v>303</v>
      </c>
      <c r="C378" t="s">
        <v>302</v>
      </c>
      <c r="D378">
        <v>657</v>
      </c>
      <c r="E378">
        <v>731</v>
      </c>
      <c r="F378">
        <v>1388</v>
      </c>
      <c r="G378">
        <v>688</v>
      </c>
      <c r="H378">
        <v>380</v>
      </c>
      <c r="I378">
        <v>1068</v>
      </c>
      <c r="J378">
        <v>54635</v>
      </c>
      <c r="K378">
        <v>2.54</v>
      </c>
      <c r="L378">
        <v>1.9550000000000001</v>
      </c>
      <c r="M378">
        <v>51912</v>
      </c>
      <c r="N378">
        <v>2.6739999999999999</v>
      </c>
      <c r="O378">
        <v>2.0569999999999999</v>
      </c>
    </row>
    <row r="379" spans="1:15" x14ac:dyDescent="0.35">
      <c r="A379" t="s">
        <v>364</v>
      </c>
      <c r="B379" t="s">
        <v>256</v>
      </c>
      <c r="C379" t="s">
        <v>255</v>
      </c>
      <c r="D379">
        <v>649</v>
      </c>
      <c r="E379">
        <v>366</v>
      </c>
      <c r="F379">
        <v>1015</v>
      </c>
      <c r="G379">
        <v>611</v>
      </c>
      <c r="H379">
        <v>496</v>
      </c>
      <c r="I379">
        <v>1107</v>
      </c>
      <c r="J379">
        <v>45613</v>
      </c>
      <c r="K379">
        <v>2.2250000000000001</v>
      </c>
      <c r="L379">
        <v>2.427</v>
      </c>
      <c r="M379">
        <v>43682</v>
      </c>
      <c r="N379">
        <v>2.3239999999999998</v>
      </c>
      <c r="O379">
        <v>2.5339999999999998</v>
      </c>
    </row>
    <row r="380" spans="1:15" x14ac:dyDescent="0.35">
      <c r="A380" t="s">
        <v>366</v>
      </c>
      <c r="B380" t="s">
        <v>235</v>
      </c>
      <c r="C380" t="s">
        <v>234</v>
      </c>
      <c r="D380">
        <v>2759</v>
      </c>
      <c r="E380">
        <v>2546</v>
      </c>
      <c r="F380">
        <v>5305</v>
      </c>
      <c r="G380">
        <v>2752</v>
      </c>
      <c r="H380">
        <v>1091</v>
      </c>
      <c r="I380">
        <v>3843</v>
      </c>
      <c r="J380">
        <v>241433</v>
      </c>
      <c r="K380">
        <v>2.1970000000000001</v>
      </c>
      <c r="L380">
        <v>1.5920000000000001</v>
      </c>
      <c r="M380">
        <v>229650</v>
      </c>
      <c r="N380">
        <v>2.31</v>
      </c>
      <c r="O380">
        <v>1.673</v>
      </c>
    </row>
    <row r="381" spans="1:15" x14ac:dyDescent="0.35">
      <c r="A381" t="s">
        <v>366</v>
      </c>
      <c r="B381" t="s">
        <v>282</v>
      </c>
      <c r="C381" t="s">
        <v>281</v>
      </c>
      <c r="D381">
        <v>426</v>
      </c>
      <c r="E381">
        <v>479</v>
      </c>
      <c r="F381">
        <v>905</v>
      </c>
      <c r="G381">
        <v>383</v>
      </c>
      <c r="H381">
        <v>384</v>
      </c>
      <c r="I381">
        <v>767</v>
      </c>
      <c r="J381">
        <v>44096</v>
      </c>
      <c r="K381">
        <v>2.052</v>
      </c>
      <c r="L381">
        <v>1.7389999999999999</v>
      </c>
      <c r="M381">
        <v>41641</v>
      </c>
      <c r="N381">
        <v>2.173</v>
      </c>
      <c r="O381">
        <v>1.8420000000000001</v>
      </c>
    </row>
    <row r="382" spans="1:15" x14ac:dyDescent="0.35">
      <c r="A382" t="s">
        <v>365</v>
      </c>
      <c r="B382" t="s">
        <v>229</v>
      </c>
      <c r="C382" t="s">
        <v>228</v>
      </c>
      <c r="D382">
        <v>498</v>
      </c>
      <c r="E382">
        <v>680</v>
      </c>
      <c r="F382">
        <v>1178</v>
      </c>
      <c r="G382">
        <v>412</v>
      </c>
      <c r="H382">
        <v>414</v>
      </c>
      <c r="I382">
        <v>826</v>
      </c>
      <c r="J382">
        <v>47500</v>
      </c>
      <c r="K382">
        <v>2.48</v>
      </c>
      <c r="L382">
        <v>1.7389999999999999</v>
      </c>
      <c r="M382">
        <v>40857</v>
      </c>
      <c r="N382">
        <v>2.883</v>
      </c>
      <c r="O382">
        <v>2.0219999999999998</v>
      </c>
    </row>
    <row r="383" spans="1:15" x14ac:dyDescent="0.35">
      <c r="A383" t="s">
        <v>365</v>
      </c>
      <c r="B383" t="s">
        <v>260</v>
      </c>
      <c r="C383" t="s">
        <v>259</v>
      </c>
      <c r="D383">
        <v>546</v>
      </c>
      <c r="E383">
        <v>689</v>
      </c>
      <c r="F383">
        <v>1235</v>
      </c>
      <c r="G383">
        <v>549</v>
      </c>
      <c r="H383">
        <v>267</v>
      </c>
      <c r="I383">
        <v>816</v>
      </c>
      <c r="J383">
        <v>37852</v>
      </c>
      <c r="K383">
        <v>3.2629999999999999</v>
      </c>
      <c r="L383">
        <v>2.1560000000000001</v>
      </c>
      <c r="M383">
        <v>38048</v>
      </c>
      <c r="N383">
        <v>3.246</v>
      </c>
      <c r="O383">
        <v>2.145</v>
      </c>
    </row>
    <row r="384" spans="1:15" x14ac:dyDescent="0.35">
      <c r="A384" t="s">
        <v>327</v>
      </c>
      <c r="B384" t="s">
        <v>288</v>
      </c>
      <c r="D384">
        <v>202</v>
      </c>
      <c r="E384">
        <v>665</v>
      </c>
      <c r="F384">
        <v>867</v>
      </c>
      <c r="G384">
        <v>314</v>
      </c>
      <c r="H384">
        <v>176</v>
      </c>
      <c r="I384">
        <v>490</v>
      </c>
      <c r="J384">
        <v>70223</v>
      </c>
      <c r="K384">
        <v>1.2349999999999999</v>
      </c>
      <c r="L384">
        <v>0.69799999999999995</v>
      </c>
      <c r="M384">
        <v>64633</v>
      </c>
      <c r="N384">
        <v>1.341</v>
      </c>
      <c r="O384">
        <v>0.75800000000000001</v>
      </c>
    </row>
    <row r="385" spans="1:15" x14ac:dyDescent="0.35">
      <c r="A385" t="s">
        <v>313</v>
      </c>
      <c r="B385" t="s">
        <v>288</v>
      </c>
      <c r="C385" t="s">
        <v>287</v>
      </c>
      <c r="D385">
        <v>716</v>
      </c>
      <c r="E385">
        <v>969</v>
      </c>
      <c r="F385">
        <v>1685</v>
      </c>
      <c r="G385">
        <v>784</v>
      </c>
      <c r="H385">
        <v>366</v>
      </c>
      <c r="I385">
        <v>1150</v>
      </c>
      <c r="J385">
        <v>68496</v>
      </c>
      <c r="K385">
        <v>2.46</v>
      </c>
      <c r="L385">
        <v>1.679</v>
      </c>
      <c r="M385">
        <v>64140</v>
      </c>
      <c r="N385">
        <v>2.6269999999999998</v>
      </c>
      <c r="O385">
        <v>1.7930000000000001</v>
      </c>
    </row>
  </sheetData>
  <pageMargins left="0.7" right="0.7" top="0.75" bottom="0.75" header="0.3" footer="0.3"/>
  <pageSetup paperSize="9" orientation="portrait" r:id="rId1"/>
  <tableParts count="1">
    <tablePart r:id="rId2"/>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29">
    <tabColor theme="7" tint="-0.249977111117893"/>
    <pageSetUpPr fitToPage="1"/>
  </sheetPr>
  <dimension ref="A1:K48"/>
  <sheetViews>
    <sheetView showGridLines="0" zoomScaleNormal="100" workbookViewId="0">
      <pane ySplit="2" topLeftCell="A3" activePane="bottomLeft" state="frozen"/>
      <selection pane="bottomLeft"/>
    </sheetView>
  </sheetViews>
  <sheetFormatPr defaultRowHeight="14.5" x14ac:dyDescent="0.35"/>
  <cols>
    <col min="1" max="1" width="18.453125" customWidth="1"/>
    <col min="2" max="2" width="26.453125" customWidth="1"/>
    <col min="3" max="3" width="15.54296875" customWidth="1"/>
    <col min="4" max="4" width="11.54296875" customWidth="1"/>
    <col min="5" max="5" width="8.26953125" customWidth="1"/>
    <col min="6" max="6" width="10.1796875" customWidth="1"/>
    <col min="7" max="7" width="11" customWidth="1"/>
    <col min="8" max="8" width="13.7265625" customWidth="1"/>
  </cols>
  <sheetData>
    <row r="1" spans="1:11" ht="36" customHeight="1" x14ac:dyDescent="0.35">
      <c r="A1" s="514" t="s">
        <v>928</v>
      </c>
    </row>
    <row r="2" spans="1:11" x14ac:dyDescent="0.35">
      <c r="A2" s="499" t="s">
        <v>201</v>
      </c>
    </row>
    <row r="3" spans="1:11" x14ac:dyDescent="0.35">
      <c r="A3" s="25"/>
    </row>
    <row r="4" spans="1:11" ht="15.75" customHeight="1" x14ac:dyDescent="0.35">
      <c r="A4" s="439" t="s">
        <v>1102</v>
      </c>
      <c r="B4" s="500"/>
      <c r="C4" s="500"/>
      <c r="D4" s="500"/>
      <c r="E4" s="500"/>
      <c r="F4" s="500"/>
      <c r="G4" s="500"/>
      <c r="H4" s="500"/>
      <c r="I4" s="500"/>
      <c r="J4" s="500"/>
      <c r="K4" s="500"/>
    </row>
    <row r="5" spans="1:11" ht="15.5" x14ac:dyDescent="0.35">
      <c r="A5" t="s">
        <v>202</v>
      </c>
      <c r="B5" t="s">
        <v>161</v>
      </c>
      <c r="C5" s="500"/>
      <c r="D5" s="500"/>
      <c r="E5" s="500"/>
      <c r="F5" s="500"/>
      <c r="G5" s="500"/>
      <c r="H5" s="500"/>
      <c r="I5" s="500"/>
      <c r="J5" s="500"/>
      <c r="K5" s="500"/>
    </row>
    <row r="6" spans="1:11" ht="15.5" x14ac:dyDescent="0.35">
      <c r="A6" t="s">
        <v>203</v>
      </c>
      <c r="B6" t="s">
        <v>204</v>
      </c>
      <c r="C6" s="500"/>
      <c r="D6" s="500"/>
      <c r="E6" s="500"/>
      <c r="F6" s="500"/>
      <c r="G6" s="500"/>
      <c r="H6" s="500"/>
      <c r="I6" s="500"/>
      <c r="J6" s="500"/>
      <c r="K6" s="500"/>
    </row>
    <row r="7" spans="1:11" ht="15.5" x14ac:dyDescent="0.35">
      <c r="A7" t="s">
        <v>205</v>
      </c>
      <c r="B7" t="s">
        <v>930</v>
      </c>
      <c r="C7" s="500"/>
      <c r="D7" s="500"/>
      <c r="E7" s="500"/>
      <c r="F7" s="500"/>
      <c r="G7" s="500"/>
      <c r="H7" s="500"/>
      <c r="I7" s="500"/>
      <c r="J7" s="500"/>
      <c r="K7" s="500"/>
    </row>
    <row r="9" spans="1:11" x14ac:dyDescent="0.35">
      <c r="A9" s="312" t="s">
        <v>207</v>
      </c>
      <c r="B9" s="312" t="str">
        <f>HFSVLAPivot!C1</f>
        <v>2024-25</v>
      </c>
    </row>
    <row r="10" spans="1:11" ht="52.5" x14ac:dyDescent="0.35">
      <c r="A10" s="78" t="s">
        <v>208</v>
      </c>
      <c r="B10" s="78" t="s">
        <v>32</v>
      </c>
      <c r="C10" s="226" t="s">
        <v>1103</v>
      </c>
      <c r="D10" s="226" t="s">
        <v>1104</v>
      </c>
      <c r="E10" s="414" t="s">
        <v>947</v>
      </c>
      <c r="F10" s="226" t="s">
        <v>1105</v>
      </c>
      <c r="G10" s="226" t="s">
        <v>1106</v>
      </c>
      <c r="H10" s="414" t="s">
        <v>935</v>
      </c>
    </row>
    <row r="11" spans="1:11" ht="19.5" customHeight="1" x14ac:dyDescent="0.35">
      <c r="A11" t="s">
        <v>215</v>
      </c>
      <c r="B11" s="45" t="s">
        <v>216</v>
      </c>
      <c r="C11" s="798">
        <f>GETPIVOTDATA("Sum of HFSV - alarms installed",HFSVLAPivot!$B$3,"Council",B11)</f>
        <v>106</v>
      </c>
      <c r="D11" s="798">
        <f>GETPIVOTDATA("Sum of HFSV - advice only",HFSVLAPivot!$B$3,"Council",B11)</f>
        <v>1241</v>
      </c>
      <c r="E11" s="799">
        <f>GETPIVOTDATA("Sum of Total HFSV",HFSVLAPivot!$B$3,"Council",B11)</f>
        <v>1347</v>
      </c>
      <c r="F11" s="798">
        <f>GETPIVOTDATA("Sum of TotalNewAlarms",HFSVLAPivot!$B$3,"Council",B11)</f>
        <v>216</v>
      </c>
      <c r="G11" s="798">
        <f>GETPIVOTDATA("Sum of TotalReplacedAlarms",HFSVLAPivot!$B$3,"Council",B11)</f>
        <v>95</v>
      </c>
      <c r="H11" s="800">
        <f>GETPIVOTDATA("Sum of TotalAlarms",HFSVLAPivot!$B$3,"Council",B11)</f>
        <v>320</v>
      </c>
    </row>
    <row r="12" spans="1:11" x14ac:dyDescent="0.35">
      <c r="A12" t="s">
        <v>220</v>
      </c>
      <c r="B12" s="48" t="s">
        <v>221</v>
      </c>
      <c r="C12" s="798">
        <f>GETPIVOTDATA("Sum of HFSV - alarms installed",HFSVLAPivot!$B$3,"Council",B12)</f>
        <v>85</v>
      </c>
      <c r="D12" s="798">
        <f>GETPIVOTDATA("Sum of HFSV - advice only",HFSVLAPivot!$B$3,"Council",B12)</f>
        <v>904</v>
      </c>
      <c r="E12" s="996">
        <f>GETPIVOTDATA("Sum of Total HFSV",HFSVLAPivot!$B$3,"Council",B12)</f>
        <v>989</v>
      </c>
      <c r="F12" s="798">
        <f>GETPIVOTDATA("Sum of TotalNewAlarms",HFSVLAPivot!$B$3,"Council",B12)</f>
        <v>147</v>
      </c>
      <c r="G12" s="798">
        <f>GETPIVOTDATA("Sum of TotalReplacedAlarms",HFSVLAPivot!$B$3,"Council",B12)</f>
        <v>94</v>
      </c>
      <c r="H12" s="997">
        <f>GETPIVOTDATA("Sum of TotalAlarms",HFSVLAPivot!$B$3,"Council",B12)</f>
        <v>247</v>
      </c>
    </row>
    <row r="13" spans="1:11" x14ac:dyDescent="0.35">
      <c r="A13" t="s">
        <v>224</v>
      </c>
      <c r="B13" s="48" t="s">
        <v>225</v>
      </c>
      <c r="C13" s="798">
        <f>GETPIVOTDATA("Sum of HFSV - alarms installed",HFSVLAPivot!$B$3,"Council",B13)</f>
        <v>86</v>
      </c>
      <c r="D13" s="798">
        <f>GETPIVOTDATA("Sum of HFSV - advice only",HFSVLAPivot!$B$3,"Council",B13)</f>
        <v>636</v>
      </c>
      <c r="E13" s="996">
        <f>GETPIVOTDATA("Sum of Total HFSV",HFSVLAPivot!$B$3,"Council",B13)</f>
        <v>722</v>
      </c>
      <c r="F13" s="798">
        <f>GETPIVOTDATA("Sum of TotalNewAlarms",HFSVLAPivot!$B$3,"Council",B13)</f>
        <v>149</v>
      </c>
      <c r="G13" s="798">
        <f>GETPIVOTDATA("Sum of TotalReplacedAlarms",HFSVLAPivot!$B$3,"Council",B13)</f>
        <v>65</v>
      </c>
      <c r="H13" s="997">
        <f>GETPIVOTDATA("Sum of TotalAlarms",HFSVLAPivot!$B$3,"Council",B13)</f>
        <v>228</v>
      </c>
    </row>
    <row r="14" spans="1:11" x14ac:dyDescent="0.35">
      <c r="A14" t="s">
        <v>228</v>
      </c>
      <c r="B14" s="48" t="s">
        <v>229</v>
      </c>
      <c r="C14" s="798">
        <f>GETPIVOTDATA("Sum of HFSV - alarms installed",HFSVLAPivot!$B$3,"Council",B14)</f>
        <v>70</v>
      </c>
      <c r="D14" s="798">
        <f>GETPIVOTDATA("Sum of HFSV - advice only",HFSVLAPivot!$B$3,"Council",B14)</f>
        <v>556</v>
      </c>
      <c r="E14" s="996">
        <f>GETPIVOTDATA("Sum of Total HFSV",HFSVLAPivot!$B$3,"Council",B14)</f>
        <v>626</v>
      </c>
      <c r="F14" s="798">
        <f>GETPIVOTDATA("Sum of TotalNewAlarms",HFSVLAPivot!$B$3,"Council",B14)</f>
        <v>151</v>
      </c>
      <c r="G14" s="798">
        <f>GETPIVOTDATA("Sum of TotalReplacedAlarms",HFSVLAPivot!$B$3,"Council",B14)</f>
        <v>71</v>
      </c>
      <c r="H14" s="997">
        <f>GETPIVOTDATA("Sum of TotalAlarms",HFSVLAPivot!$B$3,"Council",B14)</f>
        <v>224</v>
      </c>
    </row>
    <row r="15" spans="1:11" x14ac:dyDescent="0.35">
      <c r="A15" t="s">
        <v>234</v>
      </c>
      <c r="B15" s="48" t="s">
        <v>235</v>
      </c>
      <c r="C15" s="798">
        <f>GETPIVOTDATA("Sum of HFSV - alarms installed",HFSVLAPivot!$B$3,"Council",B15)</f>
        <v>204</v>
      </c>
      <c r="D15" s="798">
        <f>GETPIVOTDATA("Sum of HFSV - advice only",HFSVLAPivot!$B$3,"Council",B15)</f>
        <v>2496</v>
      </c>
      <c r="E15" s="996">
        <f>GETPIVOTDATA("Sum of Total HFSV",HFSVLAPivot!$B$3,"Council",B15)</f>
        <v>2700</v>
      </c>
      <c r="F15" s="798">
        <f>GETPIVOTDATA("Sum of TotalNewAlarms",HFSVLAPivot!$B$3,"Council",B15)</f>
        <v>221</v>
      </c>
      <c r="G15" s="798">
        <f>GETPIVOTDATA("Sum of TotalReplacedAlarms",HFSVLAPivot!$B$3,"Council",B15)</f>
        <v>216</v>
      </c>
      <c r="H15" s="997">
        <f>GETPIVOTDATA("Sum of TotalAlarms",HFSVLAPivot!$B$3,"Council",B15)</f>
        <v>472</v>
      </c>
    </row>
    <row r="16" spans="1:11" x14ac:dyDescent="0.35">
      <c r="A16" t="s">
        <v>240</v>
      </c>
      <c r="B16" s="48" t="s">
        <v>241</v>
      </c>
      <c r="C16" s="798">
        <f>GETPIVOTDATA("Sum of HFSV - alarms installed",HFSVLAPivot!$B$3,"Council",B16)</f>
        <v>29</v>
      </c>
      <c r="D16" s="798">
        <f>GETPIVOTDATA("Sum of HFSV - advice only",HFSVLAPivot!$B$3,"Council",B16)</f>
        <v>332</v>
      </c>
      <c r="E16" s="996">
        <f>GETPIVOTDATA("Sum of Total HFSV",HFSVLAPivot!$B$3,"Council",B16)</f>
        <v>361</v>
      </c>
      <c r="F16" s="798">
        <f>GETPIVOTDATA("Sum of TotalNewAlarms",HFSVLAPivot!$B$3,"Council",B16)</f>
        <v>32</v>
      </c>
      <c r="G16" s="798">
        <f>GETPIVOTDATA("Sum of TotalReplacedAlarms",HFSVLAPivot!$B$3,"Council",B16)</f>
        <v>16</v>
      </c>
      <c r="H16" s="997">
        <f>GETPIVOTDATA("Sum of TotalAlarms",HFSVLAPivot!$B$3,"Council",B16)</f>
        <v>55</v>
      </c>
    </row>
    <row r="17" spans="1:8" x14ac:dyDescent="0.35">
      <c r="A17" t="s">
        <v>244</v>
      </c>
      <c r="B17" s="48" t="s">
        <v>245</v>
      </c>
      <c r="C17" s="798">
        <f>GETPIVOTDATA("Sum of HFSV - alarms installed",HFSVLAPivot!$B$3,"Council",B17)</f>
        <v>180</v>
      </c>
      <c r="D17" s="798">
        <f>GETPIVOTDATA("Sum of HFSV - advice only",HFSVLAPivot!$B$3,"Council",B17)</f>
        <v>727</v>
      </c>
      <c r="E17" s="996">
        <f>GETPIVOTDATA("Sum of Total HFSV",HFSVLAPivot!$B$3,"Council",B17)</f>
        <v>907</v>
      </c>
      <c r="F17" s="798">
        <f>GETPIVOTDATA("Sum of TotalNewAlarms",HFSVLAPivot!$B$3,"Council",B17)</f>
        <v>375</v>
      </c>
      <c r="G17" s="798">
        <f>GETPIVOTDATA("Sum of TotalReplacedAlarms",HFSVLAPivot!$B$3,"Council",B17)</f>
        <v>120</v>
      </c>
      <c r="H17" s="997">
        <f>GETPIVOTDATA("Sum of TotalAlarms",HFSVLAPivot!$B$3,"Council",B17)</f>
        <v>540</v>
      </c>
    </row>
    <row r="18" spans="1:8" x14ac:dyDescent="0.35">
      <c r="A18" t="s">
        <v>247</v>
      </c>
      <c r="B18" s="48" t="s">
        <v>248</v>
      </c>
      <c r="C18" s="798">
        <f>GETPIVOTDATA("Sum of HFSV - alarms installed",HFSVLAPivot!$B$3,"Council",B18)</f>
        <v>93</v>
      </c>
      <c r="D18" s="798">
        <f>GETPIVOTDATA("Sum of HFSV - advice only",HFSVLAPivot!$B$3,"Council",B18)</f>
        <v>1136</v>
      </c>
      <c r="E18" s="996">
        <f>GETPIVOTDATA("Sum of Total HFSV",HFSVLAPivot!$B$3,"Council",B18)</f>
        <v>1229</v>
      </c>
      <c r="F18" s="798">
        <f>GETPIVOTDATA("Sum of TotalNewAlarms",HFSVLAPivot!$B$3,"Council",B18)</f>
        <v>200</v>
      </c>
      <c r="G18" s="798">
        <f>GETPIVOTDATA("Sum of TotalReplacedAlarms",HFSVLAPivot!$B$3,"Council",B18)</f>
        <v>56</v>
      </c>
      <c r="H18" s="997">
        <f>GETPIVOTDATA("Sum of TotalAlarms",HFSVLAPivot!$B$3,"Council",B18)</f>
        <v>265</v>
      </c>
    </row>
    <row r="19" spans="1:8" x14ac:dyDescent="0.35">
      <c r="A19" t="s">
        <v>249</v>
      </c>
      <c r="B19" s="48" t="s">
        <v>250</v>
      </c>
      <c r="C19" s="798">
        <f>GETPIVOTDATA("Sum of HFSV - alarms installed",HFSVLAPivot!$B$3,"Council",B19)</f>
        <v>166</v>
      </c>
      <c r="D19" s="798">
        <f>GETPIVOTDATA("Sum of HFSV - advice only",HFSVLAPivot!$B$3,"Council",B19)</f>
        <v>776</v>
      </c>
      <c r="E19" s="996">
        <f>GETPIVOTDATA("Sum of Total HFSV",HFSVLAPivot!$B$3,"Council",B19)</f>
        <v>942</v>
      </c>
      <c r="F19" s="798">
        <f>GETPIVOTDATA("Sum of TotalNewAlarms",HFSVLAPivot!$B$3,"Council",B19)</f>
        <v>323</v>
      </c>
      <c r="G19" s="798">
        <f>GETPIVOTDATA("Sum of TotalReplacedAlarms",HFSVLAPivot!$B$3,"Council",B19)</f>
        <v>68</v>
      </c>
      <c r="H19" s="997">
        <f>GETPIVOTDATA("Sum of TotalAlarms",HFSVLAPivot!$B$3,"Council",B19)</f>
        <v>422</v>
      </c>
    </row>
    <row r="20" spans="1:8" x14ac:dyDescent="0.35">
      <c r="A20" t="s">
        <v>253</v>
      </c>
      <c r="B20" s="48" t="s">
        <v>254</v>
      </c>
      <c r="C20" s="798">
        <f>GETPIVOTDATA("Sum of HFSV - alarms installed",HFSVLAPivot!$B$3,"Council",B20)</f>
        <v>113</v>
      </c>
      <c r="D20" s="798">
        <f>GETPIVOTDATA("Sum of HFSV - advice only",HFSVLAPivot!$B$3,"Council",B20)</f>
        <v>688</v>
      </c>
      <c r="E20" s="996">
        <f>GETPIVOTDATA("Sum of Total HFSV",HFSVLAPivot!$B$3,"Council",B20)</f>
        <v>801</v>
      </c>
      <c r="F20" s="798">
        <f>GETPIVOTDATA("Sum of TotalNewAlarms",HFSVLAPivot!$B$3,"Council",B20)</f>
        <v>199</v>
      </c>
      <c r="G20" s="798">
        <f>GETPIVOTDATA("Sum of TotalReplacedAlarms",HFSVLAPivot!$B$3,"Council",B20)</f>
        <v>81</v>
      </c>
      <c r="H20" s="997">
        <f>GETPIVOTDATA("Sum of TotalAlarms",HFSVLAPivot!$B$3,"Council",B20)</f>
        <v>317</v>
      </c>
    </row>
    <row r="21" spans="1:8" x14ac:dyDescent="0.35">
      <c r="A21" t="s">
        <v>255</v>
      </c>
      <c r="B21" s="48" t="s">
        <v>256</v>
      </c>
      <c r="C21" s="798">
        <f>GETPIVOTDATA("Sum of HFSV - alarms installed",HFSVLAPivot!$B$3,"Council",B21)</f>
        <v>52</v>
      </c>
      <c r="D21" s="798">
        <f>GETPIVOTDATA("Sum of HFSV - advice only",HFSVLAPivot!$B$3,"Council",B21)</f>
        <v>423</v>
      </c>
      <c r="E21" s="996">
        <f>GETPIVOTDATA("Sum of Total HFSV",HFSVLAPivot!$B$3,"Council",B21)</f>
        <v>475</v>
      </c>
      <c r="F21" s="798">
        <f>GETPIVOTDATA("Sum of TotalNewAlarms",HFSVLAPivot!$B$3,"Council",B21)</f>
        <v>114</v>
      </c>
      <c r="G21" s="798">
        <f>GETPIVOTDATA("Sum of TotalReplacedAlarms",HFSVLAPivot!$B$3,"Council",B21)</f>
        <v>20</v>
      </c>
      <c r="H21" s="997">
        <f>GETPIVOTDATA("Sum of TotalAlarms",HFSVLAPivot!$B$3,"Council",B21)</f>
        <v>138</v>
      </c>
    </row>
    <row r="22" spans="1:8" x14ac:dyDescent="0.35">
      <c r="A22" t="s">
        <v>259</v>
      </c>
      <c r="B22" s="48" t="s">
        <v>260</v>
      </c>
      <c r="C22" s="798">
        <f>GETPIVOTDATA("Sum of HFSV - alarms installed",HFSVLAPivot!$B$3,"Council",B22)</f>
        <v>118</v>
      </c>
      <c r="D22" s="798">
        <f>GETPIVOTDATA("Sum of HFSV - advice only",HFSVLAPivot!$B$3,"Council",B22)</f>
        <v>543</v>
      </c>
      <c r="E22" s="996">
        <f>GETPIVOTDATA("Sum of Total HFSV",HFSVLAPivot!$B$3,"Council",B22)</f>
        <v>661</v>
      </c>
      <c r="F22" s="798">
        <f>GETPIVOTDATA("Sum of TotalNewAlarms",HFSVLAPivot!$B$3,"Council",B22)</f>
        <v>244</v>
      </c>
      <c r="G22" s="798">
        <f>GETPIVOTDATA("Sum of TotalReplacedAlarms",HFSVLAPivot!$B$3,"Council",B22)</f>
        <v>39</v>
      </c>
      <c r="H22" s="997">
        <f>GETPIVOTDATA("Sum of TotalAlarms",HFSVLAPivot!$B$3,"Council",B22)</f>
        <v>294</v>
      </c>
    </row>
    <row r="23" spans="1:8" x14ac:dyDescent="0.35">
      <c r="A23" t="s">
        <v>263</v>
      </c>
      <c r="B23" s="48" t="s">
        <v>264</v>
      </c>
      <c r="C23" s="798">
        <f>GETPIVOTDATA("Sum of HFSV - alarms installed",HFSVLAPivot!$B$3,"Council",B23)</f>
        <v>159</v>
      </c>
      <c r="D23" s="798">
        <f>GETPIVOTDATA("Sum of HFSV - advice only",HFSVLAPivot!$B$3,"Council",B23)</f>
        <v>880</v>
      </c>
      <c r="E23" s="996">
        <f>GETPIVOTDATA("Sum of Total HFSV",HFSVLAPivot!$B$3,"Council",B23)</f>
        <v>1039</v>
      </c>
      <c r="F23" s="798">
        <f>GETPIVOTDATA("Sum of TotalNewAlarms",HFSVLAPivot!$B$3,"Council",B23)</f>
        <v>315</v>
      </c>
      <c r="G23" s="798">
        <f>GETPIVOTDATA("Sum of TotalReplacedAlarms",HFSVLAPivot!$B$3,"Council",B23)</f>
        <v>93</v>
      </c>
      <c r="H23" s="997">
        <f>GETPIVOTDATA("Sum of TotalAlarms",HFSVLAPivot!$B$3,"Council",B23)</f>
        <v>469</v>
      </c>
    </row>
    <row r="24" spans="1:8" x14ac:dyDescent="0.35">
      <c r="A24" t="s">
        <v>1101</v>
      </c>
      <c r="B24" s="48" t="s">
        <v>268</v>
      </c>
      <c r="C24" s="798">
        <f>GETPIVOTDATA("Sum of HFSV - alarms installed",HFSVLAPivot!$B$3,"Council",B24)</f>
        <v>330</v>
      </c>
      <c r="D24" s="798">
        <f>GETPIVOTDATA("Sum of HFSV - advice only",HFSVLAPivot!$B$3,"Council",B24)</f>
        <v>1696</v>
      </c>
      <c r="E24" s="996">
        <f>GETPIVOTDATA("Sum of Total HFSV",HFSVLAPivot!$B$3,"Council",B24)</f>
        <v>2026</v>
      </c>
      <c r="F24" s="798">
        <f>GETPIVOTDATA("Sum of TotalNewAlarms",HFSVLAPivot!$B$3,"Council",B24)</f>
        <v>521</v>
      </c>
      <c r="G24" s="798">
        <f>GETPIVOTDATA("Sum of TotalReplacedAlarms",HFSVLAPivot!$B$3,"Council",B24)</f>
        <v>254</v>
      </c>
      <c r="H24" s="997">
        <f>GETPIVOTDATA("Sum of TotalAlarms",HFSVLAPivot!$B$3,"Council",B24)</f>
        <v>823</v>
      </c>
    </row>
    <row r="25" spans="1:8" x14ac:dyDescent="0.35">
      <c r="A25" t="s">
        <v>270</v>
      </c>
      <c r="B25" s="48" t="s">
        <v>271</v>
      </c>
      <c r="C25" s="798">
        <f>GETPIVOTDATA("Sum of HFSV - alarms installed",HFSVLAPivot!$B$3,"Council",B25)</f>
        <v>512</v>
      </c>
      <c r="D25" s="798">
        <f>GETPIVOTDATA("Sum of HFSV - advice only",HFSVLAPivot!$B$3,"Council",B25)</f>
        <v>4698</v>
      </c>
      <c r="E25" s="996">
        <f>GETPIVOTDATA("Sum of Total HFSV",HFSVLAPivot!$B$3,"Council",B25)</f>
        <v>5210</v>
      </c>
      <c r="F25" s="798">
        <f>GETPIVOTDATA("Sum of TotalNewAlarms",HFSVLAPivot!$B$3,"Council",B25)</f>
        <v>886</v>
      </c>
      <c r="G25" s="798">
        <f>GETPIVOTDATA("Sum of TotalReplacedAlarms",HFSVLAPivot!$B$3,"Council",B25)</f>
        <v>293</v>
      </c>
      <c r="H25" s="997">
        <f>GETPIVOTDATA("Sum of TotalAlarms",HFSVLAPivot!$B$3,"Council",B25)</f>
        <v>1343</v>
      </c>
    </row>
    <row r="26" spans="1:8" x14ac:dyDescent="0.35">
      <c r="A26" t="s">
        <v>273</v>
      </c>
      <c r="B26" s="48" t="s">
        <v>274</v>
      </c>
      <c r="C26" s="798">
        <f>GETPIVOTDATA("Sum of HFSV - alarms installed",HFSVLAPivot!$B$3,"Council",B26)</f>
        <v>93</v>
      </c>
      <c r="D26" s="798">
        <f>GETPIVOTDATA("Sum of HFSV - advice only",HFSVLAPivot!$B$3,"Council",B26)</f>
        <v>1660</v>
      </c>
      <c r="E26" s="996">
        <f>GETPIVOTDATA("Sum of Total HFSV",HFSVLAPivot!$B$3,"Council",B26)</f>
        <v>1753</v>
      </c>
      <c r="F26" s="798">
        <f>GETPIVOTDATA("Sum of TotalNewAlarms",HFSVLAPivot!$B$3,"Council",B26)</f>
        <v>156</v>
      </c>
      <c r="G26" s="798">
        <f>GETPIVOTDATA("Sum of TotalReplacedAlarms",HFSVLAPivot!$B$3,"Council",B26)</f>
        <v>111</v>
      </c>
      <c r="H26" s="997">
        <f>GETPIVOTDATA("Sum of TotalAlarms",HFSVLAPivot!$B$3,"Council",B26)</f>
        <v>270</v>
      </c>
    </row>
    <row r="27" spans="1:8" x14ac:dyDescent="0.35">
      <c r="A27" t="s">
        <v>277</v>
      </c>
      <c r="B27" s="48" t="s">
        <v>278</v>
      </c>
      <c r="C27" s="798">
        <f>GETPIVOTDATA("Sum of HFSV - alarms installed",HFSVLAPivot!$B$3,"Council",B27)</f>
        <v>131</v>
      </c>
      <c r="D27" s="798">
        <f>GETPIVOTDATA("Sum of HFSV - advice only",HFSVLAPivot!$B$3,"Council",B27)</f>
        <v>322</v>
      </c>
      <c r="E27" s="996">
        <f>GETPIVOTDATA("Sum of Total HFSV",HFSVLAPivot!$B$3,"Council",B27)</f>
        <v>453</v>
      </c>
      <c r="F27" s="798">
        <f>GETPIVOTDATA("Sum of TotalNewAlarms",HFSVLAPivot!$B$3,"Council",B27)</f>
        <v>259</v>
      </c>
      <c r="G27" s="798">
        <f>GETPIVOTDATA("Sum of TotalReplacedAlarms",HFSVLAPivot!$B$3,"Council",B27)</f>
        <v>48</v>
      </c>
      <c r="H27" s="997">
        <f>GETPIVOTDATA("Sum of TotalAlarms",HFSVLAPivot!$B$3,"Council",B27)</f>
        <v>316</v>
      </c>
    </row>
    <row r="28" spans="1:8" x14ac:dyDescent="0.35">
      <c r="A28" t="s">
        <v>279</v>
      </c>
      <c r="B28" s="48" t="s">
        <v>280</v>
      </c>
      <c r="C28" s="798">
        <f>GETPIVOTDATA("Sum of HFSV - alarms installed",HFSVLAPivot!$B$3,"Council",B28)</f>
        <v>59</v>
      </c>
      <c r="D28" s="798">
        <f>GETPIVOTDATA("Sum of HFSV - advice only",HFSVLAPivot!$B$3,"Council",B28)</f>
        <v>334</v>
      </c>
      <c r="E28" s="996">
        <f>GETPIVOTDATA("Sum of Total HFSV",HFSVLAPivot!$B$3,"Council",B28)</f>
        <v>393</v>
      </c>
      <c r="F28" s="798">
        <f>GETPIVOTDATA("Sum of TotalNewAlarms",HFSVLAPivot!$B$3,"Council",B28)</f>
        <v>103</v>
      </c>
      <c r="G28" s="798">
        <f>GETPIVOTDATA("Sum of TotalReplacedAlarms",HFSVLAPivot!$B$3,"Council",B28)</f>
        <v>66</v>
      </c>
      <c r="H28" s="997">
        <f>GETPIVOTDATA("Sum of TotalAlarms",HFSVLAPivot!$B$3,"Council",B28)</f>
        <v>172</v>
      </c>
    </row>
    <row r="29" spans="1:8" x14ac:dyDescent="0.35">
      <c r="A29" t="s">
        <v>281</v>
      </c>
      <c r="B29" s="48" t="s">
        <v>282</v>
      </c>
      <c r="C29" s="798">
        <f>GETPIVOTDATA("Sum of HFSV - alarms installed",HFSVLAPivot!$B$3,"Council",B29)</f>
        <v>48</v>
      </c>
      <c r="D29" s="798">
        <f>GETPIVOTDATA("Sum of HFSV - advice only",HFSVLAPivot!$B$3,"Council",B29)</f>
        <v>502</v>
      </c>
      <c r="E29" s="996">
        <f>GETPIVOTDATA("Sum of Total HFSV",HFSVLAPivot!$B$3,"Council",B29)</f>
        <v>550</v>
      </c>
      <c r="F29" s="798">
        <f>GETPIVOTDATA("Sum of TotalNewAlarms",HFSVLAPivot!$B$3,"Council",B29)</f>
        <v>85</v>
      </c>
      <c r="G29" s="798">
        <f>GETPIVOTDATA("Sum of TotalReplacedAlarms",HFSVLAPivot!$B$3,"Council",B29)</f>
        <v>37</v>
      </c>
      <c r="H29" s="997">
        <f>GETPIVOTDATA("Sum of TotalAlarms",HFSVLAPivot!$B$3,"Council",B29)</f>
        <v>124</v>
      </c>
    </row>
    <row r="30" spans="1:8" x14ac:dyDescent="0.35">
      <c r="A30" t="s">
        <v>283</v>
      </c>
      <c r="B30" s="48" t="s">
        <v>284</v>
      </c>
      <c r="C30" s="798">
        <f>GETPIVOTDATA("Sum of HFSV - alarms installed",HFSVLAPivot!$B$3,"Council",B30)</f>
        <v>10</v>
      </c>
      <c r="D30" s="798">
        <f>GETPIVOTDATA("Sum of HFSV - advice only",HFSVLAPivot!$B$3,"Council",B30)</f>
        <v>96</v>
      </c>
      <c r="E30" s="996">
        <f>GETPIVOTDATA("Sum of Total HFSV",HFSVLAPivot!$B$3,"Council",B30)</f>
        <v>106</v>
      </c>
      <c r="F30" s="798">
        <f>GETPIVOTDATA("Sum of TotalNewAlarms",HFSVLAPivot!$B$3,"Council",B30)</f>
        <v>4</v>
      </c>
      <c r="G30" s="798">
        <f>GETPIVOTDATA("Sum of TotalReplacedAlarms",HFSVLAPivot!$B$3,"Council",B30)</f>
        <v>18</v>
      </c>
      <c r="H30" s="997">
        <f>GETPIVOTDATA("Sum of TotalAlarms",HFSVLAPivot!$B$3,"Council",B30)</f>
        <v>23</v>
      </c>
    </row>
    <row r="31" spans="1:8" x14ac:dyDescent="0.35">
      <c r="A31" t="s">
        <v>287</v>
      </c>
      <c r="B31" s="48" t="s">
        <v>288</v>
      </c>
      <c r="C31" s="798">
        <f>GETPIVOTDATA("Sum of HFSV - alarms installed",HFSVLAPivot!$B$3,"Council",B31)</f>
        <v>183</v>
      </c>
      <c r="D31" s="798">
        <f>GETPIVOTDATA("Sum of HFSV - advice only",HFSVLAPivot!$B$3,"Council",B31)</f>
        <v>801</v>
      </c>
      <c r="E31" s="996">
        <f>GETPIVOTDATA("Sum of Total HFSV",HFSVLAPivot!$B$3,"Council",B31)</f>
        <v>984</v>
      </c>
      <c r="F31" s="798">
        <f>GETPIVOTDATA("Sum of TotalNewAlarms",HFSVLAPivot!$B$3,"Council",B31)</f>
        <v>263</v>
      </c>
      <c r="G31" s="798">
        <f>GETPIVOTDATA("Sum of TotalReplacedAlarms",HFSVLAPivot!$B$3,"Council",B31)</f>
        <v>154</v>
      </c>
      <c r="H31" s="997">
        <f>GETPIVOTDATA("Sum of TotalAlarms",HFSVLAPivot!$B$3,"Council",B31)</f>
        <v>458</v>
      </c>
    </row>
    <row r="32" spans="1:8" x14ac:dyDescent="0.35">
      <c r="A32" t="s">
        <v>289</v>
      </c>
      <c r="B32" s="48" t="s">
        <v>290</v>
      </c>
      <c r="C32" s="798">
        <f>GETPIVOTDATA("Sum of HFSV - alarms installed",HFSVLAPivot!$B$3,"Council",B32)</f>
        <v>183</v>
      </c>
      <c r="D32" s="798">
        <f>GETPIVOTDATA("Sum of HFSV - advice only",HFSVLAPivot!$B$3,"Council",B32)</f>
        <v>1697</v>
      </c>
      <c r="E32" s="996">
        <f>GETPIVOTDATA("Sum of Total HFSV",HFSVLAPivot!$B$3,"Council",B32)</f>
        <v>1880</v>
      </c>
      <c r="F32" s="798">
        <f>GETPIVOTDATA("Sum of TotalNewAlarms",HFSVLAPivot!$B$3,"Council",B32)</f>
        <v>441</v>
      </c>
      <c r="G32" s="798">
        <f>GETPIVOTDATA("Sum of TotalReplacedAlarms",HFSVLAPivot!$B$3,"Council",B32)</f>
        <v>99</v>
      </c>
      <c r="H32" s="997">
        <f>GETPIVOTDATA("Sum of TotalAlarms",HFSVLAPivot!$B$3,"Council",B32)</f>
        <v>633</v>
      </c>
    </row>
    <row r="33" spans="1:9" x14ac:dyDescent="0.35">
      <c r="A33" t="s">
        <v>292</v>
      </c>
      <c r="B33" s="48" t="s">
        <v>293</v>
      </c>
      <c r="C33" s="798">
        <f>GETPIVOTDATA("Sum of HFSV - alarms installed",HFSVLAPivot!$B$3,"Council",B33)</f>
        <v>16</v>
      </c>
      <c r="D33" s="798">
        <f>GETPIVOTDATA("Sum of HFSV - advice only",HFSVLAPivot!$B$3,"Council",B33)</f>
        <v>166</v>
      </c>
      <c r="E33" s="996">
        <f>GETPIVOTDATA("Sum of Total HFSV",HFSVLAPivot!$B$3,"Council",B33)</f>
        <v>182</v>
      </c>
      <c r="F33" s="798">
        <f>GETPIVOTDATA("Sum of TotalNewAlarms",HFSVLAPivot!$B$3,"Council",B33)</f>
        <v>42</v>
      </c>
      <c r="G33" s="798">
        <f>GETPIVOTDATA("Sum of TotalReplacedAlarms",HFSVLAPivot!$B$3,"Council",B33)</f>
        <v>8</v>
      </c>
      <c r="H33" s="997">
        <f>GETPIVOTDATA("Sum of TotalAlarms",HFSVLAPivot!$B$3,"Council",B33)</f>
        <v>50</v>
      </c>
    </row>
    <row r="34" spans="1:9" x14ac:dyDescent="0.35">
      <c r="A34" t="s">
        <v>294</v>
      </c>
      <c r="B34" s="48" t="s">
        <v>295</v>
      </c>
      <c r="C34" s="798">
        <f>GETPIVOTDATA("Sum of HFSV - alarms installed",HFSVLAPivot!$B$3,"Council",B34)</f>
        <v>59</v>
      </c>
      <c r="D34" s="798">
        <f>GETPIVOTDATA("Sum of HFSV - advice only",HFSVLAPivot!$B$3,"Council",B34)</f>
        <v>543</v>
      </c>
      <c r="E34" s="996">
        <f>GETPIVOTDATA("Sum of Total HFSV",HFSVLAPivot!$B$3,"Council",B34)</f>
        <v>602</v>
      </c>
      <c r="F34" s="798">
        <f>GETPIVOTDATA("Sum of TotalNewAlarms",HFSVLAPivot!$B$3,"Council",B34)</f>
        <v>118</v>
      </c>
      <c r="G34" s="798">
        <f>GETPIVOTDATA("Sum of TotalReplacedAlarms",HFSVLAPivot!$B$3,"Council",B34)</f>
        <v>29</v>
      </c>
      <c r="H34" s="997">
        <f>GETPIVOTDATA("Sum of TotalAlarms",HFSVLAPivot!$B$3,"Council",B34)</f>
        <v>169</v>
      </c>
    </row>
    <row r="35" spans="1:9" x14ac:dyDescent="0.35">
      <c r="A35" t="s">
        <v>296</v>
      </c>
      <c r="B35" s="48" t="s">
        <v>297</v>
      </c>
      <c r="C35" s="798">
        <f>GETPIVOTDATA("Sum of HFSV - alarms installed",HFSVLAPivot!$B$3,"Council",B35)</f>
        <v>293</v>
      </c>
      <c r="D35" s="798">
        <f>GETPIVOTDATA("Sum of HFSV - advice only",HFSVLAPivot!$B$3,"Council",B35)</f>
        <v>807</v>
      </c>
      <c r="E35" s="996">
        <f>GETPIVOTDATA("Sum of Total HFSV",HFSVLAPivot!$B$3,"Council",B35)</f>
        <v>1100</v>
      </c>
      <c r="F35" s="798">
        <f>GETPIVOTDATA("Sum of TotalNewAlarms",HFSVLAPivot!$B$3,"Council",B35)</f>
        <v>512</v>
      </c>
      <c r="G35" s="798">
        <f>GETPIVOTDATA("Sum of TotalReplacedAlarms",HFSVLAPivot!$B$3,"Council",B35)</f>
        <v>150</v>
      </c>
      <c r="H35" s="997">
        <f>GETPIVOTDATA("Sum of TotalAlarms",HFSVLAPivot!$B$3,"Council",B35)</f>
        <v>706</v>
      </c>
    </row>
    <row r="36" spans="1:9" x14ac:dyDescent="0.35">
      <c r="A36" t="s">
        <v>298</v>
      </c>
      <c r="B36" s="48" t="s">
        <v>299</v>
      </c>
      <c r="C36" s="798">
        <f>GETPIVOTDATA("Sum of HFSV - alarms installed",HFSVLAPivot!$B$3,"Council",B36)</f>
        <v>123</v>
      </c>
      <c r="D36" s="798">
        <f>GETPIVOTDATA("Sum of HFSV - advice only",HFSVLAPivot!$B$3,"Council",B36)</f>
        <v>599</v>
      </c>
      <c r="E36" s="996">
        <f>GETPIVOTDATA("Sum of Total HFSV",HFSVLAPivot!$B$3,"Council",B36)</f>
        <v>722</v>
      </c>
      <c r="F36" s="798">
        <f>GETPIVOTDATA("Sum of TotalNewAlarms",HFSVLAPivot!$B$3,"Council",B36)</f>
        <v>184</v>
      </c>
      <c r="G36" s="798">
        <f>GETPIVOTDATA("Sum of TotalReplacedAlarms",HFSVLAPivot!$B$3,"Council",B36)</f>
        <v>95</v>
      </c>
      <c r="H36" s="997">
        <f>GETPIVOTDATA("Sum of TotalAlarms",HFSVLAPivot!$B$3,"Council",B36)</f>
        <v>334</v>
      </c>
    </row>
    <row r="37" spans="1:9" x14ac:dyDescent="0.35">
      <c r="A37" t="s">
        <v>300</v>
      </c>
      <c r="B37" s="48" t="s">
        <v>301</v>
      </c>
      <c r="C37" s="798">
        <f>GETPIVOTDATA("Sum of HFSV - alarms installed",HFSVLAPivot!$B$3,"Council",B37)</f>
        <v>21</v>
      </c>
      <c r="D37" s="798">
        <f>GETPIVOTDATA("Sum of HFSV - advice only",HFSVLAPivot!$B$3,"Council",B37)</f>
        <v>160</v>
      </c>
      <c r="E37" s="996">
        <f>GETPIVOTDATA("Sum of Total HFSV",HFSVLAPivot!$B$3,"Council",B37)</f>
        <v>181</v>
      </c>
      <c r="F37" s="798">
        <f>GETPIVOTDATA("Sum of TotalNewAlarms",HFSVLAPivot!$B$3,"Council",B37)</f>
        <v>42</v>
      </c>
      <c r="G37" s="798">
        <f>GETPIVOTDATA("Sum of TotalReplacedAlarms",HFSVLAPivot!$B$3,"Council",B37)</f>
        <v>30</v>
      </c>
      <c r="H37" s="997">
        <f>GETPIVOTDATA("Sum of TotalAlarms",HFSVLAPivot!$B$3,"Council",B37)</f>
        <v>73</v>
      </c>
    </row>
    <row r="38" spans="1:9" x14ac:dyDescent="0.35">
      <c r="A38" t="s">
        <v>302</v>
      </c>
      <c r="B38" s="48" t="s">
        <v>303</v>
      </c>
      <c r="C38" s="798">
        <f>GETPIVOTDATA("Sum of HFSV - alarms installed",HFSVLAPivot!$B$3,"Council",B38)</f>
        <v>77</v>
      </c>
      <c r="D38" s="798">
        <f>GETPIVOTDATA("Sum of HFSV - advice only",HFSVLAPivot!$B$3,"Council",B38)</f>
        <v>531</v>
      </c>
      <c r="E38" s="996">
        <f>GETPIVOTDATA("Sum of Total HFSV",HFSVLAPivot!$B$3,"Council",B38)</f>
        <v>608</v>
      </c>
      <c r="F38" s="798">
        <f>GETPIVOTDATA("Sum of TotalNewAlarms",HFSVLAPivot!$B$3,"Council",B38)</f>
        <v>147</v>
      </c>
      <c r="G38" s="798">
        <f>GETPIVOTDATA("Sum of TotalReplacedAlarms",HFSVLAPivot!$B$3,"Council",B38)</f>
        <v>47</v>
      </c>
      <c r="H38" s="997">
        <f>GETPIVOTDATA("Sum of TotalAlarms",HFSVLAPivot!$B$3,"Council",B38)</f>
        <v>215</v>
      </c>
    </row>
    <row r="39" spans="1:9" x14ac:dyDescent="0.35">
      <c r="A39" t="s">
        <v>304</v>
      </c>
      <c r="B39" s="48" t="s">
        <v>305</v>
      </c>
      <c r="C39" s="798">
        <f>GETPIVOTDATA("Sum of HFSV - alarms installed",HFSVLAPivot!$B$3,"Council",B39)</f>
        <v>270</v>
      </c>
      <c r="D39" s="798">
        <f>GETPIVOTDATA("Sum of HFSV - advice only",HFSVLAPivot!$B$3,"Council",B39)</f>
        <v>1707</v>
      </c>
      <c r="E39" s="996">
        <f>GETPIVOTDATA("Sum of Total HFSV",HFSVLAPivot!$B$3,"Council",B39)</f>
        <v>1977</v>
      </c>
      <c r="F39" s="798">
        <f>GETPIVOTDATA("Sum of TotalNewAlarms",HFSVLAPivot!$B$3,"Council",B39)</f>
        <v>574</v>
      </c>
      <c r="G39" s="798">
        <f>GETPIVOTDATA("Sum of TotalReplacedAlarms",HFSVLAPivot!$B$3,"Council",B39)</f>
        <v>162</v>
      </c>
      <c r="H39" s="997">
        <f>GETPIVOTDATA("Sum of TotalAlarms",HFSVLAPivot!$B$3,"Council",B39)</f>
        <v>859</v>
      </c>
    </row>
    <row r="40" spans="1:9" x14ac:dyDescent="0.35">
      <c r="A40" t="s">
        <v>307</v>
      </c>
      <c r="B40" s="48" t="s">
        <v>308</v>
      </c>
      <c r="C40" s="798">
        <f>GETPIVOTDATA("Sum of HFSV - alarms installed",HFSVLAPivot!$B$3,"Council",B40)</f>
        <v>86</v>
      </c>
      <c r="D40" s="798">
        <f>GETPIVOTDATA("Sum of HFSV - advice only",HFSVLAPivot!$B$3,"Council",B40)</f>
        <v>483</v>
      </c>
      <c r="E40" s="996">
        <f>GETPIVOTDATA("Sum of Total HFSV",HFSVLAPivot!$B$3,"Council",B40)</f>
        <v>569</v>
      </c>
      <c r="F40" s="798">
        <f>GETPIVOTDATA("Sum of TotalNewAlarms",HFSVLAPivot!$B$3,"Council",B40)</f>
        <v>172</v>
      </c>
      <c r="G40" s="798">
        <f>GETPIVOTDATA("Sum of TotalReplacedAlarms",HFSVLAPivot!$B$3,"Council",B40)</f>
        <v>50</v>
      </c>
      <c r="H40" s="997">
        <f>GETPIVOTDATA("Sum of TotalAlarms",HFSVLAPivot!$B$3,"Council",B40)</f>
        <v>232</v>
      </c>
    </row>
    <row r="41" spans="1:9" x14ac:dyDescent="0.35">
      <c r="A41" t="s">
        <v>309</v>
      </c>
      <c r="B41" s="48" t="s">
        <v>310</v>
      </c>
      <c r="C41" s="798">
        <f>GETPIVOTDATA("Sum of HFSV - alarms installed",HFSVLAPivot!$B$3,"Council",B41)</f>
        <v>104</v>
      </c>
      <c r="D41" s="798">
        <f>GETPIVOTDATA("Sum of HFSV - advice only",HFSVLAPivot!$B$3,"Council",B41)</f>
        <v>704</v>
      </c>
      <c r="E41" s="996">
        <f>GETPIVOTDATA("Sum of Total HFSV",HFSVLAPivot!$B$3,"Council",B41)</f>
        <v>808</v>
      </c>
      <c r="F41" s="798">
        <f>GETPIVOTDATA("Sum of TotalNewAlarms",HFSVLAPivot!$B$3,"Council",B41)</f>
        <v>218</v>
      </c>
      <c r="G41" s="798">
        <f>GETPIVOTDATA("Sum of TotalReplacedAlarms",HFSVLAPivot!$B$3,"Council",B41)</f>
        <v>95</v>
      </c>
      <c r="H41" s="997">
        <f>GETPIVOTDATA("Sum of TotalAlarms",HFSVLAPivot!$B$3,"Council",B41)</f>
        <v>330</v>
      </c>
    </row>
    <row r="42" spans="1:9" x14ac:dyDescent="0.35">
      <c r="A42" t="s">
        <v>311</v>
      </c>
      <c r="B42" s="48" t="s">
        <v>312</v>
      </c>
      <c r="C42" s="798">
        <f>GETPIVOTDATA("Sum of HFSV - alarms installed",HFSVLAPivot!$B$3,"Council",B42)</f>
        <v>182</v>
      </c>
      <c r="D42" s="798">
        <f>GETPIVOTDATA("Sum of HFSV - advice only",HFSVLAPivot!$B$3,"Council",B42)</f>
        <v>1004</v>
      </c>
      <c r="E42" s="998">
        <f>GETPIVOTDATA("Sum of Total HFSV",HFSVLAPivot!$B$3,"Council",B42)</f>
        <v>1186</v>
      </c>
      <c r="F42" s="798">
        <f>GETPIVOTDATA("Sum of TotalNewAlarms",HFSVLAPivot!$B$3,"Council",B42)</f>
        <v>468</v>
      </c>
      <c r="G42" s="798">
        <f>GETPIVOTDATA("Sum of TotalReplacedAlarms",HFSVLAPivot!$B$3,"Council",B42)</f>
        <v>133</v>
      </c>
      <c r="H42" s="999">
        <f>GETPIVOTDATA("Sum of TotalAlarms",HFSVLAPivot!$B$3,"Council",B42)</f>
        <v>607</v>
      </c>
    </row>
    <row r="43" spans="1:9" ht="18.75" customHeight="1" thickBot="1" x14ac:dyDescent="0.4">
      <c r="A43" s="33"/>
      <c r="B43" s="33" t="s">
        <v>348</v>
      </c>
      <c r="C43" s="701">
        <f>SUM(C11:C42)</f>
        <v>4241</v>
      </c>
      <c r="D43" s="701">
        <f>SUM(D11:D42)</f>
        <v>29848</v>
      </c>
      <c r="E43" s="1006">
        <f t="shared" ref="E43:H43" si="0">SUM(E11:E42)</f>
        <v>34089</v>
      </c>
      <c r="F43" s="701">
        <f t="shared" si="0"/>
        <v>7881</v>
      </c>
      <c r="G43" s="701">
        <f t="shared" si="0"/>
        <v>2913</v>
      </c>
      <c r="H43" s="1006">
        <f t="shared" si="0"/>
        <v>11728</v>
      </c>
    </row>
    <row r="44" spans="1:9" x14ac:dyDescent="0.35">
      <c r="B44" s="12"/>
      <c r="C44" s="47"/>
      <c r="D44" s="47"/>
      <c r="E44" s="62"/>
    </row>
    <row r="45" spans="1:9" x14ac:dyDescent="0.35">
      <c r="A45" s="312" t="s">
        <v>329</v>
      </c>
    </row>
    <row r="46" spans="1:9" ht="44.15" customHeight="1" x14ac:dyDescent="0.35">
      <c r="A46" s="1010" t="s">
        <v>1107</v>
      </c>
      <c r="B46" s="1010"/>
      <c r="C46" s="1010"/>
      <c r="D46" s="1010"/>
      <c r="E46" s="1010"/>
      <c r="F46" s="1010"/>
      <c r="G46" s="1010"/>
      <c r="H46" s="1010"/>
      <c r="I46" s="1010"/>
    </row>
    <row r="47" spans="1:9" s="460" customFormat="1" ht="46.5" customHeight="1" x14ac:dyDescent="0.35">
      <c r="A47" s="1010" t="s">
        <v>1298</v>
      </c>
      <c r="B47" s="1010"/>
      <c r="C47" s="1010"/>
      <c r="D47" s="1010"/>
      <c r="E47" s="1010"/>
      <c r="F47" s="1010"/>
      <c r="G47" s="1010"/>
      <c r="H47" s="1010"/>
      <c r="I47" s="1010"/>
    </row>
    <row r="48" spans="1:9" ht="44.5" customHeight="1" x14ac:dyDescent="0.35">
      <c r="A48" s="1014" t="s">
        <v>938</v>
      </c>
      <c r="B48" s="1014"/>
      <c r="C48" s="1014"/>
      <c r="D48" s="1014"/>
      <c r="E48" s="1014"/>
      <c r="F48" s="1014"/>
      <c r="G48" s="1014"/>
    </row>
  </sheetData>
  <sheetProtection algorithmName="SHA-512" hashValue="EjPk0SeB16ipMqiovsCSn/ovz04KhAdxEmH7FO1uc232OXrZ+E3fQ35kSCe5A6a9qfwY1Y2WNeeSFSdjnpSh2A==" saltValue="O7k4jaz+bJ3WafS7AihAIA==" spinCount="100000" sheet="1" scenarios="1" formatCells="0" sort="0" autoFilter="0" pivotTables="0"/>
  <mergeCells count="3">
    <mergeCell ref="A46:I46"/>
    <mergeCell ref="A47:I47"/>
    <mergeCell ref="A48:G48"/>
  </mergeCells>
  <hyperlinks>
    <hyperlink ref="A2" location="'Table of Contents'!A1" display="Back to Table of Contents" xr:uid="{00000000-0004-0000-8F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30">
    <tabColor theme="7" tint="-0.249977111117893"/>
  </sheetPr>
  <dimension ref="A1:I48"/>
  <sheetViews>
    <sheetView showGridLines="0" zoomScaleNormal="100" workbookViewId="0">
      <pane ySplit="2" topLeftCell="A3" activePane="bottomLeft" state="frozen"/>
      <selection pane="bottomLeft"/>
    </sheetView>
  </sheetViews>
  <sheetFormatPr defaultRowHeight="14.5" x14ac:dyDescent="0.35"/>
  <cols>
    <col min="1" max="1" width="17.26953125" customWidth="1"/>
    <col min="2" max="2" width="22.54296875" bestFit="1" customWidth="1"/>
    <col min="3" max="6" width="14.1796875" customWidth="1"/>
  </cols>
  <sheetData>
    <row r="1" spans="1:6" ht="29.5" customHeight="1" x14ac:dyDescent="0.35">
      <c r="A1" s="514" t="s">
        <v>928</v>
      </c>
    </row>
    <row r="2" spans="1:6" x14ac:dyDescent="0.35">
      <c r="A2" s="499" t="s">
        <v>201</v>
      </c>
    </row>
    <row r="4" spans="1:6" ht="15.5" x14ac:dyDescent="0.35">
      <c r="A4" s="439" t="s">
        <v>1108</v>
      </c>
      <c r="B4" s="500"/>
    </row>
    <row r="5" spans="1:6" x14ac:dyDescent="0.35">
      <c r="A5" t="s">
        <v>202</v>
      </c>
      <c r="B5" t="s">
        <v>162</v>
      </c>
    </row>
    <row r="6" spans="1:6" x14ac:dyDescent="0.35">
      <c r="A6" t="s">
        <v>203</v>
      </c>
      <c r="B6" t="s">
        <v>204</v>
      </c>
    </row>
    <row r="7" spans="1:6" x14ac:dyDescent="0.35">
      <c r="A7" t="s">
        <v>205</v>
      </c>
      <c r="B7" t="s">
        <v>930</v>
      </c>
    </row>
    <row r="9" spans="1:6" x14ac:dyDescent="0.35">
      <c r="A9" s="312" t="s">
        <v>207</v>
      </c>
      <c r="B9" s="312" t="str">
        <f>'HFSVs LA'!B9</f>
        <v>2024-25</v>
      </c>
    </row>
    <row r="10" spans="1:6" ht="15" customHeight="1" x14ac:dyDescent="0.35">
      <c r="B10" s="15"/>
      <c r="C10" s="300"/>
      <c r="D10" s="320" t="s">
        <v>92</v>
      </c>
      <c r="E10" s="1059" t="s">
        <v>1109</v>
      </c>
      <c r="F10" s="1059"/>
    </row>
    <row r="11" spans="1:6" ht="52.5" x14ac:dyDescent="0.35">
      <c r="A11" s="78" t="s">
        <v>208</v>
      </c>
      <c r="B11" s="78" t="s">
        <v>32</v>
      </c>
      <c r="C11" s="226" t="s">
        <v>942</v>
      </c>
      <c r="D11" s="226" t="s">
        <v>1110</v>
      </c>
      <c r="E11" s="531" t="s">
        <v>942</v>
      </c>
      <c r="F11" s="532" t="s">
        <v>941</v>
      </c>
    </row>
    <row r="12" spans="1:6" ht="20.25" customHeight="1" x14ac:dyDescent="0.35">
      <c r="A12" t="s">
        <v>215</v>
      </c>
      <c r="B12" s="48" t="s">
        <v>216</v>
      </c>
      <c r="C12" s="759">
        <f>IF(OR($B$9 = "2021-22", $B$9 = "2022-23"), "-", 'HFSVs LA'!C11/'HFSVs LA'!E11*100)</f>
        <v>7.8693392724573128</v>
      </c>
      <c r="D12" s="759">
        <f>IF(OR($B$9 = "2021-22", $B$9 = "2022-23"), "-", 'HFSVs LA'!D11/'HFSVs LA'!E11*100)</f>
        <v>92.13066072754269</v>
      </c>
      <c r="E12" s="726">
        <f>IFERROR(IF(OR($B$9 = "2021-22", $B$9 = "2022-23"), "-",'HFSVs LA'!H11/'HFSVs LA'!C11), "-")</f>
        <v>3.0188679245283021</v>
      </c>
      <c r="F12" s="727">
        <f>IF(OR($B$9 = "2021-22", $B$9 = "2022-23"), "-", 'HFSVs LA'!H11/'HFSVs LA'!E11)</f>
        <v>0.23756495916852263</v>
      </c>
    </row>
    <row r="13" spans="1:6" x14ac:dyDescent="0.35">
      <c r="A13" t="s">
        <v>220</v>
      </c>
      <c r="B13" s="48" t="s">
        <v>221</v>
      </c>
      <c r="C13" s="759">
        <f>IF(OR($B$9 = "2021-22", $B$9 = "2022-23"), "-", 'HFSVs LA'!C12/'HFSVs LA'!E12*100)</f>
        <v>8.5945399393326607</v>
      </c>
      <c r="D13" s="759">
        <f>IF(OR($B$9 = "2021-22", $B$9 = "2022-23"), "-", 'HFSVs LA'!D12/'HFSVs LA'!E12*100)</f>
        <v>91.405460060667338</v>
      </c>
      <c r="E13" s="726">
        <f>IFERROR(IF(OR($B$9 = "2021-22", $B$9 = "2022-23"), "-",'HFSVs LA'!H12/'HFSVs LA'!C12), "-")</f>
        <v>2.9058823529411764</v>
      </c>
      <c r="F13" s="727">
        <f>IF(OR($B$9 = "2021-22", $B$9 = "2022-23"), "-", 'HFSVs LA'!H12/'HFSVs LA'!E12)</f>
        <v>0.24974721941354905</v>
      </c>
    </row>
    <row r="14" spans="1:6" x14ac:dyDescent="0.35">
      <c r="A14" t="s">
        <v>224</v>
      </c>
      <c r="B14" s="48" t="s">
        <v>225</v>
      </c>
      <c r="C14" s="759">
        <f>IF(OR($B$9 = "2021-22", $B$9 = "2022-23"), "-", 'HFSVs LA'!C13/'HFSVs LA'!E13*100)</f>
        <v>11.911357340720222</v>
      </c>
      <c r="D14" s="759">
        <f>IF(OR($B$9 = "2021-22", $B$9 = "2022-23"), "-", 'HFSVs LA'!D13/'HFSVs LA'!E13*100)</f>
        <v>88.088642659279785</v>
      </c>
      <c r="E14" s="726">
        <f>IFERROR(IF(OR($B$9 = "2021-22", $B$9 = "2022-23"), "-",'HFSVs LA'!H13/'HFSVs LA'!C13), "-")</f>
        <v>2.6511627906976742</v>
      </c>
      <c r="F14" s="727">
        <f>IF(OR($B$9 = "2021-22", $B$9 = "2022-23"), "-", 'HFSVs LA'!H13/'HFSVs LA'!E13)</f>
        <v>0.31578947368421051</v>
      </c>
    </row>
    <row r="15" spans="1:6" x14ac:dyDescent="0.35">
      <c r="A15" t="s">
        <v>228</v>
      </c>
      <c r="B15" s="48" t="s">
        <v>229</v>
      </c>
      <c r="C15" s="759">
        <f>IF(OR($B$9 = "2021-22", $B$9 = "2022-23"), "-", 'HFSVs LA'!C14/'HFSVs LA'!E14*100)</f>
        <v>11.182108626198083</v>
      </c>
      <c r="D15" s="759">
        <f>IF(OR($B$9 = "2021-22", $B$9 = "2022-23"), "-", 'HFSVs LA'!D14/'HFSVs LA'!E14*100)</f>
        <v>88.817891373801913</v>
      </c>
      <c r="E15" s="726">
        <f>IFERROR(IF(OR($B$9 = "2021-22", $B$9 = "2022-23"), "-",'HFSVs LA'!H14/'HFSVs LA'!C14), "-")</f>
        <v>3.2</v>
      </c>
      <c r="F15" s="727">
        <f>IF(OR($B$9 = "2021-22", $B$9 = "2022-23"), "-", 'HFSVs LA'!H14/'HFSVs LA'!E14)</f>
        <v>0.35782747603833864</v>
      </c>
    </row>
    <row r="16" spans="1:6" x14ac:dyDescent="0.35">
      <c r="A16" t="s">
        <v>234</v>
      </c>
      <c r="B16" s="48" t="s">
        <v>235</v>
      </c>
      <c r="C16" s="759">
        <f>IF(OR($B$9 = "2021-22", $B$9 = "2022-23"), "-", 'HFSVs LA'!C15/'HFSVs LA'!E15*100)</f>
        <v>7.5555555555555554</v>
      </c>
      <c r="D16" s="759">
        <f>IF(OR($B$9 = "2021-22", $B$9 = "2022-23"), "-", 'HFSVs LA'!D15/'HFSVs LA'!E15*100)</f>
        <v>92.444444444444443</v>
      </c>
      <c r="E16" s="726">
        <f>IFERROR(IF(OR($B$9 = "2021-22", $B$9 = "2022-23"), "-",'HFSVs LA'!H15/'HFSVs LA'!C15), "-")</f>
        <v>2.3137254901960786</v>
      </c>
      <c r="F16" s="727">
        <f>IF(OR($B$9 = "2021-22", $B$9 = "2022-23"), "-", 'HFSVs LA'!H15/'HFSVs LA'!E15)</f>
        <v>0.17481481481481481</v>
      </c>
    </row>
    <row r="17" spans="1:6" x14ac:dyDescent="0.35">
      <c r="A17" t="s">
        <v>240</v>
      </c>
      <c r="B17" s="48" t="s">
        <v>241</v>
      </c>
      <c r="C17" s="759">
        <f>IF(OR($B$9 = "2021-22", $B$9 = "2022-23"), "-", 'HFSVs LA'!C16/'HFSVs LA'!E16*100)</f>
        <v>8.0332409972299157</v>
      </c>
      <c r="D17" s="759">
        <f>IF(OR($B$9 = "2021-22", $B$9 = "2022-23"), "-", 'HFSVs LA'!D16/'HFSVs LA'!E16*100)</f>
        <v>91.966759002770075</v>
      </c>
      <c r="E17" s="726">
        <f>IFERROR(IF(OR($B$9 = "2021-22", $B$9 = "2022-23"), "-",'HFSVs LA'!H16/'HFSVs LA'!C16), "-")</f>
        <v>1.896551724137931</v>
      </c>
      <c r="F17" s="727">
        <f>IF(OR($B$9 = "2021-22", $B$9 = "2022-23"), "-", 'HFSVs LA'!H16/'HFSVs LA'!E16)</f>
        <v>0.1523545706371191</v>
      </c>
    </row>
    <row r="18" spans="1:6" x14ac:dyDescent="0.35">
      <c r="A18" t="s">
        <v>244</v>
      </c>
      <c r="B18" s="48" t="s">
        <v>245</v>
      </c>
      <c r="C18" s="759">
        <f>IF(OR($B$9 = "2021-22", $B$9 = "2022-23"), "-", 'HFSVs LA'!C17/'HFSVs LA'!E17*100)</f>
        <v>19.845644983461963</v>
      </c>
      <c r="D18" s="759">
        <f>IF(OR($B$9 = "2021-22", $B$9 = "2022-23"), "-", 'HFSVs LA'!D17/'HFSVs LA'!E17*100)</f>
        <v>80.154355016538034</v>
      </c>
      <c r="E18" s="726">
        <f>IFERROR(IF(OR($B$9 = "2021-22", $B$9 = "2022-23"), "-",'HFSVs LA'!H17/'HFSVs LA'!C17), "-")</f>
        <v>3</v>
      </c>
      <c r="F18" s="727">
        <f>IF(OR($B$9 = "2021-22", $B$9 = "2022-23"), "-", 'HFSVs LA'!H17/'HFSVs LA'!E17)</f>
        <v>0.59536934950385889</v>
      </c>
    </row>
    <row r="19" spans="1:6" x14ac:dyDescent="0.35">
      <c r="A19" t="s">
        <v>247</v>
      </c>
      <c r="B19" s="48" t="s">
        <v>248</v>
      </c>
      <c r="C19" s="759">
        <f>IF(OR($B$9 = "2021-22", $B$9 = "2022-23"), "-", 'HFSVs LA'!C18/'HFSVs LA'!E18*100)</f>
        <v>7.5671277461350686</v>
      </c>
      <c r="D19" s="759">
        <f>IF(OR($B$9 = "2021-22", $B$9 = "2022-23"), "-", 'HFSVs LA'!D18/'HFSVs LA'!E18*100)</f>
        <v>92.432872253864929</v>
      </c>
      <c r="E19" s="726">
        <f>IFERROR(IF(OR($B$9 = "2021-22", $B$9 = "2022-23"), "-",'HFSVs LA'!H18/'HFSVs LA'!C18), "-")</f>
        <v>2.849462365591398</v>
      </c>
      <c r="F19" s="727">
        <f>IF(OR($B$9 = "2021-22", $B$9 = "2022-23"), "-", 'HFSVs LA'!H18/'HFSVs LA'!E18)</f>
        <v>0.21562245728234336</v>
      </c>
    </row>
    <row r="20" spans="1:6" x14ac:dyDescent="0.35">
      <c r="A20" t="s">
        <v>249</v>
      </c>
      <c r="B20" s="48" t="s">
        <v>250</v>
      </c>
      <c r="C20" s="759">
        <f>IF(OR($B$9 = "2021-22", $B$9 = "2022-23"), "-", 'HFSVs LA'!C19/'HFSVs LA'!E19*100)</f>
        <v>17.622080679405521</v>
      </c>
      <c r="D20" s="759">
        <f>IF(OR($B$9 = "2021-22", $B$9 = "2022-23"), "-", 'HFSVs LA'!D19/'HFSVs LA'!E19*100)</f>
        <v>82.377919320594486</v>
      </c>
      <c r="E20" s="726">
        <f>IFERROR(IF(OR($B$9 = "2021-22", $B$9 = "2022-23"), "-",'HFSVs LA'!H19/'HFSVs LA'!C19), "-")</f>
        <v>2.5421686746987953</v>
      </c>
      <c r="F20" s="727">
        <f>IF(OR($B$9 = "2021-22", $B$9 = "2022-23"), "-", 'HFSVs LA'!H19/'HFSVs LA'!E19)</f>
        <v>0.44798301486199577</v>
      </c>
    </row>
    <row r="21" spans="1:6" x14ac:dyDescent="0.35">
      <c r="A21" t="s">
        <v>253</v>
      </c>
      <c r="B21" s="48" t="s">
        <v>254</v>
      </c>
      <c r="C21" s="759">
        <f>IF(OR($B$9 = "2021-22", $B$9 = "2022-23"), "-", 'HFSVs LA'!C20/'HFSVs LA'!E20*100)</f>
        <v>14.107365792759053</v>
      </c>
      <c r="D21" s="759">
        <f>IF(OR($B$9 = "2021-22", $B$9 = "2022-23"), "-", 'HFSVs LA'!D20/'HFSVs LA'!E20*100)</f>
        <v>85.892634207240945</v>
      </c>
      <c r="E21" s="726">
        <f>IFERROR(IF(OR($B$9 = "2021-22", $B$9 = "2022-23"), "-",'HFSVs LA'!H20/'HFSVs LA'!C20), "-")</f>
        <v>2.8053097345132745</v>
      </c>
      <c r="F21" s="727">
        <f>IF(OR($B$9 = "2021-22", $B$9 = "2022-23"), "-", 'HFSVs LA'!H20/'HFSVs LA'!E20)</f>
        <v>0.39575530586766544</v>
      </c>
    </row>
    <row r="22" spans="1:6" x14ac:dyDescent="0.35">
      <c r="A22" t="s">
        <v>255</v>
      </c>
      <c r="B22" s="48" t="s">
        <v>256</v>
      </c>
      <c r="C22" s="759">
        <f>IF(OR($B$9 = "2021-22", $B$9 = "2022-23"), "-", 'HFSVs LA'!C21/'HFSVs LA'!E21*100)</f>
        <v>10.947368421052632</v>
      </c>
      <c r="D22" s="759">
        <f>IF(OR($B$9 = "2021-22", $B$9 = "2022-23"), "-", 'HFSVs LA'!D21/'HFSVs LA'!E21*100)</f>
        <v>89.05263157894737</v>
      </c>
      <c r="E22" s="726">
        <f>IFERROR(IF(OR($B$9 = "2021-22", $B$9 = "2022-23"), "-",'HFSVs LA'!H21/'HFSVs LA'!C21), "-")</f>
        <v>2.6538461538461537</v>
      </c>
      <c r="F22" s="727">
        <f>IF(OR($B$9 = "2021-22", $B$9 = "2022-23"), "-", 'HFSVs LA'!H21/'HFSVs LA'!E21)</f>
        <v>0.29052631578947369</v>
      </c>
    </row>
    <row r="23" spans="1:6" x14ac:dyDescent="0.35">
      <c r="A23" t="s">
        <v>259</v>
      </c>
      <c r="B23" s="48" t="s">
        <v>260</v>
      </c>
      <c r="C23" s="759">
        <f>IF(OR($B$9 = "2021-22", $B$9 = "2022-23"), "-", 'HFSVs LA'!C22/'HFSVs LA'!E22*100)</f>
        <v>17.851739788199698</v>
      </c>
      <c r="D23" s="759">
        <f>IF(OR($B$9 = "2021-22", $B$9 = "2022-23"), "-", 'HFSVs LA'!D22/'HFSVs LA'!E22*100)</f>
        <v>82.148260211800306</v>
      </c>
      <c r="E23" s="726">
        <f>IFERROR(IF(OR($B$9 = "2021-22", $B$9 = "2022-23"), "-",'HFSVs LA'!H22/'HFSVs LA'!C22), "-")</f>
        <v>2.4915254237288136</v>
      </c>
      <c r="F23" s="727">
        <f>IF(OR($B$9 = "2021-22", $B$9 = "2022-23"), "-", 'HFSVs LA'!H22/'HFSVs LA'!E22)</f>
        <v>0.44478063540090773</v>
      </c>
    </row>
    <row r="24" spans="1:6" x14ac:dyDescent="0.35">
      <c r="A24" t="s">
        <v>263</v>
      </c>
      <c r="B24" s="48" t="s">
        <v>264</v>
      </c>
      <c r="C24" s="759">
        <f>IF(OR($B$9 = "2021-22", $B$9 = "2022-23"), "-", 'HFSVs LA'!C23/'HFSVs LA'!E23*100)</f>
        <v>15.303176130895091</v>
      </c>
      <c r="D24" s="759">
        <f>IF(OR($B$9 = "2021-22", $B$9 = "2022-23"), "-", 'HFSVs LA'!D23/'HFSVs LA'!E23*100)</f>
        <v>84.696823869104904</v>
      </c>
      <c r="E24" s="726">
        <f>IFERROR(IF(OR($B$9 = "2021-22", $B$9 = "2022-23"), "-",'HFSVs LA'!H23/'HFSVs LA'!C23), "-")</f>
        <v>2.949685534591195</v>
      </c>
      <c r="F24" s="727">
        <f>IF(OR($B$9 = "2021-22", $B$9 = "2022-23"), "-", 'HFSVs LA'!H23/'HFSVs LA'!E23)</f>
        <v>0.45139557266602504</v>
      </c>
    </row>
    <row r="25" spans="1:6" x14ac:dyDescent="0.35">
      <c r="A25" t="s">
        <v>1101</v>
      </c>
      <c r="B25" s="48" t="s">
        <v>268</v>
      </c>
      <c r="C25" s="759">
        <f>IF(OR($B$9 = "2021-22", $B$9 = "2022-23"), "-", 'HFSVs LA'!C24/'HFSVs LA'!E24*100)</f>
        <v>16.288252714708786</v>
      </c>
      <c r="D25" s="759">
        <f>IF(OR($B$9 = "2021-22", $B$9 = "2022-23"), "-", 'HFSVs LA'!D24/'HFSVs LA'!E24*100)</f>
        <v>83.71174728529121</v>
      </c>
      <c r="E25" s="726">
        <f>IFERROR(IF(OR($B$9 = "2021-22", $B$9 = "2022-23"), "-",'HFSVs LA'!H24/'HFSVs LA'!C24), "-")</f>
        <v>2.4939393939393941</v>
      </c>
      <c r="F25" s="727">
        <f>IF(OR($B$9 = "2021-22", $B$9 = "2022-23"), "-", 'HFSVs LA'!H24/'HFSVs LA'!E24)</f>
        <v>0.40621915103652517</v>
      </c>
    </row>
    <row r="26" spans="1:6" x14ac:dyDescent="0.35">
      <c r="A26" t="s">
        <v>270</v>
      </c>
      <c r="B26" s="48" t="s">
        <v>271</v>
      </c>
      <c r="C26" s="759">
        <f>IF(OR($B$9 = "2021-22", $B$9 = "2022-23"), "-", 'HFSVs LA'!C25/'HFSVs LA'!E25*100)</f>
        <v>9.8272552783109415</v>
      </c>
      <c r="D26" s="759">
        <f>IF(OR($B$9 = "2021-22", $B$9 = "2022-23"), "-", 'HFSVs LA'!D25/'HFSVs LA'!E25*100)</f>
        <v>90.172744721689057</v>
      </c>
      <c r="E26" s="726">
        <f>IFERROR(IF(OR($B$9 = "2021-22", $B$9 = "2022-23"), "-",'HFSVs LA'!H25/'HFSVs LA'!C25), "-")</f>
        <v>2.623046875</v>
      </c>
      <c r="F26" s="727">
        <f>IF(OR($B$9 = "2021-22", $B$9 = "2022-23"), "-", 'HFSVs LA'!H25/'HFSVs LA'!E25)</f>
        <v>0.25777351247600766</v>
      </c>
    </row>
    <row r="27" spans="1:6" x14ac:dyDescent="0.35">
      <c r="A27" t="s">
        <v>273</v>
      </c>
      <c r="B27" s="48" t="s">
        <v>274</v>
      </c>
      <c r="C27" s="759">
        <f>IF(OR($B$9 = "2021-22", $B$9 = "2022-23"), "-", 'HFSVs LA'!C26/'HFSVs LA'!E26*100)</f>
        <v>5.3051911009697656</v>
      </c>
      <c r="D27" s="759">
        <f>IF(OR($B$9 = "2021-22", $B$9 = "2022-23"), "-", 'HFSVs LA'!D26/'HFSVs LA'!E26*100)</f>
        <v>94.694808899030235</v>
      </c>
      <c r="E27" s="726">
        <f>IFERROR(IF(OR($B$9 = "2021-22", $B$9 = "2022-23"), "-",'HFSVs LA'!H26/'HFSVs LA'!C26), "-")</f>
        <v>2.903225806451613</v>
      </c>
      <c r="F27" s="727">
        <f>IF(OR($B$9 = "2021-22", $B$9 = "2022-23"), "-", 'HFSVs LA'!H26/'HFSVs LA'!E26)</f>
        <v>0.1540216771249287</v>
      </c>
    </row>
    <row r="28" spans="1:6" x14ac:dyDescent="0.35">
      <c r="A28" t="s">
        <v>277</v>
      </c>
      <c r="B28" s="48" t="s">
        <v>278</v>
      </c>
      <c r="C28" s="759">
        <f>IF(OR($B$9 = "2021-22", $B$9 = "2022-23"), "-", 'HFSVs LA'!C27/'HFSVs LA'!E27*100)</f>
        <v>28.918322295805737</v>
      </c>
      <c r="D28" s="759">
        <f>IF(OR($B$9 = "2021-22", $B$9 = "2022-23"), "-", 'HFSVs LA'!D27/'HFSVs LA'!E27*100)</f>
        <v>71.081677704194263</v>
      </c>
      <c r="E28" s="726">
        <f>IFERROR(IF(OR($B$9 = "2021-22", $B$9 = "2022-23"), "-",'HFSVs LA'!H27/'HFSVs LA'!C27), "-")</f>
        <v>2.4122137404580153</v>
      </c>
      <c r="F28" s="727">
        <f>IF(OR($B$9 = "2021-22", $B$9 = "2022-23"), "-", 'HFSVs LA'!H27/'HFSVs LA'!E27)</f>
        <v>0.69757174392935983</v>
      </c>
    </row>
    <row r="29" spans="1:6" x14ac:dyDescent="0.35">
      <c r="A29" t="s">
        <v>279</v>
      </c>
      <c r="B29" s="48" t="s">
        <v>280</v>
      </c>
      <c r="C29" s="759">
        <f>IF(OR($B$9 = "2021-22", $B$9 = "2022-23"), "-", 'HFSVs LA'!C28/'HFSVs LA'!E28*100)</f>
        <v>15.012722646310433</v>
      </c>
      <c r="D29" s="759">
        <f>IF(OR($B$9 = "2021-22", $B$9 = "2022-23"), "-", 'HFSVs LA'!D28/'HFSVs LA'!E28*100)</f>
        <v>84.987277353689578</v>
      </c>
      <c r="E29" s="726">
        <f>IFERROR(IF(OR($B$9 = "2021-22", $B$9 = "2022-23"), "-",'HFSVs LA'!H28/'HFSVs LA'!C28), "-")</f>
        <v>2.9152542372881354</v>
      </c>
      <c r="F29" s="727">
        <f>IF(OR($B$9 = "2021-22", $B$9 = "2022-23"), "-", 'HFSVs LA'!H28/'HFSVs LA'!E28)</f>
        <v>0.43765903307888043</v>
      </c>
    </row>
    <row r="30" spans="1:6" x14ac:dyDescent="0.35">
      <c r="A30" t="s">
        <v>281</v>
      </c>
      <c r="B30" s="48" t="s">
        <v>282</v>
      </c>
      <c r="C30" s="759">
        <f>IF(OR($B$9 = "2021-22", $B$9 = "2022-23"), "-", 'HFSVs LA'!C29/'HFSVs LA'!E29*100)</f>
        <v>8.7272727272727284</v>
      </c>
      <c r="D30" s="759">
        <f>IF(OR($B$9 = "2021-22", $B$9 = "2022-23"), "-", 'HFSVs LA'!D29/'HFSVs LA'!E29*100)</f>
        <v>91.272727272727266</v>
      </c>
      <c r="E30" s="726">
        <f>IFERROR(IF(OR($B$9 = "2021-22", $B$9 = "2022-23"), "-",'HFSVs LA'!H29/'HFSVs LA'!C29), "-")</f>
        <v>2.5833333333333335</v>
      </c>
      <c r="F30" s="727">
        <f>IF(OR($B$9 = "2021-22", $B$9 = "2022-23"), "-", 'HFSVs LA'!H29/'HFSVs LA'!E29)</f>
        <v>0.22545454545454546</v>
      </c>
    </row>
    <row r="31" spans="1:6" x14ac:dyDescent="0.35">
      <c r="A31" t="s">
        <v>283</v>
      </c>
      <c r="B31" s="48" t="s">
        <v>284</v>
      </c>
      <c r="C31" s="759">
        <f>IF(OR($B$9 = "2021-22", $B$9 = "2022-23"), "-", 'HFSVs LA'!C30/'HFSVs LA'!E30*100)</f>
        <v>9.433962264150944</v>
      </c>
      <c r="D31" s="759">
        <f>IF(OR($B$9 = "2021-22", $B$9 = "2022-23"), "-", 'HFSVs LA'!D30/'HFSVs LA'!E30*100)</f>
        <v>90.566037735849065</v>
      </c>
      <c r="E31" s="726">
        <f>IFERROR(IF(OR($B$9 = "2021-22", $B$9 = "2022-23"), "-",'HFSVs LA'!H30/'HFSVs LA'!C30), "-")</f>
        <v>2.2999999999999998</v>
      </c>
      <c r="F31" s="727">
        <f>IF(OR($B$9 = "2021-22", $B$9 = "2022-23"), "-", 'HFSVs LA'!H30/'HFSVs LA'!E30)</f>
        <v>0.21698113207547171</v>
      </c>
    </row>
    <row r="32" spans="1:6" x14ac:dyDescent="0.35">
      <c r="A32" t="s">
        <v>287</v>
      </c>
      <c r="B32" s="48" t="s">
        <v>288</v>
      </c>
      <c r="C32" s="759">
        <f>IF(OR($B$9 = "2021-22", $B$9 = "2022-23"), "-", 'HFSVs LA'!C31/'HFSVs LA'!E31*100)</f>
        <v>18.597560975609756</v>
      </c>
      <c r="D32" s="759">
        <f>IF(OR($B$9 = "2021-22", $B$9 = "2022-23"), "-", 'HFSVs LA'!D31/'HFSVs LA'!E31*100)</f>
        <v>81.402439024390233</v>
      </c>
      <c r="E32" s="726">
        <f>IFERROR(IF(OR($B$9 = "2021-22", $B$9 = "2022-23"), "-",'HFSVs LA'!H31/'HFSVs LA'!C31), "-")</f>
        <v>2.5027322404371586</v>
      </c>
      <c r="F32" s="727">
        <f>IF(OR($B$9 = "2021-22", $B$9 = "2022-23"), "-", 'HFSVs LA'!H31/'HFSVs LA'!E31)</f>
        <v>0.46544715447154472</v>
      </c>
    </row>
    <row r="33" spans="1:9" x14ac:dyDescent="0.35">
      <c r="A33" t="s">
        <v>289</v>
      </c>
      <c r="B33" s="48" t="s">
        <v>290</v>
      </c>
      <c r="C33" s="759">
        <f>IF(OR($B$9 = "2021-22", $B$9 = "2022-23"), "-", 'HFSVs LA'!C32/'HFSVs LA'!E32*100)</f>
        <v>9.7340425531914896</v>
      </c>
      <c r="D33" s="759">
        <f>IF(OR($B$9 = "2021-22", $B$9 = "2022-23"), "-", 'HFSVs LA'!D32/'HFSVs LA'!E32*100)</f>
        <v>90.265957446808514</v>
      </c>
      <c r="E33" s="726">
        <f>IFERROR(IF(OR($B$9 = "2021-22", $B$9 = "2022-23"), "-",'HFSVs LA'!H32/'HFSVs LA'!C32), "-")</f>
        <v>3.459016393442623</v>
      </c>
      <c r="F33" s="727">
        <f>IF(OR($B$9 = "2021-22", $B$9 = "2022-23"), "-", 'HFSVs LA'!H32/'HFSVs LA'!E32)</f>
        <v>0.33670212765957447</v>
      </c>
    </row>
    <row r="34" spans="1:9" x14ac:dyDescent="0.35">
      <c r="A34" t="s">
        <v>292</v>
      </c>
      <c r="B34" s="48" t="s">
        <v>293</v>
      </c>
      <c r="C34" s="759">
        <f>IF(OR($B$9 = "2021-22", $B$9 = "2022-23"), "-", 'HFSVs LA'!C33/'HFSVs LA'!E33*100)</f>
        <v>8.791208791208792</v>
      </c>
      <c r="D34" s="759">
        <f>IF(OR($B$9 = "2021-22", $B$9 = "2022-23"), "-", 'HFSVs LA'!D33/'HFSVs LA'!E33*100)</f>
        <v>91.208791208791212</v>
      </c>
      <c r="E34" s="726">
        <f>IFERROR(IF(OR($B$9 = "2021-22", $B$9 = "2022-23"), "-",'HFSVs LA'!H33/'HFSVs LA'!C33), "-")</f>
        <v>3.125</v>
      </c>
      <c r="F34" s="727">
        <f>IF(OR($B$9 = "2021-22", $B$9 = "2022-23"), "-", 'HFSVs LA'!H33/'HFSVs LA'!E33)</f>
        <v>0.27472527472527475</v>
      </c>
    </row>
    <row r="35" spans="1:9" x14ac:dyDescent="0.35">
      <c r="A35" t="s">
        <v>294</v>
      </c>
      <c r="B35" s="48" t="s">
        <v>295</v>
      </c>
      <c r="C35" s="759">
        <f>IF(OR($B$9 = "2021-22", $B$9 = "2022-23"), "-", 'HFSVs LA'!C34/'HFSVs LA'!E34*100)</f>
        <v>9.8006644518272434</v>
      </c>
      <c r="D35" s="759">
        <f>IF(OR($B$9 = "2021-22", $B$9 = "2022-23"), "-", 'HFSVs LA'!D34/'HFSVs LA'!E34*100)</f>
        <v>90.199335548172755</v>
      </c>
      <c r="E35" s="726">
        <f>IFERROR(IF(OR($B$9 = "2021-22", $B$9 = "2022-23"), "-",'HFSVs LA'!H34/'HFSVs LA'!C34), "-")</f>
        <v>2.8644067796610169</v>
      </c>
      <c r="F35" s="727">
        <f>IF(OR($B$9 = "2021-22", $B$9 = "2022-23"), "-", 'HFSVs LA'!H34/'HFSVs LA'!E34)</f>
        <v>0.28073089700996678</v>
      </c>
    </row>
    <row r="36" spans="1:9" x14ac:dyDescent="0.35">
      <c r="A36" t="s">
        <v>296</v>
      </c>
      <c r="B36" s="48" t="s">
        <v>297</v>
      </c>
      <c r="C36" s="759">
        <f>IF(OR($B$9 = "2021-22", $B$9 = "2022-23"), "-", 'HFSVs LA'!C35/'HFSVs LA'!E35*100)</f>
        <v>26.636363636363637</v>
      </c>
      <c r="D36" s="759">
        <f>IF(OR($B$9 = "2021-22", $B$9 = "2022-23"), "-", 'HFSVs LA'!D35/'HFSVs LA'!E35*100)</f>
        <v>73.36363636363636</v>
      </c>
      <c r="E36" s="726">
        <f>IFERROR(IF(OR($B$9 = "2021-22", $B$9 = "2022-23"), "-",'HFSVs LA'!H35/'HFSVs LA'!C35), "-")</f>
        <v>2.4095563139931739</v>
      </c>
      <c r="F36" s="727">
        <f>IF(OR($B$9 = "2021-22", $B$9 = "2022-23"), "-", 'HFSVs LA'!H35/'HFSVs LA'!E35)</f>
        <v>0.64181818181818184</v>
      </c>
    </row>
    <row r="37" spans="1:9" x14ac:dyDescent="0.35">
      <c r="A37" t="s">
        <v>298</v>
      </c>
      <c r="B37" s="48" t="s">
        <v>299</v>
      </c>
      <c r="C37" s="759">
        <f>IF(OR($B$9 = "2021-22", $B$9 = "2022-23"), "-", 'HFSVs LA'!C36/'HFSVs LA'!E36*100)</f>
        <v>17.036011080332411</v>
      </c>
      <c r="D37" s="759">
        <f>IF(OR($B$9 = "2021-22", $B$9 = "2022-23"), "-", 'HFSVs LA'!D36/'HFSVs LA'!E36*100)</f>
        <v>82.963988919667585</v>
      </c>
      <c r="E37" s="726">
        <f>IFERROR(IF(OR($B$9 = "2021-22", $B$9 = "2022-23"), "-",'HFSVs LA'!H36/'HFSVs LA'!C36), "-")</f>
        <v>2.7154471544715446</v>
      </c>
      <c r="F37" s="727">
        <f>IF(OR($B$9 = "2021-22", $B$9 = "2022-23"), "-", 'HFSVs LA'!H36/'HFSVs LA'!E36)</f>
        <v>0.46260387811634351</v>
      </c>
    </row>
    <row r="38" spans="1:9" x14ac:dyDescent="0.35">
      <c r="A38" t="s">
        <v>300</v>
      </c>
      <c r="B38" s="48" t="s">
        <v>301</v>
      </c>
      <c r="C38" s="759">
        <f>IF(OR($B$9 = "2021-22", $B$9 = "2022-23"), "-", 'HFSVs LA'!C37/'HFSVs LA'!E37*100)</f>
        <v>11.602209944751381</v>
      </c>
      <c r="D38" s="759">
        <f>IF(OR($B$9 = "2021-22", $B$9 = "2022-23"), "-", 'HFSVs LA'!D37/'HFSVs LA'!E37*100)</f>
        <v>88.39779005524862</v>
      </c>
      <c r="E38" s="726">
        <f>IFERROR(IF(OR($B$9 = "2021-22", $B$9 = "2022-23"), "-",'HFSVs LA'!H37/'HFSVs LA'!C37), "-")</f>
        <v>3.4761904761904763</v>
      </c>
      <c r="F38" s="727">
        <f>IF(OR($B$9 = "2021-22", $B$9 = "2022-23"), "-", 'HFSVs LA'!H37/'HFSVs LA'!E37)</f>
        <v>0.40331491712707185</v>
      </c>
    </row>
    <row r="39" spans="1:9" x14ac:dyDescent="0.35">
      <c r="A39" t="s">
        <v>302</v>
      </c>
      <c r="B39" s="48" t="s">
        <v>303</v>
      </c>
      <c r="C39" s="759">
        <f>IF(OR($B$9 = "2021-22", $B$9 = "2022-23"), "-", 'HFSVs LA'!C38/'HFSVs LA'!E38*100)</f>
        <v>12.664473684210526</v>
      </c>
      <c r="D39" s="759">
        <f>IF(OR($B$9 = "2021-22", $B$9 = "2022-23"), "-", 'HFSVs LA'!D38/'HFSVs LA'!E38*100)</f>
        <v>87.335526315789465</v>
      </c>
      <c r="E39" s="726">
        <f>IFERROR(IF(OR($B$9 = "2021-22", $B$9 = "2022-23"), "-",'HFSVs LA'!H38/'HFSVs LA'!C38), "-")</f>
        <v>2.7922077922077921</v>
      </c>
      <c r="F39" s="727">
        <f>IF(OR($B$9 = "2021-22", $B$9 = "2022-23"), "-", 'HFSVs LA'!H38/'HFSVs LA'!E38)</f>
        <v>0.35361842105263158</v>
      </c>
    </row>
    <row r="40" spans="1:9" x14ac:dyDescent="0.35">
      <c r="A40" t="s">
        <v>304</v>
      </c>
      <c r="B40" s="48" t="s">
        <v>305</v>
      </c>
      <c r="C40" s="759">
        <f>IF(OR($B$9 = "2021-22", $B$9 = "2022-23"), "-", 'HFSVs LA'!C39/'HFSVs LA'!E39*100)</f>
        <v>13.657056145675265</v>
      </c>
      <c r="D40" s="759">
        <f>IF(OR($B$9 = "2021-22", $B$9 = "2022-23"), "-", 'HFSVs LA'!D39/'HFSVs LA'!E39*100)</f>
        <v>86.342943854324744</v>
      </c>
      <c r="E40" s="726">
        <f>IFERROR(IF(OR($B$9 = "2021-22", $B$9 = "2022-23"), "-",'HFSVs LA'!H39/'HFSVs LA'!C39), "-")</f>
        <v>3.1814814814814816</v>
      </c>
      <c r="F40" s="727">
        <f>IF(OR($B$9 = "2021-22", $B$9 = "2022-23"), "-", 'HFSVs LA'!H39/'HFSVs LA'!E39)</f>
        <v>0.43449671219018715</v>
      </c>
    </row>
    <row r="41" spans="1:9" x14ac:dyDescent="0.35">
      <c r="A41" t="s">
        <v>307</v>
      </c>
      <c r="B41" s="48" t="s">
        <v>308</v>
      </c>
      <c r="C41" s="759">
        <f>IF(OR($B$9 = "2021-22", $B$9 = "2022-23"), "-", 'HFSVs LA'!C40/'HFSVs LA'!E40*100)</f>
        <v>15.114235500878733</v>
      </c>
      <c r="D41" s="759">
        <f>IF(OR($B$9 = "2021-22", $B$9 = "2022-23"), "-", 'HFSVs LA'!D40/'HFSVs LA'!E40*100)</f>
        <v>84.885764499121265</v>
      </c>
      <c r="E41" s="726">
        <f>IFERROR(IF(OR($B$9 = "2021-22", $B$9 = "2022-23"), "-",'HFSVs LA'!H40/'HFSVs LA'!C40), "-")</f>
        <v>2.6976744186046511</v>
      </c>
      <c r="F41" s="727">
        <f>IF(OR($B$9 = "2021-22", $B$9 = "2022-23"), "-", 'HFSVs LA'!H40/'HFSVs LA'!E40)</f>
        <v>0.40773286467486819</v>
      </c>
    </row>
    <row r="42" spans="1:9" x14ac:dyDescent="0.35">
      <c r="A42" t="s">
        <v>309</v>
      </c>
      <c r="B42" s="48" t="s">
        <v>310</v>
      </c>
      <c r="C42" s="759">
        <f>IF(OR($B$9 = "2021-22", $B$9 = "2022-23"), "-", 'HFSVs LA'!C41/'HFSVs LA'!E41*100)</f>
        <v>12.871287128712872</v>
      </c>
      <c r="D42" s="759">
        <f>IF(OR($B$9 = "2021-22", $B$9 = "2022-23"), "-", 'HFSVs LA'!D41/'HFSVs LA'!E41*100)</f>
        <v>87.128712871287135</v>
      </c>
      <c r="E42" s="726">
        <f>IFERROR(IF(OR($B$9 = "2021-22", $B$9 = "2022-23"), "-",'HFSVs LA'!H41/'HFSVs LA'!C41), "-")</f>
        <v>3.1730769230769229</v>
      </c>
      <c r="F42" s="727">
        <f>IF(OR($B$9 = "2021-22", $B$9 = "2022-23"), "-", 'HFSVs LA'!H41/'HFSVs LA'!E41)</f>
        <v>0.40841584158415839</v>
      </c>
    </row>
    <row r="43" spans="1:9" x14ac:dyDescent="0.35">
      <c r="A43" t="s">
        <v>311</v>
      </c>
      <c r="B43" s="48" t="s">
        <v>312</v>
      </c>
      <c r="C43" s="759">
        <f>IF(OR($B$9 = "2021-22", $B$9 = "2022-23"), "-", 'HFSVs LA'!C42/'HFSVs LA'!E42*100)</f>
        <v>15.345699831365936</v>
      </c>
      <c r="D43" s="759">
        <f>IF(OR($B$9 = "2021-22", $B$9 = "2022-23"), "-", 'HFSVs LA'!D42/'HFSVs LA'!E42*100)</f>
        <v>84.654300168634066</v>
      </c>
      <c r="E43" s="728">
        <f>IFERROR(IF(OR($B$9 = "2021-22", $B$9 = "2022-23"), "-",'HFSVs LA'!H42/'HFSVs LA'!C42), "-")</f>
        <v>3.3351648351648353</v>
      </c>
      <c r="F43" s="727">
        <f>IF(OR($B$9 = "2021-22", $B$9 = "2022-23"), "-", 'HFSVs LA'!H42/'HFSVs LA'!E42)</f>
        <v>0.51180438448566612</v>
      </c>
    </row>
    <row r="44" spans="1:9" ht="20.25" customHeight="1" thickBot="1" x14ac:dyDescent="0.4">
      <c r="A44" s="33"/>
      <c r="B44" s="33" t="s">
        <v>348</v>
      </c>
      <c r="C44" s="904">
        <f>IF(OR($B$9 = "2021-22", $B$9 = "2022-23"), "-", 'HFSVs LA'!C43/'HFSVs LA'!E43*100)</f>
        <v>12.440963360614861</v>
      </c>
      <c r="D44" s="905">
        <f>IF(OR($B$9 = "2021-22", $B$9 = "2022-23"), "-", 100-C44)</f>
        <v>87.559036639385141</v>
      </c>
      <c r="E44" s="906">
        <f>IFERROR(IF(OR($B$9 = "2021-22", $B$9 = "2022-23"), "-",'HFSVs LA'!H43/'HFSVs LA'!C43), "-")</f>
        <v>2.7653855222824806</v>
      </c>
      <c r="F44" s="907">
        <f>IF(OR($B$9 = "2021-22", $B$9 = "2022-23"), "-", 'HFSVs LA'!H43/'HFSVs LA'!E43)</f>
        <v>0.3440405996069113</v>
      </c>
    </row>
    <row r="45" spans="1:9" x14ac:dyDescent="0.35">
      <c r="B45" s="12"/>
      <c r="C45" s="276"/>
      <c r="D45" s="276"/>
      <c r="E45" s="229"/>
      <c r="F45" s="15"/>
    </row>
    <row r="46" spans="1:9" x14ac:dyDescent="0.35">
      <c r="A46" s="312" t="s">
        <v>329</v>
      </c>
      <c r="B46" s="336"/>
    </row>
    <row r="47" spans="1:9" ht="45" customHeight="1" x14ac:dyDescent="0.35">
      <c r="A47" s="1010" t="s">
        <v>1107</v>
      </c>
      <c r="B47" s="1010"/>
      <c r="C47" s="1010"/>
      <c r="D47" s="1010"/>
      <c r="E47" s="1010"/>
      <c r="F47" s="1010"/>
      <c r="G47" s="1010"/>
      <c r="H47" s="1010"/>
      <c r="I47" s="1010"/>
    </row>
    <row r="48" spans="1:9" ht="45.65" customHeight="1" x14ac:dyDescent="0.35">
      <c r="A48" s="1010" t="s">
        <v>1298</v>
      </c>
      <c r="B48" s="1010"/>
      <c r="C48" s="1010"/>
      <c r="D48" s="1010"/>
      <c r="E48" s="1010"/>
      <c r="F48" s="1010"/>
      <c r="G48" s="1010"/>
      <c r="H48" s="1010"/>
      <c r="I48" s="1010"/>
    </row>
  </sheetData>
  <sheetProtection algorithmName="SHA-512" hashValue="T/RXh5BBwFmjzS5CBE66ED/NQ0rdSb7A29DkFimEgEWnejebVuc4FGrSMexet6qPPgzrPQfDOCoLb/imz9PQ4A==" saltValue="JG9vX4RdJ91UW5w8dIl61Q==" spinCount="100000" sheet="1" scenarios="1" formatCells="0" sort="0" autoFilter="0" pivotTables="0"/>
  <mergeCells count="3">
    <mergeCell ref="E10:F10"/>
    <mergeCell ref="A47:I47"/>
    <mergeCell ref="A48:I48"/>
  </mergeCells>
  <hyperlinks>
    <hyperlink ref="A2" location="'Table of Contents'!A1" display="Back to Table of Contents" xr:uid="{00000000-0004-0000-91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31">
    <tabColor theme="7" tint="-0.249977111117893"/>
    <pageSetUpPr fitToPage="1"/>
  </sheetPr>
  <dimension ref="A1:K50"/>
  <sheetViews>
    <sheetView showGridLines="0" zoomScaleNormal="100" workbookViewId="0">
      <pane ySplit="2" topLeftCell="A3" activePane="bottomLeft" state="frozen"/>
      <selection pane="bottomLeft"/>
    </sheetView>
  </sheetViews>
  <sheetFormatPr defaultRowHeight="14.5" x14ac:dyDescent="0.35"/>
  <cols>
    <col min="1" max="1" width="19.54296875" customWidth="1"/>
    <col min="2" max="2" width="22.26953125" customWidth="1"/>
    <col min="3" max="3" width="13" customWidth="1"/>
    <col min="4" max="6" width="11" customWidth="1"/>
    <col min="7" max="7" width="14.1796875" customWidth="1"/>
  </cols>
  <sheetData>
    <row r="1" spans="1:7" ht="35.15" customHeight="1" x14ac:dyDescent="0.35">
      <c r="A1" s="514" t="s">
        <v>928</v>
      </c>
    </row>
    <row r="2" spans="1:7" x14ac:dyDescent="0.35">
      <c r="A2" s="499" t="s">
        <v>201</v>
      </c>
    </row>
    <row r="3" spans="1:7" x14ac:dyDescent="0.35">
      <c r="A3" s="25"/>
    </row>
    <row r="4" spans="1:7" ht="15.5" x14ac:dyDescent="0.35">
      <c r="A4" s="439" t="s">
        <v>1111</v>
      </c>
      <c r="B4" s="500"/>
    </row>
    <row r="5" spans="1:7" x14ac:dyDescent="0.35">
      <c r="A5" t="s">
        <v>202</v>
      </c>
      <c r="B5" t="s">
        <v>164</v>
      </c>
    </row>
    <row r="6" spans="1:7" x14ac:dyDescent="0.35">
      <c r="A6" t="s">
        <v>203</v>
      </c>
      <c r="B6" t="s">
        <v>204</v>
      </c>
    </row>
    <row r="7" spans="1:7" x14ac:dyDescent="0.35">
      <c r="A7" t="s">
        <v>205</v>
      </c>
      <c r="B7" t="s">
        <v>930</v>
      </c>
    </row>
    <row r="9" spans="1:7" x14ac:dyDescent="0.35">
      <c r="A9" s="312" t="s">
        <v>207</v>
      </c>
      <c r="B9" s="312" t="str">
        <f>'HFSVs LA'!$B$9</f>
        <v>2024-25</v>
      </c>
    </row>
    <row r="10" spans="1:7" x14ac:dyDescent="0.35">
      <c r="B10" s="15"/>
      <c r="C10" s="227"/>
      <c r="D10" s="227"/>
      <c r="E10" s="228" t="s">
        <v>1112</v>
      </c>
      <c r="F10" s="228"/>
      <c r="G10" s="536" t="s">
        <v>346</v>
      </c>
    </row>
    <row r="11" spans="1:7" ht="39.5" x14ac:dyDescent="0.35">
      <c r="A11" s="78" t="s">
        <v>208</v>
      </c>
      <c r="B11" s="36" t="s">
        <v>32</v>
      </c>
      <c r="C11" s="216" t="s">
        <v>1113</v>
      </c>
      <c r="D11" s="170" t="s">
        <v>933</v>
      </c>
      <c r="E11" s="530" t="s">
        <v>1114</v>
      </c>
      <c r="F11" s="538" t="s">
        <v>1115</v>
      </c>
      <c r="G11" s="537" t="s">
        <v>926</v>
      </c>
    </row>
    <row r="12" spans="1:7" ht="21" customHeight="1" x14ac:dyDescent="0.35">
      <c r="A12" t="s">
        <v>215</v>
      </c>
      <c r="B12" s="45" t="s">
        <v>216</v>
      </c>
      <c r="C12" s="760">
        <f>IF(OR($B$9 = "2021-22", $B$9 = "2022-23"), "-", GETPIVOTDATA("Sum of HFSV - alarms installed",HFSVLAPivot!$B$3,"Council",B12)/GETPIVOTDATA("Sum of Households",HFSVLAPivot!$B$3,"Council",B12)*100)</f>
        <v>9.4317131592057929E-2</v>
      </c>
      <c r="D12" s="760">
        <f>IF(OR($B$9 = "2021-22", $B$9 = "2022-23"), "-", GETPIVOTDATA("Sum of HFSV - advice only",HFSVLAPivot!$B$3,"Council",B12)/GETPIVOTDATA("Sum of Households",HFSVLAPivot!$B$3,"Council",B12)*100)</f>
        <v>1.1042222670353197</v>
      </c>
      <c r="E12" s="761">
        <f>IF(OR($B$9 = "2021-22", $B$9 = "2022-23"), "-", GETPIVOTDATA("Sum of Total HFSV",HFSVLAPivot!$B$3,"Council",B12)/GETPIVOTDATA("Sum of Households",HFSVLAPivot!$B$3,"Council",B12)*100)</f>
        <v>1.1985393986273776</v>
      </c>
      <c r="F12" s="761">
        <f>IF(OR($B$9 = "2021-22", $B$9 = "2022-23"), "-", GETPIVOTDATA("Sum of TotalAlarms",HFSVLAPivot!$B$3,"Council",B12)/GETPIVOTDATA("Sum of Households",HFSVLAPivot!$B$3,"Council",B12)*100)</f>
        <v>0.28473096329677866</v>
      </c>
      <c r="G12" s="600">
        <f>GETPIVOTDATA("Sum of Households",HFSVLAPivot!$B$3,"Council",B12)</f>
        <v>112386.7935874821</v>
      </c>
    </row>
    <row r="13" spans="1:7" x14ac:dyDescent="0.35">
      <c r="A13" t="s">
        <v>220</v>
      </c>
      <c r="B13" s="48" t="s">
        <v>221</v>
      </c>
      <c r="C13" s="762">
        <f>IF(OR($B$9 = "2021-22", $B$9 = "2022-23"), "-", GETPIVOTDATA("Sum of HFSV - alarms installed",HFSVLAPivot!$B$3,"Council",B13)/GETPIVOTDATA("Sum of Households",HFSVLAPivot!$B$3,"Council",B13)*100)</f>
        <v>7.2390365260484951E-2</v>
      </c>
      <c r="D13" s="762">
        <f>IF(OR($B$9 = "2021-22", $B$9 = "2022-23"), "-", GETPIVOTDATA("Sum of HFSV - advice only",HFSVLAPivot!$B$3,"Council",B13)/GETPIVOTDATA("Sum of Households",HFSVLAPivot!$B$3,"Council",B13)*100)</f>
        <v>0.76989282582915763</v>
      </c>
      <c r="E13" s="763">
        <f>IF(OR($B$9 = "2021-22", $B$9 = "2022-23"), "-", GETPIVOTDATA("Sum of Total HFSV",HFSVLAPivot!$B$3,"Council",B13)/GETPIVOTDATA("Sum of Households",HFSVLAPivot!$B$3,"Council",B13)*100)</f>
        <v>0.84228319108964267</v>
      </c>
      <c r="F13" s="763">
        <f>IF(OR($B$9 = "2021-22", $B$9 = "2022-23"), "-", GETPIVOTDATA("Sum of TotalAlarms",HFSVLAPivot!$B$3,"Council",B13)/GETPIVOTDATA("Sum of Households",HFSVLAPivot!$B$3,"Council",B13)*100)</f>
        <v>0.21035788493340923</v>
      </c>
      <c r="G13" s="947">
        <f>GETPIVOTDATA("Sum of Households",HFSVLAPivot!$B$3,"Council",B13)</f>
        <v>117418.94062026255</v>
      </c>
    </row>
    <row r="14" spans="1:7" x14ac:dyDescent="0.35">
      <c r="A14" t="s">
        <v>224</v>
      </c>
      <c r="B14" s="48" t="s">
        <v>225</v>
      </c>
      <c r="C14" s="762">
        <f>IF(OR($B$9 = "2021-22", $B$9 = "2022-23"), "-", GETPIVOTDATA("Sum of HFSV - alarms installed",HFSVLAPivot!$B$3,"Council",B14)/GETPIVOTDATA("Sum of Households",HFSVLAPivot!$B$3,"Council",B14)*100)</f>
        <v>0.1563704235139971</v>
      </c>
      <c r="D14" s="762">
        <f>IF(OR($B$9 = "2021-22", $B$9 = "2022-23"), "-", GETPIVOTDATA("Sum of HFSV - advice only",HFSVLAPivot!$B$3,"Council",B14)/GETPIVOTDATA("Sum of Households",HFSVLAPivot!$B$3,"Council",B14)*100)</f>
        <v>1.1564138297081648</v>
      </c>
      <c r="E14" s="763">
        <f>IF(OR($B$9 = "2021-22", $B$9 = "2022-23"), "-", GETPIVOTDATA("Sum of Total HFSV",HFSVLAPivot!$B$3,"Council",B14)/GETPIVOTDATA("Sum of Households",HFSVLAPivot!$B$3,"Council",B14)*100)</f>
        <v>1.3127842532221619</v>
      </c>
      <c r="F14" s="763">
        <f>IF(OR($B$9 = "2021-22", $B$9 = "2022-23"), "-", GETPIVOTDATA("Sum of TotalAlarms",HFSVLAPivot!$B$3,"Council",B14)/GETPIVOTDATA("Sum of Households",HFSVLAPivot!$B$3,"Council",B14)*100)</f>
        <v>0.41456344838594583</v>
      </c>
      <c r="G14" s="947">
        <f>GETPIVOTDATA("Sum of Households",HFSVLAPivot!$B$3,"Council",B14)</f>
        <v>54997.612762941659</v>
      </c>
    </row>
    <row r="15" spans="1:7" x14ac:dyDescent="0.35">
      <c r="A15" t="s">
        <v>228</v>
      </c>
      <c r="B15" s="48" t="s">
        <v>229</v>
      </c>
      <c r="C15" s="762">
        <f>IF(OR($B$9 = "2021-22", $B$9 = "2022-23"), "-", GETPIVOTDATA("Sum of HFSV - alarms installed",HFSVLAPivot!$B$3,"Council",B15)/GETPIVOTDATA("Sum of Households",HFSVLAPivot!$B$3,"Council",B15)*100)</f>
        <v>0.16343235626859179</v>
      </c>
      <c r="D15" s="762">
        <f>IF(OR($B$9 = "2021-22", $B$9 = "2022-23"), "-", GETPIVOTDATA("Sum of HFSV - advice only",HFSVLAPivot!$B$3,"Council",B15)/GETPIVOTDATA("Sum of Households",HFSVLAPivot!$B$3,"Council",B15)*100)</f>
        <v>1.2981198583619575</v>
      </c>
      <c r="E15" s="763">
        <f>IF(OR($B$9 = "2021-22", $B$9 = "2022-23"), "-", GETPIVOTDATA("Sum of Total HFSV",HFSVLAPivot!$B$3,"Council",B15)/GETPIVOTDATA("Sum of Households",HFSVLAPivot!$B$3,"Council",B15)*100)</f>
        <v>1.4615522146305495</v>
      </c>
      <c r="F15" s="763">
        <f>IF(OR($B$9 = "2021-22", $B$9 = "2022-23"), "-", GETPIVOTDATA("Sum of TotalAlarms",HFSVLAPivot!$B$3,"Council",B15)/GETPIVOTDATA("Sum of Households",HFSVLAPivot!$B$3,"Council",B15)*100)</f>
        <v>0.52298354005949366</v>
      </c>
      <c r="G15" s="947">
        <f>GETPIVOTDATA("Sum of Households",HFSVLAPivot!$B$3,"Council",B15)</f>
        <v>42831.175905558739</v>
      </c>
    </row>
    <row r="16" spans="1:7" x14ac:dyDescent="0.35">
      <c r="A16" t="s">
        <v>234</v>
      </c>
      <c r="B16" s="48" t="s">
        <v>235</v>
      </c>
      <c r="C16" s="762">
        <f>IF(OR($B$9 = "2021-22", $B$9 = "2022-23"), "-", GETPIVOTDATA("Sum of HFSV - alarms installed",HFSVLAPivot!$B$3,"Council",B16)/GETPIVOTDATA("Sum of Households",HFSVLAPivot!$B$3,"Council",B16)*100)</f>
        <v>8.3336237722591966E-2</v>
      </c>
      <c r="D16" s="762">
        <f>IF(OR($B$9 = "2021-22", $B$9 = "2022-23"), "-", GETPIVOTDATA("Sum of HFSV - advice only",HFSVLAPivot!$B$3,"Council",B16)/GETPIVOTDATA("Sum of Households",HFSVLAPivot!$B$3,"Council",B16)*100)</f>
        <v>1.0196433791940662</v>
      </c>
      <c r="E16" s="763">
        <f>IF(OR($B$9 = "2021-22", $B$9 = "2022-23"), "-", GETPIVOTDATA("Sum of Total HFSV",HFSVLAPivot!$B$3,"Council",B16)/GETPIVOTDATA("Sum of Households",HFSVLAPivot!$B$3,"Council",B16)*100)</f>
        <v>1.1029796169166581</v>
      </c>
      <c r="F16" s="763">
        <f>IF(OR($B$9 = "2021-22", $B$9 = "2022-23"), "-", GETPIVOTDATA("Sum of TotalAlarms",HFSVLAPivot!$B$3,"Council",B16)/GETPIVOTDATA("Sum of Households",HFSVLAPivot!$B$3,"Council",B16)*100)</f>
        <v>0.19281717747580099</v>
      </c>
      <c r="G16" s="947">
        <f>GETPIVOTDATA("Sum of Households",HFSVLAPivot!$B$3,"Council",B16)</f>
        <v>244791.4683634642</v>
      </c>
    </row>
    <row r="17" spans="1:7" x14ac:dyDescent="0.35">
      <c r="A17" t="s">
        <v>240</v>
      </c>
      <c r="B17" s="48" t="s">
        <v>241</v>
      </c>
      <c r="C17" s="762">
        <f>IF(OR($B$9 = "2021-22", $B$9 = "2022-23"), "-", GETPIVOTDATA("Sum of HFSV - alarms installed",HFSVLAPivot!$B$3,"Council",B17)/GETPIVOTDATA("Sum of Households",HFSVLAPivot!$B$3,"Council",B17)*100)</f>
        <v>0.11866961653428106</v>
      </c>
      <c r="D17" s="762">
        <f>IF(OR($B$9 = "2021-22", $B$9 = "2022-23"), "-", GETPIVOTDATA("Sum of HFSV - advice only",HFSVLAPivot!$B$3,"Council",B17)/GETPIVOTDATA("Sum of Households",HFSVLAPivot!$B$3,"Council",B17)*100)</f>
        <v>1.3585625065303899</v>
      </c>
      <c r="E17" s="763">
        <f>IF(OR($B$9 = "2021-22", $B$9 = "2022-23"), "-", GETPIVOTDATA("Sum of Total HFSV",HFSVLAPivot!$B$3,"Council",B17)/GETPIVOTDATA("Sum of Households",HFSVLAPivot!$B$3,"Council",B17)*100)</f>
        <v>1.477232123064671</v>
      </c>
      <c r="F17" s="763">
        <f>IF(OR($B$9 = "2021-22", $B$9 = "2022-23"), "-", GETPIVOTDATA("Sum of TotalAlarms",HFSVLAPivot!$B$3,"Council",B17)/GETPIVOTDATA("Sum of Households",HFSVLAPivot!$B$3,"Council",B17)*100)</f>
        <v>0.22506306584087785</v>
      </c>
      <c r="G17" s="947">
        <f>GETPIVOTDATA("Sum of Households",HFSVLAPivot!$B$3,"Council",B17)</f>
        <v>24437.594766831102</v>
      </c>
    </row>
    <row r="18" spans="1:7" x14ac:dyDescent="0.35">
      <c r="A18" t="s">
        <v>244</v>
      </c>
      <c r="B18" s="48" t="s">
        <v>245</v>
      </c>
      <c r="C18" s="762">
        <f>IF(OR($B$9 = "2021-22", $B$9 = "2022-23"), "-", GETPIVOTDATA("Sum of HFSV - alarms installed",HFSVLAPivot!$B$3,"Council",B18)/GETPIVOTDATA("Sum of Households",HFSVLAPivot!$B$3,"Council",B18)*100)</f>
        <v>0.25362180546702723</v>
      </c>
      <c r="D18" s="762">
        <f>IF(OR($B$9 = "2021-22", $B$9 = "2022-23"), "-", GETPIVOTDATA("Sum of HFSV - advice only",HFSVLAPivot!$B$3,"Council",B18)/GETPIVOTDATA("Sum of Households",HFSVLAPivot!$B$3,"Council",B18)*100)</f>
        <v>1.0243502920807155</v>
      </c>
      <c r="E18" s="763">
        <f>IF(OR($B$9 = "2021-22", $B$9 = "2022-23"), "-", GETPIVOTDATA("Sum of Total HFSV",HFSVLAPivot!$B$3,"Council",B18)/GETPIVOTDATA("Sum of Households",HFSVLAPivot!$B$3,"Council",B18)*100)</f>
        <v>1.2779720975477427</v>
      </c>
      <c r="F18" s="763">
        <f>IF(OR($B$9 = "2021-22", $B$9 = "2022-23"), "-", GETPIVOTDATA("Sum of TotalAlarms",HFSVLAPivot!$B$3,"Council",B18)/GETPIVOTDATA("Sum of Households",HFSVLAPivot!$B$3,"Council",B18)*100)</f>
        <v>0.76086541640108163</v>
      </c>
      <c r="G18" s="947">
        <f>GETPIVOTDATA("Sum of Households",HFSVLAPivot!$B$3,"Council",B18)</f>
        <v>70971.815561576936</v>
      </c>
    </row>
    <row r="19" spans="1:7" x14ac:dyDescent="0.35">
      <c r="A19" t="s">
        <v>247</v>
      </c>
      <c r="B19" s="48" t="s">
        <v>248</v>
      </c>
      <c r="C19" s="762">
        <f>IF(OR($B$9 = "2021-22", $B$9 = "2022-23"), "-", GETPIVOTDATA("Sum of HFSV - alarms installed",HFSVLAPivot!$B$3,"Council",B19)/GETPIVOTDATA("Sum of Households",HFSVLAPivot!$B$3,"Council",B19)*100)</f>
        <v>0.13080579822445418</v>
      </c>
      <c r="D19" s="762">
        <f>IF(OR($B$9 = "2021-22", $B$9 = "2022-23"), "-", GETPIVOTDATA("Sum of HFSV - advice only",HFSVLAPivot!$B$3,"Council",B19)/GETPIVOTDATA("Sum of Households",HFSVLAPivot!$B$3,"Council",B19)*100)</f>
        <v>1.5977998578815049</v>
      </c>
      <c r="E19" s="763">
        <f>IF(OR($B$9 = "2021-22", $B$9 = "2022-23"), "-", GETPIVOTDATA("Sum of Total HFSV",HFSVLAPivot!$B$3,"Council",B19)/GETPIVOTDATA("Sum of Households",HFSVLAPivot!$B$3,"Council",B19)*100)</f>
        <v>1.7286056561059588</v>
      </c>
      <c r="F19" s="763">
        <f>IF(OR($B$9 = "2021-22", $B$9 = "2022-23"), "-", GETPIVOTDATA("Sum of TotalAlarms",HFSVLAPivot!$B$3,"Council",B19)/GETPIVOTDATA("Sum of Households",HFSVLAPivot!$B$3,"Council",B19)*100)</f>
        <v>0.37272619924172423</v>
      </c>
      <c r="G19" s="947">
        <f>GETPIVOTDATA("Sum of Households",HFSVLAPivot!$B$3,"Council",B19)</f>
        <v>71097.765743088923</v>
      </c>
    </row>
    <row r="20" spans="1:7" x14ac:dyDescent="0.35">
      <c r="A20" t="s">
        <v>249</v>
      </c>
      <c r="B20" s="48" t="s">
        <v>250</v>
      </c>
      <c r="C20" s="762">
        <f>IF(OR($B$9 = "2021-22", $B$9 = "2022-23"), "-", GETPIVOTDATA("Sum of HFSV - alarms installed",HFSVLAPivot!$B$3,"Council",B20)/GETPIVOTDATA("Sum of Households",HFSVLAPivot!$B$3,"Council",B20)*100)</f>
        <v>0.29557538065732347</v>
      </c>
      <c r="D20" s="762">
        <f>IF(OR($B$9 = "2021-22", $B$9 = "2022-23"), "-", GETPIVOTDATA("Sum of HFSV - advice only",HFSVLAPivot!$B$3,"Council",B20)/GETPIVOTDATA("Sum of Households",HFSVLAPivot!$B$3,"Council",B20)*100)</f>
        <v>1.3817258758438735</v>
      </c>
      <c r="E20" s="763">
        <f>IF(OR($B$9 = "2021-22", $B$9 = "2022-23"), "-", GETPIVOTDATA("Sum of Total HFSV",HFSVLAPivot!$B$3,"Council",B20)/GETPIVOTDATA("Sum of Households",HFSVLAPivot!$B$3,"Council",B20)*100)</f>
        <v>1.6773012565011969</v>
      </c>
      <c r="F20" s="763">
        <f>IF(OR($B$9 = "2021-22", $B$9 = "2022-23"), "-", GETPIVOTDATA("Sum of TotalAlarms",HFSVLAPivot!$B$3,"Council",B20)/GETPIVOTDATA("Sum of Households",HFSVLAPivot!$B$3,"Council",B20)*100)</f>
        <v>0.75140247371921987</v>
      </c>
      <c r="G20" s="947">
        <f>GETPIVOTDATA("Sum of Households",HFSVLAPivot!$B$3,"Council",B20)</f>
        <v>56161.646355943558</v>
      </c>
    </row>
    <row r="21" spans="1:7" x14ac:dyDescent="0.35">
      <c r="A21" t="s">
        <v>253</v>
      </c>
      <c r="B21" s="48" t="s">
        <v>254</v>
      </c>
      <c r="C21" s="762">
        <f>IF(OR($B$9 = "2021-22", $B$9 = "2022-23"), "-", GETPIVOTDATA("Sum of HFSV - alarms installed",HFSVLAPivot!$B$3,"Council",B21)/GETPIVOTDATA("Sum of Households",HFSVLAPivot!$B$3,"Council",B21)*100)</f>
        <v>0.24174842791973525</v>
      </c>
      <c r="D21" s="762">
        <f>IF(OR($B$9 = "2021-22", $B$9 = "2022-23"), "-", GETPIVOTDATA("Sum of HFSV - advice only",HFSVLAPivot!$B$3,"Council",B21)/GETPIVOTDATA("Sum of Households",HFSVLAPivot!$B$3,"Council",B21)*100)</f>
        <v>1.4718842337059985</v>
      </c>
      <c r="E21" s="763">
        <f>IF(OR($B$9 = "2021-22", $B$9 = "2022-23"), "-", GETPIVOTDATA("Sum of Total HFSV",HFSVLAPivot!$B$3,"Council",B21)/GETPIVOTDATA("Sum of Households",HFSVLAPivot!$B$3,"Council",B21)*100)</f>
        <v>1.7136326616257338</v>
      </c>
      <c r="F21" s="763">
        <f>IF(OR($B$9 = "2021-22", $B$9 = "2022-23"), "-", GETPIVOTDATA("Sum of TotalAlarms",HFSVLAPivot!$B$3,"Council",B21)/GETPIVOTDATA("Sum of Households",HFSVLAPivot!$B$3,"Council",B21)*100)</f>
        <v>0.67817921814651394</v>
      </c>
      <c r="G21" s="947">
        <f>GETPIVOTDATA("Sum of Households",HFSVLAPivot!$B$3,"Council",B21)</f>
        <v>46742.806549922221</v>
      </c>
    </row>
    <row r="22" spans="1:7" x14ac:dyDescent="0.35">
      <c r="A22" t="s">
        <v>255</v>
      </c>
      <c r="B22" s="48" t="s">
        <v>256</v>
      </c>
      <c r="C22" s="762">
        <f>IF(OR($B$9 = "2021-22", $B$9 = "2022-23"), "-", GETPIVOTDATA("Sum of HFSV - alarms installed",HFSVLAPivot!$B$3,"Council",B22)/GETPIVOTDATA("Sum of Households",HFSVLAPivot!$B$3,"Council",B22)*100)</f>
        <v>0.10284376235605251</v>
      </c>
      <c r="D22" s="762">
        <f>IF(OR($B$9 = "2021-22", $B$9 = "2022-23"), "-", GETPIVOTDATA("Sum of HFSV - advice only",HFSVLAPivot!$B$3,"Council",B22)/GETPIVOTDATA("Sum of Households",HFSVLAPivot!$B$3,"Council",B22)*100)</f>
        <v>0.83659445147327327</v>
      </c>
      <c r="E22" s="763">
        <f>IF(OR($B$9 = "2021-22", $B$9 = "2022-23"), "-", GETPIVOTDATA("Sum of Total HFSV",HFSVLAPivot!$B$3,"Council",B22)/GETPIVOTDATA("Sum of Households",HFSVLAPivot!$B$3,"Council",B22)*100)</f>
        <v>0.9394382138293258</v>
      </c>
      <c r="F22" s="763">
        <f>IF(OR($B$9 = "2021-22", $B$9 = "2022-23"), "-", GETPIVOTDATA("Sum of TotalAlarms",HFSVLAPivot!$B$3,"Council",B22)/GETPIVOTDATA("Sum of Households",HFSVLAPivot!$B$3,"Council",B22)*100)</f>
        <v>0.27293152317567781</v>
      </c>
      <c r="G22" s="947">
        <f>GETPIVOTDATA("Sum of Households",HFSVLAPivot!$B$3,"Council",B22)</f>
        <v>50562.133092692835</v>
      </c>
    </row>
    <row r="23" spans="1:7" x14ac:dyDescent="0.35">
      <c r="A23" t="s">
        <v>259</v>
      </c>
      <c r="B23" s="48" t="s">
        <v>260</v>
      </c>
      <c r="C23" s="762">
        <f>IF(OR($B$9 = "2021-22", $B$9 = "2022-23"), "-", GETPIVOTDATA("Sum of HFSV - alarms installed",HFSVLAPivot!$B$3,"Council",B23)/GETPIVOTDATA("Sum of Households",HFSVLAPivot!$B$3,"Council",B23)*100)</f>
        <v>0.2910651308223855</v>
      </c>
      <c r="D23" s="762">
        <f>IF(OR($B$9 = "2021-22", $B$9 = "2022-23"), "-", GETPIVOTDATA("Sum of HFSV - advice only",HFSVLAPivot!$B$3,"Council",B23)/GETPIVOTDATA("Sum of Households",HFSVLAPivot!$B$3,"Council",B23)*100)</f>
        <v>1.3393929325131808</v>
      </c>
      <c r="E23" s="763">
        <f>IF(OR($B$9 = "2021-22", $B$9 = "2022-23"), "-", GETPIVOTDATA("Sum of Total HFSV",HFSVLAPivot!$B$3,"Council",B23)/GETPIVOTDATA("Sum of Households",HFSVLAPivot!$B$3,"Council",B23)*100)</f>
        <v>1.6304580633355663</v>
      </c>
      <c r="F23" s="763">
        <f>IF(OR($B$9 = "2021-22", $B$9 = "2022-23"), "-", GETPIVOTDATA("Sum of TotalAlarms",HFSVLAPivot!$B$3,"Council",B23)/GETPIVOTDATA("Sum of Households",HFSVLAPivot!$B$3,"Council",B23)*100)</f>
        <v>0.72519617340492659</v>
      </c>
      <c r="G23" s="947">
        <f>GETPIVOTDATA("Sum of Households",HFSVLAPivot!$B$3,"Council",B23)</f>
        <v>40540.754458151241</v>
      </c>
    </row>
    <row r="24" spans="1:7" x14ac:dyDescent="0.35">
      <c r="A24" t="s">
        <v>263</v>
      </c>
      <c r="B24" s="48" t="s">
        <v>264</v>
      </c>
      <c r="C24" s="762">
        <f>IF(OR($B$9 = "2021-22", $B$9 = "2022-23"), "-", GETPIVOTDATA("Sum of HFSV - alarms installed",HFSVLAPivot!$B$3,"Council",B24)/GETPIVOTDATA("Sum of Households",HFSVLAPivot!$B$3,"Council",B24)*100)</f>
        <v>0.2171033688707267</v>
      </c>
      <c r="D24" s="762">
        <f>IF(OR($B$9 = "2021-22", $B$9 = "2022-23"), "-", GETPIVOTDATA("Sum of HFSV - advice only",HFSVLAPivot!$B$3,"Council",B24)/GETPIVOTDATA("Sum of Households",HFSVLAPivot!$B$3,"Council",B24)*100)</f>
        <v>1.201578393749934</v>
      </c>
      <c r="E24" s="763">
        <f>IF(OR($B$9 = "2021-22", $B$9 = "2022-23"), "-", GETPIVOTDATA("Sum of Total HFSV",HFSVLAPivot!$B$3,"Council",B24)/GETPIVOTDATA("Sum of Households",HFSVLAPivot!$B$3,"Council",B24)*100)</f>
        <v>1.4186817626206609</v>
      </c>
      <c r="F24" s="763">
        <f>IF(OR($B$9 = "2021-22", $B$9 = "2022-23"), "-", GETPIVOTDATA("Sum of TotalAlarms",HFSVLAPivot!$B$3,"Council",B24)/GETPIVOTDATA("Sum of Households",HFSVLAPivot!$B$3,"Council",B24)*100)</f>
        <v>0.64038666666899902</v>
      </c>
      <c r="G24" s="947">
        <f>GETPIVOTDATA("Sum of Households",HFSVLAPivot!$B$3,"Council",B24)</f>
        <v>73237.002643969041</v>
      </c>
    </row>
    <row r="25" spans="1:7" x14ac:dyDescent="0.35">
      <c r="A25" t="s">
        <v>1101</v>
      </c>
      <c r="B25" s="48" t="s">
        <v>268</v>
      </c>
      <c r="C25" s="762">
        <f>IF(OR($B$9 = "2021-22", $B$9 = "2022-23"), "-", GETPIVOTDATA("Sum of HFSV - alarms installed",HFSVLAPivot!$B$3,"Council",B25)/GETPIVOTDATA("Sum of Households",HFSVLAPivot!$B$3,"Council",B25)*100)</f>
        <v>0.19195710589039555</v>
      </c>
      <c r="D25" s="762">
        <f>IF(OR($B$9 = "2021-22", $B$9 = "2022-23"), "-", GETPIVOTDATA("Sum of HFSV - advice only",HFSVLAPivot!$B$3,"Council",B25)/GETPIVOTDATA("Sum of Households",HFSVLAPivot!$B$3,"Council",B25)*100)</f>
        <v>0.9865431866366996</v>
      </c>
      <c r="E25" s="763">
        <f>IF(OR($B$9 = "2021-22", $B$9 = "2022-23"), "-", GETPIVOTDATA("Sum of Total HFSV",HFSVLAPivot!$B$3,"Council",B25)/GETPIVOTDATA("Sum of Households",HFSVLAPivot!$B$3,"Council",B25)*100)</f>
        <v>1.1785002925270953</v>
      </c>
      <c r="F25" s="763">
        <f>IF(OR($B$9 = "2021-22", $B$9 = "2022-23"), "-", GETPIVOTDATA("Sum of TotalAlarms",HFSVLAPivot!$B$3,"Council",B25)/GETPIVOTDATA("Sum of Households",HFSVLAPivot!$B$3,"Council",B25)*100)</f>
        <v>0.47872938832665318</v>
      </c>
      <c r="G25" s="947">
        <f>GETPIVOTDATA("Sum of Households",HFSVLAPivot!$B$3,"Council",B25)</f>
        <v>171913.40662763728</v>
      </c>
    </row>
    <row r="26" spans="1:7" x14ac:dyDescent="0.35">
      <c r="A26" t="s">
        <v>270</v>
      </c>
      <c r="B26" s="48" t="s">
        <v>271</v>
      </c>
      <c r="C26" s="762">
        <f>IF(OR($B$9 = "2021-22", $B$9 = "2022-23"), "-", GETPIVOTDATA("Sum of HFSV - alarms installed",HFSVLAPivot!$B$3,"Council",B26)/GETPIVOTDATA("Sum of Households",HFSVLAPivot!$B$3,"Council",B26)*100)</f>
        <v>0.17166771161920977</v>
      </c>
      <c r="D26" s="762">
        <f>IF(OR($B$9 = "2021-22", $B$9 = "2022-23"), "-", GETPIVOTDATA("Sum of HFSV - advice only",HFSVLAPivot!$B$3,"Council",B26)/GETPIVOTDATA("Sum of Households",HFSVLAPivot!$B$3,"Council",B26)*100)</f>
        <v>1.5751853695059519</v>
      </c>
      <c r="E26" s="763">
        <f>IF(OR($B$9 = "2021-22", $B$9 = "2022-23"), "-", GETPIVOTDATA("Sum of Total HFSV",HFSVLAPivot!$B$3,"Council",B26)/GETPIVOTDATA("Sum of Households",HFSVLAPivot!$B$3,"Council",B26)*100)</f>
        <v>1.7468530811251617</v>
      </c>
      <c r="F26" s="763">
        <f>IF(OR($B$9 = "2021-22", $B$9 = "2022-23"), "-", GETPIVOTDATA("Sum of TotalAlarms",HFSVLAPivot!$B$3,"Council",B26)/GETPIVOTDATA("Sum of Households",HFSVLAPivot!$B$3,"Council",B26)*100)</f>
        <v>0.45029245450116928</v>
      </c>
      <c r="G26" s="947">
        <f>GETPIVOTDATA("Sum of Households",HFSVLAPivot!$B$3,"Council",B26)</f>
        <v>298250.61170251353</v>
      </c>
    </row>
    <row r="27" spans="1:7" x14ac:dyDescent="0.35">
      <c r="A27" t="s">
        <v>273</v>
      </c>
      <c r="B27" s="48" t="s">
        <v>274</v>
      </c>
      <c r="C27" s="762">
        <f>IF(OR($B$9 = "2021-22", $B$9 = "2022-23"), "-", GETPIVOTDATA("Sum of HFSV - alarms installed",HFSVLAPivot!$B$3,"Council",B27)/GETPIVOTDATA("Sum of Households",HFSVLAPivot!$B$3,"Council",B27)*100)</f>
        <v>8.1646120484081958E-2</v>
      </c>
      <c r="D27" s="762">
        <f>IF(OR($B$9 = "2021-22", $B$9 = "2022-23"), "-", GETPIVOTDATA("Sum of HFSV - advice only",HFSVLAPivot!$B$3,"Council",B27)/GETPIVOTDATA("Sum of Households",HFSVLAPivot!$B$3,"Council",B27)*100)</f>
        <v>1.4573393548771618</v>
      </c>
      <c r="E27" s="763">
        <f>IF(OR($B$9 = "2021-22", $B$9 = "2022-23"), "-", GETPIVOTDATA("Sum of Total HFSV",HFSVLAPivot!$B$3,"Council",B27)/GETPIVOTDATA("Sum of Households",HFSVLAPivot!$B$3,"Council",B27)*100)</f>
        <v>1.5389854753612437</v>
      </c>
      <c r="F27" s="763">
        <f>IF(OR($B$9 = "2021-22", $B$9 = "2022-23"), "-", GETPIVOTDATA("Sum of TotalAlarms",HFSVLAPivot!$B$3,"Council",B27)/GETPIVOTDATA("Sum of Households",HFSVLAPivot!$B$3,"Council",B27)*100)</f>
        <v>0.2370371239860444</v>
      </c>
      <c r="G27" s="947">
        <f>GETPIVOTDATA("Sum of Households",HFSVLAPivot!$B$3,"Council",B27)</f>
        <v>113906.20821736612</v>
      </c>
    </row>
    <row r="28" spans="1:7" x14ac:dyDescent="0.35">
      <c r="A28" t="s">
        <v>277</v>
      </c>
      <c r="B28" s="48" t="s">
        <v>278</v>
      </c>
      <c r="C28" s="762">
        <f>IF(OR($B$9 = "2021-22", $B$9 = "2022-23"), "-", GETPIVOTDATA("Sum of HFSV - alarms installed",HFSVLAPivot!$B$3,"Council",B28)/GETPIVOTDATA("Sum of Households",HFSVLAPivot!$B$3,"Council",B28)*100)</f>
        <v>0.34826972314846688</v>
      </c>
      <c r="D28" s="762">
        <f>IF(OR($B$9 = "2021-22", $B$9 = "2022-23"), "-", GETPIVOTDATA("Sum of HFSV - advice only",HFSVLAPivot!$B$3,"Council",B28)/GETPIVOTDATA("Sum of Households",HFSVLAPivot!$B$3,"Council",B28)*100)</f>
        <v>0.85605229659394166</v>
      </c>
      <c r="E28" s="763">
        <f>IF(OR($B$9 = "2021-22", $B$9 = "2022-23"), "-", GETPIVOTDATA("Sum of Total HFSV",HFSVLAPivot!$B$3,"Council",B28)/GETPIVOTDATA("Sum of Households",HFSVLAPivot!$B$3,"Council",B28)*100)</f>
        <v>1.2043220197424085</v>
      </c>
      <c r="F28" s="763">
        <f>IF(OR($B$9 = "2021-22", $B$9 = "2022-23"), "-", GETPIVOTDATA("Sum of TotalAlarms",HFSVLAPivot!$B$3,"Council",B28)/GETPIVOTDATA("Sum of Households",HFSVLAPivot!$B$3,"Council",B28)*100)</f>
        <v>0.84010101156424077</v>
      </c>
      <c r="G28" s="947">
        <f>GETPIVOTDATA("Sum of Households",HFSVLAPivot!$B$3,"Council",B28)</f>
        <v>37614.524402442781</v>
      </c>
    </row>
    <row r="29" spans="1:7" x14ac:dyDescent="0.35">
      <c r="A29" t="s">
        <v>279</v>
      </c>
      <c r="B29" s="48" t="s">
        <v>280</v>
      </c>
      <c r="C29" s="762">
        <f>IF(OR($B$9 = "2021-22", $B$9 = "2022-23"), "-", GETPIVOTDATA("Sum of HFSV - alarms installed",HFSVLAPivot!$B$3,"Council",B29)/GETPIVOTDATA("Sum of Households",HFSVLAPivot!$B$3,"Council",B29)*100)</f>
        <v>0.13804684965222716</v>
      </c>
      <c r="D29" s="762">
        <f>IF(OR($B$9 = "2021-22", $B$9 = "2022-23"), "-", GETPIVOTDATA("Sum of HFSV - advice only",HFSVLAPivot!$B$3,"Council",B29)/GETPIVOTDATA("Sum of Households",HFSVLAPivot!$B$3,"Council",B29)*100)</f>
        <v>0.78148555565837075</v>
      </c>
      <c r="E29" s="763">
        <f>IF(OR($B$9 = "2021-22", $B$9 = "2022-23"), "-", GETPIVOTDATA("Sum of Total HFSV",HFSVLAPivot!$B$3,"Council",B29)/GETPIVOTDATA("Sum of Households",HFSVLAPivot!$B$3,"Council",B29)*100)</f>
        <v>0.91953240531059788</v>
      </c>
      <c r="F29" s="763">
        <f>IF(OR($B$9 = "2021-22", $B$9 = "2022-23"), "-", GETPIVOTDATA("Sum of TotalAlarms",HFSVLAPivot!$B$3,"Council",B29)/GETPIVOTDATA("Sum of Households",HFSVLAPivot!$B$3,"Council",B29)*100)</f>
        <v>0.40244166339293336</v>
      </c>
      <c r="G29" s="947">
        <f>GETPIVOTDATA("Sum of Households",HFSVLAPivot!$B$3,"Council",B29)</f>
        <v>42739.113676722816</v>
      </c>
    </row>
    <row r="30" spans="1:7" x14ac:dyDescent="0.35">
      <c r="A30" t="s">
        <v>281</v>
      </c>
      <c r="B30" s="48" t="s">
        <v>282</v>
      </c>
      <c r="C30" s="762">
        <f>IF(OR($B$9 = "2021-22", $B$9 = "2022-23"), "-", GETPIVOTDATA("Sum of HFSV - alarms installed",HFSVLAPivot!$B$3,"Council",B30)/GETPIVOTDATA("Sum of Households",HFSVLAPivot!$B$3,"Council",B30)*100)</f>
        <v>0.10837332060064039</v>
      </c>
      <c r="D30" s="762">
        <f>IF(OR($B$9 = "2021-22", $B$9 = "2022-23"), "-", GETPIVOTDATA("Sum of HFSV - advice only",HFSVLAPivot!$B$3,"Council",B30)/GETPIVOTDATA("Sum of Households",HFSVLAPivot!$B$3,"Council",B30)*100)</f>
        <v>1.1334043112816974</v>
      </c>
      <c r="E30" s="763">
        <f>IF(OR($B$9 = "2021-22", $B$9 = "2022-23"), "-", GETPIVOTDATA("Sum of Total HFSV",HFSVLAPivot!$B$3,"Council",B30)/GETPIVOTDATA("Sum of Households",HFSVLAPivot!$B$3,"Council",B30)*100)</f>
        <v>1.2417776318823377</v>
      </c>
      <c r="F30" s="763">
        <f>IF(OR($B$9 = "2021-22", $B$9 = "2022-23"), "-", GETPIVOTDATA("Sum of TotalAlarms",HFSVLAPivot!$B$3,"Council",B30)/GETPIVOTDATA("Sum of Households",HFSVLAPivot!$B$3,"Council",B30)*100)</f>
        <v>0.27996441155165436</v>
      </c>
      <c r="G30" s="947">
        <f>GETPIVOTDATA("Sum of Households",HFSVLAPivot!$B$3,"Council",B30)</f>
        <v>44291.343786430371</v>
      </c>
    </row>
    <row r="31" spans="1:7" x14ac:dyDescent="0.35">
      <c r="A31" t="s">
        <v>283</v>
      </c>
      <c r="B31" s="48" t="s">
        <v>284</v>
      </c>
      <c r="C31" s="762">
        <f>IF(OR($B$9 = "2021-22", $B$9 = "2022-23"), "-", GETPIVOTDATA("Sum of HFSV - alarms installed",HFSVLAPivot!$B$3,"Council",B31)/GETPIVOTDATA("Sum of Households",HFSVLAPivot!$B$3,"Council",B31)*100)</f>
        <v>7.7592413560107168E-2</v>
      </c>
      <c r="D31" s="762">
        <f>IF(OR($B$9 = "2021-22", $B$9 = "2022-23"), "-", GETPIVOTDATA("Sum of HFSV - advice only",HFSVLAPivot!$B$3,"Council",B31)/GETPIVOTDATA("Sum of Households",HFSVLAPivot!$B$3,"Council",B31)*100)</f>
        <v>0.74488717017702888</v>
      </c>
      <c r="E31" s="763">
        <f>IF(OR($B$9 = "2021-22", $B$9 = "2022-23"), "-", GETPIVOTDATA("Sum of Total HFSV",HFSVLAPivot!$B$3,"Council",B31)/GETPIVOTDATA("Sum of Households",HFSVLAPivot!$B$3,"Council",B31)*100)</f>
        <v>0.82247958373713592</v>
      </c>
      <c r="F31" s="763">
        <f>IF(OR($B$9 = "2021-22", $B$9 = "2022-23"), "-", GETPIVOTDATA("Sum of TotalAlarms",HFSVLAPivot!$B$3,"Council",B31)/GETPIVOTDATA("Sum of Households",HFSVLAPivot!$B$3,"Council",B31)*100)</f>
        <v>0.1784625511882465</v>
      </c>
      <c r="G31" s="947">
        <f>GETPIVOTDATA("Sum of Households",HFSVLAPivot!$B$3,"Council",B31)</f>
        <v>12887.857898960023</v>
      </c>
    </row>
    <row r="32" spans="1:7" x14ac:dyDescent="0.35">
      <c r="A32" t="s">
        <v>287</v>
      </c>
      <c r="B32" s="48" t="s">
        <v>288</v>
      </c>
      <c r="C32" s="762">
        <f>IF(OR($B$9 = "2021-22", $B$9 = "2022-23"), "-", GETPIVOTDATA("Sum of HFSV - alarms installed",HFSVLAPivot!$B$3,"Council",B32)/GETPIVOTDATA("Sum of Households",HFSVLAPivot!$B$3,"Council",B32)*100)</f>
        <v>0.28107551104688572</v>
      </c>
      <c r="D32" s="762">
        <f>IF(OR($B$9 = "2021-22", $B$9 = "2022-23"), "-", GETPIVOTDATA("Sum of HFSV - advice only",HFSVLAPivot!$B$3,"Council",B32)/GETPIVOTDATA("Sum of Households",HFSVLAPivot!$B$3,"Council",B32)*100)</f>
        <v>1.230281335238008</v>
      </c>
      <c r="E32" s="763">
        <f>IF(OR($B$9 = "2021-22", $B$9 = "2022-23"), "-", GETPIVOTDATA("Sum of Total HFSV",HFSVLAPivot!$B$3,"Council",B32)/GETPIVOTDATA("Sum of Households",HFSVLAPivot!$B$3,"Council",B32)*100)</f>
        <v>1.5113568462848936</v>
      </c>
      <c r="F32" s="763">
        <f>IF(OR($B$9 = "2021-22", $B$9 = "2022-23"), "-", GETPIVOTDATA("Sum of TotalAlarms",HFSVLAPivot!$B$3,"Council",B32)/GETPIVOTDATA("Sum of Households",HFSVLAPivot!$B$3,"Council",B32)*100)</f>
        <v>0.70345674349439158</v>
      </c>
      <c r="G32" s="947">
        <f>GETPIVOTDATA("Sum of Households",HFSVLAPivot!$B$3,"Council",B32)</f>
        <v>65107.059422716513</v>
      </c>
    </row>
    <row r="33" spans="1:11" x14ac:dyDescent="0.35">
      <c r="A33" t="s">
        <v>289</v>
      </c>
      <c r="B33" s="48" t="s">
        <v>290</v>
      </c>
      <c r="C33" s="762">
        <f>IF(OR($B$9 = "2021-22", $B$9 = "2022-23"), "-", GETPIVOTDATA("Sum of HFSV - alarms installed",HFSVLAPivot!$B$3,"Council",B33)/GETPIVOTDATA("Sum of Households",HFSVLAPivot!$B$3,"Council",B33)*100)</f>
        <v>0.11960442369136522</v>
      </c>
      <c r="D33" s="762">
        <f>IF(OR($B$9 = "2021-22", $B$9 = "2022-23"), "-", GETPIVOTDATA("Sum of HFSV - advice only",HFSVLAPivot!$B$3,"Council",B33)/GETPIVOTDATA("Sum of Households",HFSVLAPivot!$B$3,"Council",B33)*100)</f>
        <v>1.1091186175095451</v>
      </c>
      <c r="E33" s="763">
        <f>IF(OR($B$9 = "2021-22", $B$9 = "2022-23"), "-", GETPIVOTDATA("Sum of Total HFSV",HFSVLAPivot!$B$3,"Council",B33)/GETPIVOTDATA("Sum of Households",HFSVLAPivot!$B$3,"Council",B33)*100)</f>
        <v>1.2287230412009102</v>
      </c>
      <c r="F33" s="763">
        <f>IF(OR($B$9 = "2021-22", $B$9 = "2022-23"), "-", GETPIVOTDATA("Sum of TotalAlarms",HFSVLAPivot!$B$3,"Council",B33)/GETPIVOTDATA("Sum of Households",HFSVLAPivot!$B$3,"Council",B33)*100)</f>
        <v>0.41371366227668949</v>
      </c>
      <c r="G33" s="947">
        <f>GETPIVOTDATA("Sum of Households",HFSVLAPivot!$B$3,"Council",B33)</f>
        <v>153004.37421296784</v>
      </c>
    </row>
    <row r="34" spans="1:11" x14ac:dyDescent="0.35">
      <c r="A34" t="s">
        <v>292</v>
      </c>
      <c r="B34" s="48" t="s">
        <v>293</v>
      </c>
      <c r="C34" s="762">
        <f>IF(OR($B$9 = "2021-22", $B$9 = "2022-23"), "-", GETPIVOTDATA("Sum of HFSV - alarms installed",HFSVLAPivot!$B$3,"Council",B34)/GETPIVOTDATA("Sum of Households",HFSVLAPivot!$B$3,"Council",B34)*100)</f>
        <v>0.14696500024218073</v>
      </c>
      <c r="D34" s="762">
        <f>IF(OR($B$9 = "2021-22", $B$9 = "2022-23"), "-", GETPIVOTDATA("Sum of HFSV - advice only",HFSVLAPivot!$B$3,"Council",B34)/GETPIVOTDATA("Sum of Households",HFSVLAPivot!$B$3,"Council",B34)*100)</f>
        <v>1.5247618775126248</v>
      </c>
      <c r="E34" s="763">
        <f>IF(OR($B$9 = "2021-22", $B$9 = "2022-23"), "-", GETPIVOTDATA("Sum of Total HFSV",HFSVLAPivot!$B$3,"Council",B34)/GETPIVOTDATA("Sum of Households",HFSVLAPivot!$B$3,"Council",B34)*100)</f>
        <v>1.6717268777548058</v>
      </c>
      <c r="F34" s="763">
        <f>IF(OR($B$9 = "2021-22", $B$9 = "2022-23"), "-", GETPIVOTDATA("Sum of TotalAlarms",HFSVLAPivot!$B$3,"Council",B34)/GETPIVOTDATA("Sum of Households",HFSVLAPivot!$B$3,"Council",B34)*100)</f>
        <v>0.45926562575681468</v>
      </c>
      <c r="G34" s="947">
        <f>GETPIVOTDATA("Sum of Households",HFSVLAPivot!$B$3,"Council",B34)</f>
        <v>10886.945853525613</v>
      </c>
    </row>
    <row r="35" spans="1:11" x14ac:dyDescent="0.35">
      <c r="A35" t="s">
        <v>294</v>
      </c>
      <c r="B35" s="48" t="s">
        <v>295</v>
      </c>
      <c r="C35" s="762">
        <f>IF(OR($B$9 = "2021-22", $B$9 = "2022-23"), "-", GETPIVOTDATA("Sum of HFSV - alarms installed",HFSVLAPivot!$B$3,"Council",B35)/GETPIVOTDATA("Sum of Households",HFSVLAPivot!$B$3,"Council",B35)*100)</f>
        <v>8.2585260439536679E-2</v>
      </c>
      <c r="D35" s="762">
        <f>IF(OR($B$9 = "2021-22", $B$9 = "2022-23"), "-", GETPIVOTDATA("Sum of HFSV - advice only",HFSVLAPivot!$B$3,"Council",B35)/GETPIVOTDATA("Sum of Households",HFSVLAPivot!$B$3,"Council",B35)*100)</f>
        <v>0.76006434607912576</v>
      </c>
      <c r="E35" s="763">
        <f>IF(OR($B$9 = "2021-22", $B$9 = "2022-23"), "-", GETPIVOTDATA("Sum of Total HFSV",HFSVLAPivot!$B$3,"Council",B35)/GETPIVOTDATA("Sum of Households",HFSVLAPivot!$B$3,"Council",B35)*100)</f>
        <v>0.84264960651866239</v>
      </c>
      <c r="F35" s="763">
        <f>IF(OR($B$9 = "2021-22", $B$9 = "2022-23"), "-", GETPIVOTDATA("Sum of TotalAlarms",HFSVLAPivot!$B$3,"Council",B35)/GETPIVOTDATA("Sum of Households",HFSVLAPivot!$B$3,"Council",B35)*100)</f>
        <v>0.23655777990307966</v>
      </c>
      <c r="G35" s="947">
        <f>GETPIVOTDATA("Sum of Households",HFSVLAPivot!$B$3,"Council",B35)</f>
        <v>71441.31977787464</v>
      </c>
    </row>
    <row r="36" spans="1:11" x14ac:dyDescent="0.35">
      <c r="A36" t="s">
        <v>296</v>
      </c>
      <c r="B36" s="48" t="s">
        <v>297</v>
      </c>
      <c r="C36" s="762">
        <f>IF(OR($B$9 = "2021-22", $B$9 = "2022-23"), "-", GETPIVOTDATA("Sum of HFSV - alarms installed",HFSVLAPivot!$B$3,"Council",B36)/GETPIVOTDATA("Sum of Households",HFSVLAPivot!$B$3,"Council",B36)*100)</f>
        <v>0.33390543414322565</v>
      </c>
      <c r="D36" s="762">
        <f>IF(OR($B$9 = "2021-22", $B$9 = "2022-23"), "-", GETPIVOTDATA("Sum of HFSV - advice only",HFSVLAPivot!$B$3,"Council",B36)/GETPIVOTDATA("Sum of Households",HFSVLAPivot!$B$3,"Council",B36)*100)</f>
        <v>0.91966445513168316</v>
      </c>
      <c r="E36" s="763">
        <f>IF(OR($B$9 = "2021-22", $B$9 = "2022-23"), "-", GETPIVOTDATA("Sum of Total HFSV",HFSVLAPivot!$B$3,"Council",B36)/GETPIVOTDATA("Sum of Households",HFSVLAPivot!$B$3,"Council",B36)*100)</f>
        <v>1.2535698892749088</v>
      </c>
      <c r="F36" s="763">
        <f>IF(OR($B$9 = "2021-22", $B$9 = "2022-23"), "-", GETPIVOTDATA("Sum of TotalAlarms",HFSVLAPivot!$B$3,"Council",B36)/GETPIVOTDATA("Sum of Households",HFSVLAPivot!$B$3,"Council",B36)*100)</f>
        <v>0.8045639471164413</v>
      </c>
      <c r="G36" s="947">
        <f>GETPIVOTDATA("Sum of Households",HFSVLAPivot!$B$3,"Council",B36)</f>
        <v>87749.395499301856</v>
      </c>
    </row>
    <row r="37" spans="1:11" x14ac:dyDescent="0.35">
      <c r="A37" t="s">
        <v>298</v>
      </c>
      <c r="B37" s="48" t="s">
        <v>299</v>
      </c>
      <c r="C37" s="762">
        <f>IF(OR($B$9 = "2021-22", $B$9 = "2022-23"), "-", GETPIVOTDATA("Sum of HFSV - alarms installed",HFSVLAPivot!$B$3,"Council",B37)/GETPIVOTDATA("Sum of Households",HFSVLAPivot!$B$3,"Council",B37)*100)</f>
        <v>0.21931130615678043</v>
      </c>
      <c r="D37" s="762">
        <f>IF(OR($B$9 = "2021-22", $B$9 = "2022-23"), "-", GETPIVOTDATA("Sum of HFSV - advice only",HFSVLAPivot!$B$3,"Council",B37)/GETPIVOTDATA("Sum of Households",HFSVLAPivot!$B$3,"Council",B37)*100)</f>
        <v>1.0680282307960283</v>
      </c>
      <c r="E37" s="763">
        <f>IF(OR($B$9 = "2021-22", $B$9 = "2022-23"), "-", GETPIVOTDATA("Sum of Total HFSV",HFSVLAPivot!$B$3,"Council",B37)/GETPIVOTDATA("Sum of Households",HFSVLAPivot!$B$3,"Council",B37)*100)</f>
        <v>1.2873395369528087</v>
      </c>
      <c r="F37" s="763">
        <f>IF(OR($B$9 = "2021-22", $B$9 = "2022-23"), "-", GETPIVOTDATA("Sum of TotalAlarms",HFSVLAPivot!$B$3,"Council",B37)/GETPIVOTDATA("Sum of Households",HFSVLAPivot!$B$3,"Council",B37)*100)</f>
        <v>0.59552826224686717</v>
      </c>
      <c r="G37" s="947">
        <f>GETPIVOTDATA("Sum of Households",HFSVLAPivot!$B$3,"Council",B37)</f>
        <v>56084.6598177981</v>
      </c>
    </row>
    <row r="38" spans="1:11" x14ac:dyDescent="0.35">
      <c r="A38" t="s">
        <v>300</v>
      </c>
      <c r="B38" s="48" t="s">
        <v>301</v>
      </c>
      <c r="C38" s="762">
        <f>IF(OR($B$9 = "2021-22", $B$9 = "2022-23"), "-", GETPIVOTDATA("Sum of HFSV - alarms installed",HFSVLAPivot!$B$3,"Council",B38)/GETPIVOTDATA("Sum of Households",HFSVLAPivot!$B$3,"Council",B38)*100)</f>
        <v>0.19510933084415003</v>
      </c>
      <c r="D38" s="762">
        <f>IF(OR($B$9 = "2021-22", $B$9 = "2022-23"), "-", GETPIVOTDATA("Sum of HFSV - advice only",HFSVLAPivot!$B$3,"Council",B38)/GETPIVOTDATA("Sum of Households",HFSVLAPivot!$B$3,"Council",B38)*100)</f>
        <v>1.4865472826220953</v>
      </c>
      <c r="E38" s="763">
        <f>IF(OR($B$9 = "2021-22", $B$9 = "2022-23"), "-", GETPIVOTDATA("Sum of Total HFSV",HFSVLAPivot!$B$3,"Council",B38)/GETPIVOTDATA("Sum of Households",HFSVLAPivot!$B$3,"Council",B38)*100)</f>
        <v>1.6816566134662452</v>
      </c>
      <c r="F38" s="763">
        <f>IF(OR($B$9 = "2021-22", $B$9 = "2022-23"), "-", GETPIVOTDATA("Sum of TotalAlarms",HFSVLAPivot!$B$3,"Council",B38)/GETPIVOTDATA("Sum of Households",HFSVLAPivot!$B$3,"Council",B38)*100)</f>
        <v>0.67823719769633106</v>
      </c>
      <c r="G38" s="947">
        <f>GETPIVOTDATA("Sum of Households",HFSVLAPivot!$B$3,"Council",B38)</f>
        <v>10763.196157324961</v>
      </c>
    </row>
    <row r="39" spans="1:11" x14ac:dyDescent="0.35">
      <c r="A39" t="s">
        <v>302</v>
      </c>
      <c r="B39" s="48" t="s">
        <v>303</v>
      </c>
      <c r="C39" s="762">
        <f>IF(OR($B$9 = "2021-22", $B$9 = "2022-23"), "-", GETPIVOTDATA("Sum of HFSV - alarms installed",HFSVLAPivot!$B$3,"Council",B39)/GETPIVOTDATA("Sum of Households",HFSVLAPivot!$B$3,"Council",B39)*100)</f>
        <v>0.14492979962114733</v>
      </c>
      <c r="D39" s="762">
        <f>IF(OR($B$9 = "2021-22", $B$9 = "2022-23"), "-", GETPIVOTDATA("Sum of HFSV - advice only",HFSVLAPivot!$B$3,"Council",B39)/GETPIVOTDATA("Sum of Households",HFSVLAPivot!$B$3,"Council",B39)*100)</f>
        <v>0.99945095582895105</v>
      </c>
      <c r="E39" s="763">
        <f>IF(OR($B$9 = "2021-22", $B$9 = "2022-23"), "-", GETPIVOTDATA("Sum of Total HFSV",HFSVLAPivot!$B$3,"Council",B39)/GETPIVOTDATA("Sum of Households",HFSVLAPivot!$B$3,"Council",B39)*100)</f>
        <v>1.1443807554500984</v>
      </c>
      <c r="F39" s="763">
        <f>IF(OR($B$9 = "2021-22", $B$9 = "2022-23"), "-", GETPIVOTDATA("Sum of TotalAlarms",HFSVLAPivot!$B$3,"Council",B39)/GETPIVOTDATA("Sum of Households",HFSVLAPivot!$B$3,"Council",B39)*100)</f>
        <v>0.40467411582528151</v>
      </c>
      <c r="G39" s="947">
        <f>GETPIVOTDATA("Sum of Households",HFSVLAPivot!$B$3,"Council",B39)</f>
        <v>53129.170261244602</v>
      </c>
    </row>
    <row r="40" spans="1:11" x14ac:dyDescent="0.35">
      <c r="A40" t="s">
        <v>304</v>
      </c>
      <c r="B40" s="48" t="s">
        <v>305</v>
      </c>
      <c r="C40" s="762">
        <f>IF(OR($B$9 = "2021-22", $B$9 = "2022-23"), "-", GETPIVOTDATA("Sum of HFSV - alarms installed",HFSVLAPivot!$B$3,"Council",B40)/GETPIVOTDATA("Sum of Households",HFSVLAPivot!$B$3,"Council",B40)*100)</f>
        <v>0.17923150950851696</v>
      </c>
      <c r="D40" s="762">
        <f>IF(OR($B$9 = "2021-22", $B$9 = "2022-23"), "-", GETPIVOTDATA("Sum of HFSV - advice only",HFSVLAPivot!$B$3,"Council",B40)/GETPIVOTDATA("Sum of Households",HFSVLAPivot!$B$3,"Council",B40)*100)</f>
        <v>1.1331414323371793</v>
      </c>
      <c r="E40" s="763">
        <f>IF(OR($B$9 = "2021-22", $B$9 = "2022-23"), "-", GETPIVOTDATA("Sum of Total HFSV",HFSVLAPivot!$B$3,"Council",B40)/GETPIVOTDATA("Sum of Households",HFSVLAPivot!$B$3,"Council",B40)*100)</f>
        <v>1.3123729418456964</v>
      </c>
      <c r="F40" s="763">
        <f>IF(OR($B$9 = "2021-22", $B$9 = "2022-23"), "-", GETPIVOTDATA("Sum of TotalAlarms",HFSVLAPivot!$B$3,"Council",B40)/GETPIVOTDATA("Sum of Households",HFSVLAPivot!$B$3,"Council",B40)*100)</f>
        <v>0.57022172839931873</v>
      </c>
      <c r="G40" s="947">
        <f>GETPIVOTDATA("Sum of Households",HFSVLAPivot!$B$3,"Council",B40)</f>
        <v>150643.15462185504</v>
      </c>
    </row>
    <row r="41" spans="1:11" x14ac:dyDescent="0.35">
      <c r="A41" t="s">
        <v>307</v>
      </c>
      <c r="B41" s="48" t="s">
        <v>308</v>
      </c>
      <c r="C41" s="762">
        <f>IF(OR($B$9 = "2021-22", $B$9 = "2022-23"), "-", GETPIVOTDATA("Sum of HFSV - alarms installed",HFSVLAPivot!$B$3,"Council",B41)/GETPIVOTDATA("Sum of Households",HFSVLAPivot!$B$3,"Council",B41)*100)</f>
        <v>0.20922815188205141</v>
      </c>
      <c r="D41" s="762">
        <f>IF(OR($B$9 = "2021-22", $B$9 = "2022-23"), "-", GETPIVOTDATA("Sum of HFSV - advice only",HFSVLAPivot!$B$3,"Council",B41)/GETPIVOTDATA("Sum of Households",HFSVLAPivot!$B$3,"Council",B41)*100)</f>
        <v>1.1750836902212887</v>
      </c>
      <c r="E41" s="763">
        <f>IF(OR($B$9 = "2021-22", $B$9 = "2022-23"), "-", GETPIVOTDATA("Sum of Total HFSV",HFSVLAPivot!$B$3,"Council",B41)/GETPIVOTDATA("Sum of Households",HFSVLAPivot!$B$3,"Council",B41)*100)</f>
        <v>1.38431184210334</v>
      </c>
      <c r="F41" s="763">
        <f>IF(OR($B$9 = "2021-22", $B$9 = "2022-23"), "-", GETPIVOTDATA("Sum of TotalAlarms",HFSVLAPivot!$B$3,"Council",B41)/GETPIVOTDATA("Sum of Households",HFSVLAPivot!$B$3,"Council",B41)*100)</f>
        <v>0.56442943298413872</v>
      </c>
      <c r="G41" s="947">
        <f>GETPIVOTDATA("Sum of Households",HFSVLAPivot!$B$3,"Council",B41)</f>
        <v>41103.45535551112</v>
      </c>
    </row>
    <row r="42" spans="1:11" x14ac:dyDescent="0.35">
      <c r="A42" t="s">
        <v>309</v>
      </c>
      <c r="B42" s="48" t="s">
        <v>310</v>
      </c>
      <c r="C42" s="762">
        <f>IF(OR($B$9 = "2021-22", $B$9 = "2022-23"), "-", GETPIVOTDATA("Sum of HFSV - alarms installed",HFSVLAPivot!$B$3,"Council",B42)/GETPIVOTDATA("Sum of Households",HFSVLAPivot!$B$3,"Council",B42)*100)</f>
        <v>0.24157886142226856</v>
      </c>
      <c r="D42" s="762">
        <f>IF(OR($B$9 = "2021-22", $B$9 = "2022-23"), "-", GETPIVOTDATA("Sum of HFSV - advice only",HFSVLAPivot!$B$3,"Council",B42)/GETPIVOTDATA("Sum of Households",HFSVLAPivot!$B$3,"Council",B42)*100)</f>
        <v>1.6353030619353566</v>
      </c>
      <c r="E42" s="763">
        <f>IF(OR($B$9 = "2021-22", $B$9 = "2022-23"), "-", GETPIVOTDATA("Sum of Total HFSV",HFSVLAPivot!$B$3,"Council",B42)/GETPIVOTDATA("Sum of Households",HFSVLAPivot!$B$3,"Council",B42)*100)</f>
        <v>1.876881923357625</v>
      </c>
      <c r="F42" s="763">
        <f>IF(OR($B$9 = "2021-22", $B$9 = "2022-23"), "-", GETPIVOTDATA("Sum of TotalAlarms",HFSVLAPivot!$B$3,"Council",B42)/GETPIVOTDATA("Sum of Households",HFSVLAPivot!$B$3,"Council",B42)*100)</f>
        <v>0.76654831028219839</v>
      </c>
      <c r="G42" s="947">
        <f>GETPIVOTDATA("Sum of Households",HFSVLAPivot!$B$3,"Council",B42)</f>
        <v>43050.124248335145</v>
      </c>
    </row>
    <row r="43" spans="1:11" x14ac:dyDescent="0.35">
      <c r="A43" t="s">
        <v>311</v>
      </c>
      <c r="B43" s="48" t="s">
        <v>312</v>
      </c>
      <c r="C43" s="762">
        <f>IF(OR($B$9 = "2021-22", $B$9 = "2022-23"), "-", GETPIVOTDATA("Sum of HFSV - alarms installed",HFSVLAPivot!$B$3,"Council",B43)/GETPIVOTDATA("Sum of Households",HFSVLAPivot!$B$3,"Council",B43)*100)</f>
        <v>0.22291682118764836</v>
      </c>
      <c r="D43" s="762">
        <f>IF(OR($B$9 = "2021-22", $B$9 = "2022-23"), "-", GETPIVOTDATA("Sum of HFSV - advice only",HFSVLAPivot!$B$3,"Council",B43)/GETPIVOTDATA("Sum of Households",HFSVLAPivot!$B$3,"Council",B43)*100)</f>
        <v>1.2297169696285657</v>
      </c>
      <c r="E43" s="763">
        <f>IF(OR($B$9 = "2021-22", $B$9 = "2022-23"), "-", GETPIVOTDATA("Sum of Total HFSV",HFSVLAPivot!$B$3,"Council",B43)/GETPIVOTDATA("Sum of Households",HFSVLAPivot!$B$3,"Council",B43)*100)</f>
        <v>1.4526337908162139</v>
      </c>
      <c r="F43" s="763">
        <f>IF(OR($B$9 = "2021-22", $B$9 = "2022-23"), "-", GETPIVOTDATA("Sum of TotalAlarms",HFSVLAPivot!$B$3,"Council",B43)/GETPIVOTDATA("Sum of Households",HFSVLAPivot!$B$3,"Council",B43)*100)</f>
        <v>0.74346434319177224</v>
      </c>
      <c r="G43" s="947">
        <f>GETPIVOTDATA("Sum of Households",HFSVLAPivot!$B$3,"Council",B43)</f>
        <v>81644.803218683475</v>
      </c>
    </row>
    <row r="44" spans="1:11" ht="19.5" customHeight="1" thickBot="1" x14ac:dyDescent="0.4">
      <c r="A44" s="33"/>
      <c r="B44" s="33" t="s">
        <v>348</v>
      </c>
      <c r="C44" s="876">
        <f>IF(OR($B$9 = "2021-22", $B$9 = "2022-23"), "-", GETPIVOTDATA("Sum of HFSV - alarms installed",HFSVLAPivot!$B$3)/GETPIVOTDATA("Sum of Households",HFSVLAPivot!$B$3)*100)</f>
        <v>0.16615810798531236</v>
      </c>
      <c r="D44" s="876">
        <f>IF(OR($B$9 = "2021-22", $B$9 = "2022-23"), "-", GETPIVOTDATA("Sum of HFSV - advice only",HFSVLAPivot!$B$3)/GETPIVOTDATA("Sum of Households",HFSVLAPivot!$B$3)*100)</f>
        <v>1.1694145737197836</v>
      </c>
      <c r="E44" s="877">
        <f>IF(OR($B$9 = "2021-22", $B$9 = "2022-23"), "-", GETPIVOTDATA("Sum of Total HFSV",HFSVLAPivot!$B$3)/GETPIVOTDATA("Sum of Households",HFSVLAPivot!$B$3)*100)</f>
        <v>1.3355726817050961</v>
      </c>
      <c r="F44" s="877">
        <f>IF(OR($B$9 = "2021-22", $B$9 = "2022-23"), "-", GETPIVOTDATA("Sum of TotalAlarms",HFSVLAPivot!$B$3)/GETPIVOTDATA("Sum of Households",HFSVLAPivot!$B$3)*100)</f>
        <v>0.45949122623243183</v>
      </c>
      <c r="G44" s="875">
        <f>SUM(G12:G43)</f>
        <v>2552388.2351710973</v>
      </c>
    </row>
    <row r="45" spans="1:11" x14ac:dyDescent="0.35">
      <c r="B45" s="12"/>
      <c r="C45" s="229"/>
      <c r="D45" s="229"/>
      <c r="E45" s="230"/>
      <c r="F45" s="230"/>
      <c r="G45" s="62"/>
    </row>
    <row r="46" spans="1:11" x14ac:dyDescent="0.35">
      <c r="A46" s="336" t="s">
        <v>329</v>
      </c>
      <c r="B46" s="338"/>
      <c r="C46" s="338"/>
      <c r="D46" s="338"/>
      <c r="E46" s="338"/>
      <c r="F46" s="338"/>
    </row>
    <row r="47" spans="1:11" x14ac:dyDescent="0.35">
      <c r="A47" s="516" t="s">
        <v>950</v>
      </c>
      <c r="B47" s="419"/>
      <c r="C47" s="419"/>
      <c r="D47" s="419"/>
      <c r="E47" s="419"/>
      <c r="F47" s="419"/>
      <c r="G47" s="419"/>
      <c r="H47" s="371"/>
      <c r="I47" s="381"/>
      <c r="J47" s="381"/>
      <c r="K47" s="381"/>
    </row>
    <row r="48" spans="1:11" x14ac:dyDescent="0.35">
      <c r="A48" s="499" t="s">
        <v>951</v>
      </c>
      <c r="B48" s="364"/>
      <c r="C48" s="558"/>
      <c r="D48" s="558"/>
      <c r="E48" s="558"/>
      <c r="F48" s="558"/>
      <c r="G48" s="365"/>
      <c r="H48" s="371"/>
    </row>
    <row r="49" spans="1:9" ht="45.65" customHeight="1" x14ac:dyDescent="0.35">
      <c r="A49" s="1010" t="s">
        <v>1116</v>
      </c>
      <c r="B49" s="1010"/>
      <c r="C49" s="1010"/>
      <c r="D49" s="1010"/>
      <c r="E49" s="1010"/>
      <c r="F49" s="1010"/>
      <c r="G49" s="1010"/>
      <c r="H49" s="1010"/>
      <c r="I49" s="1010"/>
    </row>
    <row r="50" spans="1:9" ht="48.65" customHeight="1" x14ac:dyDescent="0.35">
      <c r="A50" s="1010" t="s">
        <v>1298</v>
      </c>
      <c r="B50" s="1010"/>
      <c r="C50" s="1010"/>
      <c r="D50" s="1010"/>
      <c r="E50" s="1010"/>
      <c r="F50" s="1010"/>
      <c r="G50" s="1010"/>
      <c r="H50" s="1010"/>
      <c r="I50" s="1010"/>
    </row>
  </sheetData>
  <sheetProtection algorithmName="SHA-512" hashValue="UP9iUFUbkgK8/AgXjZTASfVrJNTKuO7zvbyRaX1QAYKwHXsLLTEE1YL3eg9w4g3IzSXDYy5MsNmdTIwNme+WQw==" saltValue="KjWNXhvjfzjEZCETOvWdDg==" spinCount="100000" sheet="1" scenarios="1" formatCells="0" sort="0" autoFilter="0" pivotTables="0"/>
  <mergeCells count="2">
    <mergeCell ref="A49:I49"/>
    <mergeCell ref="A50:I50"/>
  </mergeCells>
  <hyperlinks>
    <hyperlink ref="A2" location="'Table of Contents'!A1" display="Back to Table of Contents" xr:uid="{00000000-0004-0000-9200-000000000000}"/>
    <hyperlink ref="A47:G47" r:id="rId1" display="https://www.nrscotland.gov.uk/statistics-and-data/statistics/statistics-by-theme/households/household-estimates/2016/list-of-tables" xr:uid="{00000000-0004-0000-9200-000001000000}"/>
    <hyperlink ref="A48" r:id="rId2" xr:uid="{00000000-0004-0000-9200-000002000000}"/>
  </hyperlinks>
  <pageMargins left="0.70866141732283472" right="0.70866141732283472" top="0.74803149606299213" bottom="0.74803149606299213" header="0.31496062992125984" footer="0.31496062992125984"/>
  <pageSetup paperSize="9" orientation="portrait" r:id="rId3"/>
  <drawing r:id="rId4"/>
  <extLst>
    <ext xmlns:x14="http://schemas.microsoft.com/office/spreadsheetml/2009/9/main" uri="{A8765BA9-456A-4dab-B4F3-ACF838C121DE}">
      <x14:slicerList>
        <x14:slicer r:id="rId5"/>
      </x14:slicerList>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theme="7" tint="-0.249977111117893"/>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5" x14ac:dyDescent="0.35">
      <c r="A4" s="1012" t="s">
        <v>1118</v>
      </c>
      <c r="B4" s="1012"/>
      <c r="C4" s="1012"/>
      <c r="D4" s="1012"/>
      <c r="E4" s="1012"/>
      <c r="F4" s="1012"/>
      <c r="G4" s="1012"/>
      <c r="H4" s="1012"/>
    </row>
    <row r="5" spans="1:8" x14ac:dyDescent="0.35">
      <c r="A5" s="561" t="s">
        <v>451</v>
      </c>
    </row>
    <row r="6" spans="1:8" x14ac:dyDescent="0.35">
      <c r="A6" s="561" t="s">
        <v>166</v>
      </c>
    </row>
  </sheetData>
  <sheetProtection algorithmName="SHA-512" hashValue="IMo59uo26TFJnMoLuvNFLkin80CT11xRn8Uux9hubn+Va2uVne8EBYuppTCu33C7IgRR3u6ZZ71lvGBYzN2GQA==" saltValue="pwGSkiGmF+qN61mqnPUUog==" spinCount="100000" sheet="1" scenarios="1" formatCells="0" sort="0" autoFilter="0" pivotTables="0"/>
  <mergeCells count="1">
    <mergeCell ref="A4:H4"/>
  </mergeCells>
  <hyperlinks>
    <hyperlink ref="A2" location="'Table of Contents'!A1" display="Back to Table of Contents" xr:uid="{00000000-0004-0000-93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5" x14ac:dyDescent="0.35">
      <c r="A4" s="1012" t="s">
        <v>140</v>
      </c>
      <c r="B4" s="1012"/>
      <c r="C4" s="1012"/>
      <c r="D4" s="1012"/>
      <c r="E4" s="1012"/>
      <c r="F4" s="1012"/>
      <c r="G4" s="1012"/>
      <c r="H4" s="1012"/>
    </row>
    <row r="5" spans="1:8" x14ac:dyDescent="0.35">
      <c r="A5" s="561" t="s">
        <v>451</v>
      </c>
    </row>
    <row r="6" spans="1:8" x14ac:dyDescent="0.35">
      <c r="A6" s="561" t="s">
        <v>167</v>
      </c>
    </row>
  </sheetData>
  <sheetProtection algorithmName="SHA-512" hashValue="qolxdt5TKIaszJb0y0RqL3/r3BdarmztMfime1dz6EKIBUpcDxtpDAKAvN3wPpYXCl/qJJL3zBGR1KTs+MD+rg==" saltValue="FAo9kCQGXAdknD5k3JXZxw==" spinCount="100000" sheet="1" scenarios="1" formatCells="0" sort="0" autoFilter="0" pivotTables="0"/>
  <mergeCells count="1">
    <mergeCell ref="A4:H4"/>
  </mergeCells>
  <hyperlinks>
    <hyperlink ref="A2" location="'Table of Contents'!A1" display="Back to Table of Contents" xr:uid="{00000000-0004-0000-9400-000000000000}"/>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5" x14ac:dyDescent="0.35">
      <c r="A4" s="1012" t="s">
        <v>1119</v>
      </c>
      <c r="B4" s="1012"/>
      <c r="C4" s="1012"/>
      <c r="D4" s="1012"/>
      <c r="E4" s="1012"/>
      <c r="F4" s="1012"/>
      <c r="G4" s="1012"/>
      <c r="H4" s="1012"/>
    </row>
    <row r="5" spans="1:8" x14ac:dyDescent="0.35">
      <c r="A5" s="561" t="s">
        <v>451</v>
      </c>
    </row>
    <row r="6" spans="1:8" x14ac:dyDescent="0.35">
      <c r="A6" s="561" t="s">
        <v>168</v>
      </c>
    </row>
  </sheetData>
  <sheetProtection algorithmName="SHA-512" hashValue="Ej60oZvC/ThzbfU4cqZLqUlV3NwbDzmu5vc17QeHdtmMRzFWoN9j2M2buzURQcFDa9ImOLDLIuFX5dqNI0n4aA==" saltValue="421OpY2G7YJvA2dYCzEx+A==" spinCount="100000" sheet="1" scenarios="1" formatCells="0" sort="0" autoFilter="0" pivotTables="0"/>
  <mergeCells count="1">
    <mergeCell ref="A4:H4"/>
  </mergeCells>
  <hyperlinks>
    <hyperlink ref="A2" location="'Table of Contents'!A1" display="Back to Table of Contents" xr:uid="{00000000-0004-0000-9500-000000000000}"/>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7" tint="-0.249977111117893"/>
  </sheetPr>
  <dimension ref="A1:H6"/>
  <sheetViews>
    <sheetView showGridLines="0" zoomScaleNormal="100" workbookViewId="0">
      <pane ySplit="2" topLeftCell="A3" activePane="bottomLeft" state="frozen"/>
      <selection pane="bottomLeft"/>
    </sheetView>
  </sheetViews>
  <sheetFormatPr defaultColWidth="9.1796875" defaultRowHeight="14.5" x14ac:dyDescent="0.35"/>
  <sheetData>
    <row r="1" spans="1:8" ht="15.5" x14ac:dyDescent="0.35">
      <c r="A1" s="514" t="s">
        <v>1117</v>
      </c>
      <c r="B1" s="514"/>
      <c r="C1" s="514"/>
    </row>
    <row r="2" spans="1:8" ht="15.5" x14ac:dyDescent="0.35">
      <c r="A2" s="591" t="s">
        <v>201</v>
      </c>
      <c r="B2" s="441"/>
      <c r="C2" s="441"/>
    </row>
    <row r="4" spans="1:8" ht="15.5" x14ac:dyDescent="0.35">
      <c r="A4" s="1021" t="s">
        <v>1120</v>
      </c>
      <c r="B4" s="1021"/>
      <c r="C4" s="1021"/>
      <c r="D4" s="1021"/>
      <c r="E4" s="1021"/>
      <c r="F4" s="1021"/>
      <c r="G4" s="1021"/>
      <c r="H4" s="1021"/>
    </row>
    <row r="5" spans="1:8" x14ac:dyDescent="0.35">
      <c r="A5" s="561" t="s">
        <v>451</v>
      </c>
    </row>
    <row r="6" spans="1:8" x14ac:dyDescent="0.35">
      <c r="A6" s="561" t="s">
        <v>169</v>
      </c>
    </row>
  </sheetData>
  <sheetProtection algorithmName="SHA-512" hashValue="abg2NT1ikYl7QYcaQ8SdVqro0n2b5ObM9dhVzpTbqvVEdlZJy3OIv6AsIrtGMFvYIRPG9nn6+fV3ae1z8pGK3A==" saltValue="4ttOA5dBPuNRnm0L47AkSA==" spinCount="100000" sheet="1" scenarios="1" formatCells="0" sort="0" autoFilter="0" pivotTables="0"/>
  <mergeCells count="1">
    <mergeCell ref="A4:H4"/>
  </mergeCells>
  <hyperlinks>
    <hyperlink ref="A2" location="'Table of Contents'!A1" display="Back to Table of Contents" xr:uid="{00000000-0004-0000-9600-000000000000}"/>
  </hyperlinks>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theme="7" tint="-0.249977111117893"/>
  </sheetPr>
  <dimension ref="A1:H7"/>
  <sheetViews>
    <sheetView showGridLines="0" workbookViewId="0"/>
  </sheetViews>
  <sheetFormatPr defaultColWidth="9.1796875" defaultRowHeight="14.5" x14ac:dyDescent="0.35"/>
  <sheetData>
    <row r="1" spans="1:8" ht="15.5" x14ac:dyDescent="0.35">
      <c r="A1" s="514" t="s">
        <v>1117</v>
      </c>
      <c r="B1" s="514"/>
      <c r="C1" s="514"/>
    </row>
    <row r="2" spans="1:8" ht="15.5" x14ac:dyDescent="0.35">
      <c r="A2" s="591" t="s">
        <v>201</v>
      </c>
      <c r="B2" s="441"/>
      <c r="C2" s="441"/>
    </row>
    <row r="4" spans="1:8" ht="15.75" customHeight="1" x14ac:dyDescent="0.35">
      <c r="A4" s="439" t="s">
        <v>1121</v>
      </c>
      <c r="B4" s="439"/>
      <c r="C4" s="439"/>
      <c r="D4" s="439"/>
      <c r="E4" s="439"/>
      <c r="F4" s="439"/>
      <c r="G4" s="439"/>
      <c r="H4" s="439"/>
    </row>
    <row r="5" spans="1:8" x14ac:dyDescent="0.35">
      <c r="A5" s="561" t="s">
        <v>451</v>
      </c>
    </row>
    <row r="6" spans="1:8" x14ac:dyDescent="0.35">
      <c r="A6" s="561" t="s">
        <v>170</v>
      </c>
    </row>
    <row r="7" spans="1:8" x14ac:dyDescent="0.35">
      <c r="A7" s="561"/>
    </row>
  </sheetData>
  <sheetProtection algorithmName="SHA-512" hashValue="Ijxw9uwIixV1vPzrKk71fXzVIVYMgHcki8VHbm5lluDE1wfe29b58blBk4ddahp4+H+7IQzaMJn5YSNDoAPxew==" saltValue="S5nHqLVlKFzZ4PcDzweUYw==" spinCount="100000" sheet="1" scenarios="1" formatCells="0" sort="0" autoFilter="0" pivotTables="0"/>
  <hyperlinks>
    <hyperlink ref="A2" location="'Table of Contents'!A1" display="Back to Table of Contents" xr:uid="{00000000-0004-0000-9700-000000000000}"/>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theme="7" tint="-0.249977111117893"/>
  </sheetPr>
  <dimension ref="A1:H6"/>
  <sheetViews>
    <sheetView showGridLines="0" workbookViewId="0"/>
  </sheetViews>
  <sheetFormatPr defaultColWidth="9.1796875" defaultRowHeight="14.5" x14ac:dyDescent="0.35"/>
  <sheetData>
    <row r="1" spans="1:8" ht="15.5" x14ac:dyDescent="0.35">
      <c r="A1" s="514" t="s">
        <v>1117</v>
      </c>
      <c r="B1" s="514"/>
      <c r="C1" s="514"/>
    </row>
    <row r="2" spans="1:8" ht="15.5" x14ac:dyDescent="0.35">
      <c r="A2" s="591" t="s">
        <v>201</v>
      </c>
      <c r="B2" s="441"/>
      <c r="C2" s="441"/>
    </row>
    <row r="4" spans="1:8" ht="15.5" x14ac:dyDescent="0.35">
      <c r="A4" s="439" t="s">
        <v>1048</v>
      </c>
      <c r="B4" s="439"/>
      <c r="C4" s="439"/>
      <c r="D4" s="439"/>
      <c r="E4" s="439"/>
      <c r="F4" s="439"/>
      <c r="G4" s="439"/>
      <c r="H4" s="439"/>
    </row>
    <row r="5" spans="1:8" x14ac:dyDescent="0.35">
      <c r="A5" s="561" t="s">
        <v>451</v>
      </c>
    </row>
    <row r="6" spans="1:8" x14ac:dyDescent="0.35">
      <c r="A6" s="561" t="s">
        <v>171</v>
      </c>
    </row>
  </sheetData>
  <sheetProtection algorithmName="SHA-512" hashValue="HbF6woSLWH4FqM82ZLl4wUaKIMeugufhQ7iREcnkySX7I1XBXyu3na4T/elbUgDY0uSxSaIgcRw39C0X83LIFA==" saltValue="zKTBDJmpWDn2k0HD0+DrQA==" spinCount="100000" sheet="1" scenarios="1" formatCells="0" sort="0" autoFilter="0" pivotTables="0"/>
  <hyperlinks>
    <hyperlink ref="A2" location="'Table of Contents'!A1" display="Back to Table of Contents" xr:uid="{00000000-0004-0000-98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H20"/>
  <sheetViews>
    <sheetView showGridLines="0" workbookViewId="0">
      <pane ySplit="2" topLeftCell="A3" activePane="bottomLeft" state="frozen"/>
      <selection pane="bottomLeft" sqref="A1:C1"/>
    </sheetView>
  </sheetViews>
  <sheetFormatPr defaultRowHeight="14.5" x14ac:dyDescent="0.35"/>
  <cols>
    <col min="1" max="1" width="11" bestFit="1" customWidth="1"/>
    <col min="2" max="2" width="24" bestFit="1" customWidth="1"/>
  </cols>
  <sheetData>
    <row r="1" spans="1:8" ht="15.5" x14ac:dyDescent="0.35">
      <c r="A1" s="1011" t="s">
        <v>333</v>
      </c>
      <c r="B1" s="1011"/>
      <c r="C1" s="1011"/>
    </row>
    <row r="2" spans="1:8" ht="15.5" x14ac:dyDescent="0.35">
      <c r="A2" s="499" t="s">
        <v>201</v>
      </c>
      <c r="B2" s="441"/>
      <c r="C2" s="441"/>
    </row>
    <row r="4" spans="1:8" ht="15.5" x14ac:dyDescent="0.35">
      <c r="A4" s="1012" t="s">
        <v>450</v>
      </c>
      <c r="B4" s="1012"/>
      <c r="C4" s="1012"/>
      <c r="D4" s="1012"/>
      <c r="E4" s="1012"/>
      <c r="F4" s="1012"/>
      <c r="G4" s="1012"/>
      <c r="H4" s="1012"/>
    </row>
    <row r="5" spans="1:8" ht="15.75" customHeight="1" x14ac:dyDescent="0.35">
      <c r="A5" s="561" t="s">
        <v>451</v>
      </c>
    </row>
    <row r="6" spans="1:8" x14ac:dyDescent="0.35">
      <c r="A6" s="561" t="s">
        <v>43</v>
      </c>
      <c r="B6" s="513"/>
      <c r="C6" s="513"/>
      <c r="D6" s="513"/>
      <c r="E6" s="513" t="s">
        <v>335</v>
      </c>
      <c r="F6" s="513">
        <v>74</v>
      </c>
    </row>
    <row r="7" spans="1:8" x14ac:dyDescent="0.35">
      <c r="A7" s="513"/>
      <c r="B7" s="513"/>
      <c r="C7" s="513"/>
      <c r="D7" s="513"/>
      <c r="E7" s="513" t="s">
        <v>338</v>
      </c>
      <c r="F7" s="513">
        <v>240</v>
      </c>
    </row>
    <row r="8" spans="1:8" ht="15.75" customHeight="1" x14ac:dyDescent="0.35">
      <c r="A8" s="513"/>
      <c r="B8" s="513"/>
      <c r="C8" s="513"/>
      <c r="D8" s="513"/>
      <c r="E8" s="513" t="s">
        <v>339</v>
      </c>
      <c r="F8" s="513">
        <v>42</v>
      </c>
    </row>
    <row r="9" spans="1:8" x14ac:dyDescent="0.35">
      <c r="A9" s="513"/>
      <c r="B9" s="513"/>
      <c r="C9" s="513"/>
      <c r="D9" s="513"/>
      <c r="E9" s="513"/>
      <c r="F9" s="513"/>
    </row>
    <row r="10" spans="1:8" x14ac:dyDescent="0.35">
      <c r="A10" s="513"/>
      <c r="B10" s="513"/>
      <c r="C10" s="513"/>
      <c r="D10" s="513"/>
      <c r="E10" s="513"/>
      <c r="F10" s="513"/>
    </row>
    <row r="11" spans="1:8" x14ac:dyDescent="0.35">
      <c r="A11" s="513"/>
      <c r="B11" s="513"/>
      <c r="C11" s="513"/>
      <c r="D11" s="513"/>
      <c r="E11" s="513"/>
      <c r="F11" s="513"/>
    </row>
    <row r="12" spans="1:8" x14ac:dyDescent="0.35">
      <c r="A12" s="513"/>
      <c r="B12" s="513"/>
      <c r="C12" s="513"/>
      <c r="D12" s="513"/>
      <c r="E12" s="513"/>
      <c r="F12" s="513"/>
    </row>
    <row r="13" spans="1:8" x14ac:dyDescent="0.35">
      <c r="A13" s="513"/>
      <c r="B13" s="513" t="s">
        <v>335</v>
      </c>
      <c r="C13" s="513">
        <v>74</v>
      </c>
      <c r="D13" s="513"/>
      <c r="E13" s="513"/>
      <c r="F13" s="513"/>
    </row>
    <row r="14" spans="1:8" x14ac:dyDescent="0.35">
      <c r="A14" s="513"/>
      <c r="B14" s="513" t="s">
        <v>338</v>
      </c>
      <c r="C14" s="513">
        <v>240</v>
      </c>
      <c r="D14" s="513"/>
      <c r="E14" s="513"/>
      <c r="F14" s="513"/>
    </row>
    <row r="15" spans="1:8" x14ac:dyDescent="0.35">
      <c r="A15" s="513"/>
      <c r="B15" s="513" t="s">
        <v>339</v>
      </c>
      <c r="C15" s="513">
        <v>42</v>
      </c>
      <c r="D15" s="513"/>
      <c r="E15" s="513"/>
      <c r="F15" s="513"/>
    </row>
    <row r="16" spans="1:8" x14ac:dyDescent="0.35">
      <c r="A16" s="513"/>
      <c r="B16" s="513"/>
      <c r="C16" s="513"/>
      <c r="D16" s="513"/>
      <c r="E16" s="513"/>
      <c r="F16" s="513"/>
    </row>
    <row r="17" spans="1:6" x14ac:dyDescent="0.35">
      <c r="A17" s="513"/>
      <c r="B17" s="513"/>
      <c r="C17" s="513"/>
      <c r="D17" s="513"/>
      <c r="E17" s="513"/>
      <c r="F17" s="513"/>
    </row>
    <row r="18" spans="1:6" x14ac:dyDescent="0.35">
      <c r="A18" s="513"/>
      <c r="B18" s="513"/>
      <c r="C18" s="513"/>
      <c r="D18" s="513"/>
      <c r="E18" s="513"/>
      <c r="F18" s="513"/>
    </row>
    <row r="19" spans="1:6" x14ac:dyDescent="0.35">
      <c r="A19" s="513"/>
      <c r="B19" s="513"/>
      <c r="C19" s="513"/>
      <c r="D19" s="513"/>
      <c r="E19" s="513"/>
      <c r="F19" s="513"/>
    </row>
    <row r="20" spans="1:6" x14ac:dyDescent="0.35">
      <c r="A20" s="513"/>
      <c r="B20" s="513"/>
      <c r="C20" s="513"/>
      <c r="D20" s="513"/>
      <c r="E20" s="513"/>
      <c r="F20" s="513"/>
    </row>
  </sheetData>
  <sheetProtection algorithmName="SHA-512" hashValue="eeTuw6wmamP4jSWmZK0GslicZOmxeCBNdAZv44QddA1C6OidkhIhU+FLcdbj93/klEH1jkmvAfh45Zqi0bh2jQ==" saltValue="QeOn5hg81XKlJLvlwgh/+A==" spinCount="100000" sheet="1" scenarios="1" formatCells="0" sort="0" autoFilter="0" pivotTables="0"/>
  <mergeCells count="2">
    <mergeCell ref="A1:C1"/>
    <mergeCell ref="A4:H4"/>
  </mergeCells>
  <hyperlinks>
    <hyperlink ref="A2" location="'Table of Contents'!A1" display="Back to Table of Contents" xr:uid="{00000000-0004-0000-0F00-000000000000}"/>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theme="7" tint="-0.249977111117893"/>
  </sheetPr>
  <dimension ref="A1:H6"/>
  <sheetViews>
    <sheetView showGridLines="0" workbookViewId="0"/>
  </sheetViews>
  <sheetFormatPr defaultColWidth="9.1796875" defaultRowHeight="14.5" x14ac:dyDescent="0.35"/>
  <sheetData>
    <row r="1" spans="1:8" ht="15.5" x14ac:dyDescent="0.35">
      <c r="A1" s="514" t="s">
        <v>1117</v>
      </c>
      <c r="B1" s="514"/>
      <c r="C1" s="514"/>
    </row>
    <row r="2" spans="1:8" ht="15.5" x14ac:dyDescent="0.35">
      <c r="A2" s="591" t="s">
        <v>201</v>
      </c>
      <c r="B2" s="441"/>
      <c r="C2" s="441"/>
    </row>
    <row r="4" spans="1:8" ht="15.75" customHeight="1" x14ac:dyDescent="0.35">
      <c r="A4" s="439" t="s">
        <v>1048</v>
      </c>
      <c r="B4" s="439"/>
      <c r="C4" s="439"/>
      <c r="D4" s="439"/>
      <c r="E4" s="439"/>
      <c r="F4" s="439"/>
      <c r="G4" s="439"/>
      <c r="H4" s="439"/>
    </row>
    <row r="5" spans="1:8" x14ac:dyDescent="0.35">
      <c r="A5" s="561" t="s">
        <v>451</v>
      </c>
    </row>
    <row r="6" spans="1:8" x14ac:dyDescent="0.35">
      <c r="A6" s="561" t="s">
        <v>172</v>
      </c>
    </row>
  </sheetData>
  <sheetProtection algorithmName="SHA-512" hashValue="n8S3r2CZkzJjgHDb3TtUGOYjHkLNICCEdrVVKzfdfosKOJfnQw2lKIaEhQrzK5ZIlcXJ92mkKS9mx2n6hr9kqw==" saltValue="QQFIpgk7q4m67nnuUhyXoQ==" spinCount="100000" sheet="1" scenarios="1" formatCells="0" sort="0" autoFilter="0" pivotTables="0"/>
  <hyperlinks>
    <hyperlink ref="A2" location="'Table of Contents'!A1" display="Back to Table of Contents" xr:uid="{00000000-0004-0000-9900-000000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7" tint="-0.249977111117893"/>
  </sheetPr>
  <dimension ref="A1:H6"/>
  <sheetViews>
    <sheetView showGridLines="0" workbookViewId="0"/>
  </sheetViews>
  <sheetFormatPr defaultColWidth="9.1796875" defaultRowHeight="14.5" x14ac:dyDescent="0.35"/>
  <sheetData>
    <row r="1" spans="1:8" ht="15.5" x14ac:dyDescent="0.35">
      <c r="A1" s="514" t="s">
        <v>1117</v>
      </c>
      <c r="B1" s="514"/>
      <c r="C1" s="514"/>
    </row>
    <row r="2" spans="1:8" ht="15.5" x14ac:dyDescent="0.35">
      <c r="A2" s="591" t="s">
        <v>201</v>
      </c>
      <c r="B2" s="441"/>
      <c r="C2" s="441"/>
    </row>
    <row r="4" spans="1:8" ht="15.75" customHeight="1" x14ac:dyDescent="0.35">
      <c r="A4" s="439" t="s">
        <v>1058</v>
      </c>
      <c r="B4" s="439"/>
      <c r="C4" s="439"/>
      <c r="D4" s="439"/>
      <c r="E4" s="439"/>
      <c r="F4" s="439"/>
      <c r="G4" s="439"/>
      <c r="H4" s="439"/>
    </row>
    <row r="5" spans="1:8" x14ac:dyDescent="0.35">
      <c r="A5" s="561" t="s">
        <v>451</v>
      </c>
    </row>
    <row r="6" spans="1:8" x14ac:dyDescent="0.35">
      <c r="A6" s="561" t="s">
        <v>174</v>
      </c>
    </row>
  </sheetData>
  <sheetProtection algorithmName="SHA-512" hashValue="h3NFqDO/my6OHZ9xhqmZPEA0dDpJiqsibMh65S5rgTb4l8IylO4stF5nf9Y5FXnR8SudBrm6rDE6obPF6h6Ogg==" saltValue="RSe9OjnYDZOxBvLEtb2xuQ==" spinCount="100000" sheet="1" scenarios="1" formatCells="0" sort="0" autoFilter="0" pivotTables="0"/>
  <hyperlinks>
    <hyperlink ref="A2" location="'Table of Contents'!A1" display="Back to Table of Contents" xr:uid="{00000000-0004-0000-9A00-000000000000}"/>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5" x14ac:dyDescent="0.35">
      <c r="A4" s="1012" t="s">
        <v>1122</v>
      </c>
      <c r="B4" s="1012"/>
      <c r="C4" s="1012"/>
      <c r="D4" s="1012"/>
      <c r="E4" s="1012"/>
      <c r="F4" s="1012"/>
      <c r="G4" s="1012"/>
      <c r="H4" s="1012"/>
    </row>
    <row r="5" spans="1:8" x14ac:dyDescent="0.35">
      <c r="A5" s="561" t="s">
        <v>451</v>
      </c>
    </row>
    <row r="6" spans="1:8" x14ac:dyDescent="0.35">
      <c r="A6" s="561" t="s">
        <v>175</v>
      </c>
    </row>
  </sheetData>
  <sheetProtection algorithmName="SHA-512" hashValue="6RPY9OAqOwrJZwmTUDOa9Nl/ifdxJXqOCSfp6h4rsuIZ6jZ8s2shJywUJKRtsKCqFn2wHrP+9JOD+4NQVkfLjg==" saltValue="rvYJnelMAFLFbkk4XlQ8hg==" spinCount="100000" sheet="1" scenarios="1" formatCells="0" sort="0" autoFilter="0" pivotTables="0"/>
  <mergeCells count="1">
    <mergeCell ref="A4:H4"/>
  </mergeCells>
  <hyperlinks>
    <hyperlink ref="A2" location="'Table of Contents'!A1" display="Back to Table of Contents" xr:uid="{00000000-0004-0000-9B00-000000000000}"/>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theme="7" tint="-0.249977111117893"/>
  </sheetPr>
  <dimension ref="A1:H32"/>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5" x14ac:dyDescent="0.35">
      <c r="A4" s="1012" t="s">
        <v>1123</v>
      </c>
      <c r="B4" s="1012"/>
      <c r="C4" s="1012"/>
      <c r="D4" s="1012"/>
      <c r="E4" s="1012"/>
      <c r="F4" s="1012"/>
      <c r="G4" s="1012"/>
      <c r="H4" s="1012"/>
    </row>
    <row r="5" spans="1:8" x14ac:dyDescent="0.35">
      <c r="A5" s="561" t="s">
        <v>451</v>
      </c>
    </row>
    <row r="6" spans="1:8" x14ac:dyDescent="0.35">
      <c r="A6" s="561" t="s">
        <v>176</v>
      </c>
    </row>
    <row r="32" spans="1:1" x14ac:dyDescent="0.35">
      <c r="A32" s="312"/>
    </row>
  </sheetData>
  <sheetProtection algorithmName="SHA-512" hashValue="vP1745KVj3T1mLXRxAhVKj4HO2t8CC2JDkIiGBOUedXmNb1YYyrq+DOiu60vkN7jeIalNfi7Dl0EHibS9WTG+A==" saltValue="36NtHxqdMSEyPTVdAqrT8g==" spinCount="100000" sheet="1" scenarios="1" formatCells="0" sort="0" autoFilter="0" pivotTables="0"/>
  <mergeCells count="1">
    <mergeCell ref="A4:H4"/>
  </mergeCells>
  <hyperlinks>
    <hyperlink ref="A2" location="'Table of Contents'!A1" display="Back to Table of Contents" xr:uid="{00000000-0004-0000-9C00-000000000000}"/>
  </hyperlinks>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75" customHeight="1" x14ac:dyDescent="0.35">
      <c r="A4" s="515" t="s">
        <v>1124</v>
      </c>
      <c r="B4" s="515"/>
      <c r="C4" s="515"/>
      <c r="D4" s="515"/>
      <c r="E4" s="515"/>
      <c r="F4" s="515"/>
      <c r="G4" s="515"/>
      <c r="H4" s="515"/>
    </row>
    <row r="5" spans="1:8" x14ac:dyDescent="0.35">
      <c r="A5" s="561" t="s">
        <v>451</v>
      </c>
    </row>
    <row r="6" spans="1:8" x14ac:dyDescent="0.35">
      <c r="A6" s="561" t="s">
        <v>177</v>
      </c>
    </row>
  </sheetData>
  <sheetProtection algorithmName="SHA-512" hashValue="uB/rszEGdPhlYJQu+ygR1gNA9/b69DtZEu6jtIqjTJK1CGN6+SHL/8HAYlMWWX0sRMH6ICxfmTio7AKExG3cPg==" saltValue="fuEhlFn8Ox4UnD8f4VCEVQ==" spinCount="100000" sheet="1" scenarios="1" formatCells="0" sort="0" autoFilter="0" pivotTables="0"/>
  <hyperlinks>
    <hyperlink ref="A2" location="'Table of Contents'!A1" display="Back to Table of Contents" xr:uid="{00000000-0004-0000-9D00-000000000000}"/>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75" customHeight="1" x14ac:dyDescent="0.35">
      <c r="A4" s="515" t="s">
        <v>1125</v>
      </c>
      <c r="B4" s="515"/>
      <c r="C4" s="515"/>
      <c r="D4" s="515"/>
      <c r="E4" s="515"/>
      <c r="F4" s="515"/>
      <c r="G4" s="515"/>
      <c r="H4" s="515"/>
    </row>
    <row r="5" spans="1:8" x14ac:dyDescent="0.35">
      <c r="A5" s="561" t="s">
        <v>451</v>
      </c>
    </row>
    <row r="6" spans="1:8" x14ac:dyDescent="0.35">
      <c r="A6" s="561" t="s">
        <v>178</v>
      </c>
    </row>
  </sheetData>
  <sheetProtection algorithmName="SHA-512" hashValue="b+zQzZ4RgtJYQ2+SoeCRETPcoYgHsKA2rizSGTZAVLUDrKaL0rL3Bac59FJY+dF7J6HdTHq8F1ZEYwLNpXd+9A==" saltValue="SvdEh86hcqxXCy6gJaEiKA==" spinCount="100000" sheet="1" scenarios="1" formatCells="0" sort="0" autoFilter="0" pivotTables="0"/>
  <hyperlinks>
    <hyperlink ref="A2" location="'Table of Contents'!A1" display="Back to Table of Contents" xr:uid="{00000000-0004-0000-9E00-000000000000}"/>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1117</v>
      </c>
      <c r="B1" s="514"/>
      <c r="C1" s="514"/>
    </row>
    <row r="2" spans="1:8" ht="15.5" x14ac:dyDescent="0.35">
      <c r="A2" s="499" t="s">
        <v>201</v>
      </c>
      <c r="B2" s="441"/>
      <c r="C2" s="441"/>
    </row>
    <row r="4" spans="1:8" ht="15.75" customHeight="1" x14ac:dyDescent="0.35">
      <c r="A4" s="515" t="s">
        <v>1126</v>
      </c>
      <c r="B4" s="515"/>
      <c r="C4" s="515"/>
      <c r="D4" s="515"/>
      <c r="E4" s="515"/>
      <c r="F4" s="515"/>
      <c r="G4" s="515"/>
      <c r="H4" s="515"/>
    </row>
    <row r="5" spans="1:8" x14ac:dyDescent="0.35">
      <c r="A5" s="561" t="s">
        <v>451</v>
      </c>
    </row>
    <row r="6" spans="1:8" x14ac:dyDescent="0.35">
      <c r="A6" s="561" t="s">
        <v>179</v>
      </c>
    </row>
  </sheetData>
  <sheetProtection algorithmName="SHA-512" hashValue="2ZTy7v/KJOhkdpPjVXF0gbdiYgUvfCb4sNzeFfuzN4ZbZNdIyPotPnLZp7BHDs7vOScx3X+zJw/ua7by22cROg==" saltValue="tAgOiDxQ7h+BKPfWJA2vAw==" spinCount="100000" sheet="1" scenarios="1" formatCells="0" sort="0" autoFilter="0" pivotTables="0"/>
  <hyperlinks>
    <hyperlink ref="A2" location="'Table of Contents'!A1" display="Back to Table of Contents" xr:uid="{00000000-0004-0000-9F00-000000000000}"/>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32">
    <tabColor theme="3" tint="0.39997558519241921"/>
    <pageSetUpPr fitToPage="1"/>
  </sheetPr>
  <dimension ref="A1:M55"/>
  <sheetViews>
    <sheetView showGridLines="0" workbookViewId="0">
      <pane ySplit="2" topLeftCell="A3" activePane="bottomLeft" state="frozen"/>
      <selection pane="bottomLeft"/>
    </sheetView>
  </sheetViews>
  <sheetFormatPr defaultRowHeight="14.5" x14ac:dyDescent="0.35"/>
  <cols>
    <col min="1" max="1" width="19" customWidth="1"/>
    <col min="2" max="2" width="6.54296875" bestFit="1" customWidth="1"/>
    <col min="3" max="3" width="19.453125" bestFit="1" customWidth="1"/>
    <col min="4" max="4" width="9.26953125" bestFit="1" customWidth="1"/>
    <col min="5" max="5" width="12.54296875" bestFit="1" customWidth="1"/>
    <col min="6" max="6" width="28.1796875" customWidth="1"/>
    <col min="7" max="7" width="10.54296875" customWidth="1"/>
    <col min="8" max="8" width="8.453125" customWidth="1"/>
  </cols>
  <sheetData>
    <row r="1" spans="1:11" ht="15.5" x14ac:dyDescent="0.35">
      <c r="A1" s="514" t="s">
        <v>1127</v>
      </c>
    </row>
    <row r="2" spans="1:11" x14ac:dyDescent="0.35">
      <c r="A2" s="499" t="s">
        <v>201</v>
      </c>
    </row>
    <row r="3" spans="1:11" x14ac:dyDescent="0.35">
      <c r="A3" s="25"/>
    </row>
    <row r="4" spans="1:11" ht="15.5" x14ac:dyDescent="0.35">
      <c r="A4" s="1051" t="s">
        <v>1128</v>
      </c>
      <c r="B4" s="1051"/>
      <c r="C4" s="1051"/>
      <c r="D4" s="1051"/>
      <c r="E4" s="1051"/>
      <c r="F4" s="1051"/>
      <c r="G4" s="1051"/>
      <c r="H4" s="1051"/>
      <c r="I4" s="1051"/>
      <c r="J4" s="1051"/>
      <c r="K4" s="1051"/>
    </row>
    <row r="5" spans="1:11" ht="15.5" x14ac:dyDescent="0.35">
      <c r="A5" t="s">
        <v>202</v>
      </c>
      <c r="B5" t="s">
        <v>182</v>
      </c>
      <c r="C5" s="500"/>
      <c r="D5" s="500"/>
      <c r="E5" s="500"/>
      <c r="F5" s="500"/>
      <c r="G5" s="500"/>
      <c r="H5" s="500"/>
      <c r="I5" s="500"/>
      <c r="J5" s="500"/>
      <c r="K5" s="500"/>
    </row>
    <row r="6" spans="1:11" ht="15.75" customHeight="1" x14ac:dyDescent="0.35">
      <c r="A6" t="s">
        <v>203</v>
      </c>
      <c r="B6" t="s">
        <v>204</v>
      </c>
      <c r="C6" s="500"/>
      <c r="D6" s="500"/>
      <c r="E6" s="500"/>
      <c r="F6" s="500"/>
      <c r="G6" s="500"/>
      <c r="H6" s="500"/>
      <c r="I6" s="500"/>
      <c r="J6" s="500"/>
      <c r="K6" s="500"/>
    </row>
    <row r="7" spans="1:11" ht="15.5" x14ac:dyDescent="0.35">
      <c r="A7" t="s">
        <v>205</v>
      </c>
      <c r="B7" t="s">
        <v>206</v>
      </c>
      <c r="C7" s="500"/>
      <c r="D7" s="500"/>
      <c r="E7" s="500"/>
      <c r="F7" s="500"/>
      <c r="G7" s="500"/>
      <c r="H7" s="500"/>
      <c r="I7" s="500"/>
      <c r="J7" s="500"/>
      <c r="K7" s="500"/>
    </row>
    <row r="8" spans="1:11" ht="15.5" x14ac:dyDescent="0.35">
      <c r="C8" s="500"/>
      <c r="D8" s="500"/>
      <c r="E8" s="500"/>
      <c r="F8" s="500"/>
      <c r="G8" s="500"/>
      <c r="H8" s="500"/>
      <c r="I8" s="500"/>
      <c r="J8" s="500"/>
      <c r="K8" s="500"/>
    </row>
    <row r="9" spans="1:11" ht="30.75" customHeight="1" x14ac:dyDescent="0.35">
      <c r="A9" s="663" t="s">
        <v>207</v>
      </c>
      <c r="B9" s="878" t="s">
        <v>183</v>
      </c>
      <c r="C9" s="879" t="s">
        <v>1129</v>
      </c>
      <c r="D9" s="879" t="s">
        <v>1130</v>
      </c>
      <c r="E9" s="879" t="s">
        <v>1131</v>
      </c>
      <c r="F9" s="879" t="s">
        <v>1132</v>
      </c>
      <c r="G9" s="879" t="s">
        <v>340</v>
      </c>
      <c r="H9" s="500"/>
      <c r="I9" s="500"/>
      <c r="J9" s="500"/>
      <c r="K9" s="500"/>
    </row>
    <row r="10" spans="1:11" ht="15.5" x14ac:dyDescent="0.35">
      <c r="A10" s="788" t="s">
        <v>365</v>
      </c>
      <c r="B10" s="602">
        <f>GETPIVOTDATA("Sum of Audits",WorkflowsPivot!$B$4,"Year",A10)</f>
        <v>8206</v>
      </c>
      <c r="C10" s="602"/>
      <c r="D10" s="602">
        <f>GETPIVOTDATA("Sum of Site Visits",WorkflowsPivot!$B$4,"Year",A10)</f>
        <v>1648</v>
      </c>
      <c r="E10" s="602">
        <f>GETPIVOTDATA("Sum of Consultations",WorkflowsPivot!$B$4,"Year",A10)</f>
        <v>2038</v>
      </c>
      <c r="F10" s="789"/>
      <c r="G10" s="790">
        <f>SUM(B10:F10)</f>
        <v>11892</v>
      </c>
      <c r="H10" s="500"/>
      <c r="I10" s="500"/>
      <c r="J10" s="500"/>
      <c r="K10" s="500"/>
    </row>
    <row r="11" spans="1:11" ht="15.5" x14ac:dyDescent="0.35">
      <c r="A11" s="312" t="s">
        <v>366</v>
      </c>
      <c r="B11" s="602">
        <f>GETPIVOTDATA("Sum of Audits",WorkflowsPivot!$B$4,"Year",A11)</f>
        <v>9834</v>
      </c>
      <c r="C11" s="602"/>
      <c r="D11" s="602">
        <f>GETPIVOTDATA("Sum of Site Visits",WorkflowsPivot!$B$4,"Year",A11)</f>
        <v>2373</v>
      </c>
      <c r="E11" s="602">
        <f>GETPIVOTDATA("Sum of Consultations",WorkflowsPivot!$B$4,"Year",A11)</f>
        <v>3501</v>
      </c>
      <c r="F11" s="789"/>
      <c r="G11" s="790">
        <f t="shared" ref="G11:G18" si="0">SUM(B11:F11)</f>
        <v>15708</v>
      </c>
      <c r="H11" s="500"/>
      <c r="I11" s="500"/>
      <c r="J11" s="500"/>
      <c r="K11" s="500"/>
    </row>
    <row r="12" spans="1:11" ht="15.5" x14ac:dyDescent="0.35">
      <c r="A12" s="312" t="s">
        <v>341</v>
      </c>
      <c r="B12" s="602">
        <f>GETPIVOTDATA("Sum of Audits",WorkflowsPivot!$B$4,"Year",A12)</f>
        <v>8939</v>
      </c>
      <c r="C12" s="602"/>
      <c r="D12" s="602">
        <f>GETPIVOTDATA("Sum of Site Visits",WorkflowsPivot!$B$4,"Year",A12)</f>
        <v>1461</v>
      </c>
      <c r="E12" s="602">
        <f>GETPIVOTDATA("Sum of Consultations",WorkflowsPivot!$B$4,"Year",A12)</f>
        <v>2582</v>
      </c>
      <c r="F12" s="789"/>
      <c r="G12" s="790">
        <f t="shared" si="0"/>
        <v>12982</v>
      </c>
      <c r="H12" s="500"/>
      <c r="I12" s="500"/>
      <c r="J12" s="500"/>
      <c r="K12" s="500"/>
    </row>
    <row r="13" spans="1:11" ht="15.5" x14ac:dyDescent="0.35">
      <c r="A13" s="312" t="s">
        <v>342</v>
      </c>
      <c r="B13" s="602">
        <f>GETPIVOTDATA("Sum of Audits",WorkflowsPivot!$B$4,"Year",A13)</f>
        <v>7635</v>
      </c>
      <c r="C13" s="602"/>
      <c r="D13" s="602">
        <f>GETPIVOTDATA("Sum of Site Visits",WorkflowsPivot!$B$4,"Year",A13)</f>
        <v>2592</v>
      </c>
      <c r="E13" s="602">
        <f>GETPIVOTDATA("Sum of Consultations",WorkflowsPivot!$B$4,"Year",A13)</f>
        <v>3241</v>
      </c>
      <c r="F13" s="789"/>
      <c r="G13" s="790">
        <f t="shared" si="0"/>
        <v>13468</v>
      </c>
      <c r="H13" s="500"/>
      <c r="I13" s="500"/>
      <c r="J13" s="500"/>
      <c r="K13" s="500"/>
    </row>
    <row r="14" spans="1:11" ht="15.5" x14ac:dyDescent="0.35">
      <c r="A14" s="312" t="s">
        <v>214</v>
      </c>
      <c r="B14" s="602">
        <f>GETPIVOTDATA("Sum of Audits",WorkflowsPivot!$B$4,"Year",A14)</f>
        <v>7872</v>
      </c>
      <c r="C14" s="602"/>
      <c r="D14" s="602">
        <f>GETPIVOTDATA("Sum of Site Visits",WorkflowsPivot!$B$4,"Year",A14)</f>
        <v>1973</v>
      </c>
      <c r="E14" s="602">
        <f>GETPIVOTDATA("Sum of Consultations",WorkflowsPivot!$B$4,"Year",A14)</f>
        <v>2746</v>
      </c>
      <c r="F14" s="791"/>
      <c r="G14" s="790">
        <f t="shared" si="0"/>
        <v>12591</v>
      </c>
      <c r="H14" s="500"/>
      <c r="I14" s="500"/>
      <c r="J14" s="500"/>
      <c r="K14" s="500"/>
    </row>
    <row r="15" spans="1:11" ht="15.5" x14ac:dyDescent="0.35">
      <c r="A15" s="312" t="s">
        <v>313</v>
      </c>
      <c r="B15" s="602">
        <f>GETPIVOTDATA("Sum of Audits",WorkflowsPivot!$B$4,"Year",A15)</f>
        <v>7261</v>
      </c>
      <c r="C15" s="602">
        <f>GETPIVOTDATA("Sum of Post Fire Short Audits",WorkflowsPivot!$B$4,"Year",A15)</f>
        <v>202</v>
      </c>
      <c r="D15" s="602">
        <f>GETPIVOTDATA("Sum of Site Visits",WorkflowsPivot!$B$4,"Year",A15)</f>
        <v>918</v>
      </c>
      <c r="E15" s="602">
        <f>GETPIVOTDATA("Sum of Consultations",WorkflowsPivot!$B$4,"Year",A15)</f>
        <v>2460</v>
      </c>
      <c r="F15" s="791">
        <f>GETPIVOTDATA("Count",WorkflowsPivot!$I$4,"Fiscal_Yr",A15)</f>
        <v>551</v>
      </c>
      <c r="G15" s="790">
        <f t="shared" si="0"/>
        <v>11392</v>
      </c>
      <c r="H15" s="500"/>
      <c r="I15" s="500"/>
      <c r="J15" s="500"/>
      <c r="K15" s="500"/>
    </row>
    <row r="16" spans="1:11" ht="15.5" x14ac:dyDescent="0.35">
      <c r="A16" s="312" t="s">
        <v>319</v>
      </c>
      <c r="B16" s="602">
        <f>GETPIVOTDATA("Sum of Audits",WorkflowsPivot!$B$4,"Year",A16)</f>
        <v>3319</v>
      </c>
      <c r="C16" s="602">
        <f>GETPIVOTDATA("Sum of Post Fire Short Audits",WorkflowsPivot!$B$4,"Year",A16)</f>
        <v>192</v>
      </c>
      <c r="D16" s="602">
        <f>GETPIVOTDATA("Sum of Site Visits",WorkflowsPivot!$B$4,"Year",A16)</f>
        <v>603</v>
      </c>
      <c r="E16" s="602">
        <f>GETPIVOTDATA("Sum of Consultations",WorkflowsPivot!$B$4,"Year",A16)</f>
        <v>2502</v>
      </c>
      <c r="F16" s="791">
        <f>GETPIVOTDATA("Count",WorkflowsPivot!$I$4,"Fiscal_Yr",A16)</f>
        <v>668</v>
      </c>
      <c r="G16" s="790">
        <f t="shared" si="0"/>
        <v>7284</v>
      </c>
      <c r="H16" s="500"/>
      <c r="I16" s="500"/>
      <c r="J16" s="500"/>
      <c r="K16" s="500"/>
    </row>
    <row r="17" spans="1:13" ht="15.5" x14ac:dyDescent="0.35">
      <c r="A17" s="312" t="s">
        <v>321</v>
      </c>
      <c r="B17" s="602">
        <f>GETPIVOTDATA("Sum of Audits",WorkflowsPivot!$B$4,"Year",A17)</f>
        <v>5688</v>
      </c>
      <c r="C17" s="602">
        <f>GETPIVOTDATA("Sum of Post Fire Short Audits",WorkflowsPivot!$B$4,"Year",A17)</f>
        <v>192</v>
      </c>
      <c r="D17" s="602">
        <f>GETPIVOTDATA("Sum of Site Visits",WorkflowsPivot!$B$4,"Year",A17)</f>
        <v>1158</v>
      </c>
      <c r="E17" s="602">
        <f>GETPIVOTDATA("Sum of Consultations",WorkflowsPivot!$B$4,"Year",A17)</f>
        <v>2106</v>
      </c>
      <c r="F17" s="791">
        <f>GETPIVOTDATA("Count",WorkflowsPivot!$I$4,"Fiscal_Yr",A17)</f>
        <v>722</v>
      </c>
      <c r="G17" s="790">
        <f t="shared" si="0"/>
        <v>9866</v>
      </c>
      <c r="H17" s="500"/>
      <c r="I17" s="500"/>
      <c r="J17" s="500"/>
      <c r="K17" s="500"/>
    </row>
    <row r="18" spans="1:13" ht="15.5" x14ac:dyDescent="0.35">
      <c r="A18" s="312" t="s">
        <v>326</v>
      </c>
      <c r="B18" s="602">
        <f>GETPIVOTDATA("Sum of Audits",WorkflowsPivot!$B$4,"Year",A18)</f>
        <v>6712</v>
      </c>
      <c r="C18" s="602">
        <f>GETPIVOTDATA("Sum of Post Fire Short Audits",WorkflowsPivot!$B$4,"Year",A18)</f>
        <v>203</v>
      </c>
      <c r="D18" s="602">
        <f>GETPIVOTDATA("Sum of Site Visits",WorkflowsPivot!$B$4,"Year",A18)</f>
        <v>1389</v>
      </c>
      <c r="E18" s="602">
        <f>GETPIVOTDATA("Sum of Consultations",WorkflowsPivot!$B$4,"Year",A18)</f>
        <v>1829</v>
      </c>
      <c r="F18" s="791">
        <f>GETPIVOTDATA("Count",WorkflowsPivot!$I$4,"Fiscal_Yr",A18)</f>
        <v>812</v>
      </c>
      <c r="G18" s="790">
        <f t="shared" si="0"/>
        <v>10945</v>
      </c>
      <c r="K18" s="500"/>
    </row>
    <row r="19" spans="1:13" ht="15.5" x14ac:dyDescent="0.35">
      <c r="A19" s="312" t="s">
        <v>327</v>
      </c>
      <c r="B19" s="602">
        <f>GETPIVOTDATA("Sum of Audits",WorkflowsPivot!$B$4,"Year",A19)</f>
        <v>7654</v>
      </c>
      <c r="C19" s="602">
        <f>GETPIVOTDATA("Sum of Post Fire Short Audits",WorkflowsPivot!$B$4,"Year",A19)</f>
        <v>208</v>
      </c>
      <c r="D19" s="602">
        <f>GETPIVOTDATA("Sum of Site Visits",WorkflowsPivot!$B$4,"Year",A19)</f>
        <v>1218</v>
      </c>
      <c r="E19" s="602">
        <f>GETPIVOTDATA("Sum of Consultations",WorkflowsPivot!$B$4,"Year",A19)</f>
        <v>3466</v>
      </c>
      <c r="F19" s="791">
        <f>GETPIVOTDATA("Count",WorkflowsPivot!$I$4,"Fiscal_Yr",A19)</f>
        <v>816</v>
      </c>
      <c r="G19" s="790">
        <f t="shared" ref="G19:G20" si="1">SUM(B19:F19)</f>
        <v>13362</v>
      </c>
      <c r="K19" s="500"/>
    </row>
    <row r="20" spans="1:13" ht="16" thickBot="1" x14ac:dyDescent="0.4">
      <c r="A20" s="525" t="s">
        <v>466</v>
      </c>
      <c r="B20" s="607">
        <f>GETPIVOTDATA("Sum of Audits",WorkflowsPivot!$B$4,"Year",A20)</f>
        <v>8768</v>
      </c>
      <c r="C20" s="607">
        <f>GETPIVOTDATA("Sum of Post Fire Short Audits",WorkflowsPivot!$B$4,"Year",A20)</f>
        <v>162</v>
      </c>
      <c r="D20" s="607">
        <f>GETPIVOTDATA("Sum of Site Visits",WorkflowsPivot!$B$4,"Year",A20)</f>
        <v>1601</v>
      </c>
      <c r="E20" s="607">
        <f>GETPIVOTDATA("Sum of Consultations",WorkflowsPivot!$B$4,"Year",A20)</f>
        <v>2890</v>
      </c>
      <c r="F20" s="880">
        <f>GETPIVOTDATA("Count",WorkflowsPivot!$I$4,"Fiscal_Yr",A20)</f>
        <v>770</v>
      </c>
      <c r="G20" s="792">
        <f t="shared" si="1"/>
        <v>14191</v>
      </c>
      <c r="K20" s="500"/>
    </row>
    <row r="21" spans="1:13" ht="15.5" x14ac:dyDescent="0.35">
      <c r="A21" s="312"/>
      <c r="C21" s="500"/>
      <c r="D21" s="500"/>
      <c r="E21" s="500"/>
      <c r="F21" s="500"/>
      <c r="K21" s="500"/>
    </row>
    <row r="22" spans="1:13" x14ac:dyDescent="0.35">
      <c r="A22" s="334" t="s">
        <v>329</v>
      </c>
      <c r="B22" s="25"/>
      <c r="C22" s="25"/>
      <c r="D22" s="25"/>
      <c r="E22" s="25"/>
      <c r="G22" s="558"/>
      <c r="H22" s="558"/>
      <c r="I22" s="558"/>
      <c r="K22" s="15"/>
      <c r="L22" s="235"/>
      <c r="M22" s="235"/>
    </row>
    <row r="23" spans="1:13" ht="31" customHeight="1" x14ac:dyDescent="0.35">
      <c r="A23" s="1044" t="s">
        <v>1133</v>
      </c>
      <c r="B23" s="1044"/>
      <c r="C23" s="1044"/>
      <c r="D23" s="1044"/>
      <c r="E23" s="1044"/>
      <c r="F23" s="1044"/>
      <c r="G23" s="1044"/>
      <c r="H23" s="1044"/>
      <c r="I23" s="558"/>
      <c r="J23" s="558"/>
    </row>
    <row r="24" spans="1:13" ht="30.65" customHeight="1" x14ac:dyDescent="0.35">
      <c r="A24" s="1044" t="s">
        <v>1134</v>
      </c>
      <c r="B24" s="1044"/>
      <c r="C24" s="1044"/>
      <c r="D24" s="1044"/>
      <c r="E24" s="1044"/>
      <c r="F24" s="1044"/>
      <c r="G24" s="1044"/>
      <c r="H24" s="1044"/>
      <c r="I24" s="559"/>
      <c r="J24" s="559"/>
    </row>
    <row r="25" spans="1:13" ht="30.65" customHeight="1" x14ac:dyDescent="0.35">
      <c r="A25" s="1014" t="s">
        <v>1135</v>
      </c>
      <c r="B25" s="1014"/>
      <c r="C25" s="1014"/>
      <c r="D25" s="1014"/>
      <c r="E25" s="1014"/>
      <c r="F25" s="1014"/>
      <c r="G25" s="1014"/>
      <c r="H25" s="1014"/>
      <c r="I25" s="559"/>
    </row>
    <row r="26" spans="1:13" ht="31" customHeight="1" x14ac:dyDescent="0.35">
      <c r="A26" s="1014" t="s">
        <v>1136</v>
      </c>
      <c r="B26" s="1014"/>
      <c r="C26" s="1014"/>
      <c r="D26" s="1014"/>
      <c r="E26" s="1014"/>
      <c r="F26" s="1014"/>
      <c r="G26" s="1014"/>
      <c r="H26" s="1014"/>
    </row>
    <row r="27" spans="1:13" ht="15.75" customHeight="1" x14ac:dyDescent="0.35"/>
    <row r="52" spans="1:8" ht="30" customHeight="1" x14ac:dyDescent="0.35"/>
    <row r="53" spans="1:8" x14ac:dyDescent="0.35">
      <c r="G53" s="558"/>
      <c r="H53" s="558"/>
    </row>
    <row r="55" spans="1:8" x14ac:dyDescent="0.35">
      <c r="A55" s="357"/>
      <c r="C55" s="364"/>
      <c r="D55" s="558"/>
      <c r="E55" s="558"/>
      <c r="F55" s="558"/>
    </row>
  </sheetData>
  <sheetProtection algorithmName="SHA-512" hashValue="XZNvKNXCxkmj3jP9MDCguJ733QzFU/AC0oYQ77s3K9gnfrDgjUC0jFLE3OM3YOmFTCM7URlPTC7e0Pf+oFcLMQ==" saltValue="ac/14M+iLxomHU2zWCNvZw==" spinCount="100000" sheet="1" scenarios="1" formatCells="0" sort="0" autoFilter="0" pivotTables="0"/>
  <mergeCells count="5">
    <mergeCell ref="A23:H23"/>
    <mergeCell ref="A24:H24"/>
    <mergeCell ref="A25:H25"/>
    <mergeCell ref="A26:H26"/>
    <mergeCell ref="A4:K4"/>
  </mergeCells>
  <hyperlinks>
    <hyperlink ref="A2" location="'Table of Contents'!A1" display="Back to Table of Contents" xr:uid="{00000000-0004-0000-A0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BDD3-432E-41AD-AF6D-8B20DF027600}">
  <sheetPr>
    <tabColor theme="3" tint="0.39997558519241921"/>
  </sheetPr>
  <dimension ref="B4:J16"/>
  <sheetViews>
    <sheetView topLeftCell="C1" workbookViewId="0">
      <selection activeCell="I4" sqref="I4"/>
    </sheetView>
  </sheetViews>
  <sheetFormatPr defaultRowHeight="14.5" x14ac:dyDescent="0.35"/>
  <cols>
    <col min="2" max="2" width="12.54296875" bestFit="1" customWidth="1"/>
    <col min="3" max="3" width="12.81640625" bestFit="1" customWidth="1"/>
    <col min="4" max="4" width="25.81640625" bestFit="1" customWidth="1"/>
    <col min="5" max="5" width="15.54296875" bestFit="1" customWidth="1"/>
    <col min="6" max="6" width="19.1796875" bestFit="1" customWidth="1"/>
    <col min="9" max="9" width="12.54296875" bestFit="1" customWidth="1"/>
    <col min="10" max="10" width="12.26953125" bestFit="1" customWidth="1"/>
  </cols>
  <sheetData>
    <row r="4" spans="2:10" x14ac:dyDescent="0.35">
      <c r="B4" s="387" t="s">
        <v>350</v>
      </c>
      <c r="C4" t="s">
        <v>1137</v>
      </c>
      <c r="D4" t="s">
        <v>1138</v>
      </c>
      <c r="E4" t="s">
        <v>1139</v>
      </c>
      <c r="F4" t="s">
        <v>1140</v>
      </c>
      <c r="I4" s="387" t="s">
        <v>350</v>
      </c>
      <c r="J4" t="s">
        <v>1141</v>
      </c>
    </row>
    <row r="5" spans="2:10" x14ac:dyDescent="0.35">
      <c r="B5" s="388" t="s">
        <v>365</v>
      </c>
      <c r="C5">
        <v>8206</v>
      </c>
      <c r="E5">
        <v>1648</v>
      </c>
      <c r="F5">
        <v>2038</v>
      </c>
      <c r="I5" s="388" t="s">
        <v>313</v>
      </c>
      <c r="J5">
        <v>551</v>
      </c>
    </row>
    <row r="6" spans="2:10" x14ac:dyDescent="0.35">
      <c r="B6" s="388" t="s">
        <v>366</v>
      </c>
      <c r="C6">
        <v>9834</v>
      </c>
      <c r="E6">
        <v>2373</v>
      </c>
      <c r="F6">
        <v>3501</v>
      </c>
      <c r="I6" s="388" t="s">
        <v>319</v>
      </c>
      <c r="J6">
        <v>668</v>
      </c>
    </row>
    <row r="7" spans="2:10" x14ac:dyDescent="0.35">
      <c r="B7" s="388" t="s">
        <v>341</v>
      </c>
      <c r="C7">
        <v>8939</v>
      </c>
      <c r="E7">
        <v>1461</v>
      </c>
      <c r="F7">
        <v>2582</v>
      </c>
      <c r="I7" s="388" t="s">
        <v>321</v>
      </c>
      <c r="J7">
        <v>722</v>
      </c>
    </row>
    <row r="8" spans="2:10" x14ac:dyDescent="0.35">
      <c r="B8" s="388" t="s">
        <v>342</v>
      </c>
      <c r="C8">
        <v>7635</v>
      </c>
      <c r="E8">
        <v>2592</v>
      </c>
      <c r="F8">
        <v>3241</v>
      </c>
      <c r="I8" s="388" t="s">
        <v>326</v>
      </c>
      <c r="J8">
        <v>812</v>
      </c>
    </row>
    <row r="9" spans="2:10" x14ac:dyDescent="0.35">
      <c r="B9" s="388" t="s">
        <v>214</v>
      </c>
      <c r="C9">
        <v>7872</v>
      </c>
      <c r="E9">
        <v>1973</v>
      </c>
      <c r="F9">
        <v>2746</v>
      </c>
      <c r="I9" s="388" t="s">
        <v>327</v>
      </c>
      <c r="J9">
        <v>816</v>
      </c>
    </row>
    <row r="10" spans="2:10" x14ac:dyDescent="0.35">
      <c r="B10" s="388" t="s">
        <v>313</v>
      </c>
      <c r="C10">
        <v>7261</v>
      </c>
      <c r="D10">
        <v>202</v>
      </c>
      <c r="E10">
        <v>918</v>
      </c>
      <c r="F10">
        <v>2460</v>
      </c>
      <c r="I10" s="388" t="s">
        <v>466</v>
      </c>
      <c r="J10">
        <v>770</v>
      </c>
    </row>
    <row r="11" spans="2:10" x14ac:dyDescent="0.35">
      <c r="B11" s="388" t="s">
        <v>319</v>
      </c>
      <c r="C11">
        <v>3319</v>
      </c>
      <c r="D11">
        <v>192</v>
      </c>
      <c r="E11">
        <v>603</v>
      </c>
      <c r="F11">
        <v>2502</v>
      </c>
      <c r="I11" s="388" t="s">
        <v>357</v>
      </c>
      <c r="J11">
        <v>4339</v>
      </c>
    </row>
    <row r="12" spans="2:10" x14ac:dyDescent="0.35">
      <c r="B12" s="388" t="s">
        <v>321</v>
      </c>
      <c r="C12">
        <v>5688</v>
      </c>
      <c r="D12">
        <v>192</v>
      </c>
      <c r="E12">
        <v>1158</v>
      </c>
      <c r="F12">
        <v>2106</v>
      </c>
    </row>
    <row r="13" spans="2:10" x14ac:dyDescent="0.35">
      <c r="B13" s="388" t="s">
        <v>326</v>
      </c>
      <c r="C13">
        <v>6712</v>
      </c>
      <c r="D13">
        <v>203</v>
      </c>
      <c r="E13">
        <v>1389</v>
      </c>
      <c r="F13">
        <v>1829</v>
      </c>
    </row>
    <row r="14" spans="2:10" x14ac:dyDescent="0.35">
      <c r="B14" s="388" t="s">
        <v>327</v>
      </c>
      <c r="C14">
        <v>7654</v>
      </c>
      <c r="D14">
        <v>208</v>
      </c>
      <c r="E14">
        <v>1218</v>
      </c>
      <c r="F14">
        <v>3466</v>
      </c>
    </row>
    <row r="15" spans="2:10" x14ac:dyDescent="0.35">
      <c r="B15" s="388" t="s">
        <v>466</v>
      </c>
      <c r="C15">
        <v>8768</v>
      </c>
      <c r="D15">
        <v>162</v>
      </c>
      <c r="E15">
        <v>1601</v>
      </c>
      <c r="F15">
        <v>2890</v>
      </c>
    </row>
    <row r="16" spans="2:10" x14ac:dyDescent="0.35">
      <c r="B16" s="388" t="s">
        <v>357</v>
      </c>
      <c r="C16">
        <v>81888</v>
      </c>
      <c r="D16">
        <v>1159</v>
      </c>
      <c r="E16">
        <v>16934</v>
      </c>
      <c r="F16">
        <v>29361</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6192-9E92-4E0C-BD44-AB20E562CE77}">
  <sheetPr>
    <tabColor theme="3" tint="0.39997558519241921"/>
  </sheetPr>
  <dimension ref="A3:K14"/>
  <sheetViews>
    <sheetView workbookViewId="0"/>
  </sheetViews>
  <sheetFormatPr defaultRowHeight="14.5" x14ac:dyDescent="0.35"/>
  <cols>
    <col min="1" max="1" width="7.453125" bestFit="1" customWidth="1"/>
    <col min="3" max="3" width="21.54296875" bestFit="1" customWidth="1"/>
    <col min="4" max="4" width="11.54296875" bestFit="1" customWidth="1"/>
    <col min="5" max="5" width="15" bestFit="1" customWidth="1"/>
    <col min="10" max="10" width="10.54296875" bestFit="1" customWidth="1"/>
    <col min="11" max="11" width="8.26953125" bestFit="1" customWidth="1"/>
  </cols>
  <sheetData>
    <row r="3" spans="1:11" x14ac:dyDescent="0.35">
      <c r="A3" t="s">
        <v>207</v>
      </c>
      <c r="B3" t="s">
        <v>183</v>
      </c>
      <c r="C3" t="s">
        <v>1142</v>
      </c>
      <c r="D3" t="s">
        <v>1130</v>
      </c>
      <c r="E3" t="s">
        <v>1131</v>
      </c>
      <c r="J3" t="s">
        <v>376</v>
      </c>
      <c r="K3" t="s">
        <v>1143</v>
      </c>
    </row>
    <row r="4" spans="1:11" x14ac:dyDescent="0.35">
      <c r="A4" t="s">
        <v>365</v>
      </c>
      <c r="B4">
        <v>8206</v>
      </c>
      <c r="D4">
        <v>1648</v>
      </c>
      <c r="E4">
        <v>2038</v>
      </c>
      <c r="J4" t="s">
        <v>313</v>
      </c>
      <c r="K4">
        <v>551</v>
      </c>
    </row>
    <row r="5" spans="1:11" x14ac:dyDescent="0.35">
      <c r="A5" t="s">
        <v>366</v>
      </c>
      <c r="B5">
        <v>9834</v>
      </c>
      <c r="D5">
        <v>2373</v>
      </c>
      <c r="E5">
        <v>3501</v>
      </c>
      <c r="J5" t="s">
        <v>319</v>
      </c>
      <c r="K5">
        <v>668</v>
      </c>
    </row>
    <row r="6" spans="1:11" x14ac:dyDescent="0.35">
      <c r="A6" t="s">
        <v>341</v>
      </c>
      <c r="B6">
        <v>8939</v>
      </c>
      <c r="D6">
        <v>1461</v>
      </c>
      <c r="E6">
        <v>2582</v>
      </c>
      <c r="J6" t="s">
        <v>321</v>
      </c>
      <c r="K6">
        <v>722</v>
      </c>
    </row>
    <row r="7" spans="1:11" x14ac:dyDescent="0.35">
      <c r="A7" t="s">
        <v>342</v>
      </c>
      <c r="B7">
        <v>7635</v>
      </c>
      <c r="D7">
        <v>2592</v>
      </c>
      <c r="E7">
        <v>3241</v>
      </c>
      <c r="J7" t="s">
        <v>326</v>
      </c>
      <c r="K7">
        <v>812</v>
      </c>
    </row>
    <row r="8" spans="1:11" x14ac:dyDescent="0.35">
      <c r="A8" t="s">
        <v>214</v>
      </c>
      <c r="B8">
        <v>7872</v>
      </c>
      <c r="D8">
        <v>1973</v>
      </c>
      <c r="E8">
        <v>2746</v>
      </c>
      <c r="J8" t="s">
        <v>327</v>
      </c>
      <c r="K8">
        <v>816</v>
      </c>
    </row>
    <row r="9" spans="1:11" x14ac:dyDescent="0.35">
      <c r="A9" t="s">
        <v>313</v>
      </c>
      <c r="B9">
        <v>7261</v>
      </c>
      <c r="C9">
        <v>202</v>
      </c>
      <c r="D9">
        <v>918</v>
      </c>
      <c r="E9">
        <v>2460</v>
      </c>
      <c r="J9" t="s">
        <v>466</v>
      </c>
      <c r="K9">
        <v>770</v>
      </c>
    </row>
    <row r="10" spans="1:11" x14ac:dyDescent="0.35">
      <c r="A10" t="s">
        <v>319</v>
      </c>
      <c r="B10">
        <v>3319</v>
      </c>
      <c r="C10">
        <v>192</v>
      </c>
      <c r="D10">
        <v>603</v>
      </c>
      <c r="E10">
        <v>2502</v>
      </c>
    </row>
    <row r="11" spans="1:11" x14ac:dyDescent="0.35">
      <c r="A11" t="s">
        <v>321</v>
      </c>
      <c r="B11">
        <v>5688</v>
      </c>
      <c r="C11">
        <v>192</v>
      </c>
      <c r="D11">
        <v>1158</v>
      </c>
      <c r="E11">
        <v>2106</v>
      </c>
    </row>
    <row r="12" spans="1:11" x14ac:dyDescent="0.35">
      <c r="A12" t="s">
        <v>326</v>
      </c>
      <c r="B12">
        <v>6712</v>
      </c>
      <c r="C12">
        <v>203</v>
      </c>
      <c r="D12">
        <v>1389</v>
      </c>
      <c r="E12">
        <v>1829</v>
      </c>
    </row>
    <row r="13" spans="1:11" x14ac:dyDescent="0.35">
      <c r="A13" t="s">
        <v>327</v>
      </c>
      <c r="B13">
        <v>7654</v>
      </c>
      <c r="C13">
        <v>208</v>
      </c>
      <c r="D13">
        <v>1218</v>
      </c>
      <c r="E13">
        <v>3466</v>
      </c>
    </row>
    <row r="14" spans="1:11" x14ac:dyDescent="0.35">
      <c r="A14" t="s">
        <v>466</v>
      </c>
      <c r="B14">
        <v>8768</v>
      </c>
      <c r="C14">
        <v>162</v>
      </c>
      <c r="D14">
        <v>1601</v>
      </c>
      <c r="E14">
        <v>2890</v>
      </c>
    </row>
  </sheetData>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011" t="s">
        <v>333</v>
      </c>
      <c r="B1" s="1011"/>
      <c r="C1" s="1011"/>
    </row>
    <row r="2" spans="1:8" ht="15.5" x14ac:dyDescent="0.35">
      <c r="A2" s="499" t="s">
        <v>201</v>
      </c>
      <c r="B2" s="441"/>
      <c r="C2" s="441"/>
    </row>
    <row r="4" spans="1:8" ht="15.5" x14ac:dyDescent="0.35">
      <c r="A4" s="1012" t="s">
        <v>345</v>
      </c>
      <c r="B4" s="1012"/>
      <c r="C4" s="1012"/>
      <c r="D4" s="1012"/>
      <c r="E4" s="1012"/>
      <c r="F4" s="1012"/>
      <c r="G4" s="1012"/>
      <c r="H4" s="1012"/>
    </row>
    <row r="5" spans="1:8" x14ac:dyDescent="0.35">
      <c r="A5" s="561" t="s">
        <v>451</v>
      </c>
    </row>
    <row r="6" spans="1:8" x14ac:dyDescent="0.35">
      <c r="A6" s="561" t="s">
        <v>44</v>
      </c>
    </row>
  </sheetData>
  <sheetProtection algorithmName="SHA-512" hashValue="f0g6uvgzP0oIgyIKw0UOrhTzVa0hM2lh6P805+kWGb8Be2gOTEdM4gqj+rMGCgTNDjdOLnnWT7VLvMlj/kCZOg==" saltValue="OqCBUwu6ltP/ET3k8ivB6w==" spinCount="100000" sheet="1" scenarios="1" formatCells="0" sort="0" autoFilter="0" pivotTables="0"/>
  <mergeCells count="2">
    <mergeCell ref="A1:C1"/>
    <mergeCell ref="A4:H4"/>
  </mergeCells>
  <hyperlinks>
    <hyperlink ref="A2" location="'Table of Contents'!A1" display="Back to Table of Contents" xr:uid="{00000000-0004-0000-1000-000000000000}"/>
  </hyperlink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D35D0-5318-4840-B523-CD6F8AE0D322}">
  <sheetPr>
    <tabColor theme="3" tint="0.39997558519241921"/>
  </sheetPr>
  <dimension ref="B4:S20"/>
  <sheetViews>
    <sheetView workbookViewId="0">
      <selection activeCell="B5" sqref="B5:B19"/>
    </sheetView>
  </sheetViews>
  <sheetFormatPr defaultRowHeight="14.5" x14ac:dyDescent="0.35"/>
  <cols>
    <col min="2" max="2" width="28.453125" bestFit="1" customWidth="1"/>
    <col min="3" max="18" width="13.81640625" bestFit="1" customWidth="1"/>
    <col min="19" max="19" width="11.453125" bestFit="1" customWidth="1"/>
  </cols>
  <sheetData>
    <row r="4" spans="2:19" x14ac:dyDescent="0.35">
      <c r="B4" s="387" t="s">
        <v>350</v>
      </c>
      <c r="C4" t="s">
        <v>1144</v>
      </c>
      <c r="D4" t="s">
        <v>1145</v>
      </c>
      <c r="E4" t="s">
        <v>1146</v>
      </c>
      <c r="F4" t="s">
        <v>1147</v>
      </c>
      <c r="G4" t="s">
        <v>1148</v>
      </c>
      <c r="H4" t="s">
        <v>1149</v>
      </c>
      <c r="I4" t="s">
        <v>1012</v>
      </c>
      <c r="J4" t="s">
        <v>900</v>
      </c>
      <c r="K4" t="s">
        <v>901</v>
      </c>
      <c r="L4" t="s">
        <v>902</v>
      </c>
      <c r="M4" t="s">
        <v>903</v>
      </c>
      <c r="N4" t="s">
        <v>904</v>
      </c>
      <c r="O4" t="s">
        <v>905</v>
      </c>
      <c r="P4" t="s">
        <v>906</v>
      </c>
      <c r="Q4" t="s">
        <v>907</v>
      </c>
      <c r="R4" t="s">
        <v>908</v>
      </c>
      <c r="S4" t="s">
        <v>356</v>
      </c>
    </row>
    <row r="5" spans="2:19" x14ac:dyDescent="0.35">
      <c r="B5" s="388" t="s">
        <v>1150</v>
      </c>
      <c r="C5">
        <v>972</v>
      </c>
      <c r="D5">
        <v>1212</v>
      </c>
      <c r="E5">
        <v>1286</v>
      </c>
      <c r="F5">
        <v>1454</v>
      </c>
      <c r="G5">
        <v>0</v>
      </c>
      <c r="H5">
        <v>1506</v>
      </c>
      <c r="I5">
        <v>1760</v>
      </c>
      <c r="J5">
        <v>1719</v>
      </c>
      <c r="K5">
        <v>1653</v>
      </c>
      <c r="L5">
        <v>1775</v>
      </c>
      <c r="M5">
        <v>1486</v>
      </c>
      <c r="N5">
        <v>1341</v>
      </c>
      <c r="O5">
        <v>1409</v>
      </c>
      <c r="P5">
        <v>1606</v>
      </c>
      <c r="Q5">
        <v>1610</v>
      </c>
      <c r="R5">
        <v>1629</v>
      </c>
      <c r="S5">
        <v>14823</v>
      </c>
    </row>
    <row r="6" spans="2:19" x14ac:dyDescent="0.35">
      <c r="B6" s="388" t="s">
        <v>1151</v>
      </c>
      <c r="C6">
        <v>282</v>
      </c>
      <c r="D6">
        <v>304</v>
      </c>
      <c r="E6">
        <v>288</v>
      </c>
      <c r="F6">
        <v>408</v>
      </c>
      <c r="G6">
        <v>0</v>
      </c>
      <c r="H6">
        <v>412</v>
      </c>
      <c r="I6">
        <v>485</v>
      </c>
      <c r="J6">
        <v>329</v>
      </c>
      <c r="K6">
        <v>228</v>
      </c>
      <c r="L6">
        <v>267</v>
      </c>
      <c r="M6">
        <v>241</v>
      </c>
      <c r="N6">
        <v>86</v>
      </c>
      <c r="O6">
        <v>166</v>
      </c>
      <c r="P6">
        <v>172</v>
      </c>
      <c r="Q6">
        <v>222</v>
      </c>
      <c r="R6">
        <v>224</v>
      </c>
      <c r="S6">
        <v>3244</v>
      </c>
    </row>
    <row r="7" spans="2:19" x14ac:dyDescent="0.35">
      <c r="B7" s="388" t="s">
        <v>1152</v>
      </c>
      <c r="C7">
        <v>48</v>
      </c>
      <c r="D7">
        <v>49</v>
      </c>
      <c r="E7">
        <v>49</v>
      </c>
      <c r="F7">
        <v>62</v>
      </c>
      <c r="G7">
        <v>0</v>
      </c>
      <c r="H7">
        <v>28</v>
      </c>
      <c r="I7">
        <v>36</v>
      </c>
      <c r="J7">
        <v>21</v>
      </c>
      <c r="K7">
        <v>37</v>
      </c>
      <c r="L7">
        <v>31</v>
      </c>
      <c r="M7">
        <v>25</v>
      </c>
      <c r="N7">
        <v>10</v>
      </c>
      <c r="O7">
        <v>10</v>
      </c>
      <c r="P7">
        <v>25</v>
      </c>
      <c r="Q7">
        <v>11</v>
      </c>
      <c r="R7">
        <v>21</v>
      </c>
      <c r="S7">
        <v>386</v>
      </c>
    </row>
    <row r="8" spans="2:19" x14ac:dyDescent="0.35">
      <c r="B8" s="388" t="s">
        <v>1153</v>
      </c>
      <c r="C8">
        <v>0</v>
      </c>
      <c r="D8">
        <v>0</v>
      </c>
      <c r="E8">
        <v>0</v>
      </c>
      <c r="F8">
        <v>0</v>
      </c>
      <c r="G8">
        <v>0</v>
      </c>
      <c r="H8">
        <v>1947</v>
      </c>
      <c r="I8">
        <v>3062</v>
      </c>
      <c r="J8">
        <v>2650</v>
      </c>
      <c r="K8">
        <v>2077</v>
      </c>
      <c r="L8">
        <v>1862</v>
      </c>
      <c r="M8">
        <v>1951</v>
      </c>
      <c r="N8">
        <v>815</v>
      </c>
      <c r="O8">
        <v>1984</v>
      </c>
      <c r="P8">
        <v>1958</v>
      </c>
      <c r="Q8">
        <v>1827</v>
      </c>
      <c r="R8">
        <v>2400</v>
      </c>
      <c r="S8">
        <v>13549</v>
      </c>
    </row>
    <row r="9" spans="2:19" x14ac:dyDescent="0.35">
      <c r="B9" s="388" t="s">
        <v>1154</v>
      </c>
      <c r="C9">
        <v>136</v>
      </c>
      <c r="D9">
        <v>236</v>
      </c>
      <c r="E9">
        <v>197</v>
      </c>
      <c r="F9">
        <v>217</v>
      </c>
      <c r="G9">
        <v>0</v>
      </c>
      <c r="H9">
        <v>334</v>
      </c>
      <c r="I9">
        <v>451</v>
      </c>
      <c r="J9">
        <v>396</v>
      </c>
      <c r="K9">
        <v>367</v>
      </c>
      <c r="L9">
        <v>471</v>
      </c>
      <c r="M9">
        <v>298</v>
      </c>
      <c r="N9">
        <v>218</v>
      </c>
      <c r="O9">
        <v>238</v>
      </c>
      <c r="P9">
        <v>288</v>
      </c>
      <c r="Q9">
        <v>287</v>
      </c>
      <c r="R9">
        <v>320</v>
      </c>
      <c r="S9">
        <v>3103</v>
      </c>
    </row>
    <row r="10" spans="2:19" x14ac:dyDescent="0.35">
      <c r="B10" s="388" t="s">
        <v>1155</v>
      </c>
      <c r="C10">
        <v>137</v>
      </c>
      <c r="D10">
        <v>126</v>
      </c>
      <c r="E10">
        <v>138</v>
      </c>
      <c r="F10">
        <v>296</v>
      </c>
      <c r="G10">
        <v>0</v>
      </c>
      <c r="H10">
        <v>138</v>
      </c>
      <c r="I10">
        <v>119</v>
      </c>
      <c r="J10">
        <v>128</v>
      </c>
      <c r="K10">
        <v>104</v>
      </c>
      <c r="L10">
        <v>88</v>
      </c>
      <c r="M10">
        <v>71</v>
      </c>
      <c r="N10">
        <v>39</v>
      </c>
      <c r="O10">
        <v>24</v>
      </c>
      <c r="P10">
        <v>60</v>
      </c>
      <c r="Q10">
        <v>51</v>
      </c>
      <c r="R10">
        <v>59</v>
      </c>
      <c r="S10">
        <v>1345</v>
      </c>
    </row>
    <row r="11" spans="2:19" x14ac:dyDescent="0.35">
      <c r="B11" s="388" t="s">
        <v>1156</v>
      </c>
      <c r="C11">
        <v>1117</v>
      </c>
      <c r="D11">
        <v>1077</v>
      </c>
      <c r="E11">
        <v>1081</v>
      </c>
      <c r="F11">
        <v>1761</v>
      </c>
      <c r="G11">
        <v>0</v>
      </c>
      <c r="H11">
        <v>1109</v>
      </c>
      <c r="I11">
        <v>1263</v>
      </c>
      <c r="J11">
        <v>1138</v>
      </c>
      <c r="K11">
        <v>1167</v>
      </c>
      <c r="L11">
        <v>1030</v>
      </c>
      <c r="M11">
        <v>1081</v>
      </c>
      <c r="N11">
        <v>238</v>
      </c>
      <c r="O11">
        <v>656</v>
      </c>
      <c r="P11">
        <v>898</v>
      </c>
      <c r="Q11">
        <v>1110</v>
      </c>
      <c r="R11">
        <v>1000</v>
      </c>
      <c r="S11">
        <v>11824</v>
      </c>
    </row>
    <row r="12" spans="2:19" x14ac:dyDescent="0.35">
      <c r="B12" s="388" t="s">
        <v>1157</v>
      </c>
      <c r="C12">
        <v>794</v>
      </c>
      <c r="D12">
        <v>1016</v>
      </c>
      <c r="E12">
        <v>1014</v>
      </c>
      <c r="F12">
        <v>670</v>
      </c>
      <c r="G12">
        <v>0</v>
      </c>
      <c r="H12">
        <v>596</v>
      </c>
      <c r="I12">
        <v>494</v>
      </c>
      <c r="J12">
        <v>482</v>
      </c>
      <c r="K12">
        <v>332</v>
      </c>
      <c r="L12">
        <v>374</v>
      </c>
      <c r="M12">
        <v>289</v>
      </c>
      <c r="N12">
        <v>73</v>
      </c>
      <c r="O12">
        <v>132</v>
      </c>
      <c r="P12">
        <v>195</v>
      </c>
      <c r="Q12">
        <v>205</v>
      </c>
      <c r="R12">
        <v>313</v>
      </c>
      <c r="S12">
        <v>6061</v>
      </c>
    </row>
    <row r="13" spans="2:19" x14ac:dyDescent="0.35">
      <c r="B13" s="388" t="s">
        <v>1158</v>
      </c>
      <c r="C13">
        <v>311</v>
      </c>
      <c r="D13">
        <v>405</v>
      </c>
      <c r="E13">
        <v>483</v>
      </c>
      <c r="F13">
        <v>389</v>
      </c>
      <c r="G13">
        <v>0</v>
      </c>
      <c r="H13">
        <v>344</v>
      </c>
      <c r="I13">
        <v>379</v>
      </c>
      <c r="J13">
        <v>275</v>
      </c>
      <c r="K13">
        <v>220</v>
      </c>
      <c r="L13">
        <v>267</v>
      </c>
      <c r="M13">
        <v>285</v>
      </c>
      <c r="N13">
        <v>63</v>
      </c>
      <c r="O13">
        <v>110</v>
      </c>
      <c r="P13">
        <v>110</v>
      </c>
      <c r="Q13">
        <v>249</v>
      </c>
      <c r="R13">
        <v>212</v>
      </c>
      <c r="S13">
        <v>3358</v>
      </c>
    </row>
    <row r="14" spans="2:19" x14ac:dyDescent="0.35">
      <c r="B14" s="388" t="s">
        <v>1159</v>
      </c>
      <c r="C14">
        <v>287</v>
      </c>
      <c r="D14">
        <v>328</v>
      </c>
      <c r="E14">
        <v>260</v>
      </c>
      <c r="F14">
        <v>399</v>
      </c>
      <c r="G14">
        <v>0</v>
      </c>
      <c r="H14">
        <v>356</v>
      </c>
      <c r="I14">
        <v>320</v>
      </c>
      <c r="J14">
        <v>235</v>
      </c>
      <c r="K14">
        <v>240</v>
      </c>
      <c r="L14">
        <v>283</v>
      </c>
      <c r="M14">
        <v>279</v>
      </c>
      <c r="N14">
        <v>66</v>
      </c>
      <c r="O14">
        <v>176</v>
      </c>
      <c r="P14">
        <v>168</v>
      </c>
      <c r="Q14">
        <v>172</v>
      </c>
      <c r="R14">
        <v>209</v>
      </c>
      <c r="S14">
        <v>2987</v>
      </c>
    </row>
    <row r="15" spans="2:19" x14ac:dyDescent="0.35">
      <c r="B15" s="388" t="s">
        <v>1160</v>
      </c>
      <c r="C15">
        <v>284</v>
      </c>
      <c r="D15">
        <v>395</v>
      </c>
      <c r="E15">
        <v>430</v>
      </c>
      <c r="F15">
        <v>415</v>
      </c>
      <c r="G15">
        <v>0</v>
      </c>
      <c r="H15">
        <v>251</v>
      </c>
      <c r="I15">
        <v>351</v>
      </c>
      <c r="J15">
        <v>371</v>
      </c>
      <c r="K15">
        <v>408</v>
      </c>
      <c r="L15">
        <v>323</v>
      </c>
      <c r="M15">
        <v>470</v>
      </c>
      <c r="N15">
        <v>119</v>
      </c>
      <c r="O15">
        <v>290</v>
      </c>
      <c r="P15">
        <v>547</v>
      </c>
      <c r="Q15">
        <v>1256</v>
      </c>
      <c r="R15">
        <v>1572</v>
      </c>
      <c r="S15">
        <v>3698</v>
      </c>
    </row>
    <row r="16" spans="2:19" x14ac:dyDescent="0.35">
      <c r="B16" s="388" t="s">
        <v>1161</v>
      </c>
      <c r="C16">
        <v>154</v>
      </c>
      <c r="D16">
        <v>176</v>
      </c>
      <c r="E16">
        <v>342</v>
      </c>
      <c r="F16">
        <v>340</v>
      </c>
      <c r="G16">
        <v>0</v>
      </c>
      <c r="H16">
        <v>174</v>
      </c>
      <c r="I16">
        <v>198</v>
      </c>
      <c r="J16">
        <v>243</v>
      </c>
      <c r="K16">
        <v>113</v>
      </c>
      <c r="L16">
        <v>189</v>
      </c>
      <c r="M16">
        <v>117</v>
      </c>
      <c r="N16">
        <v>50</v>
      </c>
      <c r="O16">
        <v>100</v>
      </c>
      <c r="P16">
        <v>104</v>
      </c>
      <c r="Q16">
        <v>169</v>
      </c>
      <c r="R16">
        <v>129</v>
      </c>
      <c r="S16">
        <v>2046</v>
      </c>
    </row>
    <row r="17" spans="2:19" x14ac:dyDescent="0.35">
      <c r="B17" s="388" t="s">
        <v>1162</v>
      </c>
      <c r="C17">
        <v>68</v>
      </c>
      <c r="D17">
        <v>74</v>
      </c>
      <c r="E17">
        <v>77</v>
      </c>
      <c r="F17">
        <v>58</v>
      </c>
      <c r="G17">
        <v>0</v>
      </c>
      <c r="H17">
        <v>68</v>
      </c>
      <c r="I17">
        <v>49</v>
      </c>
      <c r="J17">
        <v>66</v>
      </c>
      <c r="K17">
        <v>59</v>
      </c>
      <c r="L17">
        <v>60</v>
      </c>
      <c r="M17">
        <v>39</v>
      </c>
      <c r="N17">
        <v>6</v>
      </c>
      <c r="O17">
        <v>21</v>
      </c>
      <c r="P17">
        <v>20</v>
      </c>
      <c r="Q17">
        <v>25</v>
      </c>
      <c r="R17">
        <v>37</v>
      </c>
      <c r="S17">
        <v>618</v>
      </c>
    </row>
    <row r="18" spans="2:19" x14ac:dyDescent="0.35">
      <c r="B18" s="388" t="s">
        <v>1163</v>
      </c>
      <c r="C18">
        <v>433</v>
      </c>
      <c r="D18">
        <v>264</v>
      </c>
      <c r="E18">
        <v>291</v>
      </c>
      <c r="F18">
        <v>231</v>
      </c>
      <c r="G18">
        <v>0</v>
      </c>
      <c r="H18">
        <v>260</v>
      </c>
      <c r="I18">
        <v>228</v>
      </c>
      <c r="J18">
        <v>363</v>
      </c>
      <c r="K18">
        <v>268</v>
      </c>
      <c r="L18">
        <v>470</v>
      </c>
      <c r="M18">
        <v>271</v>
      </c>
      <c r="N18">
        <v>69</v>
      </c>
      <c r="O18">
        <v>179</v>
      </c>
      <c r="P18">
        <v>219</v>
      </c>
      <c r="Q18">
        <v>159</v>
      </c>
      <c r="R18">
        <v>294</v>
      </c>
      <c r="S18">
        <v>3079</v>
      </c>
    </row>
    <row r="19" spans="2:19" x14ac:dyDescent="0.35">
      <c r="B19" s="388" t="s">
        <v>1164</v>
      </c>
      <c r="C19">
        <v>1038</v>
      </c>
      <c r="D19">
        <v>1082</v>
      </c>
      <c r="E19">
        <v>1619</v>
      </c>
      <c r="F19">
        <v>1294</v>
      </c>
      <c r="G19">
        <v>0</v>
      </c>
      <c r="H19">
        <v>683</v>
      </c>
      <c r="I19">
        <v>639</v>
      </c>
      <c r="J19">
        <v>523</v>
      </c>
      <c r="K19">
        <v>362</v>
      </c>
      <c r="L19">
        <v>382</v>
      </c>
      <c r="M19">
        <v>358</v>
      </c>
      <c r="N19">
        <v>126</v>
      </c>
      <c r="O19">
        <v>193</v>
      </c>
      <c r="P19">
        <v>342</v>
      </c>
      <c r="Q19">
        <v>301</v>
      </c>
      <c r="R19">
        <v>349</v>
      </c>
      <c r="S19">
        <v>7980</v>
      </c>
    </row>
    <row r="20" spans="2:19" x14ac:dyDescent="0.35">
      <c r="B20" s="388" t="s">
        <v>357</v>
      </c>
      <c r="C20">
        <v>6061</v>
      </c>
      <c r="D20">
        <v>6744</v>
      </c>
      <c r="E20">
        <v>7555</v>
      </c>
      <c r="F20">
        <v>7994</v>
      </c>
      <c r="G20">
        <v>0</v>
      </c>
      <c r="H20">
        <v>8206</v>
      </c>
      <c r="I20">
        <v>9834</v>
      </c>
      <c r="J20">
        <v>8939</v>
      </c>
      <c r="K20">
        <v>7635</v>
      </c>
      <c r="L20">
        <v>7872</v>
      </c>
      <c r="M20">
        <v>7261</v>
      </c>
      <c r="N20">
        <v>3319</v>
      </c>
      <c r="O20">
        <v>5688</v>
      </c>
      <c r="P20">
        <v>6712</v>
      </c>
      <c r="Q20">
        <v>7654</v>
      </c>
      <c r="R20">
        <v>8768</v>
      </c>
      <c r="S20">
        <v>78101</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00B6-EF8B-4402-8C01-AB92CB00A45E}">
  <sheetPr>
    <tabColor theme="3" tint="0.39997558519241921"/>
  </sheetPr>
  <dimension ref="A1:S16"/>
  <sheetViews>
    <sheetView workbookViewId="0">
      <selection sqref="A1:S16"/>
    </sheetView>
  </sheetViews>
  <sheetFormatPr defaultRowHeight="14.5" x14ac:dyDescent="0.35"/>
  <cols>
    <col min="1" max="1" width="7.1796875" bestFit="1" customWidth="1"/>
    <col min="2" max="2" width="28.453125" bestFit="1" customWidth="1"/>
    <col min="3" max="3" width="7.453125" bestFit="1" customWidth="1"/>
    <col min="4" max="19" width="9.7265625" bestFit="1" customWidth="1"/>
  </cols>
  <sheetData>
    <row r="1" spans="1:19" x14ac:dyDescent="0.35">
      <c r="A1" t="s">
        <v>1165</v>
      </c>
      <c r="B1" t="s">
        <v>1166</v>
      </c>
      <c r="C1" t="s">
        <v>340</v>
      </c>
      <c r="D1" t="s">
        <v>1167</v>
      </c>
      <c r="E1" t="s">
        <v>508</v>
      </c>
      <c r="F1" t="s">
        <v>362</v>
      </c>
      <c r="G1" t="s">
        <v>363</v>
      </c>
      <c r="H1" t="s">
        <v>364</v>
      </c>
      <c r="I1" t="s">
        <v>365</v>
      </c>
      <c r="J1" t="s">
        <v>366</v>
      </c>
      <c r="K1" t="s">
        <v>341</v>
      </c>
      <c r="L1" t="s">
        <v>342</v>
      </c>
      <c r="M1" t="s">
        <v>214</v>
      </c>
      <c r="N1" t="s">
        <v>313</v>
      </c>
      <c r="O1" t="s">
        <v>319</v>
      </c>
      <c r="P1" t="s">
        <v>321</v>
      </c>
      <c r="Q1" t="s">
        <v>326</v>
      </c>
      <c r="R1" t="s">
        <v>327</v>
      </c>
      <c r="S1" t="s">
        <v>466</v>
      </c>
    </row>
    <row r="2" spans="1:19" x14ac:dyDescent="0.35">
      <c r="A2" t="s">
        <v>1168</v>
      </c>
      <c r="B2" t="s">
        <v>1161</v>
      </c>
      <c r="C2">
        <v>2046</v>
      </c>
      <c r="D2">
        <v>154</v>
      </c>
      <c r="E2">
        <v>176</v>
      </c>
      <c r="F2">
        <v>342</v>
      </c>
      <c r="G2">
        <v>340</v>
      </c>
      <c r="H2">
        <v>0</v>
      </c>
      <c r="I2">
        <v>174</v>
      </c>
      <c r="J2">
        <v>198</v>
      </c>
      <c r="K2">
        <v>243</v>
      </c>
      <c r="L2">
        <v>113</v>
      </c>
      <c r="M2">
        <v>189</v>
      </c>
      <c r="N2">
        <v>117</v>
      </c>
      <c r="O2">
        <v>50</v>
      </c>
      <c r="P2">
        <v>100</v>
      </c>
      <c r="Q2">
        <v>104</v>
      </c>
      <c r="R2">
        <v>169</v>
      </c>
      <c r="S2">
        <v>129</v>
      </c>
    </row>
    <row r="3" spans="1:19" x14ac:dyDescent="0.35">
      <c r="A3" t="s">
        <v>1169</v>
      </c>
      <c r="B3" t="s">
        <v>1151</v>
      </c>
      <c r="C3">
        <v>3244</v>
      </c>
      <c r="D3">
        <v>282</v>
      </c>
      <c r="E3">
        <v>304</v>
      </c>
      <c r="F3">
        <v>288</v>
      </c>
      <c r="G3">
        <v>408</v>
      </c>
      <c r="H3">
        <v>0</v>
      </c>
      <c r="I3">
        <v>412</v>
      </c>
      <c r="J3">
        <v>485</v>
      </c>
      <c r="K3">
        <v>329</v>
      </c>
      <c r="L3">
        <v>228</v>
      </c>
      <c r="M3">
        <v>267</v>
      </c>
      <c r="N3">
        <v>241</v>
      </c>
      <c r="O3">
        <v>86</v>
      </c>
      <c r="P3">
        <v>166</v>
      </c>
      <c r="Q3">
        <v>172</v>
      </c>
      <c r="R3">
        <v>222</v>
      </c>
      <c r="S3">
        <v>224</v>
      </c>
    </row>
    <row r="4" spans="1:19" x14ac:dyDescent="0.35">
      <c r="A4" t="s">
        <v>1170</v>
      </c>
      <c r="B4" t="s">
        <v>1156</v>
      </c>
      <c r="C4">
        <v>11824</v>
      </c>
      <c r="D4">
        <v>1117</v>
      </c>
      <c r="E4">
        <v>1077</v>
      </c>
      <c r="F4">
        <v>1081</v>
      </c>
      <c r="G4">
        <v>1761</v>
      </c>
      <c r="H4">
        <v>0</v>
      </c>
      <c r="I4">
        <v>1109</v>
      </c>
      <c r="J4">
        <v>1263</v>
      </c>
      <c r="K4">
        <v>1138</v>
      </c>
      <c r="L4">
        <v>1167</v>
      </c>
      <c r="M4">
        <v>1030</v>
      </c>
      <c r="N4">
        <v>1081</v>
      </c>
      <c r="O4">
        <v>238</v>
      </c>
      <c r="P4">
        <v>656</v>
      </c>
      <c r="Q4">
        <v>898</v>
      </c>
      <c r="R4">
        <v>1110</v>
      </c>
      <c r="S4">
        <v>1000</v>
      </c>
    </row>
    <row r="5" spans="1:19" x14ac:dyDescent="0.35">
      <c r="A5" t="s">
        <v>1171</v>
      </c>
      <c r="B5" t="s">
        <v>1150</v>
      </c>
      <c r="C5">
        <v>14823</v>
      </c>
      <c r="D5">
        <v>972</v>
      </c>
      <c r="E5">
        <v>1212</v>
      </c>
      <c r="F5">
        <v>1286</v>
      </c>
      <c r="G5">
        <v>1454</v>
      </c>
      <c r="H5">
        <v>0</v>
      </c>
      <c r="I5">
        <v>1506</v>
      </c>
      <c r="J5">
        <v>1760</v>
      </c>
      <c r="K5">
        <v>1719</v>
      </c>
      <c r="L5">
        <v>1653</v>
      </c>
      <c r="M5">
        <v>1775</v>
      </c>
      <c r="N5">
        <v>1486</v>
      </c>
      <c r="O5">
        <v>1341</v>
      </c>
      <c r="P5">
        <v>1409</v>
      </c>
      <c r="Q5">
        <v>1606</v>
      </c>
      <c r="R5">
        <v>1610</v>
      </c>
      <c r="S5">
        <v>1629</v>
      </c>
    </row>
    <row r="6" spans="1:19" x14ac:dyDescent="0.35">
      <c r="A6" t="s">
        <v>1172</v>
      </c>
      <c r="B6" t="s">
        <v>1159</v>
      </c>
      <c r="C6">
        <v>2987</v>
      </c>
      <c r="D6">
        <v>287</v>
      </c>
      <c r="E6">
        <v>328</v>
      </c>
      <c r="F6">
        <v>260</v>
      </c>
      <c r="G6">
        <v>399</v>
      </c>
      <c r="H6">
        <v>0</v>
      </c>
      <c r="I6">
        <v>356</v>
      </c>
      <c r="J6">
        <v>320</v>
      </c>
      <c r="K6">
        <v>235</v>
      </c>
      <c r="L6">
        <v>240</v>
      </c>
      <c r="M6">
        <v>283</v>
      </c>
      <c r="N6">
        <v>279</v>
      </c>
      <c r="O6">
        <v>66</v>
      </c>
      <c r="P6">
        <v>176</v>
      </c>
      <c r="Q6">
        <v>168</v>
      </c>
      <c r="R6">
        <v>172</v>
      </c>
      <c r="S6">
        <v>209</v>
      </c>
    </row>
    <row r="7" spans="1:19" x14ac:dyDescent="0.35">
      <c r="A7" t="s">
        <v>1173</v>
      </c>
      <c r="B7" t="s">
        <v>1162</v>
      </c>
      <c r="C7">
        <v>618</v>
      </c>
      <c r="D7">
        <v>68</v>
      </c>
      <c r="E7">
        <v>74</v>
      </c>
      <c r="F7">
        <v>77</v>
      </c>
      <c r="G7">
        <v>58</v>
      </c>
      <c r="H7">
        <v>0</v>
      </c>
      <c r="I7">
        <v>68</v>
      </c>
      <c r="J7">
        <v>49</v>
      </c>
      <c r="K7">
        <v>66</v>
      </c>
      <c r="L7">
        <v>59</v>
      </c>
      <c r="M7">
        <v>60</v>
      </c>
      <c r="N7">
        <v>39</v>
      </c>
      <c r="O7">
        <v>6</v>
      </c>
      <c r="P7">
        <v>21</v>
      </c>
      <c r="Q7">
        <v>20</v>
      </c>
      <c r="R7">
        <v>25</v>
      </c>
      <c r="S7">
        <v>37</v>
      </c>
    </row>
    <row r="8" spans="1:19" x14ac:dyDescent="0.35">
      <c r="A8" t="s">
        <v>1174</v>
      </c>
      <c r="B8" t="s">
        <v>1164</v>
      </c>
      <c r="C8">
        <v>7980</v>
      </c>
      <c r="D8">
        <v>1038</v>
      </c>
      <c r="E8">
        <v>1082</v>
      </c>
      <c r="F8">
        <v>1619</v>
      </c>
      <c r="G8">
        <v>1294</v>
      </c>
      <c r="H8">
        <v>0</v>
      </c>
      <c r="I8">
        <v>683</v>
      </c>
      <c r="J8">
        <v>639</v>
      </c>
      <c r="K8">
        <v>523</v>
      </c>
      <c r="L8">
        <v>362</v>
      </c>
      <c r="M8">
        <v>382</v>
      </c>
      <c r="N8">
        <v>358</v>
      </c>
      <c r="O8">
        <v>126</v>
      </c>
      <c r="P8">
        <v>193</v>
      </c>
      <c r="Q8">
        <v>342</v>
      </c>
      <c r="R8">
        <v>301</v>
      </c>
      <c r="S8">
        <v>349</v>
      </c>
    </row>
    <row r="9" spans="1:19" x14ac:dyDescent="0.35">
      <c r="A9" t="s">
        <v>1175</v>
      </c>
      <c r="B9" t="s">
        <v>1152</v>
      </c>
      <c r="C9">
        <v>386</v>
      </c>
      <c r="D9">
        <v>48</v>
      </c>
      <c r="E9">
        <v>49</v>
      </c>
      <c r="F9">
        <v>49</v>
      </c>
      <c r="G9">
        <v>62</v>
      </c>
      <c r="H9">
        <v>0</v>
      </c>
      <c r="I9">
        <v>28</v>
      </c>
      <c r="J9">
        <v>36</v>
      </c>
      <c r="K9">
        <v>21</v>
      </c>
      <c r="L9">
        <v>37</v>
      </c>
      <c r="M9">
        <v>31</v>
      </c>
      <c r="N9">
        <v>25</v>
      </c>
      <c r="O9">
        <v>10</v>
      </c>
      <c r="P9">
        <v>10</v>
      </c>
      <c r="Q9">
        <v>25</v>
      </c>
      <c r="R9">
        <v>11</v>
      </c>
      <c r="S9">
        <v>21</v>
      </c>
    </row>
    <row r="10" spans="1:19" x14ac:dyDescent="0.35">
      <c r="A10" t="s">
        <v>1176</v>
      </c>
      <c r="B10" t="s">
        <v>1154</v>
      </c>
      <c r="C10">
        <v>3103</v>
      </c>
      <c r="D10">
        <v>136</v>
      </c>
      <c r="E10">
        <v>236</v>
      </c>
      <c r="F10">
        <v>197</v>
      </c>
      <c r="G10">
        <v>217</v>
      </c>
      <c r="H10">
        <v>0</v>
      </c>
      <c r="I10">
        <v>334</v>
      </c>
      <c r="J10">
        <v>451</v>
      </c>
      <c r="K10">
        <v>396</v>
      </c>
      <c r="L10">
        <v>367</v>
      </c>
      <c r="M10">
        <v>471</v>
      </c>
      <c r="N10">
        <v>298</v>
      </c>
      <c r="O10">
        <v>218</v>
      </c>
      <c r="P10">
        <v>238</v>
      </c>
      <c r="Q10">
        <v>288</v>
      </c>
      <c r="R10">
        <v>287</v>
      </c>
      <c r="S10">
        <v>320</v>
      </c>
    </row>
    <row r="11" spans="1:19" x14ac:dyDescent="0.35">
      <c r="A11" t="s">
        <v>1177</v>
      </c>
      <c r="B11" t="s">
        <v>1153</v>
      </c>
      <c r="C11">
        <v>13549</v>
      </c>
      <c r="D11">
        <v>0</v>
      </c>
      <c r="E11">
        <v>0</v>
      </c>
      <c r="F11">
        <v>0</v>
      </c>
      <c r="G11">
        <v>0</v>
      </c>
      <c r="H11">
        <v>0</v>
      </c>
      <c r="I11">
        <v>1947</v>
      </c>
      <c r="J11">
        <v>3062</v>
      </c>
      <c r="K11">
        <v>2650</v>
      </c>
      <c r="L11">
        <v>2077</v>
      </c>
      <c r="M11">
        <v>1862</v>
      </c>
      <c r="N11">
        <v>1951</v>
      </c>
      <c r="O11">
        <v>815</v>
      </c>
      <c r="P11">
        <v>1984</v>
      </c>
      <c r="Q11">
        <v>1958</v>
      </c>
      <c r="R11">
        <v>1827</v>
      </c>
      <c r="S11">
        <v>2400</v>
      </c>
    </row>
    <row r="12" spans="1:19" x14ac:dyDescent="0.35">
      <c r="A12" t="s">
        <v>1178</v>
      </c>
      <c r="B12" t="s">
        <v>1158</v>
      </c>
      <c r="C12">
        <v>3358</v>
      </c>
      <c r="D12">
        <v>311</v>
      </c>
      <c r="E12">
        <v>405</v>
      </c>
      <c r="F12">
        <v>483</v>
      </c>
      <c r="G12">
        <v>389</v>
      </c>
      <c r="H12">
        <v>0</v>
      </c>
      <c r="I12">
        <v>344</v>
      </c>
      <c r="J12">
        <v>379</v>
      </c>
      <c r="K12">
        <v>275</v>
      </c>
      <c r="L12">
        <v>220</v>
      </c>
      <c r="M12">
        <v>267</v>
      </c>
      <c r="N12">
        <v>285</v>
      </c>
      <c r="O12">
        <v>63</v>
      </c>
      <c r="P12">
        <v>110</v>
      </c>
      <c r="Q12">
        <v>110</v>
      </c>
      <c r="R12">
        <v>249</v>
      </c>
      <c r="S12">
        <v>212</v>
      </c>
    </row>
    <row r="13" spans="1:19" x14ac:dyDescent="0.35">
      <c r="A13" t="s">
        <v>1179</v>
      </c>
      <c r="B13" t="s">
        <v>1160</v>
      </c>
      <c r="C13">
        <v>3698</v>
      </c>
      <c r="D13">
        <v>284</v>
      </c>
      <c r="E13">
        <v>395</v>
      </c>
      <c r="F13">
        <v>430</v>
      </c>
      <c r="G13">
        <v>415</v>
      </c>
      <c r="H13">
        <v>0</v>
      </c>
      <c r="I13">
        <v>251</v>
      </c>
      <c r="J13">
        <v>351</v>
      </c>
      <c r="K13">
        <v>371</v>
      </c>
      <c r="L13">
        <v>408</v>
      </c>
      <c r="M13">
        <v>323</v>
      </c>
      <c r="N13">
        <v>470</v>
      </c>
      <c r="O13">
        <v>119</v>
      </c>
      <c r="P13">
        <v>290</v>
      </c>
      <c r="Q13">
        <v>547</v>
      </c>
      <c r="R13">
        <v>1256</v>
      </c>
      <c r="S13">
        <v>1572</v>
      </c>
    </row>
    <row r="14" spans="1:19" x14ac:dyDescent="0.35">
      <c r="A14" t="s">
        <v>1180</v>
      </c>
      <c r="B14" t="s">
        <v>1155</v>
      </c>
      <c r="C14">
        <v>1345</v>
      </c>
      <c r="D14">
        <v>137</v>
      </c>
      <c r="E14">
        <v>126</v>
      </c>
      <c r="F14">
        <v>138</v>
      </c>
      <c r="G14">
        <v>296</v>
      </c>
      <c r="H14">
        <v>0</v>
      </c>
      <c r="I14">
        <v>138</v>
      </c>
      <c r="J14">
        <v>119</v>
      </c>
      <c r="K14">
        <v>128</v>
      </c>
      <c r="L14">
        <v>104</v>
      </c>
      <c r="M14">
        <v>88</v>
      </c>
      <c r="N14">
        <v>71</v>
      </c>
      <c r="O14">
        <v>39</v>
      </c>
      <c r="P14">
        <v>24</v>
      </c>
      <c r="Q14">
        <v>60</v>
      </c>
      <c r="R14">
        <v>51</v>
      </c>
      <c r="S14">
        <v>59</v>
      </c>
    </row>
    <row r="15" spans="1:19" x14ac:dyDescent="0.35">
      <c r="A15" t="s">
        <v>1181</v>
      </c>
      <c r="B15" t="s">
        <v>1157</v>
      </c>
      <c r="C15">
        <v>6061</v>
      </c>
      <c r="D15">
        <v>794</v>
      </c>
      <c r="E15">
        <v>1016</v>
      </c>
      <c r="F15">
        <v>1014</v>
      </c>
      <c r="G15">
        <v>670</v>
      </c>
      <c r="H15">
        <v>0</v>
      </c>
      <c r="I15">
        <v>596</v>
      </c>
      <c r="J15">
        <v>494</v>
      </c>
      <c r="K15">
        <v>482</v>
      </c>
      <c r="L15">
        <v>332</v>
      </c>
      <c r="M15">
        <v>374</v>
      </c>
      <c r="N15">
        <v>289</v>
      </c>
      <c r="O15">
        <v>73</v>
      </c>
      <c r="P15">
        <v>132</v>
      </c>
      <c r="Q15">
        <v>195</v>
      </c>
      <c r="R15">
        <v>205</v>
      </c>
      <c r="S15">
        <v>313</v>
      </c>
    </row>
    <row r="16" spans="1:19" x14ac:dyDescent="0.35">
      <c r="A16" t="s">
        <v>1182</v>
      </c>
      <c r="B16" t="s">
        <v>1163</v>
      </c>
      <c r="C16">
        <v>3079</v>
      </c>
      <c r="D16">
        <v>433</v>
      </c>
      <c r="E16">
        <v>264</v>
      </c>
      <c r="F16">
        <v>291</v>
      </c>
      <c r="G16">
        <v>231</v>
      </c>
      <c r="H16">
        <v>0</v>
      </c>
      <c r="I16">
        <v>260</v>
      </c>
      <c r="J16">
        <v>228</v>
      </c>
      <c r="K16">
        <v>363</v>
      </c>
      <c r="L16">
        <v>268</v>
      </c>
      <c r="M16">
        <v>470</v>
      </c>
      <c r="N16">
        <v>271</v>
      </c>
      <c r="O16">
        <v>69</v>
      </c>
      <c r="P16">
        <v>179</v>
      </c>
      <c r="Q16">
        <v>219</v>
      </c>
      <c r="R16">
        <v>159</v>
      </c>
      <c r="S16">
        <v>294</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theme="3" tint="0.39997558519241921"/>
  </sheetPr>
  <dimension ref="A1:Q33"/>
  <sheetViews>
    <sheetView showGridLines="0" zoomScaleNormal="100" workbookViewId="0">
      <pane ySplit="2" topLeftCell="A3" activePane="bottomLeft" state="frozen"/>
      <selection pane="bottomLeft"/>
    </sheetView>
  </sheetViews>
  <sheetFormatPr defaultRowHeight="14.5" x14ac:dyDescent="0.35"/>
  <cols>
    <col min="1" max="1" width="27.54296875" bestFit="1" customWidth="1"/>
    <col min="2" max="16" width="7.453125" bestFit="1" customWidth="1"/>
    <col min="17" max="17" width="7.453125" customWidth="1"/>
  </cols>
  <sheetData>
    <row r="1" spans="1:17" ht="15.5" x14ac:dyDescent="0.35">
      <c r="A1" s="514" t="s">
        <v>1127</v>
      </c>
    </row>
    <row r="2" spans="1:17" x14ac:dyDescent="0.35">
      <c r="A2" s="499" t="s">
        <v>201</v>
      </c>
    </row>
    <row r="3" spans="1:17" x14ac:dyDescent="0.35">
      <c r="A3" s="25"/>
    </row>
    <row r="4" spans="1:17" ht="15.5" x14ac:dyDescent="0.35">
      <c r="A4" s="1051" t="s">
        <v>1183</v>
      </c>
      <c r="B4" s="1051"/>
      <c r="C4" s="1051"/>
      <c r="D4" s="1051"/>
      <c r="E4" s="1051"/>
      <c r="F4" s="1051"/>
      <c r="G4" s="1051"/>
      <c r="H4" s="1051"/>
      <c r="I4" s="1051"/>
      <c r="J4" s="1051"/>
      <c r="K4" s="1051"/>
    </row>
    <row r="5" spans="1:17" ht="15.5" x14ac:dyDescent="0.35">
      <c r="A5" t="s">
        <v>202</v>
      </c>
      <c r="B5" t="s">
        <v>185</v>
      </c>
      <c r="C5" s="500"/>
      <c r="D5" s="500"/>
      <c r="E5" s="500"/>
      <c r="F5" s="500"/>
      <c r="G5" s="500"/>
      <c r="H5" s="500"/>
      <c r="I5" s="500"/>
      <c r="J5" s="500"/>
      <c r="K5" s="500"/>
    </row>
    <row r="6" spans="1:17" ht="15.5" x14ac:dyDescent="0.35">
      <c r="A6" t="s">
        <v>203</v>
      </c>
      <c r="B6" t="s">
        <v>204</v>
      </c>
      <c r="C6" s="500"/>
      <c r="D6" s="500"/>
      <c r="E6" s="500"/>
      <c r="F6" s="500"/>
      <c r="G6" s="500"/>
      <c r="H6" s="500"/>
      <c r="I6" s="500"/>
      <c r="J6" s="500"/>
      <c r="K6" s="500"/>
    </row>
    <row r="7" spans="1:17" ht="15.5" x14ac:dyDescent="0.35">
      <c r="A7" t="s">
        <v>205</v>
      </c>
      <c r="B7" t="s">
        <v>206</v>
      </c>
      <c r="C7" s="500"/>
      <c r="D7" s="500"/>
      <c r="E7" s="500"/>
      <c r="F7" s="500"/>
      <c r="G7" s="500"/>
      <c r="H7" s="500"/>
      <c r="I7" s="500"/>
      <c r="J7" s="500"/>
      <c r="K7" s="500"/>
    </row>
    <row r="9" spans="1:17" ht="15" thickBot="1" x14ac:dyDescent="0.4">
      <c r="A9" s="525" t="s">
        <v>184</v>
      </c>
      <c r="B9" s="957" t="s">
        <v>1167</v>
      </c>
      <c r="C9" s="957" t="s">
        <v>508</v>
      </c>
      <c r="D9" s="957" t="s">
        <v>362</v>
      </c>
      <c r="E9" s="957" t="s">
        <v>363</v>
      </c>
      <c r="F9" s="957" t="s">
        <v>364</v>
      </c>
      <c r="G9" s="957" t="s">
        <v>365</v>
      </c>
      <c r="H9" s="957" t="s">
        <v>366</v>
      </c>
      <c r="I9" s="957" t="s">
        <v>341</v>
      </c>
      <c r="J9" s="957" t="s">
        <v>342</v>
      </c>
      <c r="K9" s="957" t="s">
        <v>214</v>
      </c>
      <c r="L9" s="957" t="s">
        <v>313</v>
      </c>
      <c r="M9" s="957" t="s">
        <v>319</v>
      </c>
      <c r="N9" s="957" t="s">
        <v>321</v>
      </c>
      <c r="O9" s="957" t="s">
        <v>326</v>
      </c>
      <c r="P9" s="957" t="s">
        <v>327</v>
      </c>
      <c r="Q9" s="958" t="s">
        <v>466</v>
      </c>
    </row>
    <row r="10" spans="1:17" x14ac:dyDescent="0.35">
      <c r="A10" s="312" t="s">
        <v>1150</v>
      </c>
      <c r="B10" s="602">
        <f>GETPIVOTDATA("Sum of 2009-10",AuditsPivot!$B$4,"PremisesType",$A10)</f>
        <v>972</v>
      </c>
      <c r="C10" s="602">
        <f>GETPIVOTDATA("Sum of 2010-11",AuditsPivot!$B$4,"PremisesType",$A10)</f>
        <v>1212</v>
      </c>
      <c r="D10" s="602">
        <f>GETPIVOTDATA("Sum of 2011-12",AuditsPivot!$B$4,"PremisesType",$A10)</f>
        <v>1286</v>
      </c>
      <c r="E10" s="602">
        <f>GETPIVOTDATA("Sum of 2012-13",AuditsPivot!$B$4,"PremisesType",$A10)</f>
        <v>1454</v>
      </c>
      <c r="F10" s="959">
        <f>GETPIVOTDATA("Sum of 2013-14",AuditsPivot!$B$4,"PremisesType",$A10)</f>
        <v>0</v>
      </c>
      <c r="G10" s="602">
        <f>GETPIVOTDATA("Sum of 2014-15",AuditsPivot!$B$4,"PremisesType",$A10)</f>
        <v>1506</v>
      </c>
      <c r="H10" s="602">
        <f>GETPIVOTDATA("Sum of 2015-16",AuditsPivot!$B$4,"PremisesType",$A10)</f>
        <v>1760</v>
      </c>
      <c r="I10" s="602">
        <f>GETPIVOTDATA("Sum of 2016-17",AuditsPivot!$B$4,"PremisesType",$A10)</f>
        <v>1719</v>
      </c>
      <c r="J10" s="602">
        <f>GETPIVOTDATA("Sum of 2017-18",AuditsPivot!$B$4,"PremisesType",$A10)</f>
        <v>1653</v>
      </c>
      <c r="K10" s="602">
        <f>GETPIVOTDATA("Sum of 2018-19",AuditsPivot!$B$4,"PremisesType",$A10)</f>
        <v>1775</v>
      </c>
      <c r="L10" s="602">
        <f>GETPIVOTDATA("Sum of 2019-20",AuditsPivot!$B$4,"PremisesType",$A10)</f>
        <v>1486</v>
      </c>
      <c r="M10" s="602">
        <f>GETPIVOTDATA("Sum of 2020-21",AuditsPivot!$B$4,"PremisesType",$A10)</f>
        <v>1341</v>
      </c>
      <c r="N10" s="602">
        <f>GETPIVOTDATA("Sum of 2021-22",AuditsPivot!$B$4,"PremisesType",$A10)</f>
        <v>1409</v>
      </c>
      <c r="O10" s="602">
        <f>GETPIVOTDATA("Sum of 2022-23",AuditsPivot!$B$4,"PremisesType",$A10)</f>
        <v>1606</v>
      </c>
      <c r="P10" s="602">
        <f>GETPIVOTDATA("Sum of 2023-24",AuditsPivot!$B$4,"PremisesType",$A10)</f>
        <v>1610</v>
      </c>
      <c r="Q10" s="602">
        <f>GETPIVOTDATA("Sum of 2024-25",AuditsPivot!$B$4,"PremisesType",$A10)</f>
        <v>1629</v>
      </c>
    </row>
    <row r="11" spans="1:17" x14ac:dyDescent="0.35">
      <c r="A11" s="312" t="s">
        <v>1151</v>
      </c>
      <c r="B11" s="602">
        <f>GETPIVOTDATA("Sum of 2009-10",AuditsPivot!$B$4,"PremisesType",$A11)</f>
        <v>282</v>
      </c>
      <c r="C11" s="602">
        <f>GETPIVOTDATA("Sum of 2010-11",AuditsPivot!$B$4,"PremisesType",$A11)</f>
        <v>304</v>
      </c>
      <c r="D11" s="602">
        <f>GETPIVOTDATA("Sum of 2011-12",AuditsPivot!$B$4,"PremisesType",$A11)</f>
        <v>288</v>
      </c>
      <c r="E11" s="602">
        <f>GETPIVOTDATA("Sum of 2012-13",AuditsPivot!$B$4,"PremisesType",$A11)</f>
        <v>408</v>
      </c>
      <c r="F11" s="959">
        <f>GETPIVOTDATA("Sum of 2013-14",AuditsPivot!$B$4,"PremisesType",$A11)</f>
        <v>0</v>
      </c>
      <c r="G11" s="602">
        <f>GETPIVOTDATA("Sum of 2014-15",AuditsPivot!$B$4,"PremisesType",$A11)</f>
        <v>412</v>
      </c>
      <c r="H11" s="602">
        <f>GETPIVOTDATA("Sum of 2015-16",AuditsPivot!$B$4,"PremisesType",$A11)</f>
        <v>485</v>
      </c>
      <c r="I11" s="602">
        <f>GETPIVOTDATA("Sum of 2016-17",AuditsPivot!$B$4,"PremisesType",$A11)</f>
        <v>329</v>
      </c>
      <c r="J11" s="602">
        <f>GETPIVOTDATA("Sum of 2017-18",AuditsPivot!$B$4,"PremisesType",$A11)</f>
        <v>228</v>
      </c>
      <c r="K11" s="602">
        <f>GETPIVOTDATA("Sum of 2018-19",AuditsPivot!$B$4,"PremisesType",$A11)</f>
        <v>267</v>
      </c>
      <c r="L11" s="602">
        <f>GETPIVOTDATA("Sum of 2019-20",AuditsPivot!$B$4,"PremisesType",$A11)</f>
        <v>241</v>
      </c>
      <c r="M11" s="602">
        <f>GETPIVOTDATA("Sum of 2020-21",AuditsPivot!$B$4,"PremisesType",$A11)</f>
        <v>86</v>
      </c>
      <c r="N11" s="602">
        <f>GETPIVOTDATA("Sum of 2021-22",AuditsPivot!$B$4,"PremisesType",$A11)</f>
        <v>166</v>
      </c>
      <c r="O11" s="602">
        <f>GETPIVOTDATA("Sum of 2022-23",AuditsPivot!$B$4,"PremisesType",$A11)</f>
        <v>172</v>
      </c>
      <c r="P11" s="602">
        <f>GETPIVOTDATA("Sum of 2023-24",AuditsPivot!$B$4,"PremisesType",$A11)</f>
        <v>222</v>
      </c>
      <c r="Q11" s="602">
        <f>GETPIVOTDATA("Sum of 2024-25",AuditsPivot!$B$4,"PremisesType",$A11)</f>
        <v>224</v>
      </c>
    </row>
    <row r="12" spans="1:17" x14ac:dyDescent="0.35">
      <c r="A12" s="312" t="s">
        <v>1152</v>
      </c>
      <c r="B12" s="602">
        <f>GETPIVOTDATA("Sum of 2009-10",AuditsPivot!$B$4,"PremisesType",$A12)</f>
        <v>48</v>
      </c>
      <c r="C12" s="602">
        <f>GETPIVOTDATA("Sum of 2010-11",AuditsPivot!$B$4,"PremisesType",$A12)</f>
        <v>49</v>
      </c>
      <c r="D12" s="602">
        <f>GETPIVOTDATA("Sum of 2011-12",AuditsPivot!$B$4,"PremisesType",$A12)</f>
        <v>49</v>
      </c>
      <c r="E12" s="602">
        <f>GETPIVOTDATA("Sum of 2012-13",AuditsPivot!$B$4,"PremisesType",$A12)</f>
        <v>62</v>
      </c>
      <c r="F12" s="959">
        <f>GETPIVOTDATA("Sum of 2013-14",AuditsPivot!$B$4,"PremisesType",$A12)</f>
        <v>0</v>
      </c>
      <c r="G12" s="602">
        <f>GETPIVOTDATA("Sum of 2014-15",AuditsPivot!$B$4,"PremisesType",$A12)</f>
        <v>28</v>
      </c>
      <c r="H12" s="602">
        <f>GETPIVOTDATA("Sum of 2015-16",AuditsPivot!$B$4,"PremisesType",$A12)</f>
        <v>36</v>
      </c>
      <c r="I12" s="602">
        <f>GETPIVOTDATA("Sum of 2016-17",AuditsPivot!$B$4,"PremisesType",$A12)</f>
        <v>21</v>
      </c>
      <c r="J12" s="602">
        <f>GETPIVOTDATA("Sum of 2017-18",AuditsPivot!$B$4,"PremisesType",$A12)</f>
        <v>37</v>
      </c>
      <c r="K12" s="602">
        <f>GETPIVOTDATA("Sum of 2018-19",AuditsPivot!$B$4,"PremisesType",$A12)</f>
        <v>31</v>
      </c>
      <c r="L12" s="602">
        <f>GETPIVOTDATA("Sum of 2019-20",AuditsPivot!$B$4,"PremisesType",$A12)</f>
        <v>25</v>
      </c>
      <c r="M12" s="602">
        <f>GETPIVOTDATA("Sum of 2020-21",AuditsPivot!$B$4,"PremisesType",$A12)</f>
        <v>10</v>
      </c>
      <c r="N12" s="602">
        <f>GETPIVOTDATA("Sum of 2021-22",AuditsPivot!$B$4,"PremisesType",$A12)</f>
        <v>10</v>
      </c>
      <c r="O12" s="602">
        <f>GETPIVOTDATA("Sum of 2022-23",AuditsPivot!$B$4,"PremisesType",$A12)</f>
        <v>25</v>
      </c>
      <c r="P12" s="602">
        <f>GETPIVOTDATA("Sum of 2023-24",AuditsPivot!$B$4,"PremisesType",$A12)</f>
        <v>11</v>
      </c>
      <c r="Q12" s="602">
        <f>GETPIVOTDATA("Sum of 2024-25",AuditsPivot!$B$4,"PremisesType",$A12)</f>
        <v>21</v>
      </c>
    </row>
    <row r="13" spans="1:17" x14ac:dyDescent="0.35">
      <c r="A13" s="312" t="s">
        <v>1153</v>
      </c>
      <c r="B13" s="602">
        <f>GETPIVOTDATA("Sum of 2009-10",AuditsPivot!$B$4,"PremisesType",$A13)</f>
        <v>0</v>
      </c>
      <c r="C13" s="602">
        <f>GETPIVOTDATA("Sum of 2010-11",AuditsPivot!$B$4,"PremisesType",$A13)</f>
        <v>0</v>
      </c>
      <c r="D13" s="602">
        <f>GETPIVOTDATA("Sum of 2011-12",AuditsPivot!$B$4,"PremisesType",$A13)</f>
        <v>0</v>
      </c>
      <c r="E13" s="602">
        <f>GETPIVOTDATA("Sum of 2012-13",AuditsPivot!$B$4,"PremisesType",$A13)</f>
        <v>0</v>
      </c>
      <c r="F13" s="959">
        <f>GETPIVOTDATA("Sum of 2013-14",AuditsPivot!$B$4,"PremisesType",$A13)</f>
        <v>0</v>
      </c>
      <c r="G13" s="602">
        <f>GETPIVOTDATA("Sum of 2014-15",AuditsPivot!$B$4,"PremisesType",$A13)</f>
        <v>1947</v>
      </c>
      <c r="H13" s="602">
        <f>GETPIVOTDATA("Sum of 2015-16",AuditsPivot!$B$4,"PremisesType",$A13)</f>
        <v>3062</v>
      </c>
      <c r="I13" s="602">
        <f>GETPIVOTDATA("Sum of 2016-17",AuditsPivot!$B$4,"PremisesType",$A13)</f>
        <v>2650</v>
      </c>
      <c r="J13" s="602">
        <f>GETPIVOTDATA("Sum of 2017-18",AuditsPivot!$B$4,"PremisesType",$A13)</f>
        <v>2077</v>
      </c>
      <c r="K13" s="602">
        <f>GETPIVOTDATA("Sum of 2018-19",AuditsPivot!$B$4,"PremisesType",$A13)</f>
        <v>1862</v>
      </c>
      <c r="L13" s="602">
        <f>GETPIVOTDATA("Sum of 2019-20",AuditsPivot!$B$4,"PremisesType",$A13)</f>
        <v>1951</v>
      </c>
      <c r="M13" s="602">
        <f>GETPIVOTDATA("Sum of 2020-21",AuditsPivot!$B$4,"PremisesType",$A13)</f>
        <v>815</v>
      </c>
      <c r="N13" s="602">
        <f>GETPIVOTDATA("Sum of 2021-22",AuditsPivot!$B$4,"PremisesType",$A13)</f>
        <v>1984</v>
      </c>
      <c r="O13" s="602">
        <f>GETPIVOTDATA("Sum of 2022-23",AuditsPivot!$B$4,"PremisesType",$A13)</f>
        <v>1958</v>
      </c>
      <c r="P13" s="602">
        <f>GETPIVOTDATA("Sum of 2023-24",AuditsPivot!$B$4,"PremisesType",$A13)</f>
        <v>1827</v>
      </c>
      <c r="Q13" s="602">
        <f>GETPIVOTDATA("Sum of 2024-25",AuditsPivot!$B$4,"PremisesType",$A13)</f>
        <v>2400</v>
      </c>
    </row>
    <row r="14" spans="1:17" x14ac:dyDescent="0.35">
      <c r="A14" s="312" t="s">
        <v>1154</v>
      </c>
      <c r="B14" s="602">
        <f>GETPIVOTDATA("Sum of 2009-10",AuditsPivot!$B$4,"PremisesType",$A14)</f>
        <v>136</v>
      </c>
      <c r="C14" s="602">
        <f>GETPIVOTDATA("Sum of 2010-11",AuditsPivot!$B$4,"PremisesType",$A14)</f>
        <v>236</v>
      </c>
      <c r="D14" s="602">
        <f>GETPIVOTDATA("Sum of 2011-12",AuditsPivot!$B$4,"PremisesType",$A14)</f>
        <v>197</v>
      </c>
      <c r="E14" s="602">
        <f>GETPIVOTDATA("Sum of 2012-13",AuditsPivot!$B$4,"PremisesType",$A14)</f>
        <v>217</v>
      </c>
      <c r="F14" s="959">
        <f>GETPIVOTDATA("Sum of 2013-14",AuditsPivot!$B$4,"PremisesType",$A14)</f>
        <v>0</v>
      </c>
      <c r="G14" s="602">
        <f>GETPIVOTDATA("Sum of 2014-15",AuditsPivot!$B$4,"PremisesType",$A14)</f>
        <v>334</v>
      </c>
      <c r="H14" s="602">
        <f>GETPIVOTDATA("Sum of 2015-16",AuditsPivot!$B$4,"PremisesType",$A14)</f>
        <v>451</v>
      </c>
      <c r="I14" s="602">
        <f>GETPIVOTDATA("Sum of 2016-17",AuditsPivot!$B$4,"PremisesType",$A14)</f>
        <v>396</v>
      </c>
      <c r="J14" s="602">
        <f>GETPIVOTDATA("Sum of 2017-18",AuditsPivot!$B$4,"PremisesType",$A14)</f>
        <v>367</v>
      </c>
      <c r="K14" s="602">
        <f>GETPIVOTDATA("Sum of 2018-19",AuditsPivot!$B$4,"PremisesType",$A14)</f>
        <v>471</v>
      </c>
      <c r="L14" s="602">
        <f>GETPIVOTDATA("Sum of 2019-20",AuditsPivot!$B$4,"PremisesType",$A14)</f>
        <v>298</v>
      </c>
      <c r="M14" s="602">
        <f>GETPIVOTDATA("Sum of 2020-21",AuditsPivot!$B$4,"PremisesType",$A14)</f>
        <v>218</v>
      </c>
      <c r="N14" s="602">
        <f>GETPIVOTDATA("Sum of 2021-22",AuditsPivot!$B$4,"PremisesType",$A14)</f>
        <v>238</v>
      </c>
      <c r="O14" s="602">
        <f>GETPIVOTDATA("Sum of 2022-23",AuditsPivot!$B$4,"PremisesType",$A14)</f>
        <v>288</v>
      </c>
      <c r="P14" s="602">
        <f>GETPIVOTDATA("Sum of 2023-24",AuditsPivot!$B$4,"PremisesType",$A14)</f>
        <v>287</v>
      </c>
      <c r="Q14" s="602">
        <f>GETPIVOTDATA("Sum of 2024-25",AuditsPivot!$B$4,"PremisesType",$A14)</f>
        <v>320</v>
      </c>
    </row>
    <row r="15" spans="1:17" x14ac:dyDescent="0.35">
      <c r="A15" s="312" t="s">
        <v>1155</v>
      </c>
      <c r="B15" s="602">
        <f>GETPIVOTDATA("Sum of 2009-10",AuditsPivot!$B$4,"PremisesType",$A15)</f>
        <v>137</v>
      </c>
      <c r="C15" s="602">
        <f>GETPIVOTDATA("Sum of 2010-11",AuditsPivot!$B$4,"PremisesType",$A15)</f>
        <v>126</v>
      </c>
      <c r="D15" s="602">
        <f>GETPIVOTDATA("Sum of 2011-12",AuditsPivot!$B$4,"PremisesType",$A15)</f>
        <v>138</v>
      </c>
      <c r="E15" s="602">
        <f>GETPIVOTDATA("Sum of 2012-13",AuditsPivot!$B$4,"PremisesType",$A15)</f>
        <v>296</v>
      </c>
      <c r="F15" s="959">
        <f>GETPIVOTDATA("Sum of 2013-14",AuditsPivot!$B$4,"PremisesType",$A15)</f>
        <v>0</v>
      </c>
      <c r="G15" s="602">
        <f>GETPIVOTDATA("Sum of 2014-15",AuditsPivot!$B$4,"PremisesType",$A15)</f>
        <v>138</v>
      </c>
      <c r="H15" s="602">
        <f>GETPIVOTDATA("Sum of 2015-16",AuditsPivot!$B$4,"PremisesType",$A15)</f>
        <v>119</v>
      </c>
      <c r="I15" s="602">
        <f>GETPIVOTDATA("Sum of 2016-17",AuditsPivot!$B$4,"PremisesType",$A15)</f>
        <v>128</v>
      </c>
      <c r="J15" s="602">
        <f>GETPIVOTDATA("Sum of 2017-18",AuditsPivot!$B$4,"PremisesType",$A15)</f>
        <v>104</v>
      </c>
      <c r="K15" s="602">
        <f>GETPIVOTDATA("Sum of 2018-19",AuditsPivot!$B$4,"PremisesType",$A15)</f>
        <v>88</v>
      </c>
      <c r="L15" s="602">
        <f>GETPIVOTDATA("Sum of 2019-20",AuditsPivot!$B$4,"PremisesType",$A15)</f>
        <v>71</v>
      </c>
      <c r="M15" s="602">
        <f>GETPIVOTDATA("Sum of 2020-21",AuditsPivot!$B$4,"PremisesType",$A15)</f>
        <v>39</v>
      </c>
      <c r="N15" s="602">
        <f>GETPIVOTDATA("Sum of 2021-22",AuditsPivot!$B$4,"PremisesType",$A15)</f>
        <v>24</v>
      </c>
      <c r="O15" s="602">
        <f>GETPIVOTDATA("Sum of 2022-23",AuditsPivot!$B$4,"PremisesType",$A15)</f>
        <v>60</v>
      </c>
      <c r="P15" s="602">
        <f>GETPIVOTDATA("Sum of 2023-24",AuditsPivot!$B$4,"PremisesType",$A15)</f>
        <v>51</v>
      </c>
      <c r="Q15" s="602">
        <f>GETPIVOTDATA("Sum of 2024-25",AuditsPivot!$B$4,"PremisesType",$A15)</f>
        <v>59</v>
      </c>
    </row>
    <row r="16" spans="1:17" x14ac:dyDescent="0.35">
      <c r="A16" s="312" t="s">
        <v>1156</v>
      </c>
      <c r="B16" s="602">
        <f>GETPIVOTDATA("Sum of 2009-10",AuditsPivot!$B$4,"PremisesType",$A16)</f>
        <v>1117</v>
      </c>
      <c r="C16" s="602">
        <f>GETPIVOTDATA("Sum of 2010-11",AuditsPivot!$B$4,"PremisesType",$A16)</f>
        <v>1077</v>
      </c>
      <c r="D16" s="602">
        <f>GETPIVOTDATA("Sum of 2011-12",AuditsPivot!$B$4,"PremisesType",$A16)</f>
        <v>1081</v>
      </c>
      <c r="E16" s="602">
        <f>GETPIVOTDATA("Sum of 2012-13",AuditsPivot!$B$4,"PremisesType",$A16)</f>
        <v>1761</v>
      </c>
      <c r="F16" s="959">
        <f>GETPIVOTDATA("Sum of 2013-14",AuditsPivot!$B$4,"PremisesType",$A16)</f>
        <v>0</v>
      </c>
      <c r="G16" s="602">
        <f>GETPIVOTDATA("Sum of 2014-15",AuditsPivot!$B$4,"PremisesType",$A16)</f>
        <v>1109</v>
      </c>
      <c r="H16" s="602">
        <f>GETPIVOTDATA("Sum of 2015-16",AuditsPivot!$B$4,"PremisesType",$A16)</f>
        <v>1263</v>
      </c>
      <c r="I16" s="602">
        <f>GETPIVOTDATA("Sum of 2016-17",AuditsPivot!$B$4,"PremisesType",$A16)</f>
        <v>1138</v>
      </c>
      <c r="J16" s="602">
        <f>GETPIVOTDATA("Sum of 2017-18",AuditsPivot!$B$4,"PremisesType",$A16)</f>
        <v>1167</v>
      </c>
      <c r="K16" s="602">
        <f>GETPIVOTDATA("Sum of 2018-19",AuditsPivot!$B$4,"PremisesType",$A16)</f>
        <v>1030</v>
      </c>
      <c r="L16" s="602">
        <f>GETPIVOTDATA("Sum of 2019-20",AuditsPivot!$B$4,"PremisesType",$A16)</f>
        <v>1081</v>
      </c>
      <c r="M16" s="602">
        <f>GETPIVOTDATA("Sum of 2020-21",AuditsPivot!$B$4,"PremisesType",$A16)</f>
        <v>238</v>
      </c>
      <c r="N16" s="602">
        <f>GETPIVOTDATA("Sum of 2021-22",AuditsPivot!$B$4,"PremisesType",$A16)</f>
        <v>656</v>
      </c>
      <c r="O16" s="602">
        <f>GETPIVOTDATA("Sum of 2022-23",AuditsPivot!$B$4,"PremisesType",$A16)</f>
        <v>898</v>
      </c>
      <c r="P16" s="602">
        <f>GETPIVOTDATA("Sum of 2023-24",AuditsPivot!$B$4,"PremisesType",$A16)</f>
        <v>1110</v>
      </c>
      <c r="Q16" s="602">
        <f>GETPIVOTDATA("Sum of 2024-25",AuditsPivot!$B$4,"PremisesType",$A16)</f>
        <v>1000</v>
      </c>
    </row>
    <row r="17" spans="1:17" x14ac:dyDescent="0.35">
      <c r="A17" s="312" t="s">
        <v>1157</v>
      </c>
      <c r="B17" s="602">
        <f>GETPIVOTDATA("Sum of 2009-10",AuditsPivot!$B$4,"PremisesType",$A17)</f>
        <v>794</v>
      </c>
      <c r="C17" s="602">
        <f>GETPIVOTDATA("Sum of 2010-11",AuditsPivot!$B$4,"PremisesType",$A17)</f>
        <v>1016</v>
      </c>
      <c r="D17" s="602">
        <f>GETPIVOTDATA("Sum of 2011-12",AuditsPivot!$B$4,"PremisesType",$A17)</f>
        <v>1014</v>
      </c>
      <c r="E17" s="602">
        <f>GETPIVOTDATA("Sum of 2012-13",AuditsPivot!$B$4,"PremisesType",$A17)</f>
        <v>670</v>
      </c>
      <c r="F17" s="959">
        <f>GETPIVOTDATA("Sum of 2013-14",AuditsPivot!$B$4,"PremisesType",$A17)</f>
        <v>0</v>
      </c>
      <c r="G17" s="602">
        <f>GETPIVOTDATA("Sum of 2014-15",AuditsPivot!$B$4,"PremisesType",$A17)</f>
        <v>596</v>
      </c>
      <c r="H17" s="602">
        <f>GETPIVOTDATA("Sum of 2015-16",AuditsPivot!$B$4,"PremisesType",$A17)</f>
        <v>494</v>
      </c>
      <c r="I17" s="602">
        <f>GETPIVOTDATA("Sum of 2016-17",AuditsPivot!$B$4,"PremisesType",$A17)</f>
        <v>482</v>
      </c>
      <c r="J17" s="602">
        <f>GETPIVOTDATA("Sum of 2017-18",AuditsPivot!$B$4,"PremisesType",$A17)</f>
        <v>332</v>
      </c>
      <c r="K17" s="602">
        <f>GETPIVOTDATA("Sum of 2018-19",AuditsPivot!$B$4,"PremisesType",$A17)</f>
        <v>374</v>
      </c>
      <c r="L17" s="602">
        <f>GETPIVOTDATA("Sum of 2019-20",AuditsPivot!$B$4,"PremisesType",$A17)</f>
        <v>289</v>
      </c>
      <c r="M17" s="602">
        <f>GETPIVOTDATA("Sum of 2020-21",AuditsPivot!$B$4,"PremisesType",$A17)</f>
        <v>73</v>
      </c>
      <c r="N17" s="602">
        <f>GETPIVOTDATA("Sum of 2021-22",AuditsPivot!$B$4,"PremisesType",$A17)</f>
        <v>132</v>
      </c>
      <c r="O17" s="602">
        <f>GETPIVOTDATA("Sum of 2022-23",AuditsPivot!$B$4,"PremisesType",$A17)</f>
        <v>195</v>
      </c>
      <c r="P17" s="602">
        <f>GETPIVOTDATA("Sum of 2023-24",AuditsPivot!$B$4,"PremisesType",$A17)</f>
        <v>205</v>
      </c>
      <c r="Q17" s="602">
        <f>GETPIVOTDATA("Sum of 2024-25",AuditsPivot!$B$4,"PremisesType",$A17)</f>
        <v>313</v>
      </c>
    </row>
    <row r="18" spans="1:17" x14ac:dyDescent="0.35">
      <c r="A18" s="312" t="s">
        <v>1158</v>
      </c>
      <c r="B18" s="602">
        <f>GETPIVOTDATA("Sum of 2009-10",AuditsPivot!$B$4,"PremisesType",$A18)</f>
        <v>311</v>
      </c>
      <c r="C18" s="602">
        <f>GETPIVOTDATA("Sum of 2010-11",AuditsPivot!$B$4,"PremisesType",$A18)</f>
        <v>405</v>
      </c>
      <c r="D18" s="602">
        <f>GETPIVOTDATA("Sum of 2011-12",AuditsPivot!$B$4,"PremisesType",$A18)</f>
        <v>483</v>
      </c>
      <c r="E18" s="602">
        <f>GETPIVOTDATA("Sum of 2012-13",AuditsPivot!$B$4,"PremisesType",$A18)</f>
        <v>389</v>
      </c>
      <c r="F18" s="959">
        <f>GETPIVOTDATA("Sum of 2013-14",AuditsPivot!$B$4,"PremisesType",$A18)</f>
        <v>0</v>
      </c>
      <c r="G18" s="602">
        <f>GETPIVOTDATA("Sum of 2014-15",AuditsPivot!$B$4,"PremisesType",$A18)</f>
        <v>344</v>
      </c>
      <c r="H18" s="602">
        <f>GETPIVOTDATA("Sum of 2015-16",AuditsPivot!$B$4,"PremisesType",$A18)</f>
        <v>379</v>
      </c>
      <c r="I18" s="602">
        <f>GETPIVOTDATA("Sum of 2016-17",AuditsPivot!$B$4,"PremisesType",$A18)</f>
        <v>275</v>
      </c>
      <c r="J18" s="602">
        <f>GETPIVOTDATA("Sum of 2017-18",AuditsPivot!$B$4,"PremisesType",$A18)</f>
        <v>220</v>
      </c>
      <c r="K18" s="602">
        <f>GETPIVOTDATA("Sum of 2018-19",AuditsPivot!$B$4,"PremisesType",$A18)</f>
        <v>267</v>
      </c>
      <c r="L18" s="602">
        <f>GETPIVOTDATA("Sum of 2019-20",AuditsPivot!$B$4,"PremisesType",$A18)</f>
        <v>285</v>
      </c>
      <c r="M18" s="602">
        <f>GETPIVOTDATA("Sum of 2020-21",AuditsPivot!$B$4,"PremisesType",$A18)</f>
        <v>63</v>
      </c>
      <c r="N18" s="602">
        <f>GETPIVOTDATA("Sum of 2021-22",AuditsPivot!$B$4,"PremisesType",$A18)</f>
        <v>110</v>
      </c>
      <c r="O18" s="602">
        <f>GETPIVOTDATA("Sum of 2022-23",AuditsPivot!$B$4,"PremisesType",$A18)</f>
        <v>110</v>
      </c>
      <c r="P18" s="602">
        <f>GETPIVOTDATA("Sum of 2023-24",AuditsPivot!$B$4,"PremisesType",$A18)</f>
        <v>249</v>
      </c>
      <c r="Q18" s="602">
        <f>GETPIVOTDATA("Sum of 2024-25",AuditsPivot!$B$4,"PremisesType",$A18)</f>
        <v>212</v>
      </c>
    </row>
    <row r="19" spans="1:17" x14ac:dyDescent="0.35">
      <c r="A19" s="312" t="s">
        <v>1159</v>
      </c>
      <c r="B19" s="602">
        <f>GETPIVOTDATA("Sum of 2009-10",AuditsPivot!$B$4,"PremisesType",$A19)</f>
        <v>287</v>
      </c>
      <c r="C19" s="602">
        <f>GETPIVOTDATA("Sum of 2010-11",AuditsPivot!$B$4,"PremisesType",$A19)</f>
        <v>328</v>
      </c>
      <c r="D19" s="602">
        <f>GETPIVOTDATA("Sum of 2011-12",AuditsPivot!$B$4,"PremisesType",$A19)</f>
        <v>260</v>
      </c>
      <c r="E19" s="602">
        <f>GETPIVOTDATA("Sum of 2012-13",AuditsPivot!$B$4,"PremisesType",$A19)</f>
        <v>399</v>
      </c>
      <c r="F19" s="959">
        <f>GETPIVOTDATA("Sum of 2013-14",AuditsPivot!$B$4,"PremisesType",$A19)</f>
        <v>0</v>
      </c>
      <c r="G19" s="602">
        <f>GETPIVOTDATA("Sum of 2014-15",AuditsPivot!$B$4,"PremisesType",$A19)</f>
        <v>356</v>
      </c>
      <c r="H19" s="602">
        <f>GETPIVOTDATA("Sum of 2015-16",AuditsPivot!$B$4,"PremisesType",$A19)</f>
        <v>320</v>
      </c>
      <c r="I19" s="602">
        <f>GETPIVOTDATA("Sum of 2016-17",AuditsPivot!$B$4,"PremisesType",$A19)</f>
        <v>235</v>
      </c>
      <c r="J19" s="602">
        <f>GETPIVOTDATA("Sum of 2017-18",AuditsPivot!$B$4,"PremisesType",$A19)</f>
        <v>240</v>
      </c>
      <c r="K19" s="602">
        <f>GETPIVOTDATA("Sum of 2018-19",AuditsPivot!$B$4,"PremisesType",$A19)</f>
        <v>283</v>
      </c>
      <c r="L19" s="602">
        <f>GETPIVOTDATA("Sum of 2019-20",AuditsPivot!$B$4,"PremisesType",$A19)</f>
        <v>279</v>
      </c>
      <c r="M19" s="602">
        <f>GETPIVOTDATA("Sum of 2020-21",AuditsPivot!$B$4,"PremisesType",$A19)</f>
        <v>66</v>
      </c>
      <c r="N19" s="602">
        <f>GETPIVOTDATA("Sum of 2021-22",AuditsPivot!$B$4,"PremisesType",$A19)</f>
        <v>176</v>
      </c>
      <c r="O19" s="602">
        <f>GETPIVOTDATA("Sum of 2022-23",AuditsPivot!$B$4,"PremisesType",$A19)</f>
        <v>168</v>
      </c>
      <c r="P19" s="602">
        <f>GETPIVOTDATA("Sum of 2023-24",AuditsPivot!$B$4,"PremisesType",$A19)</f>
        <v>172</v>
      </c>
      <c r="Q19" s="602">
        <f>GETPIVOTDATA("Sum of 2024-25",AuditsPivot!$B$4,"PremisesType",$A19)</f>
        <v>209</v>
      </c>
    </row>
    <row r="20" spans="1:17" x14ac:dyDescent="0.35">
      <c r="A20" s="312" t="s">
        <v>1160</v>
      </c>
      <c r="B20" s="602">
        <f>GETPIVOTDATA("Sum of 2009-10",AuditsPivot!$B$4,"PremisesType",$A20)</f>
        <v>284</v>
      </c>
      <c r="C20" s="602">
        <f>GETPIVOTDATA("Sum of 2010-11",AuditsPivot!$B$4,"PremisesType",$A20)</f>
        <v>395</v>
      </c>
      <c r="D20" s="602">
        <f>GETPIVOTDATA("Sum of 2011-12",AuditsPivot!$B$4,"PremisesType",$A20)</f>
        <v>430</v>
      </c>
      <c r="E20" s="602">
        <f>GETPIVOTDATA("Sum of 2012-13",AuditsPivot!$B$4,"PremisesType",$A20)</f>
        <v>415</v>
      </c>
      <c r="F20" s="959">
        <f>GETPIVOTDATA("Sum of 2013-14",AuditsPivot!$B$4,"PremisesType",$A20)</f>
        <v>0</v>
      </c>
      <c r="G20" s="602">
        <f>GETPIVOTDATA("Sum of 2014-15",AuditsPivot!$B$4,"PremisesType",$A20)</f>
        <v>251</v>
      </c>
      <c r="H20" s="602">
        <f>GETPIVOTDATA("Sum of 2015-16",AuditsPivot!$B$4,"PremisesType",$A20)</f>
        <v>351</v>
      </c>
      <c r="I20" s="602">
        <f>GETPIVOTDATA("Sum of 2016-17",AuditsPivot!$B$4,"PremisesType",$A20)</f>
        <v>371</v>
      </c>
      <c r="J20" s="602">
        <f>GETPIVOTDATA("Sum of 2017-18",AuditsPivot!$B$4,"PremisesType",$A20)</f>
        <v>408</v>
      </c>
      <c r="K20" s="602">
        <f>GETPIVOTDATA("Sum of 2018-19",AuditsPivot!$B$4,"PremisesType",$A20)</f>
        <v>323</v>
      </c>
      <c r="L20" s="602">
        <f>GETPIVOTDATA("Sum of 2019-20",AuditsPivot!$B$4,"PremisesType",$A20)</f>
        <v>470</v>
      </c>
      <c r="M20" s="602">
        <f>GETPIVOTDATA("Sum of 2020-21",AuditsPivot!$B$4,"PremisesType",$A20)</f>
        <v>119</v>
      </c>
      <c r="N20" s="602">
        <f>GETPIVOTDATA("Sum of 2021-22",AuditsPivot!$B$4,"PremisesType",$A20)</f>
        <v>290</v>
      </c>
      <c r="O20" s="602">
        <f>GETPIVOTDATA("Sum of 2022-23",AuditsPivot!$B$4,"PremisesType",$A20)</f>
        <v>547</v>
      </c>
      <c r="P20" s="602">
        <f>GETPIVOTDATA("Sum of 2023-24",AuditsPivot!$B$4,"PremisesType",$A20)</f>
        <v>1256</v>
      </c>
      <c r="Q20" s="602">
        <f>GETPIVOTDATA("Sum of 2024-25",AuditsPivot!$B$4,"PremisesType",$A20)</f>
        <v>1572</v>
      </c>
    </row>
    <row r="21" spans="1:17" x14ac:dyDescent="0.35">
      <c r="A21" s="312" t="s">
        <v>1161</v>
      </c>
      <c r="B21" s="602">
        <f>GETPIVOTDATA("Sum of 2009-10",AuditsPivot!$B$4,"PremisesType",$A21)</f>
        <v>154</v>
      </c>
      <c r="C21" s="602">
        <f>GETPIVOTDATA("Sum of 2010-11",AuditsPivot!$B$4,"PremisesType",$A21)</f>
        <v>176</v>
      </c>
      <c r="D21" s="602">
        <f>GETPIVOTDATA("Sum of 2011-12",AuditsPivot!$B$4,"PremisesType",$A21)</f>
        <v>342</v>
      </c>
      <c r="E21" s="602">
        <f>GETPIVOTDATA("Sum of 2012-13",AuditsPivot!$B$4,"PremisesType",$A21)</f>
        <v>340</v>
      </c>
      <c r="F21" s="959">
        <f>GETPIVOTDATA("Sum of 2013-14",AuditsPivot!$B$4,"PremisesType",$A21)</f>
        <v>0</v>
      </c>
      <c r="G21" s="602">
        <f>GETPIVOTDATA("Sum of 2014-15",AuditsPivot!$B$4,"PremisesType",$A21)</f>
        <v>174</v>
      </c>
      <c r="H21" s="602">
        <f>GETPIVOTDATA("Sum of 2015-16",AuditsPivot!$B$4,"PremisesType",$A21)</f>
        <v>198</v>
      </c>
      <c r="I21" s="602">
        <f>GETPIVOTDATA("Sum of 2016-17",AuditsPivot!$B$4,"PremisesType",$A21)</f>
        <v>243</v>
      </c>
      <c r="J21" s="602">
        <f>GETPIVOTDATA("Sum of 2017-18",AuditsPivot!$B$4,"PremisesType",$A21)</f>
        <v>113</v>
      </c>
      <c r="K21" s="602">
        <f>GETPIVOTDATA("Sum of 2018-19",AuditsPivot!$B$4,"PremisesType",$A21)</f>
        <v>189</v>
      </c>
      <c r="L21" s="602">
        <f>GETPIVOTDATA("Sum of 2019-20",AuditsPivot!$B$4,"PremisesType",$A21)</f>
        <v>117</v>
      </c>
      <c r="M21" s="602">
        <f>GETPIVOTDATA("Sum of 2020-21",AuditsPivot!$B$4,"PremisesType",$A21)</f>
        <v>50</v>
      </c>
      <c r="N21" s="602">
        <f>GETPIVOTDATA("Sum of 2021-22",AuditsPivot!$B$4,"PremisesType",$A21)</f>
        <v>100</v>
      </c>
      <c r="O21" s="602">
        <f>GETPIVOTDATA("Sum of 2022-23",AuditsPivot!$B$4,"PremisesType",$A21)</f>
        <v>104</v>
      </c>
      <c r="P21" s="602">
        <f>GETPIVOTDATA("Sum of 2023-24",AuditsPivot!$B$4,"PremisesType",$A21)</f>
        <v>169</v>
      </c>
      <c r="Q21" s="602">
        <f>GETPIVOTDATA("Sum of 2024-25",AuditsPivot!$B$4,"PremisesType",$A21)</f>
        <v>129</v>
      </c>
    </row>
    <row r="22" spans="1:17" x14ac:dyDescent="0.35">
      <c r="A22" s="312" t="s">
        <v>1162</v>
      </c>
      <c r="B22" s="602">
        <f>GETPIVOTDATA("Sum of 2009-10",AuditsPivot!$B$4,"PremisesType",$A22)</f>
        <v>68</v>
      </c>
      <c r="C22" s="602">
        <f>GETPIVOTDATA("Sum of 2010-11",AuditsPivot!$B$4,"PremisesType",$A22)</f>
        <v>74</v>
      </c>
      <c r="D22" s="602">
        <f>GETPIVOTDATA("Sum of 2011-12",AuditsPivot!$B$4,"PremisesType",$A22)</f>
        <v>77</v>
      </c>
      <c r="E22" s="602">
        <f>GETPIVOTDATA("Sum of 2012-13",AuditsPivot!$B$4,"PremisesType",$A22)</f>
        <v>58</v>
      </c>
      <c r="F22" s="959">
        <f>GETPIVOTDATA("Sum of 2013-14",AuditsPivot!$B$4,"PremisesType",$A22)</f>
        <v>0</v>
      </c>
      <c r="G22" s="602">
        <f>GETPIVOTDATA("Sum of 2014-15",AuditsPivot!$B$4,"PremisesType",$A22)</f>
        <v>68</v>
      </c>
      <c r="H22" s="602">
        <f>GETPIVOTDATA("Sum of 2015-16",AuditsPivot!$B$4,"PremisesType",$A22)</f>
        <v>49</v>
      </c>
      <c r="I22" s="602">
        <f>GETPIVOTDATA("Sum of 2016-17",AuditsPivot!$B$4,"PremisesType",$A22)</f>
        <v>66</v>
      </c>
      <c r="J22" s="602">
        <f>GETPIVOTDATA("Sum of 2017-18",AuditsPivot!$B$4,"PremisesType",$A22)</f>
        <v>59</v>
      </c>
      <c r="K22" s="602">
        <f>GETPIVOTDATA("Sum of 2018-19",AuditsPivot!$B$4,"PremisesType",$A22)</f>
        <v>60</v>
      </c>
      <c r="L22" s="602">
        <f>GETPIVOTDATA("Sum of 2019-20",AuditsPivot!$B$4,"PremisesType",$A22)</f>
        <v>39</v>
      </c>
      <c r="M22" s="602">
        <f>GETPIVOTDATA("Sum of 2020-21",AuditsPivot!$B$4,"PremisesType",$A22)</f>
        <v>6</v>
      </c>
      <c r="N22" s="602">
        <f>GETPIVOTDATA("Sum of 2021-22",AuditsPivot!$B$4,"PremisesType",$A22)</f>
        <v>21</v>
      </c>
      <c r="O22" s="602">
        <f>GETPIVOTDATA("Sum of 2022-23",AuditsPivot!$B$4,"PremisesType",$A22)</f>
        <v>20</v>
      </c>
      <c r="P22" s="602">
        <f>GETPIVOTDATA("Sum of 2023-24",AuditsPivot!$B$4,"PremisesType",$A22)</f>
        <v>25</v>
      </c>
      <c r="Q22" s="602">
        <f>GETPIVOTDATA("Sum of 2024-25",AuditsPivot!$B$4,"PremisesType",$A22)</f>
        <v>37</v>
      </c>
    </row>
    <row r="23" spans="1:17" x14ac:dyDescent="0.35">
      <c r="A23" s="312" t="s">
        <v>1163</v>
      </c>
      <c r="B23" s="602">
        <f>GETPIVOTDATA("Sum of 2009-10",AuditsPivot!$B$4,"PremisesType",$A23)</f>
        <v>433</v>
      </c>
      <c r="C23" s="602">
        <f>GETPIVOTDATA("Sum of 2010-11",AuditsPivot!$B$4,"PremisesType",$A23)</f>
        <v>264</v>
      </c>
      <c r="D23" s="602">
        <f>GETPIVOTDATA("Sum of 2011-12",AuditsPivot!$B$4,"PremisesType",$A23)</f>
        <v>291</v>
      </c>
      <c r="E23" s="602">
        <f>GETPIVOTDATA("Sum of 2012-13",AuditsPivot!$B$4,"PremisesType",$A23)</f>
        <v>231</v>
      </c>
      <c r="F23" s="959">
        <f>GETPIVOTDATA("Sum of 2013-14",AuditsPivot!$B$4,"PremisesType",$A23)</f>
        <v>0</v>
      </c>
      <c r="G23" s="602">
        <f>GETPIVOTDATA("Sum of 2014-15",AuditsPivot!$B$4,"PremisesType",$A23)</f>
        <v>260</v>
      </c>
      <c r="H23" s="602">
        <f>GETPIVOTDATA("Sum of 2015-16",AuditsPivot!$B$4,"PremisesType",$A23)</f>
        <v>228</v>
      </c>
      <c r="I23" s="602">
        <f>GETPIVOTDATA("Sum of 2016-17",AuditsPivot!$B$4,"PremisesType",$A23)</f>
        <v>363</v>
      </c>
      <c r="J23" s="602">
        <f>GETPIVOTDATA("Sum of 2017-18",AuditsPivot!$B$4,"PremisesType",$A23)</f>
        <v>268</v>
      </c>
      <c r="K23" s="602">
        <f>GETPIVOTDATA("Sum of 2018-19",AuditsPivot!$B$4,"PremisesType",$A23)</f>
        <v>470</v>
      </c>
      <c r="L23" s="602">
        <f>GETPIVOTDATA("Sum of 2019-20",AuditsPivot!$B$4,"PremisesType",$A23)</f>
        <v>271</v>
      </c>
      <c r="M23" s="602">
        <f>GETPIVOTDATA("Sum of 2020-21",AuditsPivot!$B$4,"PremisesType",$A23)</f>
        <v>69</v>
      </c>
      <c r="N23" s="602">
        <f>GETPIVOTDATA("Sum of 2021-22",AuditsPivot!$B$4,"PremisesType",$A23)</f>
        <v>179</v>
      </c>
      <c r="O23" s="602">
        <f>GETPIVOTDATA("Sum of 2022-23",AuditsPivot!$B$4,"PremisesType",$A23)</f>
        <v>219</v>
      </c>
      <c r="P23" s="602">
        <f>GETPIVOTDATA("Sum of 2023-24",AuditsPivot!$B$4,"PremisesType",$A23)</f>
        <v>159</v>
      </c>
      <c r="Q23" s="602">
        <f>GETPIVOTDATA("Sum of 2024-25",AuditsPivot!$B$4,"PremisesType",$A23)</f>
        <v>294</v>
      </c>
    </row>
    <row r="24" spans="1:17" x14ac:dyDescent="0.35">
      <c r="A24" s="312" t="s">
        <v>1164</v>
      </c>
      <c r="B24" s="602">
        <f>GETPIVOTDATA("Sum of 2009-10",AuditsPivot!$B$4,"PremisesType",$A24)</f>
        <v>1038</v>
      </c>
      <c r="C24" s="602">
        <f>GETPIVOTDATA("Sum of 2010-11",AuditsPivot!$B$4,"PremisesType",$A24)</f>
        <v>1082</v>
      </c>
      <c r="D24" s="602">
        <f>GETPIVOTDATA("Sum of 2011-12",AuditsPivot!$B$4,"PremisesType",$A24)</f>
        <v>1619</v>
      </c>
      <c r="E24" s="602">
        <f>GETPIVOTDATA("Sum of 2012-13",AuditsPivot!$B$4,"PremisesType",$A24)</f>
        <v>1294</v>
      </c>
      <c r="F24" s="959">
        <f>GETPIVOTDATA("Sum of 2013-14",AuditsPivot!$B$4,"PremisesType",$A24)</f>
        <v>0</v>
      </c>
      <c r="G24" s="602">
        <f>GETPIVOTDATA("Sum of 2014-15",AuditsPivot!$B$4,"PremisesType",$A24)</f>
        <v>683</v>
      </c>
      <c r="H24" s="602">
        <f>GETPIVOTDATA("Sum of 2015-16",AuditsPivot!$B$4,"PremisesType",$A24)</f>
        <v>639</v>
      </c>
      <c r="I24" s="602">
        <f>GETPIVOTDATA("Sum of 2016-17",AuditsPivot!$B$4,"PremisesType",$A24)</f>
        <v>523</v>
      </c>
      <c r="J24" s="602">
        <f>GETPIVOTDATA("Sum of 2017-18",AuditsPivot!$B$4,"PremisesType",$A24)</f>
        <v>362</v>
      </c>
      <c r="K24" s="602">
        <f>GETPIVOTDATA("Sum of 2018-19",AuditsPivot!$B$4,"PremisesType",$A24)</f>
        <v>382</v>
      </c>
      <c r="L24" s="602">
        <f>GETPIVOTDATA("Sum of 2019-20",AuditsPivot!$B$4,"PremisesType",$A24)</f>
        <v>358</v>
      </c>
      <c r="M24" s="602">
        <f>GETPIVOTDATA("Sum of 2020-21",AuditsPivot!$B$4,"PremisesType",$A24)</f>
        <v>126</v>
      </c>
      <c r="N24" s="602">
        <f>GETPIVOTDATA("Sum of 2021-22",AuditsPivot!$B$4,"PremisesType",$A24)</f>
        <v>193</v>
      </c>
      <c r="O24" s="602">
        <f>GETPIVOTDATA("Sum of 2022-23",AuditsPivot!$B$4,"PremisesType",$A24)</f>
        <v>342</v>
      </c>
      <c r="P24" s="602">
        <f>GETPIVOTDATA("Sum of 2023-24",AuditsPivot!$B$4,"PremisesType",$A24)</f>
        <v>301</v>
      </c>
      <c r="Q24" s="602">
        <f>GETPIVOTDATA("Sum of 2024-25",AuditsPivot!$B$4,"PremisesType",$A24)</f>
        <v>349</v>
      </c>
    </row>
    <row r="25" spans="1:17" x14ac:dyDescent="0.35">
      <c r="F25" s="960"/>
    </row>
    <row r="26" spans="1:17" ht="18.649999999999999" customHeight="1" thickBot="1" x14ac:dyDescent="0.4">
      <c r="A26" s="964" t="s">
        <v>1184</v>
      </c>
      <c r="B26" s="237"/>
      <c r="C26" s="237"/>
      <c r="D26" s="237"/>
      <c r="E26" s="237"/>
      <c r="F26" s="961"/>
      <c r="G26" s="237">
        <f>SUM(G10:G24)-G13</f>
        <v>6259</v>
      </c>
      <c r="H26" s="237">
        <f t="shared" ref="H26:Q26" si="0">SUM(H10:H24)-H13</f>
        <v>6772</v>
      </c>
      <c r="I26" s="237">
        <f t="shared" si="0"/>
        <v>6289</v>
      </c>
      <c r="J26" s="237">
        <f t="shared" si="0"/>
        <v>5558</v>
      </c>
      <c r="K26" s="237">
        <f t="shared" si="0"/>
        <v>6010</v>
      </c>
      <c r="L26" s="237">
        <f t="shared" si="0"/>
        <v>5310</v>
      </c>
      <c r="M26" s="237">
        <f>SUM(M10:M24)-M13</f>
        <v>2504</v>
      </c>
      <c r="N26" s="237">
        <f t="shared" si="0"/>
        <v>3704</v>
      </c>
      <c r="O26" s="237">
        <f t="shared" si="0"/>
        <v>4754</v>
      </c>
      <c r="P26" s="237">
        <f t="shared" si="0"/>
        <v>5827</v>
      </c>
      <c r="Q26" s="237">
        <f t="shared" si="0"/>
        <v>6368</v>
      </c>
    </row>
    <row r="27" spans="1:17" x14ac:dyDescent="0.35">
      <c r="A27" s="238"/>
      <c r="B27" s="140"/>
      <c r="C27" s="140"/>
      <c r="D27" s="140"/>
      <c r="E27" s="147"/>
      <c r="F27" s="962"/>
      <c r="G27" s="239"/>
      <c r="H27" s="239"/>
    </row>
    <row r="28" spans="1:17" ht="19.5" customHeight="1" thickBot="1" x14ac:dyDescent="0.4">
      <c r="A28" s="964" t="s">
        <v>1185</v>
      </c>
      <c r="B28" s="237"/>
      <c r="C28" s="237"/>
      <c r="D28" s="237"/>
      <c r="E28" s="237"/>
      <c r="F28" s="963"/>
      <c r="G28" s="237">
        <f>SUM(G10:G24)</f>
        <v>8206</v>
      </c>
      <c r="H28" s="237">
        <f t="shared" ref="H28:Q28" si="1">SUM(H10:H24)</f>
        <v>9834</v>
      </c>
      <c r="I28" s="237">
        <f t="shared" si="1"/>
        <v>8939</v>
      </c>
      <c r="J28" s="237">
        <f t="shared" si="1"/>
        <v>7635</v>
      </c>
      <c r="K28" s="237">
        <f t="shared" si="1"/>
        <v>7872</v>
      </c>
      <c r="L28" s="237">
        <f t="shared" si="1"/>
        <v>7261</v>
      </c>
      <c r="M28" s="237">
        <f t="shared" si="1"/>
        <v>3319</v>
      </c>
      <c r="N28" s="237">
        <f t="shared" si="1"/>
        <v>5688</v>
      </c>
      <c r="O28" s="237">
        <f t="shared" si="1"/>
        <v>6712</v>
      </c>
      <c r="P28" s="237">
        <f t="shared" si="1"/>
        <v>7654</v>
      </c>
      <c r="Q28" s="237">
        <f t="shared" si="1"/>
        <v>8768</v>
      </c>
    </row>
    <row r="29" spans="1:17" x14ac:dyDescent="0.35">
      <c r="A29" s="25"/>
      <c r="B29" s="25"/>
      <c r="C29" s="25"/>
      <c r="D29" s="25"/>
      <c r="E29" s="25"/>
      <c r="F29" s="25"/>
      <c r="G29" s="25"/>
      <c r="H29" s="25"/>
    </row>
    <row r="30" spans="1:17" x14ac:dyDescent="0.35">
      <c r="A30" s="334" t="s">
        <v>329</v>
      </c>
      <c r="B30" s="339"/>
      <c r="C30" s="339"/>
      <c r="D30" s="339"/>
      <c r="E30" s="339"/>
      <c r="F30" s="339"/>
      <c r="G30" s="339"/>
      <c r="H30" s="339"/>
    </row>
    <row r="31" spans="1:17" x14ac:dyDescent="0.35">
      <c r="A31" s="339" t="s">
        <v>1186</v>
      </c>
      <c r="B31" s="339"/>
      <c r="C31" s="339"/>
      <c r="D31" s="339"/>
      <c r="E31" s="339"/>
      <c r="F31" s="339"/>
      <c r="G31" s="339"/>
      <c r="H31" s="339"/>
    </row>
    <row r="32" spans="1:17" ht="30" customHeight="1" x14ac:dyDescent="0.35">
      <c r="A32" s="1014" t="s">
        <v>1135</v>
      </c>
      <c r="B32" s="1014"/>
      <c r="C32" s="1014"/>
      <c r="D32" s="1014"/>
      <c r="E32" s="1014"/>
      <c r="F32" s="1014"/>
      <c r="G32" s="1014"/>
      <c r="H32" s="1014"/>
      <c r="I32" s="1014"/>
      <c r="J32" s="1014"/>
      <c r="K32" s="1014"/>
      <c r="L32" s="1014"/>
    </row>
    <row r="33" spans="1:10" ht="46" customHeight="1" x14ac:dyDescent="0.35">
      <c r="A33" s="1010" t="s">
        <v>1187</v>
      </c>
      <c r="B33" s="1010"/>
      <c r="C33" s="1010"/>
      <c r="D33" s="1010"/>
      <c r="E33" s="1010"/>
      <c r="F33" s="1010"/>
      <c r="G33" s="1010"/>
      <c r="H33" s="1010"/>
      <c r="I33" s="1010"/>
      <c r="J33" s="1010"/>
    </row>
  </sheetData>
  <sheetProtection algorithmName="SHA-512" hashValue="z76yl8nt0J9briMgj5p77lJ9sRCsBLEaUhe+KgmnbAJXGjsyuoQi/0/c05v1lpWQ2s4WJq/Z+D1AB1IuiBODRA==" saltValue="nhEAsumWivcxEiNcrH/jTA==" spinCount="100000" sheet="1" scenarios="1" formatCells="0" sort="0" autoFilter="0" pivotTables="0"/>
  <mergeCells count="3">
    <mergeCell ref="A33:J33"/>
    <mergeCell ref="A4:K4"/>
    <mergeCell ref="A32:L32"/>
  </mergeCells>
  <phoneticPr fontId="53" type="noConversion"/>
  <hyperlinks>
    <hyperlink ref="A2" location="'Table of Contents'!A1" display="Back to Table of Contents" xr:uid="{00000000-0004-0000-A100-000000000000}"/>
  </hyperlinks>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33">
    <tabColor theme="3" tint="0.39997558519241921"/>
    <pageSetUpPr fitToPage="1"/>
  </sheetPr>
  <dimension ref="A1:S45"/>
  <sheetViews>
    <sheetView showGridLines="0" zoomScaleNormal="100" workbookViewId="0">
      <pane ySplit="2" topLeftCell="A3" activePane="bottomLeft" state="frozen"/>
      <selection pane="bottomLeft"/>
    </sheetView>
  </sheetViews>
  <sheetFormatPr defaultRowHeight="14.5" x14ac:dyDescent="0.35"/>
  <cols>
    <col min="1" max="1" width="17" customWidth="1"/>
    <col min="2" max="2" width="21.26953125" customWidth="1"/>
    <col min="3" max="3" width="9.81640625" customWidth="1"/>
    <col min="4" max="4" width="7.54296875" bestFit="1" customWidth="1"/>
    <col min="5" max="5" width="8" customWidth="1"/>
    <col min="6" max="6" width="7.26953125" customWidth="1"/>
    <col min="7" max="7" width="8.54296875" customWidth="1"/>
    <col min="8" max="8" width="10.453125" customWidth="1"/>
    <col min="9" max="9" width="11.26953125" customWidth="1"/>
    <col min="10" max="10" width="9.453125" customWidth="1"/>
    <col min="11" max="11" width="11" customWidth="1"/>
    <col min="12" max="12" width="8.26953125" customWidth="1"/>
    <col min="13" max="13" width="7" customWidth="1"/>
    <col min="14" max="14" width="12.7265625" customWidth="1"/>
    <col min="15" max="15" width="12.54296875" customWidth="1"/>
    <col min="16" max="16" width="7.1796875" bestFit="1" customWidth="1"/>
    <col min="17" max="17" width="11.26953125" bestFit="1" customWidth="1"/>
    <col min="18" max="18" width="8.81640625" customWidth="1"/>
    <col min="19" max="19" width="15.453125" bestFit="1" customWidth="1"/>
  </cols>
  <sheetData>
    <row r="1" spans="1:19" ht="32.5" customHeight="1" x14ac:dyDescent="0.35">
      <c r="A1" s="514" t="s">
        <v>1127</v>
      </c>
    </row>
    <row r="2" spans="1:19" x14ac:dyDescent="0.35">
      <c r="A2" s="499" t="s">
        <v>201</v>
      </c>
    </row>
    <row r="3" spans="1:19" x14ac:dyDescent="0.35">
      <c r="A3" s="25"/>
    </row>
    <row r="4" spans="1:19" ht="15.5" x14ac:dyDescent="0.35">
      <c r="A4" s="1051" t="s">
        <v>1188</v>
      </c>
      <c r="B4" s="1051"/>
      <c r="C4" s="1051"/>
      <c r="D4" s="1051"/>
      <c r="E4" s="1051"/>
      <c r="F4" s="1051"/>
      <c r="G4" s="1051"/>
      <c r="H4" s="1051"/>
      <c r="I4" s="1051"/>
      <c r="J4" s="1051"/>
      <c r="K4" s="1051"/>
    </row>
    <row r="5" spans="1:19" ht="15.5" x14ac:dyDescent="0.35">
      <c r="A5" t="s">
        <v>202</v>
      </c>
      <c r="B5" t="s">
        <v>186</v>
      </c>
      <c r="C5" s="500"/>
      <c r="D5" s="500"/>
      <c r="E5" s="500"/>
      <c r="F5" s="500"/>
      <c r="G5" s="500"/>
      <c r="H5" s="500"/>
      <c r="I5" s="500"/>
      <c r="J5" s="500"/>
      <c r="K5" s="500"/>
    </row>
    <row r="6" spans="1:19" ht="15.5" x14ac:dyDescent="0.35">
      <c r="A6" t="s">
        <v>203</v>
      </c>
      <c r="B6" t="s">
        <v>204</v>
      </c>
      <c r="C6" s="500"/>
      <c r="D6" s="500"/>
      <c r="E6" s="500"/>
      <c r="F6" s="500"/>
      <c r="G6" s="500"/>
      <c r="H6" s="500"/>
      <c r="I6" s="500"/>
      <c r="J6" s="500"/>
      <c r="K6" s="500"/>
    </row>
    <row r="7" spans="1:19" ht="15.5" x14ac:dyDescent="0.35">
      <c r="A7" t="s">
        <v>205</v>
      </c>
      <c r="B7" t="s">
        <v>206</v>
      </c>
      <c r="C7" s="500"/>
      <c r="D7" s="500"/>
      <c r="E7" s="500"/>
      <c r="F7" s="500"/>
      <c r="G7" s="500"/>
      <c r="H7" s="500"/>
      <c r="I7" s="500"/>
      <c r="J7" s="500"/>
      <c r="K7" s="500"/>
    </row>
    <row r="8" spans="1:19" ht="18.5" x14ac:dyDescent="0.45">
      <c r="F8" s="573"/>
      <c r="G8" s="594"/>
    </row>
    <row r="9" spans="1:19" ht="56.5" x14ac:dyDescent="0.35">
      <c r="A9" s="240" t="s">
        <v>208</v>
      </c>
      <c r="B9" s="240" t="s">
        <v>32</v>
      </c>
      <c r="C9" s="241" t="s">
        <v>1189</v>
      </c>
      <c r="D9" s="241" t="s">
        <v>1150</v>
      </c>
      <c r="E9" s="241" t="s">
        <v>1153</v>
      </c>
      <c r="F9" s="241" t="s">
        <v>1155</v>
      </c>
      <c r="G9" s="241" t="s">
        <v>1156</v>
      </c>
      <c r="H9" s="241" t="s">
        <v>1190</v>
      </c>
      <c r="I9" s="241" t="s">
        <v>1152</v>
      </c>
      <c r="J9" s="241" t="s">
        <v>1162</v>
      </c>
      <c r="K9" s="241" t="s">
        <v>1157</v>
      </c>
      <c r="L9" s="241" t="s">
        <v>1163</v>
      </c>
      <c r="M9" s="241" t="s">
        <v>1164</v>
      </c>
      <c r="N9" s="241" t="s">
        <v>1191</v>
      </c>
      <c r="O9" s="241" t="s">
        <v>1151</v>
      </c>
      <c r="P9" s="241" t="s">
        <v>1158</v>
      </c>
      <c r="Q9" s="241" t="s">
        <v>1192</v>
      </c>
      <c r="R9" s="401" t="s">
        <v>1193</v>
      </c>
      <c r="S9" s="241" t="s">
        <v>1184</v>
      </c>
    </row>
    <row r="10" spans="1:19" x14ac:dyDescent="0.35">
      <c r="A10" s="389" t="s">
        <v>215</v>
      </c>
      <c r="B10" s="540" t="s">
        <v>216</v>
      </c>
      <c r="C10" s="50">
        <f>GETPIVOTDATA("Sum of Hospital / Prison",auditlapivot!$B$4,"Local Authority",B10)</f>
        <v>10</v>
      </c>
      <c r="D10" s="50">
        <f>GETPIVOTDATA("Sum of Care Home",auditlapivot!$B$4,"Local Authority",B10)</f>
        <v>76</v>
      </c>
      <c r="E10" s="50">
        <f>GETPIVOTDATA("Sum of HMO",auditlapivot!$B$4,"Local Authority",B10)</f>
        <v>230</v>
      </c>
      <c r="F10" s="50">
        <f>GETPIVOTDATA("Sum of Hostel",auditlapivot!$B$4,"Local Authority",B10)</f>
        <v>0</v>
      </c>
      <c r="G10" s="50">
        <f>GETPIVOTDATA("Sum of Hotel",auditlapivot!$B$4,"Local Authority",B10)</f>
        <v>37</v>
      </c>
      <c r="H10" s="50">
        <f>GETPIVOTDATA("Sum of Other Sleeping Accomm",auditlapivot!$B$4,"Local Authority",B10)</f>
        <v>28</v>
      </c>
      <c r="I10" s="50">
        <f>GETPIVOTDATA("Sum of Further Education",auditlapivot!$B$4,"Local Authority",B10)</f>
        <v>0</v>
      </c>
      <c r="J10" s="50">
        <f>GETPIVOTDATA("Sum of Public Building",auditlapivot!$B$4,"Local Authority",B10)</f>
        <v>0</v>
      </c>
      <c r="K10" s="50">
        <f>GETPIVOTDATA("Sum of Licensed Premises",auditlapivot!$B$4,"Local Authority",B10)</f>
        <v>3</v>
      </c>
      <c r="L10" s="50">
        <f>GETPIVOTDATA("Sum of School",auditlapivot!$B$4,"Local Authority",B10)</f>
        <v>2</v>
      </c>
      <c r="M10" s="50">
        <f>GETPIVOTDATA("Sum of Shop",auditlapivot!$B$4,"Local Authority",B10)</f>
        <v>7</v>
      </c>
      <c r="N10" s="50">
        <f>GETPIVOTDATA("Sum of Other Premises Open to Public",auditlapivot!$B$4,"Local Authority",B10)</f>
        <v>5</v>
      </c>
      <c r="O10" s="50">
        <f>GETPIVOTDATA("Sum of Factory or Warehouse",auditlapivot!$B$4,"Local Authority",B10)</f>
        <v>3</v>
      </c>
      <c r="P10" s="50">
        <f>GETPIVOTDATA("Sum of Office",auditlapivot!$B$4,"Local Authority",B10)</f>
        <v>3</v>
      </c>
      <c r="Q10" s="50">
        <f>GETPIVOTDATA("Sum of Other Workplace",auditlapivot!$B$4,"Local Authority",B10)</f>
        <v>3</v>
      </c>
      <c r="R10" s="765">
        <f>SUM(C10:Q10)</f>
        <v>407</v>
      </c>
      <c r="S10" s="69">
        <f>R10-E10</f>
        <v>177</v>
      </c>
    </row>
    <row r="11" spans="1:19" x14ac:dyDescent="0.35">
      <c r="A11" s="389" t="s">
        <v>220</v>
      </c>
      <c r="B11" s="540" t="s">
        <v>221</v>
      </c>
      <c r="C11" s="50">
        <f>GETPIVOTDATA("Sum of Hospital / Prison",auditlapivot!$B$4,"Local Authority",B11)</f>
        <v>21</v>
      </c>
      <c r="D11" s="50">
        <f>GETPIVOTDATA("Sum of Care Home",auditlapivot!$B$4,"Local Authority",B11)</f>
        <v>81</v>
      </c>
      <c r="E11" s="50">
        <f>GETPIVOTDATA("Sum of HMO",auditlapivot!$B$4,"Local Authority",B11)</f>
        <v>28</v>
      </c>
      <c r="F11" s="50">
        <f>GETPIVOTDATA("Sum of Hostel",auditlapivot!$B$4,"Local Authority",B11)</f>
        <v>2</v>
      </c>
      <c r="G11" s="50">
        <f>GETPIVOTDATA("Sum of Hotel",auditlapivot!$B$4,"Local Authority",B11)</f>
        <v>54</v>
      </c>
      <c r="H11" s="50">
        <f>GETPIVOTDATA("Sum of Other Sleeping Accomm",auditlapivot!$B$4,"Local Authority",B11)</f>
        <v>114</v>
      </c>
      <c r="I11" s="50">
        <f>GETPIVOTDATA("Sum of Further Education",auditlapivot!$B$4,"Local Authority",B11)</f>
        <v>1</v>
      </c>
      <c r="J11" s="50">
        <f>GETPIVOTDATA("Sum of Public Building",auditlapivot!$B$4,"Local Authority",B11)</f>
        <v>5</v>
      </c>
      <c r="K11" s="50">
        <f>GETPIVOTDATA("Sum of Licensed Premises",auditlapivot!$B$4,"Local Authority",B11)</f>
        <v>6</v>
      </c>
      <c r="L11" s="50">
        <f>GETPIVOTDATA("Sum of School",auditlapivot!$B$4,"Local Authority",B11)</f>
        <v>5</v>
      </c>
      <c r="M11" s="50">
        <f>GETPIVOTDATA("Sum of Shop",auditlapivot!$B$4,"Local Authority",B11)</f>
        <v>5</v>
      </c>
      <c r="N11" s="50">
        <f>GETPIVOTDATA("Sum of Other Premises Open to Public",auditlapivot!$B$4,"Local Authority",B11)</f>
        <v>11</v>
      </c>
      <c r="O11" s="50">
        <f>GETPIVOTDATA("Sum of Factory or Warehouse",auditlapivot!$B$4,"Local Authority",B11)</f>
        <v>10</v>
      </c>
      <c r="P11" s="50">
        <f>GETPIVOTDATA("Sum of Office",auditlapivot!$B$4,"Local Authority",B11)</f>
        <v>4</v>
      </c>
      <c r="Q11" s="50">
        <f>GETPIVOTDATA("Sum of Other Workplace",auditlapivot!$B$4,"Local Authority",B11)</f>
        <v>8</v>
      </c>
      <c r="R11" s="765">
        <f>SUM(C11:Q11)</f>
        <v>355</v>
      </c>
      <c r="S11" s="69">
        <f t="shared" ref="S11:S41" si="0">R11-E11</f>
        <v>327</v>
      </c>
    </row>
    <row r="12" spans="1:19" x14ac:dyDescent="0.35">
      <c r="A12" s="389" t="s">
        <v>224</v>
      </c>
      <c r="B12" s="540" t="s">
        <v>225</v>
      </c>
      <c r="C12" s="50">
        <f>GETPIVOTDATA("Sum of Hospital / Prison",auditlapivot!$B$4,"Local Authority",B12)</f>
        <v>5</v>
      </c>
      <c r="D12" s="50">
        <f>GETPIVOTDATA("Sum of Care Home",auditlapivot!$B$4,"Local Authority",B12)</f>
        <v>36</v>
      </c>
      <c r="E12" s="50">
        <f>GETPIVOTDATA("Sum of HMO",auditlapivot!$B$4,"Local Authority",B12)</f>
        <v>6</v>
      </c>
      <c r="F12" s="50">
        <f>GETPIVOTDATA("Sum of Hostel",auditlapivot!$B$4,"Local Authority",B12)</f>
        <v>0</v>
      </c>
      <c r="G12" s="50">
        <f>GETPIVOTDATA("Sum of Hotel",auditlapivot!$B$4,"Local Authority",B12)</f>
        <v>7</v>
      </c>
      <c r="H12" s="50">
        <f>GETPIVOTDATA("Sum of Other Sleeping Accomm",auditlapivot!$B$4,"Local Authority",B12)</f>
        <v>5</v>
      </c>
      <c r="I12" s="50">
        <f>GETPIVOTDATA("Sum of Further Education",auditlapivot!$B$4,"Local Authority",B12)</f>
        <v>0</v>
      </c>
      <c r="J12" s="50">
        <f>GETPIVOTDATA("Sum of Public Building",auditlapivot!$B$4,"Local Authority",B12)</f>
        <v>1</v>
      </c>
      <c r="K12" s="50">
        <f>GETPIVOTDATA("Sum of Licensed Premises",auditlapivot!$B$4,"Local Authority",B12)</f>
        <v>1</v>
      </c>
      <c r="L12" s="50">
        <f>GETPIVOTDATA("Sum of School",auditlapivot!$B$4,"Local Authority",B12)</f>
        <v>4</v>
      </c>
      <c r="M12" s="50">
        <f>GETPIVOTDATA("Sum of Shop",auditlapivot!$B$4,"Local Authority",B12)</f>
        <v>1</v>
      </c>
      <c r="N12" s="50">
        <f>GETPIVOTDATA("Sum of Other Premises Open to Public",auditlapivot!$B$4,"Local Authority",B12)</f>
        <v>1</v>
      </c>
      <c r="O12" s="50">
        <f>GETPIVOTDATA("Sum of Factory or Warehouse",auditlapivot!$B$4,"Local Authority",B12)</f>
        <v>3</v>
      </c>
      <c r="P12" s="50">
        <f>GETPIVOTDATA("Sum of Office",auditlapivot!$B$4,"Local Authority",B12)</f>
        <v>0</v>
      </c>
      <c r="Q12" s="50">
        <f>GETPIVOTDATA("Sum of Other Workplace",auditlapivot!$B$4,"Local Authority",B12)</f>
        <v>0</v>
      </c>
      <c r="R12" s="765">
        <f t="shared" ref="R12:R41" si="1">SUM(C12:Q12)</f>
        <v>70</v>
      </c>
      <c r="S12" s="69">
        <f t="shared" si="0"/>
        <v>64</v>
      </c>
    </row>
    <row r="13" spans="1:19" x14ac:dyDescent="0.35">
      <c r="A13" s="389" t="s">
        <v>228</v>
      </c>
      <c r="B13" s="540" t="s">
        <v>229</v>
      </c>
      <c r="C13" s="50">
        <f>GETPIVOTDATA("Sum of Hospital / Prison",auditlapivot!$B$4,"Local Authority",B13)</f>
        <v>3</v>
      </c>
      <c r="D13" s="50">
        <f>GETPIVOTDATA("Sum of Care Home",auditlapivot!$B$4,"Local Authority",B13)</f>
        <v>23</v>
      </c>
      <c r="E13" s="50">
        <f>GETPIVOTDATA("Sum of HMO",auditlapivot!$B$4,"Local Authority",B13)</f>
        <v>15</v>
      </c>
      <c r="F13" s="50">
        <f>GETPIVOTDATA("Sum of Hostel",auditlapivot!$B$4,"Local Authority",B13)</f>
        <v>2</v>
      </c>
      <c r="G13" s="50">
        <f>GETPIVOTDATA("Sum of Hotel",auditlapivot!$B$4,"Local Authority",B13)</f>
        <v>54</v>
      </c>
      <c r="H13" s="50">
        <f>GETPIVOTDATA("Sum of Other Sleeping Accomm",auditlapivot!$B$4,"Local Authority",B13)</f>
        <v>381</v>
      </c>
      <c r="I13" s="50">
        <f>GETPIVOTDATA("Sum of Further Education",auditlapivot!$B$4,"Local Authority",B13)</f>
        <v>0</v>
      </c>
      <c r="J13" s="50">
        <f>GETPIVOTDATA("Sum of Public Building",auditlapivot!$B$4,"Local Authority",B13)</f>
        <v>3</v>
      </c>
      <c r="K13" s="50">
        <f>GETPIVOTDATA("Sum of Licensed Premises",auditlapivot!$B$4,"Local Authority",B13)</f>
        <v>0</v>
      </c>
      <c r="L13" s="50">
        <f>GETPIVOTDATA("Sum of School",auditlapivot!$B$4,"Local Authority",B13)</f>
        <v>1</v>
      </c>
      <c r="M13" s="50">
        <f>GETPIVOTDATA("Sum of Shop",auditlapivot!$B$4,"Local Authority",B13)</f>
        <v>4</v>
      </c>
      <c r="N13" s="50">
        <f>GETPIVOTDATA("Sum of Other Premises Open to Public",auditlapivot!$B$4,"Local Authority",B13)</f>
        <v>9</v>
      </c>
      <c r="O13" s="50">
        <f>GETPIVOTDATA("Sum of Factory or Warehouse",auditlapivot!$B$4,"Local Authority",B13)</f>
        <v>4</v>
      </c>
      <c r="P13" s="50">
        <f>GETPIVOTDATA("Sum of Office",auditlapivot!$B$4,"Local Authority",B13)</f>
        <v>4</v>
      </c>
      <c r="Q13" s="50">
        <f>GETPIVOTDATA("Sum of Other Workplace",auditlapivot!$B$4,"Local Authority",B13)</f>
        <v>5</v>
      </c>
      <c r="R13" s="765">
        <f t="shared" si="1"/>
        <v>508</v>
      </c>
      <c r="S13" s="69">
        <f t="shared" si="0"/>
        <v>493</v>
      </c>
    </row>
    <row r="14" spans="1:19" x14ac:dyDescent="0.35">
      <c r="A14" s="389" t="s">
        <v>234</v>
      </c>
      <c r="B14" s="540" t="s">
        <v>235</v>
      </c>
      <c r="C14" s="50">
        <f>GETPIVOTDATA("Sum of Hospital / Prison",auditlapivot!$B$4,"Local Authority",B14)</f>
        <v>40</v>
      </c>
      <c r="D14" s="50">
        <f>GETPIVOTDATA("Sum of Care Home",auditlapivot!$B$4,"Local Authority",B14)</f>
        <v>111</v>
      </c>
      <c r="E14" s="50">
        <f>GETPIVOTDATA("Sum of HMO",auditlapivot!$B$4,"Local Authority",B14)</f>
        <v>294</v>
      </c>
      <c r="F14" s="50">
        <f>GETPIVOTDATA("Sum of Hostel",auditlapivot!$B$4,"Local Authority",B14)</f>
        <v>11</v>
      </c>
      <c r="G14" s="50">
        <f>GETPIVOTDATA("Sum of Hotel",auditlapivot!$B$4,"Local Authority",B14)</f>
        <v>99</v>
      </c>
      <c r="H14" s="50">
        <f>GETPIVOTDATA("Sum of Other Sleeping Accomm",auditlapivot!$B$4,"Local Authority",B14)</f>
        <v>35</v>
      </c>
      <c r="I14" s="50">
        <f>GETPIVOTDATA("Sum of Further Education",auditlapivot!$B$4,"Local Authority",B14)</f>
        <v>4</v>
      </c>
      <c r="J14" s="50">
        <f>GETPIVOTDATA("Sum of Public Building",auditlapivot!$B$4,"Local Authority",B14)</f>
        <v>1</v>
      </c>
      <c r="K14" s="50">
        <f>GETPIVOTDATA("Sum of Licensed Premises",auditlapivot!$B$4,"Local Authority",B14)</f>
        <v>57</v>
      </c>
      <c r="L14" s="50">
        <f>GETPIVOTDATA("Sum of School",auditlapivot!$B$4,"Local Authority",B14)</f>
        <v>12</v>
      </c>
      <c r="M14" s="50">
        <f>GETPIVOTDATA("Sum of Shop",auditlapivot!$B$4,"Local Authority",B14)</f>
        <v>11</v>
      </c>
      <c r="N14" s="50">
        <f>GETPIVOTDATA("Sum of Other Premises Open to Public",auditlapivot!$B$4,"Local Authority",B14)</f>
        <v>12</v>
      </c>
      <c r="O14" s="50">
        <f>GETPIVOTDATA("Sum of Factory or Warehouse",auditlapivot!$B$4,"Local Authority",B14)</f>
        <v>1</v>
      </c>
      <c r="P14" s="50">
        <f>GETPIVOTDATA("Sum of Office",auditlapivot!$B$4,"Local Authority",B14)</f>
        <v>10</v>
      </c>
      <c r="Q14" s="50">
        <f>GETPIVOTDATA("Sum of Other Workplace",auditlapivot!$B$4,"Local Authority",B14)</f>
        <v>8</v>
      </c>
      <c r="R14" s="765">
        <f t="shared" si="1"/>
        <v>706</v>
      </c>
      <c r="S14" s="69">
        <f t="shared" si="0"/>
        <v>412</v>
      </c>
    </row>
    <row r="15" spans="1:19" x14ac:dyDescent="0.35">
      <c r="A15" s="389" t="s">
        <v>240</v>
      </c>
      <c r="B15" s="540" t="s">
        <v>241</v>
      </c>
      <c r="C15" s="50">
        <f>GETPIVOTDATA("Sum of Hospital / Prison",auditlapivot!$B$4,"Local Authority",B15)</f>
        <v>2</v>
      </c>
      <c r="D15" s="50">
        <f>GETPIVOTDATA("Sum of Care Home",auditlapivot!$B$4,"Local Authority",B15)</f>
        <v>18</v>
      </c>
      <c r="E15" s="50">
        <f>GETPIVOTDATA("Sum of HMO",auditlapivot!$B$4,"Local Authority",B15)</f>
        <v>4</v>
      </c>
      <c r="F15" s="50">
        <f>GETPIVOTDATA("Sum of Hostel",auditlapivot!$B$4,"Local Authority",B15)</f>
        <v>1</v>
      </c>
      <c r="G15" s="50">
        <f>GETPIVOTDATA("Sum of Hotel",auditlapivot!$B$4,"Local Authority",B15)</f>
        <v>2</v>
      </c>
      <c r="H15" s="50">
        <f>GETPIVOTDATA("Sum of Other Sleeping Accomm",auditlapivot!$B$4,"Local Authority",B15)</f>
        <v>3</v>
      </c>
      <c r="I15" s="50">
        <f>GETPIVOTDATA("Sum of Further Education",auditlapivot!$B$4,"Local Authority",B15)</f>
        <v>0</v>
      </c>
      <c r="J15" s="50">
        <f>GETPIVOTDATA("Sum of Public Building",auditlapivot!$B$4,"Local Authority",B15)</f>
        <v>0</v>
      </c>
      <c r="K15" s="50">
        <f>GETPIVOTDATA("Sum of Licensed Premises",auditlapivot!$B$4,"Local Authority",B15)</f>
        <v>3</v>
      </c>
      <c r="L15" s="50">
        <f>GETPIVOTDATA("Sum of School",auditlapivot!$B$4,"Local Authority",B15)</f>
        <v>3</v>
      </c>
      <c r="M15" s="50">
        <f>GETPIVOTDATA("Sum of Shop",auditlapivot!$B$4,"Local Authority",B15)</f>
        <v>2</v>
      </c>
      <c r="N15" s="50">
        <f>GETPIVOTDATA("Sum of Other Premises Open to Public",auditlapivot!$B$4,"Local Authority",B15)</f>
        <v>3</v>
      </c>
      <c r="O15" s="50">
        <f>GETPIVOTDATA("Sum of Factory or Warehouse",auditlapivot!$B$4,"Local Authority",B15)</f>
        <v>6</v>
      </c>
      <c r="P15" s="50">
        <f>GETPIVOTDATA("Sum of Office",auditlapivot!$B$4,"Local Authority",B15)</f>
        <v>5</v>
      </c>
      <c r="Q15" s="50">
        <f>GETPIVOTDATA("Sum of Other Workplace",auditlapivot!$B$4,"Local Authority",B15)</f>
        <v>1</v>
      </c>
      <c r="R15" s="765">
        <f t="shared" si="1"/>
        <v>53</v>
      </c>
      <c r="S15" s="69">
        <f t="shared" si="0"/>
        <v>49</v>
      </c>
    </row>
    <row r="16" spans="1:19" x14ac:dyDescent="0.35">
      <c r="A16" s="389" t="s">
        <v>244</v>
      </c>
      <c r="B16" s="540" t="s">
        <v>245</v>
      </c>
      <c r="C16" s="50">
        <f>GETPIVOTDATA("Sum of Hospital / Prison",auditlapivot!$B$4,"Local Authority",B16)</f>
        <v>12</v>
      </c>
      <c r="D16" s="50">
        <f>GETPIVOTDATA("Sum of Care Home",auditlapivot!$B$4,"Local Authority",B16)</f>
        <v>91</v>
      </c>
      <c r="E16" s="50">
        <f>GETPIVOTDATA("Sum of HMO",auditlapivot!$B$4,"Local Authority",B16)</f>
        <v>33</v>
      </c>
      <c r="F16" s="50">
        <f>GETPIVOTDATA("Sum of Hostel",auditlapivot!$B$4,"Local Authority",B16)</f>
        <v>2</v>
      </c>
      <c r="G16" s="50">
        <f>GETPIVOTDATA("Sum of Hotel",auditlapivot!$B$4,"Local Authority",B16)</f>
        <v>95</v>
      </c>
      <c r="H16" s="50">
        <f>GETPIVOTDATA("Sum of Other Sleeping Accomm",auditlapivot!$B$4,"Local Authority",B16)</f>
        <v>320</v>
      </c>
      <c r="I16" s="50">
        <f>GETPIVOTDATA("Sum of Further Education",auditlapivot!$B$4,"Local Authority",B16)</f>
        <v>0</v>
      </c>
      <c r="J16" s="50">
        <f>GETPIVOTDATA("Sum of Public Building",auditlapivot!$B$4,"Local Authority",B16)</f>
        <v>4</v>
      </c>
      <c r="K16" s="50">
        <f>GETPIVOTDATA("Sum of Licensed Premises",auditlapivot!$B$4,"Local Authority",B16)</f>
        <v>4</v>
      </c>
      <c r="L16" s="50">
        <f>GETPIVOTDATA("Sum of School",auditlapivot!$B$4,"Local Authority",B16)</f>
        <v>0</v>
      </c>
      <c r="M16" s="50">
        <f>GETPIVOTDATA("Sum of Shop",auditlapivot!$B$4,"Local Authority",B16)</f>
        <v>6</v>
      </c>
      <c r="N16" s="50">
        <f>GETPIVOTDATA("Sum of Other Premises Open to Public",auditlapivot!$B$4,"Local Authority",B16)</f>
        <v>5</v>
      </c>
      <c r="O16" s="50">
        <f>GETPIVOTDATA("Sum of Factory or Warehouse",auditlapivot!$B$4,"Local Authority",B16)</f>
        <v>5</v>
      </c>
      <c r="P16" s="50">
        <f>GETPIVOTDATA("Sum of Office",auditlapivot!$B$4,"Local Authority",B16)</f>
        <v>4</v>
      </c>
      <c r="Q16" s="50">
        <f>GETPIVOTDATA("Sum of Other Workplace",auditlapivot!$B$4,"Local Authority",B16)</f>
        <v>1</v>
      </c>
      <c r="R16" s="765">
        <f t="shared" si="1"/>
        <v>582</v>
      </c>
      <c r="S16" s="69">
        <f t="shared" si="0"/>
        <v>549</v>
      </c>
    </row>
    <row r="17" spans="1:19" x14ac:dyDescent="0.35">
      <c r="A17" s="389" t="s">
        <v>247</v>
      </c>
      <c r="B17" s="540" t="s">
        <v>248</v>
      </c>
      <c r="C17" s="50">
        <f>GETPIVOTDATA("Sum of Hospital / Prison",auditlapivot!$B$4,"Local Authority",B17)</f>
        <v>15</v>
      </c>
      <c r="D17" s="50">
        <f>GETPIVOTDATA("Sum of Care Home",auditlapivot!$B$4,"Local Authority",B17)</f>
        <v>36</v>
      </c>
      <c r="E17" s="50">
        <f>GETPIVOTDATA("Sum of HMO",auditlapivot!$B$4,"Local Authority",B17)</f>
        <v>219</v>
      </c>
      <c r="F17" s="50">
        <f>GETPIVOTDATA("Sum of Hostel",auditlapivot!$B$4,"Local Authority",B17)</f>
        <v>0</v>
      </c>
      <c r="G17" s="50">
        <f>GETPIVOTDATA("Sum of Hotel",auditlapivot!$B$4,"Local Authority",B17)</f>
        <v>4</v>
      </c>
      <c r="H17" s="50">
        <f>GETPIVOTDATA("Sum of Other Sleeping Accomm",auditlapivot!$B$4,"Local Authority",B17)</f>
        <v>16</v>
      </c>
      <c r="I17" s="50">
        <f>GETPIVOTDATA("Sum of Further Education",auditlapivot!$B$4,"Local Authority",B17)</f>
        <v>2</v>
      </c>
      <c r="J17" s="50">
        <f>GETPIVOTDATA("Sum of Public Building",auditlapivot!$B$4,"Local Authority",B17)</f>
        <v>3</v>
      </c>
      <c r="K17" s="50">
        <f>GETPIVOTDATA("Sum of Licensed Premises",auditlapivot!$B$4,"Local Authority",B17)</f>
        <v>11</v>
      </c>
      <c r="L17" s="50">
        <f>GETPIVOTDATA("Sum of School",auditlapivot!$B$4,"Local Authority",B17)</f>
        <v>4</v>
      </c>
      <c r="M17" s="50">
        <f>GETPIVOTDATA("Sum of Shop",auditlapivot!$B$4,"Local Authority",B17)</f>
        <v>3</v>
      </c>
      <c r="N17" s="50">
        <f>GETPIVOTDATA("Sum of Other Premises Open to Public",auditlapivot!$B$4,"Local Authority",B17)</f>
        <v>6</v>
      </c>
      <c r="O17" s="50">
        <f>GETPIVOTDATA("Sum of Factory or Warehouse",auditlapivot!$B$4,"Local Authority",B17)</f>
        <v>1</v>
      </c>
      <c r="P17" s="50">
        <f>GETPIVOTDATA("Sum of Office",auditlapivot!$B$4,"Local Authority",B17)</f>
        <v>0</v>
      </c>
      <c r="Q17" s="50">
        <f>GETPIVOTDATA("Sum of Other Workplace",auditlapivot!$B$4,"Local Authority",B17)</f>
        <v>3</v>
      </c>
      <c r="R17" s="765">
        <f t="shared" si="1"/>
        <v>323</v>
      </c>
      <c r="S17" s="69">
        <f t="shared" si="0"/>
        <v>104</v>
      </c>
    </row>
    <row r="18" spans="1:19" x14ac:dyDescent="0.35">
      <c r="A18" s="389" t="s">
        <v>249</v>
      </c>
      <c r="B18" s="540" t="s">
        <v>250</v>
      </c>
      <c r="C18" s="50">
        <f>GETPIVOTDATA("Sum of Hospital / Prison",auditlapivot!$B$4,"Local Authority",B18)</f>
        <v>9</v>
      </c>
      <c r="D18" s="50">
        <f>GETPIVOTDATA("Sum of Care Home",auditlapivot!$B$4,"Local Authority",B18)</f>
        <v>59</v>
      </c>
      <c r="E18" s="50">
        <f>GETPIVOTDATA("Sum of HMO",auditlapivot!$B$4,"Local Authority",B18)</f>
        <v>14</v>
      </c>
      <c r="F18" s="50">
        <f>GETPIVOTDATA("Sum of Hostel",auditlapivot!$B$4,"Local Authority",B18)</f>
        <v>0</v>
      </c>
      <c r="G18" s="50">
        <f>GETPIVOTDATA("Sum of Hotel",auditlapivot!$B$4,"Local Authority",B18)</f>
        <v>11</v>
      </c>
      <c r="H18" s="50">
        <f>GETPIVOTDATA("Sum of Other Sleeping Accomm",auditlapivot!$B$4,"Local Authority",B18)</f>
        <v>35</v>
      </c>
      <c r="I18" s="50">
        <f>GETPIVOTDATA("Sum of Further Education",auditlapivot!$B$4,"Local Authority",B18)</f>
        <v>0</v>
      </c>
      <c r="J18" s="50">
        <f>GETPIVOTDATA("Sum of Public Building",auditlapivot!$B$4,"Local Authority",B18)</f>
        <v>1</v>
      </c>
      <c r="K18" s="50">
        <f>GETPIVOTDATA("Sum of Licensed Premises",auditlapivot!$B$4,"Local Authority",B18)</f>
        <v>4</v>
      </c>
      <c r="L18" s="50">
        <f>GETPIVOTDATA("Sum of School",auditlapivot!$B$4,"Local Authority",B18)</f>
        <v>4</v>
      </c>
      <c r="M18" s="50">
        <f>GETPIVOTDATA("Sum of Shop",auditlapivot!$B$4,"Local Authority",B18)</f>
        <v>8</v>
      </c>
      <c r="N18" s="50">
        <f>GETPIVOTDATA("Sum of Other Premises Open to Public",auditlapivot!$B$4,"Local Authority",B18)</f>
        <v>3</v>
      </c>
      <c r="O18" s="50">
        <f>GETPIVOTDATA("Sum of Factory or Warehouse",auditlapivot!$B$4,"Local Authority",B18)</f>
        <v>17</v>
      </c>
      <c r="P18" s="50">
        <f>GETPIVOTDATA("Sum of Office",auditlapivot!$B$4,"Local Authority",B18)</f>
        <v>5</v>
      </c>
      <c r="Q18" s="50">
        <f>GETPIVOTDATA("Sum of Other Workplace",auditlapivot!$B$4,"Local Authority",B18)</f>
        <v>8</v>
      </c>
      <c r="R18" s="765">
        <f t="shared" si="1"/>
        <v>178</v>
      </c>
      <c r="S18" s="69">
        <f t="shared" si="0"/>
        <v>164</v>
      </c>
    </row>
    <row r="19" spans="1:19" x14ac:dyDescent="0.35">
      <c r="A19" s="389" t="s">
        <v>253</v>
      </c>
      <c r="B19" s="540" t="s">
        <v>254</v>
      </c>
      <c r="C19" s="50">
        <f>GETPIVOTDATA("Sum of Hospital / Prison",auditlapivot!$B$4,"Local Authority",B19)</f>
        <v>0</v>
      </c>
      <c r="D19" s="50">
        <f>GETPIVOTDATA("Sum of Care Home",auditlapivot!$B$4,"Local Authority",B19)</f>
        <v>33</v>
      </c>
      <c r="E19" s="50">
        <f>GETPIVOTDATA("Sum of HMO",auditlapivot!$B$4,"Local Authority",B19)</f>
        <v>21</v>
      </c>
      <c r="F19" s="50">
        <f>GETPIVOTDATA("Sum of Hostel",auditlapivot!$B$4,"Local Authority",B19)</f>
        <v>0</v>
      </c>
      <c r="G19" s="50">
        <f>GETPIVOTDATA("Sum of Hotel",auditlapivot!$B$4,"Local Authority",B19)</f>
        <v>5</v>
      </c>
      <c r="H19" s="50">
        <f>GETPIVOTDATA("Sum of Other Sleeping Accomm",auditlapivot!$B$4,"Local Authority",B19)</f>
        <v>1</v>
      </c>
      <c r="I19" s="50">
        <f>GETPIVOTDATA("Sum of Further Education",auditlapivot!$B$4,"Local Authority",B19)</f>
        <v>0</v>
      </c>
      <c r="J19" s="50">
        <f>GETPIVOTDATA("Sum of Public Building",auditlapivot!$B$4,"Local Authority",B19)</f>
        <v>0</v>
      </c>
      <c r="K19" s="50">
        <f>GETPIVOTDATA("Sum of Licensed Premises",auditlapivot!$B$4,"Local Authority",B19)</f>
        <v>3</v>
      </c>
      <c r="L19" s="50">
        <f>GETPIVOTDATA("Sum of School",auditlapivot!$B$4,"Local Authority",B19)</f>
        <v>0</v>
      </c>
      <c r="M19" s="50">
        <f>GETPIVOTDATA("Sum of Shop",auditlapivot!$B$4,"Local Authority",B19)</f>
        <v>7</v>
      </c>
      <c r="N19" s="50">
        <f>GETPIVOTDATA("Sum of Other Premises Open to Public",auditlapivot!$B$4,"Local Authority",B19)</f>
        <v>3</v>
      </c>
      <c r="O19" s="50">
        <f>GETPIVOTDATA("Sum of Factory or Warehouse",auditlapivot!$B$4,"Local Authority",B19)</f>
        <v>1</v>
      </c>
      <c r="P19" s="50">
        <f>GETPIVOTDATA("Sum of Office",auditlapivot!$B$4,"Local Authority",B19)</f>
        <v>0</v>
      </c>
      <c r="Q19" s="50">
        <f>GETPIVOTDATA("Sum of Other Workplace",auditlapivot!$B$4,"Local Authority",B19)</f>
        <v>1</v>
      </c>
      <c r="R19" s="765">
        <f t="shared" si="1"/>
        <v>75</v>
      </c>
      <c r="S19" s="69">
        <f t="shared" si="0"/>
        <v>54</v>
      </c>
    </row>
    <row r="20" spans="1:19" x14ac:dyDescent="0.35">
      <c r="A20" s="389" t="s">
        <v>255</v>
      </c>
      <c r="B20" s="540" t="s">
        <v>256</v>
      </c>
      <c r="C20" s="50">
        <f>GETPIVOTDATA("Sum of Hospital / Prison",auditlapivot!$B$4,"Local Authority",B20)</f>
        <v>1</v>
      </c>
      <c r="D20" s="50">
        <f>GETPIVOTDATA("Sum of Care Home",auditlapivot!$B$4,"Local Authority",B20)</f>
        <v>23</v>
      </c>
      <c r="E20" s="50">
        <f>GETPIVOTDATA("Sum of HMO",auditlapivot!$B$4,"Local Authority",B20)</f>
        <v>11</v>
      </c>
      <c r="F20" s="50">
        <f>GETPIVOTDATA("Sum of Hostel",auditlapivot!$B$4,"Local Authority",B20)</f>
        <v>0</v>
      </c>
      <c r="G20" s="50">
        <f>GETPIVOTDATA("Sum of Hotel",auditlapivot!$B$4,"Local Authority",B20)</f>
        <v>4</v>
      </c>
      <c r="H20" s="50">
        <f>GETPIVOTDATA("Sum of Other Sleeping Accomm",auditlapivot!$B$4,"Local Authority",B20)</f>
        <v>1</v>
      </c>
      <c r="I20" s="50">
        <f>GETPIVOTDATA("Sum of Further Education",auditlapivot!$B$4,"Local Authority",B20)</f>
        <v>0</v>
      </c>
      <c r="J20" s="50">
        <f>GETPIVOTDATA("Sum of Public Building",auditlapivot!$B$4,"Local Authority",B20)</f>
        <v>0</v>
      </c>
      <c r="K20" s="50">
        <f>GETPIVOTDATA("Sum of Licensed Premises",auditlapivot!$B$4,"Local Authority",B20)</f>
        <v>68</v>
      </c>
      <c r="L20" s="50">
        <f>GETPIVOTDATA("Sum of School",auditlapivot!$B$4,"Local Authority",B20)</f>
        <v>2</v>
      </c>
      <c r="M20" s="50">
        <f>GETPIVOTDATA("Sum of Shop",auditlapivot!$B$4,"Local Authority",B20)</f>
        <v>2</v>
      </c>
      <c r="N20" s="50">
        <f>GETPIVOTDATA("Sum of Other Premises Open to Public",auditlapivot!$B$4,"Local Authority",B20)</f>
        <v>7</v>
      </c>
      <c r="O20" s="50">
        <f>GETPIVOTDATA("Sum of Factory or Warehouse",auditlapivot!$B$4,"Local Authority",B20)</f>
        <v>3</v>
      </c>
      <c r="P20" s="50">
        <f>GETPIVOTDATA("Sum of Office",auditlapivot!$B$4,"Local Authority",B20)</f>
        <v>0</v>
      </c>
      <c r="Q20" s="50">
        <f>GETPIVOTDATA("Sum of Other Workplace",auditlapivot!$B$4,"Local Authority",B20)</f>
        <v>1</v>
      </c>
      <c r="R20" s="765">
        <f t="shared" si="1"/>
        <v>123</v>
      </c>
      <c r="S20" s="69">
        <f t="shared" si="0"/>
        <v>112</v>
      </c>
    </row>
    <row r="21" spans="1:19" x14ac:dyDescent="0.35">
      <c r="A21" s="389" t="s">
        <v>259</v>
      </c>
      <c r="B21" s="540" t="s">
        <v>260</v>
      </c>
      <c r="C21" s="50">
        <f>GETPIVOTDATA("Sum of Hospital / Prison",auditlapivot!$B$4,"Local Authority",B21)</f>
        <v>1</v>
      </c>
      <c r="D21" s="50">
        <f>GETPIVOTDATA("Sum of Care Home",auditlapivot!$B$4,"Local Authority",B21)</f>
        <v>13</v>
      </c>
      <c r="E21" s="50">
        <f>GETPIVOTDATA("Sum of HMO",auditlapivot!$B$4,"Local Authority",B21)</f>
        <v>10</v>
      </c>
      <c r="F21" s="50">
        <f>GETPIVOTDATA("Sum of Hostel",auditlapivot!$B$4,"Local Authority",B21)</f>
        <v>0</v>
      </c>
      <c r="G21" s="50">
        <f>GETPIVOTDATA("Sum of Hotel",auditlapivot!$B$4,"Local Authority",B21)</f>
        <v>9</v>
      </c>
      <c r="H21" s="50">
        <f>GETPIVOTDATA("Sum of Other Sleeping Accomm",auditlapivot!$B$4,"Local Authority",B21)</f>
        <v>5</v>
      </c>
      <c r="I21" s="50">
        <f>GETPIVOTDATA("Sum of Further Education",auditlapivot!$B$4,"Local Authority",B21)</f>
        <v>0</v>
      </c>
      <c r="J21" s="50">
        <f>GETPIVOTDATA("Sum of Public Building",auditlapivot!$B$4,"Local Authority",B21)</f>
        <v>0</v>
      </c>
      <c r="K21" s="50">
        <f>GETPIVOTDATA("Sum of Licensed Premises",auditlapivot!$B$4,"Local Authority",B21)</f>
        <v>0</v>
      </c>
      <c r="L21" s="50">
        <f>GETPIVOTDATA("Sum of School",auditlapivot!$B$4,"Local Authority",B21)</f>
        <v>3</v>
      </c>
      <c r="M21" s="50">
        <f>GETPIVOTDATA("Sum of Shop",auditlapivot!$B$4,"Local Authority",B21)</f>
        <v>3</v>
      </c>
      <c r="N21" s="50">
        <f>GETPIVOTDATA("Sum of Other Premises Open to Public",auditlapivot!$B$4,"Local Authority",B21)</f>
        <v>1</v>
      </c>
      <c r="O21" s="50">
        <f>GETPIVOTDATA("Sum of Factory or Warehouse",auditlapivot!$B$4,"Local Authority",B21)</f>
        <v>1</v>
      </c>
      <c r="P21" s="50">
        <f>GETPIVOTDATA("Sum of Office",auditlapivot!$B$4,"Local Authority",B21)</f>
        <v>0</v>
      </c>
      <c r="Q21" s="50">
        <f>GETPIVOTDATA("Sum of Other Workplace",auditlapivot!$B$4,"Local Authority",B21)</f>
        <v>0</v>
      </c>
      <c r="R21" s="765">
        <f t="shared" si="1"/>
        <v>46</v>
      </c>
      <c r="S21" s="69">
        <f t="shared" si="0"/>
        <v>36</v>
      </c>
    </row>
    <row r="22" spans="1:19" x14ac:dyDescent="0.35">
      <c r="A22" s="389" t="s">
        <v>263</v>
      </c>
      <c r="B22" s="540" t="s">
        <v>264</v>
      </c>
      <c r="C22" s="50">
        <f>GETPIVOTDATA("Sum of Hospital / Prison",auditlapivot!$B$4,"Local Authority",B22)</f>
        <v>11</v>
      </c>
      <c r="D22" s="50">
        <f>GETPIVOTDATA("Sum of Care Home",auditlapivot!$B$4,"Local Authority",B22)</f>
        <v>38</v>
      </c>
      <c r="E22" s="50">
        <f>GETPIVOTDATA("Sum of HMO",auditlapivot!$B$4,"Local Authority",B22)</f>
        <v>17</v>
      </c>
      <c r="F22" s="50">
        <f>GETPIVOTDATA("Sum of Hostel",auditlapivot!$B$4,"Local Authority",B22)</f>
        <v>0</v>
      </c>
      <c r="G22" s="50">
        <f>GETPIVOTDATA("Sum of Hotel",auditlapivot!$B$4,"Local Authority",B22)</f>
        <v>21</v>
      </c>
      <c r="H22" s="50">
        <f>GETPIVOTDATA("Sum of Other Sleeping Accomm",auditlapivot!$B$4,"Local Authority",B22)</f>
        <v>1</v>
      </c>
      <c r="I22" s="50">
        <f>GETPIVOTDATA("Sum of Further Education",auditlapivot!$B$4,"Local Authority",B22)</f>
        <v>0</v>
      </c>
      <c r="J22" s="50">
        <f>GETPIVOTDATA("Sum of Public Building",auditlapivot!$B$4,"Local Authority",B22)</f>
        <v>3</v>
      </c>
      <c r="K22" s="50">
        <f>GETPIVOTDATA("Sum of Licensed Premises",auditlapivot!$B$4,"Local Authority",B22)</f>
        <v>6</v>
      </c>
      <c r="L22" s="50">
        <f>GETPIVOTDATA("Sum of School",auditlapivot!$B$4,"Local Authority",B22)</f>
        <v>33</v>
      </c>
      <c r="M22" s="50">
        <f>GETPIVOTDATA("Sum of Shop",auditlapivot!$B$4,"Local Authority",B22)</f>
        <v>6</v>
      </c>
      <c r="N22" s="50">
        <f>GETPIVOTDATA("Sum of Other Premises Open to Public",auditlapivot!$B$4,"Local Authority",B22)</f>
        <v>13</v>
      </c>
      <c r="O22" s="50">
        <f>GETPIVOTDATA("Sum of Factory or Warehouse",auditlapivot!$B$4,"Local Authority",B22)</f>
        <v>11</v>
      </c>
      <c r="P22" s="50">
        <f>GETPIVOTDATA("Sum of Office",auditlapivot!$B$4,"Local Authority",B22)</f>
        <v>5</v>
      </c>
      <c r="Q22" s="50">
        <f>GETPIVOTDATA("Sum of Other Workplace",auditlapivot!$B$4,"Local Authority",B22)</f>
        <v>2</v>
      </c>
      <c r="R22" s="765">
        <f t="shared" si="1"/>
        <v>167</v>
      </c>
      <c r="S22" s="69">
        <f t="shared" si="0"/>
        <v>150</v>
      </c>
    </row>
    <row r="23" spans="1:19" x14ac:dyDescent="0.35">
      <c r="A23" s="389" t="s">
        <v>1101</v>
      </c>
      <c r="B23" s="540" t="s">
        <v>268</v>
      </c>
      <c r="C23" s="50">
        <f>GETPIVOTDATA("Sum of Hospital / Prison",auditlapivot!$B$4,"Local Authority",B23)</f>
        <v>13</v>
      </c>
      <c r="D23" s="50">
        <f>GETPIVOTDATA("Sum of Care Home",auditlapivot!$B$4,"Local Authority",B23)</f>
        <v>113</v>
      </c>
      <c r="E23" s="50">
        <f>GETPIVOTDATA("Sum of HMO",auditlapivot!$B$4,"Local Authority",B23)</f>
        <v>230</v>
      </c>
      <c r="F23" s="50">
        <f>GETPIVOTDATA("Sum of Hostel",auditlapivot!$B$4,"Local Authority",B23)</f>
        <v>0</v>
      </c>
      <c r="G23" s="50">
        <f>GETPIVOTDATA("Sum of Hotel",auditlapivot!$B$4,"Local Authority",B23)</f>
        <v>31</v>
      </c>
      <c r="H23" s="50">
        <f>GETPIVOTDATA("Sum of Other Sleeping Accomm",auditlapivot!$B$4,"Local Authority",B23)</f>
        <v>45</v>
      </c>
      <c r="I23" s="50">
        <f>GETPIVOTDATA("Sum of Further Education",auditlapivot!$B$4,"Local Authority",B23)</f>
        <v>1</v>
      </c>
      <c r="J23" s="50">
        <f>GETPIVOTDATA("Sum of Public Building",auditlapivot!$B$4,"Local Authority",B23)</f>
        <v>2</v>
      </c>
      <c r="K23" s="50">
        <f>GETPIVOTDATA("Sum of Licensed Premises",auditlapivot!$B$4,"Local Authority",B23)</f>
        <v>6</v>
      </c>
      <c r="L23" s="50">
        <f>GETPIVOTDATA("Sum of School",auditlapivot!$B$4,"Local Authority",B23)</f>
        <v>47</v>
      </c>
      <c r="M23" s="50">
        <f>GETPIVOTDATA("Sum of Shop",auditlapivot!$B$4,"Local Authority",B23)</f>
        <v>14</v>
      </c>
      <c r="N23" s="50">
        <f>GETPIVOTDATA("Sum of Other Premises Open to Public",auditlapivot!$B$4,"Local Authority",B23)</f>
        <v>7</v>
      </c>
      <c r="O23" s="50">
        <f>GETPIVOTDATA("Sum of Factory or Warehouse",auditlapivot!$B$4,"Local Authority",B23)</f>
        <v>25</v>
      </c>
      <c r="P23" s="50">
        <f>GETPIVOTDATA("Sum of Office",auditlapivot!$B$4,"Local Authority",B23)</f>
        <v>2</v>
      </c>
      <c r="Q23" s="50">
        <f>GETPIVOTDATA("Sum of Other Workplace",auditlapivot!$B$4,"Local Authority",B23)</f>
        <v>3</v>
      </c>
      <c r="R23" s="765">
        <f t="shared" si="1"/>
        <v>539</v>
      </c>
      <c r="S23" s="69">
        <f t="shared" si="0"/>
        <v>309</v>
      </c>
    </row>
    <row r="24" spans="1:19" x14ac:dyDescent="0.35">
      <c r="A24" s="389" t="s">
        <v>270</v>
      </c>
      <c r="B24" s="540" t="s">
        <v>271</v>
      </c>
      <c r="C24" s="50">
        <f>GETPIVOTDATA("Sum of Hospital / Prison",auditlapivot!$B$4,"Local Authority",B24)</f>
        <v>42</v>
      </c>
      <c r="D24" s="50">
        <f>GETPIVOTDATA("Sum of Care Home",auditlapivot!$B$4,"Local Authority",B24)</f>
        <v>133</v>
      </c>
      <c r="E24" s="50">
        <f>GETPIVOTDATA("Sum of HMO",auditlapivot!$B$4,"Local Authority",B24)</f>
        <v>835</v>
      </c>
      <c r="F24" s="50">
        <f>GETPIVOTDATA("Sum of Hostel",auditlapivot!$B$4,"Local Authority",B24)</f>
        <v>8</v>
      </c>
      <c r="G24" s="50">
        <f>GETPIVOTDATA("Sum of Hotel",auditlapivot!$B$4,"Local Authority",B24)</f>
        <v>96</v>
      </c>
      <c r="H24" s="50">
        <f>GETPIVOTDATA("Sum of Other Sleeping Accomm",auditlapivot!$B$4,"Local Authority",B24)</f>
        <v>46</v>
      </c>
      <c r="I24" s="50">
        <f>GETPIVOTDATA("Sum of Further Education",auditlapivot!$B$4,"Local Authority",B24)</f>
        <v>1</v>
      </c>
      <c r="J24" s="50">
        <f>GETPIVOTDATA("Sum of Public Building",auditlapivot!$B$4,"Local Authority",B24)</f>
        <v>2</v>
      </c>
      <c r="K24" s="50">
        <f>GETPIVOTDATA("Sum of Licensed Premises",auditlapivot!$B$4,"Local Authority",B24)</f>
        <v>18</v>
      </c>
      <c r="L24" s="50">
        <f>GETPIVOTDATA("Sum of School",auditlapivot!$B$4,"Local Authority",B24)</f>
        <v>38</v>
      </c>
      <c r="M24" s="50">
        <f>GETPIVOTDATA("Sum of Shop",auditlapivot!$B$4,"Local Authority",B24)</f>
        <v>97</v>
      </c>
      <c r="N24" s="50">
        <f>GETPIVOTDATA("Sum of Other Premises Open to Public",auditlapivot!$B$4,"Local Authority",B24)</f>
        <v>20</v>
      </c>
      <c r="O24" s="50">
        <f>GETPIVOTDATA("Sum of Factory or Warehouse",auditlapivot!$B$4,"Local Authority",B24)</f>
        <v>29</v>
      </c>
      <c r="P24" s="50">
        <f>GETPIVOTDATA("Sum of Office",auditlapivot!$B$4,"Local Authority",B24)</f>
        <v>13</v>
      </c>
      <c r="Q24" s="50">
        <f>GETPIVOTDATA("Sum of Other Workplace",auditlapivot!$B$4,"Local Authority",B24)</f>
        <v>23</v>
      </c>
      <c r="R24" s="765">
        <f t="shared" si="1"/>
        <v>1401</v>
      </c>
      <c r="S24" s="69">
        <f t="shared" si="0"/>
        <v>566</v>
      </c>
    </row>
    <row r="25" spans="1:19" x14ac:dyDescent="0.35">
      <c r="A25" s="389" t="s">
        <v>273</v>
      </c>
      <c r="B25" s="540" t="s">
        <v>274</v>
      </c>
      <c r="C25" s="50">
        <f>GETPIVOTDATA("Sum of Hospital / Prison",auditlapivot!$B$4,"Local Authority",B25)</f>
        <v>22</v>
      </c>
      <c r="D25" s="50">
        <f>GETPIVOTDATA("Sum of Care Home",auditlapivot!$B$4,"Local Authority",B25)</f>
        <v>78</v>
      </c>
      <c r="E25" s="50">
        <f>GETPIVOTDATA("Sum of HMO",auditlapivot!$B$4,"Local Authority",B25)</f>
        <v>88</v>
      </c>
      <c r="F25" s="50">
        <f>GETPIVOTDATA("Sum of Hostel",auditlapivot!$B$4,"Local Authority",B25)</f>
        <v>18</v>
      </c>
      <c r="G25" s="50">
        <f>GETPIVOTDATA("Sum of Hotel",auditlapivot!$B$4,"Local Authority",B25)</f>
        <v>137</v>
      </c>
      <c r="H25" s="50">
        <f>GETPIVOTDATA("Sum of Other Sleeping Accomm",auditlapivot!$B$4,"Local Authority",B25)</f>
        <v>38</v>
      </c>
      <c r="I25" s="50">
        <f>GETPIVOTDATA("Sum of Further Education",auditlapivot!$B$4,"Local Authority",B25)</f>
        <v>0</v>
      </c>
      <c r="J25" s="50">
        <f>GETPIVOTDATA("Sum of Public Building",auditlapivot!$B$4,"Local Authority",B25)</f>
        <v>0</v>
      </c>
      <c r="K25" s="50">
        <f>GETPIVOTDATA("Sum of Licensed Premises",auditlapivot!$B$4,"Local Authority",B25)</f>
        <v>4</v>
      </c>
      <c r="L25" s="50">
        <f>GETPIVOTDATA("Sum of School",auditlapivot!$B$4,"Local Authority",B25)</f>
        <v>2</v>
      </c>
      <c r="M25" s="50">
        <f>GETPIVOTDATA("Sum of Shop",auditlapivot!$B$4,"Local Authority",B25)</f>
        <v>5</v>
      </c>
      <c r="N25" s="50">
        <f>GETPIVOTDATA("Sum of Other Premises Open to Public",auditlapivot!$B$4,"Local Authority",B25)</f>
        <v>4</v>
      </c>
      <c r="O25" s="50">
        <f>GETPIVOTDATA("Sum of Factory or Warehouse",auditlapivot!$B$4,"Local Authority",B25)</f>
        <v>4</v>
      </c>
      <c r="P25" s="50">
        <f>GETPIVOTDATA("Sum of Office",auditlapivot!$B$4,"Local Authority",B25)</f>
        <v>0</v>
      </c>
      <c r="Q25" s="50">
        <f>GETPIVOTDATA("Sum of Other Workplace",auditlapivot!$B$4,"Local Authority",B25)</f>
        <v>2</v>
      </c>
      <c r="R25" s="765">
        <f t="shared" si="1"/>
        <v>402</v>
      </c>
      <c r="S25" s="69">
        <f t="shared" si="0"/>
        <v>314</v>
      </c>
    </row>
    <row r="26" spans="1:19" x14ac:dyDescent="0.35">
      <c r="A26" s="389" t="s">
        <v>277</v>
      </c>
      <c r="B26" s="540" t="s">
        <v>278</v>
      </c>
      <c r="C26" s="50">
        <f>GETPIVOTDATA("Sum of Hospital / Prison",auditlapivot!$B$4,"Local Authority",B26)</f>
        <v>9</v>
      </c>
      <c r="D26" s="50">
        <f>GETPIVOTDATA("Sum of Care Home",auditlapivot!$B$4,"Local Authority",B26)</f>
        <v>34</v>
      </c>
      <c r="E26" s="50">
        <f>GETPIVOTDATA("Sum of HMO",auditlapivot!$B$4,"Local Authority",B26)</f>
        <v>14</v>
      </c>
      <c r="F26" s="50">
        <f>GETPIVOTDATA("Sum of Hostel",auditlapivot!$B$4,"Local Authority",B26)</f>
        <v>0</v>
      </c>
      <c r="G26" s="50">
        <f>GETPIVOTDATA("Sum of Hotel",auditlapivot!$B$4,"Local Authority",B26)</f>
        <v>6</v>
      </c>
      <c r="H26" s="50">
        <f>GETPIVOTDATA("Sum of Other Sleeping Accomm",auditlapivot!$B$4,"Local Authority",B26)</f>
        <v>8</v>
      </c>
      <c r="I26" s="50">
        <f>GETPIVOTDATA("Sum of Further Education",auditlapivot!$B$4,"Local Authority",B26)</f>
        <v>0</v>
      </c>
      <c r="J26" s="50">
        <f>GETPIVOTDATA("Sum of Public Building",auditlapivot!$B$4,"Local Authority",B26)</f>
        <v>1</v>
      </c>
      <c r="K26" s="50">
        <f>GETPIVOTDATA("Sum of Licensed Premises",auditlapivot!$B$4,"Local Authority",B26)</f>
        <v>2</v>
      </c>
      <c r="L26" s="50">
        <f>GETPIVOTDATA("Sum of School",auditlapivot!$B$4,"Local Authority",B26)</f>
        <v>0</v>
      </c>
      <c r="M26" s="50">
        <f>GETPIVOTDATA("Sum of Shop",auditlapivot!$B$4,"Local Authority",B26)</f>
        <v>1</v>
      </c>
      <c r="N26" s="50">
        <f>GETPIVOTDATA("Sum of Other Premises Open to Public",auditlapivot!$B$4,"Local Authority",B26)</f>
        <v>4</v>
      </c>
      <c r="O26" s="50">
        <f>GETPIVOTDATA("Sum of Factory or Warehouse",auditlapivot!$B$4,"Local Authority",B26)</f>
        <v>3</v>
      </c>
      <c r="P26" s="50">
        <f>GETPIVOTDATA("Sum of Office",auditlapivot!$B$4,"Local Authority",B26)</f>
        <v>4</v>
      </c>
      <c r="Q26" s="50">
        <f>GETPIVOTDATA("Sum of Other Workplace",auditlapivot!$B$4,"Local Authority",B26)</f>
        <v>5</v>
      </c>
      <c r="R26" s="765">
        <f t="shared" si="1"/>
        <v>91</v>
      </c>
      <c r="S26" s="69">
        <f t="shared" si="0"/>
        <v>77</v>
      </c>
    </row>
    <row r="27" spans="1:19" x14ac:dyDescent="0.35">
      <c r="A27" s="389" t="s">
        <v>279</v>
      </c>
      <c r="B27" s="540" t="s">
        <v>280</v>
      </c>
      <c r="C27" s="50">
        <f>GETPIVOTDATA("Sum of Hospital / Prison",auditlapivot!$B$4,"Local Authority",B27)</f>
        <v>2</v>
      </c>
      <c r="D27" s="50">
        <f>GETPIVOTDATA("Sum of Care Home",auditlapivot!$B$4,"Local Authority",B27)</f>
        <v>14</v>
      </c>
      <c r="E27" s="50">
        <f>GETPIVOTDATA("Sum of HMO",auditlapivot!$B$4,"Local Authority",B27)</f>
        <v>21</v>
      </c>
      <c r="F27" s="50">
        <f>GETPIVOTDATA("Sum of Hostel",auditlapivot!$B$4,"Local Authority",B27)</f>
        <v>0</v>
      </c>
      <c r="G27" s="50">
        <f>GETPIVOTDATA("Sum of Hotel",auditlapivot!$B$4,"Local Authority",B27)</f>
        <v>7</v>
      </c>
      <c r="H27" s="50">
        <f>GETPIVOTDATA("Sum of Other Sleeping Accomm",auditlapivot!$B$4,"Local Authority",B27)</f>
        <v>36</v>
      </c>
      <c r="I27" s="50">
        <f>GETPIVOTDATA("Sum of Further Education",auditlapivot!$B$4,"Local Authority",B27)</f>
        <v>0</v>
      </c>
      <c r="J27" s="50">
        <f>GETPIVOTDATA("Sum of Public Building",auditlapivot!$B$4,"Local Authority",B27)</f>
        <v>0</v>
      </c>
      <c r="K27" s="50">
        <f>GETPIVOTDATA("Sum of Licensed Premises",auditlapivot!$B$4,"Local Authority",B27)</f>
        <v>53</v>
      </c>
      <c r="L27" s="50">
        <f>GETPIVOTDATA("Sum of School",auditlapivot!$B$4,"Local Authority",B27)</f>
        <v>11</v>
      </c>
      <c r="M27" s="50">
        <f>GETPIVOTDATA("Sum of Shop",auditlapivot!$B$4,"Local Authority",B27)</f>
        <v>1</v>
      </c>
      <c r="N27" s="50">
        <f>GETPIVOTDATA("Sum of Other Premises Open to Public",auditlapivot!$B$4,"Local Authority",B27)</f>
        <v>6</v>
      </c>
      <c r="O27" s="50">
        <f>GETPIVOTDATA("Sum of Factory or Warehouse",auditlapivot!$B$4,"Local Authority",B27)</f>
        <v>0</v>
      </c>
      <c r="P27" s="50">
        <f>GETPIVOTDATA("Sum of Office",auditlapivot!$B$4,"Local Authority",B27)</f>
        <v>0</v>
      </c>
      <c r="Q27" s="50">
        <f>GETPIVOTDATA("Sum of Other Workplace",auditlapivot!$B$4,"Local Authority",B27)</f>
        <v>2</v>
      </c>
      <c r="R27" s="765">
        <f t="shared" si="1"/>
        <v>153</v>
      </c>
      <c r="S27" s="69">
        <f t="shared" si="0"/>
        <v>132</v>
      </c>
    </row>
    <row r="28" spans="1:19" x14ac:dyDescent="0.35">
      <c r="A28" s="389" t="s">
        <v>281</v>
      </c>
      <c r="B28" s="540" t="s">
        <v>282</v>
      </c>
      <c r="C28" s="50">
        <f>GETPIVOTDATA("Sum of Hospital / Prison",auditlapivot!$B$4,"Local Authority",B28)</f>
        <v>2</v>
      </c>
      <c r="D28" s="50">
        <f>GETPIVOTDATA("Sum of Care Home",auditlapivot!$B$4,"Local Authority",B28)</f>
        <v>21</v>
      </c>
      <c r="E28" s="50">
        <f>GETPIVOTDATA("Sum of HMO",auditlapivot!$B$4,"Local Authority",B28)</f>
        <v>5</v>
      </c>
      <c r="F28" s="50">
        <f>GETPIVOTDATA("Sum of Hostel",auditlapivot!$B$4,"Local Authority",B28)</f>
        <v>0</v>
      </c>
      <c r="G28" s="50">
        <f>GETPIVOTDATA("Sum of Hotel",auditlapivot!$B$4,"Local Authority",B28)</f>
        <v>18</v>
      </c>
      <c r="H28" s="50">
        <f>GETPIVOTDATA("Sum of Other Sleeping Accomm",auditlapivot!$B$4,"Local Authority",B28)</f>
        <v>51</v>
      </c>
      <c r="I28" s="50">
        <f>GETPIVOTDATA("Sum of Further Education",auditlapivot!$B$4,"Local Authority",B28)</f>
        <v>0</v>
      </c>
      <c r="J28" s="50">
        <f>GETPIVOTDATA("Sum of Public Building",auditlapivot!$B$4,"Local Authority",B28)</f>
        <v>0</v>
      </c>
      <c r="K28" s="50">
        <f>GETPIVOTDATA("Sum of Licensed Premises",auditlapivot!$B$4,"Local Authority",B28)</f>
        <v>1</v>
      </c>
      <c r="L28" s="50">
        <f>GETPIVOTDATA("Sum of School",auditlapivot!$B$4,"Local Authority",B28)</f>
        <v>2</v>
      </c>
      <c r="M28" s="50">
        <f>GETPIVOTDATA("Sum of Shop",auditlapivot!$B$4,"Local Authority",B28)</f>
        <v>6</v>
      </c>
      <c r="N28" s="50">
        <f>GETPIVOTDATA("Sum of Other Premises Open to Public",auditlapivot!$B$4,"Local Authority",B28)</f>
        <v>0</v>
      </c>
      <c r="O28" s="50">
        <f>GETPIVOTDATA("Sum of Factory or Warehouse",auditlapivot!$B$4,"Local Authority",B28)</f>
        <v>2</v>
      </c>
      <c r="P28" s="50">
        <f>GETPIVOTDATA("Sum of Office",auditlapivot!$B$4,"Local Authority",B28)</f>
        <v>1</v>
      </c>
      <c r="Q28" s="50">
        <f>GETPIVOTDATA("Sum of Other Workplace",auditlapivot!$B$4,"Local Authority",B28)</f>
        <v>1</v>
      </c>
      <c r="R28" s="765">
        <f t="shared" si="1"/>
        <v>110</v>
      </c>
      <c r="S28" s="69">
        <f t="shared" si="0"/>
        <v>105</v>
      </c>
    </row>
    <row r="29" spans="1:19" x14ac:dyDescent="0.35">
      <c r="A29" s="389" t="s">
        <v>283</v>
      </c>
      <c r="B29" s="540" t="s">
        <v>284</v>
      </c>
      <c r="C29" s="50">
        <f>GETPIVOTDATA("Sum of Hospital / Prison",auditlapivot!$B$4,"Local Authority","Na h-Eileanan an Iar")</f>
        <v>2</v>
      </c>
      <c r="D29" s="50">
        <f>GETPIVOTDATA("Sum of Care Home",auditlapivot!$B$4,"Local Authority","Na h-Eileanan an Iar")</f>
        <v>10</v>
      </c>
      <c r="E29" s="50">
        <f>GETPIVOTDATA("Sum of HMO",auditlapivot!$B$4,"Local Authority","Na h-Eileanan an Iar")</f>
        <v>4</v>
      </c>
      <c r="F29" s="50">
        <f>GETPIVOTDATA("Sum of Hostel",auditlapivot!$B$4,"Local Authority","Na h-Eileanan an Iar")</f>
        <v>1</v>
      </c>
      <c r="G29" s="50">
        <f>GETPIVOTDATA("Sum of Hotel",auditlapivot!$B$4,"Local Authority","Na h-Eileanan an Iar")</f>
        <v>9</v>
      </c>
      <c r="H29" s="50">
        <f>GETPIVOTDATA("Sum of Other Sleeping Accomm",auditlapivot!$B$4,"Local Authority","Na h-Eileanan an Iar")</f>
        <v>5</v>
      </c>
      <c r="I29" s="50">
        <f>GETPIVOTDATA("Sum of Further Education",auditlapivot!$B$4,"Local Authority","Na h-Eileanan an Iar")</f>
        <v>0</v>
      </c>
      <c r="J29" s="50">
        <f>GETPIVOTDATA("Sum of Public Building",auditlapivot!$B$4,"Local Authority","Na h-Eileanan an Iar")</f>
        <v>1</v>
      </c>
      <c r="K29" s="50">
        <f>GETPIVOTDATA("Sum of Licensed Premises",auditlapivot!$B$4,"Local Authority","Na h-Eileanan an Iar")</f>
        <v>0</v>
      </c>
      <c r="L29" s="50">
        <f>GETPIVOTDATA("Sum of School",auditlapivot!$B$4,"Local Authority","Na h-Eileanan an Iar")</f>
        <v>0</v>
      </c>
      <c r="M29" s="50">
        <f>GETPIVOTDATA("Sum of Shop",auditlapivot!$B$4,"Local Authority","Na h-Eileanan an Iar")</f>
        <v>0</v>
      </c>
      <c r="N29" s="50">
        <f>GETPIVOTDATA("Sum of Other Premises Open to Public",auditlapivot!$B$4,"Local Authority","Na h-Eileanan an Iar")</f>
        <v>2</v>
      </c>
      <c r="O29" s="50">
        <f>GETPIVOTDATA("Sum of Factory or Warehouse",auditlapivot!$B$4,"Local Authority","Na h-Eileanan an Iar")</f>
        <v>0</v>
      </c>
      <c r="P29" s="50">
        <f>GETPIVOTDATA("Sum of Office",auditlapivot!$B$4,"Local Authority","Na h-Eileanan an Iar")</f>
        <v>1</v>
      </c>
      <c r="Q29" s="50">
        <f>GETPIVOTDATA("Sum of Other Workplace",auditlapivot!$B$4,"Local Authority","Na h-Eileanan an Iar")</f>
        <v>1</v>
      </c>
      <c r="R29" s="765">
        <f t="shared" si="1"/>
        <v>36</v>
      </c>
      <c r="S29" s="69">
        <f t="shared" si="0"/>
        <v>32</v>
      </c>
    </row>
    <row r="30" spans="1:19" x14ac:dyDescent="0.35">
      <c r="A30" s="389" t="s">
        <v>287</v>
      </c>
      <c r="B30" s="540" t="s">
        <v>288</v>
      </c>
      <c r="C30" s="50">
        <f>GETPIVOTDATA("Sum of Hospital / Prison",auditlapivot!$B$4,"Local Authority",B30)</f>
        <v>4</v>
      </c>
      <c r="D30" s="50">
        <f>GETPIVOTDATA("Sum of Care Home",auditlapivot!$B$4,"Local Authority",B30)</f>
        <v>76</v>
      </c>
      <c r="E30" s="50">
        <f>GETPIVOTDATA("Sum of HMO",auditlapivot!$B$4,"Local Authority",B30)</f>
        <v>0</v>
      </c>
      <c r="F30" s="50">
        <f>GETPIVOTDATA("Sum of Hostel",auditlapivot!$B$4,"Local Authority",B30)</f>
        <v>2</v>
      </c>
      <c r="G30" s="50">
        <f>GETPIVOTDATA("Sum of Hotel",auditlapivot!$B$4,"Local Authority",B30)</f>
        <v>23</v>
      </c>
      <c r="H30" s="50">
        <f>GETPIVOTDATA("Sum of Other Sleeping Accomm",auditlapivot!$B$4,"Local Authority",B30)</f>
        <v>18</v>
      </c>
      <c r="I30" s="50">
        <f>GETPIVOTDATA("Sum of Further Education",auditlapivot!$B$4,"Local Authority",B30)</f>
        <v>8</v>
      </c>
      <c r="J30" s="50">
        <f>GETPIVOTDATA("Sum of Public Building",auditlapivot!$B$4,"Local Authority",B30)</f>
        <v>0</v>
      </c>
      <c r="K30" s="50">
        <f>GETPIVOTDATA("Sum of Licensed Premises",auditlapivot!$B$4,"Local Authority",B30)</f>
        <v>11</v>
      </c>
      <c r="L30" s="50">
        <f>GETPIVOTDATA("Sum of School",auditlapivot!$B$4,"Local Authority",B30)</f>
        <v>2</v>
      </c>
      <c r="M30" s="50">
        <f>GETPIVOTDATA("Sum of Shop",auditlapivot!$B$4,"Local Authority",B30)</f>
        <v>15</v>
      </c>
      <c r="N30" s="50">
        <f>GETPIVOTDATA("Sum of Other Premises Open to Public",auditlapivot!$B$4,"Local Authority",B30)</f>
        <v>5</v>
      </c>
      <c r="O30" s="50">
        <f>GETPIVOTDATA("Sum of Factory or Warehouse",auditlapivot!$B$4,"Local Authority",B30)</f>
        <v>4</v>
      </c>
      <c r="P30" s="50">
        <f>GETPIVOTDATA("Sum of Office",auditlapivot!$B$4,"Local Authority",B30)</f>
        <v>0</v>
      </c>
      <c r="Q30" s="50">
        <f>GETPIVOTDATA("Sum of Other Workplace",auditlapivot!$B$4,"Local Authority",B30)</f>
        <v>1</v>
      </c>
      <c r="R30" s="765">
        <f t="shared" si="1"/>
        <v>169</v>
      </c>
      <c r="S30" s="69">
        <f t="shared" si="0"/>
        <v>169</v>
      </c>
    </row>
    <row r="31" spans="1:19" x14ac:dyDescent="0.35">
      <c r="A31" s="389" t="s">
        <v>289</v>
      </c>
      <c r="B31" s="540" t="s">
        <v>290</v>
      </c>
      <c r="C31" s="50">
        <f>GETPIVOTDATA("Sum of Hospital / Prison",auditlapivot!$B$4,"Local Authority",B31)</f>
        <v>9</v>
      </c>
      <c r="D31" s="50">
        <f>GETPIVOTDATA("Sum of Care Home",auditlapivot!$B$4,"Local Authority",B31)</f>
        <v>48</v>
      </c>
      <c r="E31" s="50">
        <f>GETPIVOTDATA("Sum of HMO",auditlapivot!$B$4,"Local Authority",B31)</f>
        <v>10</v>
      </c>
      <c r="F31" s="50">
        <f>GETPIVOTDATA("Sum of Hostel",auditlapivot!$B$4,"Local Authority",B31)</f>
        <v>1</v>
      </c>
      <c r="G31" s="50">
        <f>GETPIVOTDATA("Sum of Hotel",auditlapivot!$B$4,"Local Authority",B31)</f>
        <v>27</v>
      </c>
      <c r="H31" s="50">
        <f>GETPIVOTDATA("Sum of Other Sleeping Accomm",auditlapivot!$B$4,"Local Authority",B31)</f>
        <v>3</v>
      </c>
      <c r="I31" s="50">
        <f>GETPIVOTDATA("Sum of Further Education",auditlapivot!$B$4,"Local Authority",B31)</f>
        <v>0</v>
      </c>
      <c r="J31" s="50">
        <f>GETPIVOTDATA("Sum of Public Building",auditlapivot!$B$4,"Local Authority",B31)</f>
        <v>0</v>
      </c>
      <c r="K31" s="50">
        <f>GETPIVOTDATA("Sum of Licensed Premises",auditlapivot!$B$4,"Local Authority",B31)</f>
        <v>17</v>
      </c>
      <c r="L31" s="50">
        <f>GETPIVOTDATA("Sum of School",auditlapivot!$B$4,"Local Authority",B31)</f>
        <v>15</v>
      </c>
      <c r="M31" s="50">
        <f>GETPIVOTDATA("Sum of Shop",auditlapivot!$B$4,"Local Authority",B31)</f>
        <v>52</v>
      </c>
      <c r="N31" s="50">
        <f>GETPIVOTDATA("Sum of Other Premises Open to Public",auditlapivot!$B$4,"Local Authority",B31)</f>
        <v>14</v>
      </c>
      <c r="O31" s="50">
        <f>GETPIVOTDATA("Sum of Factory or Warehouse",auditlapivot!$B$4,"Local Authority",B31)</f>
        <v>21</v>
      </c>
      <c r="P31" s="50">
        <f>GETPIVOTDATA("Sum of Office",auditlapivot!$B$4,"Local Authority",B31)</f>
        <v>103</v>
      </c>
      <c r="Q31" s="50">
        <f>GETPIVOTDATA("Sum of Other Workplace",auditlapivot!$B$4,"Local Authority",B31)</f>
        <v>24</v>
      </c>
      <c r="R31" s="765">
        <f t="shared" si="1"/>
        <v>344</v>
      </c>
      <c r="S31" s="69">
        <f t="shared" si="0"/>
        <v>334</v>
      </c>
    </row>
    <row r="32" spans="1:19" x14ac:dyDescent="0.35">
      <c r="A32" s="389" t="s">
        <v>292</v>
      </c>
      <c r="B32" s="540" t="s">
        <v>293</v>
      </c>
      <c r="C32" s="50">
        <f>GETPIVOTDATA("Sum of Hospital / Prison",auditlapivot!$B$4,"Local Authority",B32)</f>
        <v>1</v>
      </c>
      <c r="D32" s="50">
        <f>GETPIVOTDATA("Sum of Care Home",auditlapivot!$B$4,"Local Authority",B32)</f>
        <v>8</v>
      </c>
      <c r="E32" s="50">
        <f>GETPIVOTDATA("Sum of HMO",auditlapivot!$B$4,"Local Authority",B32)</f>
        <v>0</v>
      </c>
      <c r="F32" s="50">
        <f>GETPIVOTDATA("Sum of Hostel",auditlapivot!$B$4,"Local Authority",B32)</f>
        <v>1</v>
      </c>
      <c r="G32" s="50">
        <f>GETPIVOTDATA("Sum of Hotel",auditlapivot!$B$4,"Local Authority",B32)</f>
        <v>16</v>
      </c>
      <c r="H32" s="50">
        <f>GETPIVOTDATA("Sum of Other Sleeping Accomm",auditlapivot!$B$4,"Local Authority",B32)</f>
        <v>13</v>
      </c>
      <c r="I32" s="50">
        <f>GETPIVOTDATA("Sum of Further Education",auditlapivot!$B$4,"Local Authority",B32)</f>
        <v>0</v>
      </c>
      <c r="J32" s="50">
        <f>GETPIVOTDATA("Sum of Public Building",auditlapivot!$B$4,"Local Authority",B32)</f>
        <v>0</v>
      </c>
      <c r="K32" s="50">
        <f>GETPIVOTDATA("Sum of Licensed Premises",auditlapivot!$B$4,"Local Authority",B32)</f>
        <v>0</v>
      </c>
      <c r="L32" s="50">
        <f>GETPIVOTDATA("Sum of School",auditlapivot!$B$4,"Local Authority",B32)</f>
        <v>2</v>
      </c>
      <c r="M32" s="50">
        <f>GETPIVOTDATA("Sum of Shop",auditlapivot!$B$4,"Local Authority",B32)</f>
        <v>0</v>
      </c>
      <c r="N32" s="50">
        <f>GETPIVOTDATA("Sum of Other Premises Open to Public",auditlapivot!$B$4,"Local Authority",B32)</f>
        <v>2</v>
      </c>
      <c r="O32" s="50">
        <f>GETPIVOTDATA("Sum of Factory or Warehouse",auditlapivot!$B$4,"Local Authority",B32)</f>
        <v>0</v>
      </c>
      <c r="P32" s="50">
        <f>GETPIVOTDATA("Sum of Office",auditlapivot!$B$4,"Local Authority",B32)</f>
        <v>0</v>
      </c>
      <c r="Q32" s="50">
        <f>GETPIVOTDATA("Sum of Other Workplace",auditlapivot!$B$4,"Local Authority",B32)</f>
        <v>0</v>
      </c>
      <c r="R32" s="765">
        <f t="shared" si="1"/>
        <v>43</v>
      </c>
      <c r="S32" s="69">
        <f t="shared" si="0"/>
        <v>43</v>
      </c>
    </row>
    <row r="33" spans="1:19" x14ac:dyDescent="0.35">
      <c r="A33" s="389" t="s">
        <v>294</v>
      </c>
      <c r="B33" s="540" t="s">
        <v>295</v>
      </c>
      <c r="C33" s="50">
        <f>GETPIVOTDATA("Sum of Hospital / Prison",auditlapivot!$B$4,"Local Authority",B33)</f>
        <v>4</v>
      </c>
      <c r="D33" s="50">
        <f>GETPIVOTDATA("Sum of Care Home",auditlapivot!$B$4,"Local Authority",B33)</f>
        <v>61</v>
      </c>
      <c r="E33" s="50">
        <f>GETPIVOTDATA("Sum of HMO",auditlapivot!$B$4,"Local Authority",B33)</f>
        <v>17</v>
      </c>
      <c r="F33" s="50">
        <f>GETPIVOTDATA("Sum of Hostel",auditlapivot!$B$4,"Local Authority",B33)</f>
        <v>0</v>
      </c>
      <c r="G33" s="50">
        <f>GETPIVOTDATA("Sum of Hotel",auditlapivot!$B$4,"Local Authority",B33)</f>
        <v>32</v>
      </c>
      <c r="H33" s="50">
        <f>GETPIVOTDATA("Sum of Other Sleeping Accomm",auditlapivot!$B$4,"Local Authority",B33)</f>
        <v>60</v>
      </c>
      <c r="I33" s="50">
        <f>GETPIVOTDATA("Sum of Further Education",auditlapivot!$B$4,"Local Authority",B33)</f>
        <v>1</v>
      </c>
      <c r="J33" s="50">
        <f>GETPIVOTDATA("Sum of Public Building",auditlapivot!$B$4,"Local Authority",B33)</f>
        <v>1</v>
      </c>
      <c r="K33" s="50">
        <f>GETPIVOTDATA("Sum of Licensed Premises",auditlapivot!$B$4,"Local Authority",B33)</f>
        <v>5</v>
      </c>
      <c r="L33" s="50">
        <f>GETPIVOTDATA("Sum of School",auditlapivot!$B$4,"Local Authority",B33)</f>
        <v>4</v>
      </c>
      <c r="M33" s="50">
        <f>GETPIVOTDATA("Sum of Shop",auditlapivot!$B$4,"Local Authority",B33)</f>
        <v>4</v>
      </c>
      <c r="N33" s="50">
        <f>GETPIVOTDATA("Sum of Other Premises Open to Public",auditlapivot!$B$4,"Local Authority",B33)</f>
        <v>1</v>
      </c>
      <c r="O33" s="50">
        <f>GETPIVOTDATA("Sum of Factory or Warehouse",auditlapivot!$B$4,"Local Authority",B33)</f>
        <v>1</v>
      </c>
      <c r="P33" s="50">
        <f>GETPIVOTDATA("Sum of Office",auditlapivot!$B$4,"Local Authority",B33)</f>
        <v>1</v>
      </c>
      <c r="Q33" s="50">
        <f>GETPIVOTDATA("Sum of Other Workplace",auditlapivot!$B$4,"Local Authority",B33)</f>
        <v>1</v>
      </c>
      <c r="R33" s="765">
        <f t="shared" si="1"/>
        <v>193</v>
      </c>
      <c r="S33" s="69">
        <f t="shared" si="0"/>
        <v>176</v>
      </c>
    </row>
    <row r="34" spans="1:19" x14ac:dyDescent="0.35">
      <c r="A34" s="389" t="s">
        <v>296</v>
      </c>
      <c r="B34" s="540" t="s">
        <v>297</v>
      </c>
      <c r="C34" s="50">
        <f>GETPIVOTDATA("Sum of Hospital / Prison",auditlapivot!$B$4,"Local Authority",B34)</f>
        <v>4</v>
      </c>
      <c r="D34" s="50">
        <f>GETPIVOTDATA("Sum of Care Home",auditlapivot!$B$4,"Local Authority",B34)</f>
        <v>64</v>
      </c>
      <c r="E34" s="50">
        <f>GETPIVOTDATA("Sum of HMO",auditlapivot!$B$4,"Local Authority",B34)</f>
        <v>86</v>
      </c>
      <c r="F34" s="50">
        <f>GETPIVOTDATA("Sum of Hostel",auditlapivot!$B$4,"Local Authority",B34)</f>
        <v>0</v>
      </c>
      <c r="G34" s="50">
        <f>GETPIVOTDATA("Sum of Hotel",auditlapivot!$B$4,"Local Authority",B34)</f>
        <v>24</v>
      </c>
      <c r="H34" s="50">
        <f>GETPIVOTDATA("Sum of Other Sleeping Accomm",auditlapivot!$B$4,"Local Authority",B34)</f>
        <v>43</v>
      </c>
      <c r="I34" s="50">
        <f>GETPIVOTDATA("Sum of Further Education",auditlapivot!$B$4,"Local Authority",B34)</f>
        <v>3</v>
      </c>
      <c r="J34" s="50">
        <f>GETPIVOTDATA("Sum of Public Building",auditlapivot!$B$4,"Local Authority",B34)</f>
        <v>6</v>
      </c>
      <c r="K34" s="50">
        <f>GETPIVOTDATA("Sum of Licensed Premises",auditlapivot!$B$4,"Local Authority",B34)</f>
        <v>2</v>
      </c>
      <c r="L34" s="50">
        <f>GETPIVOTDATA("Sum of School",auditlapivot!$B$4,"Local Authority",B34)</f>
        <v>6</v>
      </c>
      <c r="M34" s="50">
        <f>GETPIVOTDATA("Sum of Shop",auditlapivot!$B$4,"Local Authority",B34)</f>
        <v>17</v>
      </c>
      <c r="N34" s="50">
        <f>GETPIVOTDATA("Sum of Other Premises Open to Public",auditlapivot!$B$4,"Local Authority",B34)</f>
        <v>8</v>
      </c>
      <c r="O34" s="50">
        <f>GETPIVOTDATA("Sum of Factory or Warehouse",auditlapivot!$B$4,"Local Authority",B34)</f>
        <v>7</v>
      </c>
      <c r="P34" s="50">
        <f>GETPIVOTDATA("Sum of Office",auditlapivot!$B$4,"Local Authority",B34)</f>
        <v>8</v>
      </c>
      <c r="Q34" s="50">
        <f>GETPIVOTDATA("Sum of Other Workplace",auditlapivot!$B$4,"Local Authority",B34)</f>
        <v>2</v>
      </c>
      <c r="R34" s="765">
        <f t="shared" si="1"/>
        <v>280</v>
      </c>
      <c r="S34" s="69">
        <f t="shared" si="0"/>
        <v>194</v>
      </c>
    </row>
    <row r="35" spans="1:19" x14ac:dyDescent="0.35">
      <c r="A35" s="389" t="s">
        <v>298</v>
      </c>
      <c r="B35" s="540" t="s">
        <v>299</v>
      </c>
      <c r="C35" s="50">
        <f>GETPIVOTDATA("Sum of Hospital / Prison",auditlapivot!$B$4,"Local Authority",B35)</f>
        <v>18</v>
      </c>
      <c r="D35" s="50">
        <f>GETPIVOTDATA("Sum of Care Home",auditlapivot!$B$4,"Local Authority",B35)</f>
        <v>32</v>
      </c>
      <c r="E35" s="50">
        <f>GETPIVOTDATA("Sum of HMO",auditlapivot!$B$4,"Local Authority",B35)</f>
        <v>18</v>
      </c>
      <c r="F35" s="50">
        <f>GETPIVOTDATA("Sum of Hostel",auditlapivot!$B$4,"Local Authority",B35)</f>
        <v>0</v>
      </c>
      <c r="G35" s="50">
        <f>GETPIVOTDATA("Sum of Hotel",auditlapivot!$B$4,"Local Authority",B35)</f>
        <v>26</v>
      </c>
      <c r="H35" s="50">
        <f>GETPIVOTDATA("Sum of Other Sleeping Accomm",auditlapivot!$B$4,"Local Authority",B35)</f>
        <v>85</v>
      </c>
      <c r="I35" s="50">
        <f>GETPIVOTDATA("Sum of Further Education",auditlapivot!$B$4,"Local Authority",B35)</f>
        <v>0</v>
      </c>
      <c r="J35" s="50">
        <f>GETPIVOTDATA("Sum of Public Building",auditlapivot!$B$4,"Local Authority",B35)</f>
        <v>0</v>
      </c>
      <c r="K35" s="50">
        <f>GETPIVOTDATA("Sum of Licensed Premises",auditlapivot!$B$4,"Local Authority",B35)</f>
        <v>4</v>
      </c>
      <c r="L35" s="50">
        <f>GETPIVOTDATA("Sum of School",auditlapivot!$B$4,"Local Authority",B35)</f>
        <v>3</v>
      </c>
      <c r="M35" s="50">
        <f>GETPIVOTDATA("Sum of Shop",auditlapivot!$B$4,"Local Authority",B35)</f>
        <v>6</v>
      </c>
      <c r="N35" s="50">
        <f>GETPIVOTDATA("Sum of Other Premises Open to Public",auditlapivot!$B$4,"Local Authority",B35)</f>
        <v>8</v>
      </c>
      <c r="O35" s="50">
        <f>GETPIVOTDATA("Sum of Factory or Warehouse",auditlapivot!$B$4,"Local Authority",B35)</f>
        <v>5</v>
      </c>
      <c r="P35" s="50">
        <f>GETPIVOTDATA("Sum of Office",auditlapivot!$B$4,"Local Authority",B35)</f>
        <v>0</v>
      </c>
      <c r="Q35" s="50">
        <f>GETPIVOTDATA("Sum of Other Workplace",auditlapivot!$B$4,"Local Authority",B35)</f>
        <v>0</v>
      </c>
      <c r="R35" s="765">
        <f t="shared" si="1"/>
        <v>205</v>
      </c>
      <c r="S35" s="69">
        <f t="shared" si="0"/>
        <v>187</v>
      </c>
    </row>
    <row r="36" spans="1:19" x14ac:dyDescent="0.35">
      <c r="A36" s="389" t="s">
        <v>300</v>
      </c>
      <c r="B36" s="540" t="s">
        <v>301</v>
      </c>
      <c r="C36" s="50">
        <f>GETPIVOTDATA("Sum of Hospital / Prison",auditlapivot!$B$4,"Local Authority",B36)</f>
        <v>1</v>
      </c>
      <c r="D36" s="50">
        <f>GETPIVOTDATA("Sum of Care Home",auditlapivot!$B$4,"Local Authority",B36)</f>
        <v>13</v>
      </c>
      <c r="E36" s="50">
        <f>GETPIVOTDATA("Sum of HMO",auditlapivot!$B$4,"Local Authority",B36)</f>
        <v>4</v>
      </c>
      <c r="F36" s="50">
        <f>GETPIVOTDATA("Sum of Hostel",auditlapivot!$B$4,"Local Authority",B36)</f>
        <v>5</v>
      </c>
      <c r="G36" s="50">
        <f>GETPIVOTDATA("Sum of Hotel",auditlapivot!$B$4,"Local Authority",B36)</f>
        <v>10</v>
      </c>
      <c r="H36" s="50">
        <f>GETPIVOTDATA("Sum of Other Sleeping Accomm",auditlapivot!$B$4,"Local Authority",B36)</f>
        <v>27</v>
      </c>
      <c r="I36" s="50">
        <f>GETPIVOTDATA("Sum of Further Education",auditlapivot!$B$4,"Local Authority",B36)</f>
        <v>0</v>
      </c>
      <c r="J36" s="50">
        <f>GETPIVOTDATA("Sum of Public Building",auditlapivot!$B$4,"Local Authority",B36)</f>
        <v>0</v>
      </c>
      <c r="K36" s="50">
        <f>GETPIVOTDATA("Sum of Licensed Premises",auditlapivot!$B$4,"Local Authority",B36)</f>
        <v>0</v>
      </c>
      <c r="L36" s="50">
        <f>GETPIVOTDATA("Sum of School",auditlapivot!$B$4,"Local Authority",B36)</f>
        <v>2</v>
      </c>
      <c r="M36" s="50">
        <f>GETPIVOTDATA("Sum of Shop",auditlapivot!$B$4,"Local Authority",B36)</f>
        <v>0</v>
      </c>
      <c r="N36" s="50">
        <f>GETPIVOTDATA("Sum of Other Premises Open to Public",auditlapivot!$B$4,"Local Authority",B36)</f>
        <v>1</v>
      </c>
      <c r="O36" s="50">
        <f>GETPIVOTDATA("Sum of Factory or Warehouse",auditlapivot!$B$4,"Local Authority",B36)</f>
        <v>0</v>
      </c>
      <c r="P36" s="50">
        <f>GETPIVOTDATA("Sum of Office",auditlapivot!$B$4,"Local Authority",B36)</f>
        <v>0</v>
      </c>
      <c r="Q36" s="50">
        <f>GETPIVOTDATA("Sum of Other Workplace",auditlapivot!$B$4,"Local Authority",B36)</f>
        <v>0</v>
      </c>
      <c r="R36" s="765">
        <f t="shared" si="1"/>
        <v>63</v>
      </c>
      <c r="S36" s="69">
        <f t="shared" si="0"/>
        <v>59</v>
      </c>
    </row>
    <row r="37" spans="1:19" x14ac:dyDescent="0.35">
      <c r="A37" s="389" t="s">
        <v>302</v>
      </c>
      <c r="B37" s="540" t="s">
        <v>303</v>
      </c>
      <c r="C37" s="50">
        <f>GETPIVOTDATA("Sum of Hospital / Prison",auditlapivot!$B$4,"Local Authority",B37)</f>
        <v>10</v>
      </c>
      <c r="D37" s="50">
        <f>GETPIVOTDATA("Sum of Care Home",auditlapivot!$B$4,"Local Authority",B37)</f>
        <v>59</v>
      </c>
      <c r="E37" s="50">
        <f>GETPIVOTDATA("Sum of HMO",auditlapivot!$B$4,"Local Authority",B37)</f>
        <v>36</v>
      </c>
      <c r="F37" s="50">
        <f>GETPIVOTDATA("Sum of Hostel",auditlapivot!$B$4,"Local Authority",B37)</f>
        <v>2</v>
      </c>
      <c r="G37" s="50">
        <f>GETPIVOTDATA("Sum of Hotel",auditlapivot!$B$4,"Local Authority",B37)</f>
        <v>56</v>
      </c>
      <c r="H37" s="50">
        <f>GETPIVOTDATA("Sum of Other Sleeping Accomm",auditlapivot!$B$4,"Local Authority",B37)</f>
        <v>53</v>
      </c>
      <c r="I37" s="50">
        <f>GETPIVOTDATA("Sum of Further Education",auditlapivot!$B$4,"Local Authority",B37)</f>
        <v>0</v>
      </c>
      <c r="J37" s="50">
        <f>GETPIVOTDATA("Sum of Public Building",auditlapivot!$B$4,"Local Authority",B37)</f>
        <v>2</v>
      </c>
      <c r="K37" s="50">
        <f>GETPIVOTDATA("Sum of Licensed Premises",auditlapivot!$B$4,"Local Authority",B37)</f>
        <v>4</v>
      </c>
      <c r="L37" s="50">
        <f>GETPIVOTDATA("Sum of School",auditlapivot!$B$4,"Local Authority",B37)</f>
        <v>5</v>
      </c>
      <c r="M37" s="50">
        <f>GETPIVOTDATA("Sum of Shop",auditlapivot!$B$4,"Local Authority",B37)</f>
        <v>18</v>
      </c>
      <c r="N37" s="50">
        <f>GETPIVOTDATA("Sum of Other Premises Open to Public",auditlapivot!$B$4,"Local Authority",B37)</f>
        <v>6</v>
      </c>
      <c r="O37" s="50">
        <f>GETPIVOTDATA("Sum of Factory or Warehouse",auditlapivot!$B$4,"Local Authority",B37)</f>
        <v>9</v>
      </c>
      <c r="P37" s="50">
        <f>GETPIVOTDATA("Sum of Office",auditlapivot!$B$4,"Local Authority",B37)</f>
        <v>11</v>
      </c>
      <c r="Q37" s="50">
        <f>GETPIVOTDATA("Sum of Other Workplace",auditlapivot!$B$4,"Local Authority",B37)</f>
        <v>9</v>
      </c>
      <c r="R37" s="765">
        <f t="shared" si="1"/>
        <v>280</v>
      </c>
      <c r="S37" s="69">
        <f t="shared" si="0"/>
        <v>244</v>
      </c>
    </row>
    <row r="38" spans="1:19" x14ac:dyDescent="0.35">
      <c r="A38" s="389" t="s">
        <v>304</v>
      </c>
      <c r="B38" s="540" t="s">
        <v>305</v>
      </c>
      <c r="C38" s="50">
        <f>GETPIVOTDATA("Sum of Hospital / Prison",auditlapivot!$B$4,"Local Authority",B38)</f>
        <v>36</v>
      </c>
      <c r="D38" s="50">
        <f>GETPIVOTDATA("Sum of Care Home",auditlapivot!$B$4,"Local Authority",B38)</f>
        <v>123</v>
      </c>
      <c r="E38" s="50">
        <f>GETPIVOTDATA("Sum of HMO",auditlapivot!$B$4,"Local Authority",B38)</f>
        <v>48</v>
      </c>
      <c r="F38" s="50">
        <f>GETPIVOTDATA("Sum of Hostel",auditlapivot!$B$4,"Local Authority",B38)</f>
        <v>0</v>
      </c>
      <c r="G38" s="50">
        <f>GETPIVOTDATA("Sum of Hotel",auditlapivot!$B$4,"Local Authority",B38)</f>
        <v>35</v>
      </c>
      <c r="H38" s="50">
        <f>GETPIVOTDATA("Sum of Other Sleeping Accomm",auditlapivot!$B$4,"Local Authority",B38)</f>
        <v>28</v>
      </c>
      <c r="I38" s="50">
        <f>GETPIVOTDATA("Sum of Further Education",auditlapivot!$B$4,"Local Authority",B38)</f>
        <v>0</v>
      </c>
      <c r="J38" s="50">
        <f>GETPIVOTDATA("Sum of Public Building",auditlapivot!$B$4,"Local Authority",B38)</f>
        <v>0</v>
      </c>
      <c r="K38" s="50">
        <f>GETPIVOTDATA("Sum of Licensed Premises",auditlapivot!$B$4,"Local Authority",B38)</f>
        <v>8</v>
      </c>
      <c r="L38" s="50">
        <f>GETPIVOTDATA("Sum of School",auditlapivot!$B$4,"Local Authority",B38)</f>
        <v>10</v>
      </c>
      <c r="M38" s="50">
        <f>GETPIVOTDATA("Sum of Shop",auditlapivot!$B$4,"Local Authority",B38)</f>
        <v>29</v>
      </c>
      <c r="N38" s="50">
        <f>GETPIVOTDATA("Sum of Other Premises Open to Public",auditlapivot!$B$4,"Local Authority",B38)</f>
        <v>15</v>
      </c>
      <c r="O38" s="50">
        <f>GETPIVOTDATA("Sum of Factory or Warehouse",auditlapivot!$B$4,"Local Authority",B38)</f>
        <v>15</v>
      </c>
      <c r="P38" s="50">
        <f>GETPIVOTDATA("Sum of Office",auditlapivot!$B$4,"Local Authority",B38)</f>
        <v>15</v>
      </c>
      <c r="Q38" s="50">
        <f>GETPIVOTDATA("Sum of Other Workplace",auditlapivot!$B$4,"Local Authority",B38)</f>
        <v>8</v>
      </c>
      <c r="R38" s="765">
        <f t="shared" si="1"/>
        <v>370</v>
      </c>
      <c r="S38" s="69">
        <f t="shared" si="0"/>
        <v>322</v>
      </c>
    </row>
    <row r="39" spans="1:19" x14ac:dyDescent="0.35">
      <c r="A39" s="389" t="s">
        <v>307</v>
      </c>
      <c r="B39" s="540" t="s">
        <v>308</v>
      </c>
      <c r="C39" s="50">
        <f>GETPIVOTDATA("Sum of Hospital / Prison",auditlapivot!$B$4,"Local Authority",B39)</f>
        <v>0</v>
      </c>
      <c r="D39" s="50">
        <f>GETPIVOTDATA("Sum of Care Home",auditlapivot!$B$4,"Local Authority",B39)</f>
        <v>34</v>
      </c>
      <c r="E39" s="50">
        <f>GETPIVOTDATA("Sum of HMO",auditlapivot!$B$4,"Local Authority",B39)</f>
        <v>53</v>
      </c>
      <c r="F39" s="50">
        <f>GETPIVOTDATA("Sum of Hostel",auditlapivot!$B$4,"Local Authority",B39)</f>
        <v>3</v>
      </c>
      <c r="G39" s="50">
        <f>GETPIVOTDATA("Sum of Hotel",auditlapivot!$B$4,"Local Authority",B39)</f>
        <v>21</v>
      </c>
      <c r="H39" s="50">
        <f>GETPIVOTDATA("Sum of Other Sleeping Accomm",auditlapivot!$B$4,"Local Authority",B39)</f>
        <v>23</v>
      </c>
      <c r="I39" s="50">
        <f>GETPIVOTDATA("Sum of Further Education",auditlapivot!$B$4,"Local Authority",B39)</f>
        <v>0</v>
      </c>
      <c r="J39" s="50">
        <f>GETPIVOTDATA("Sum of Public Building",auditlapivot!$B$4,"Local Authority",B39)</f>
        <v>1</v>
      </c>
      <c r="K39" s="50">
        <f>GETPIVOTDATA("Sum of Licensed Premises",auditlapivot!$B$4,"Local Authority",B39)</f>
        <v>2</v>
      </c>
      <c r="L39" s="50">
        <f>GETPIVOTDATA("Sum of School",auditlapivot!$B$4,"Local Authority",B39)</f>
        <v>8</v>
      </c>
      <c r="M39" s="50">
        <f>GETPIVOTDATA("Sum of Shop",auditlapivot!$B$4,"Local Authority",B39)</f>
        <v>2</v>
      </c>
      <c r="N39" s="50">
        <f>GETPIVOTDATA("Sum of Other Premises Open to Public",auditlapivot!$B$4,"Local Authority",B39)</f>
        <v>3</v>
      </c>
      <c r="O39" s="50">
        <f>GETPIVOTDATA("Sum of Factory or Warehouse",auditlapivot!$B$4,"Local Authority",B39)</f>
        <v>4</v>
      </c>
      <c r="P39" s="50">
        <f>GETPIVOTDATA("Sum of Office",auditlapivot!$B$4,"Local Authority",B39)</f>
        <v>4</v>
      </c>
      <c r="Q39" s="50">
        <f>GETPIVOTDATA("Sum of Other Workplace",auditlapivot!$B$4,"Local Authority",B39)</f>
        <v>0</v>
      </c>
      <c r="R39" s="765">
        <f t="shared" si="1"/>
        <v>158</v>
      </c>
      <c r="S39" s="69">
        <f t="shared" si="0"/>
        <v>105</v>
      </c>
    </row>
    <row r="40" spans="1:19" x14ac:dyDescent="0.35">
      <c r="A40" s="389" t="s">
        <v>309</v>
      </c>
      <c r="B40" s="540" t="s">
        <v>310</v>
      </c>
      <c r="C40" s="50">
        <f>GETPIVOTDATA("Sum of Hospital / Prison",auditlapivot!$B$4,"Local Authority",B40)</f>
        <v>3</v>
      </c>
      <c r="D40" s="50">
        <f>GETPIVOTDATA("Sum of Care Home",auditlapivot!$B$4,"Local Authority",B40)</f>
        <v>20</v>
      </c>
      <c r="E40" s="50">
        <f>GETPIVOTDATA("Sum of HMO",auditlapivot!$B$4,"Local Authority",B40)</f>
        <v>15</v>
      </c>
      <c r="F40" s="50">
        <f>GETPIVOTDATA("Sum of Hostel",auditlapivot!$B$4,"Local Authority",B40)</f>
        <v>0</v>
      </c>
      <c r="G40" s="50">
        <f>GETPIVOTDATA("Sum of Hotel",auditlapivot!$B$4,"Local Authority",B40)</f>
        <v>13</v>
      </c>
      <c r="H40" s="50">
        <f>GETPIVOTDATA("Sum of Other Sleeping Accomm",auditlapivot!$B$4,"Local Authority",B40)</f>
        <v>25</v>
      </c>
      <c r="I40" s="50">
        <f>GETPIVOTDATA("Sum of Further Education",auditlapivot!$B$4,"Local Authority",B40)</f>
        <v>0</v>
      </c>
      <c r="J40" s="50">
        <f>GETPIVOTDATA("Sum of Public Building",auditlapivot!$B$4,"Local Authority",B40)</f>
        <v>0</v>
      </c>
      <c r="K40" s="50">
        <f>GETPIVOTDATA("Sum of Licensed Premises",auditlapivot!$B$4,"Local Authority",B40)</f>
        <v>2</v>
      </c>
      <c r="L40" s="50">
        <f>GETPIVOTDATA("Sum of School",auditlapivot!$B$4,"Local Authority",B40)</f>
        <v>0</v>
      </c>
      <c r="M40" s="50">
        <f>GETPIVOTDATA("Sum of Shop",auditlapivot!$B$4,"Local Authority",B40)</f>
        <v>2</v>
      </c>
      <c r="N40" s="50">
        <f>GETPIVOTDATA("Sum of Other Premises Open to Public",auditlapivot!$B$4,"Local Authority",B40)</f>
        <v>2</v>
      </c>
      <c r="O40" s="50">
        <f>GETPIVOTDATA("Sum of Factory or Warehouse",auditlapivot!$B$4,"Local Authority",B40)</f>
        <v>10</v>
      </c>
      <c r="P40" s="50">
        <f>GETPIVOTDATA("Sum of Office",auditlapivot!$B$4,"Local Authority",B40)</f>
        <v>6</v>
      </c>
      <c r="Q40" s="50">
        <f>GETPIVOTDATA("Sum of Other Workplace",auditlapivot!$B$4,"Local Authority",B40)</f>
        <v>0</v>
      </c>
      <c r="R40" s="765">
        <f t="shared" si="1"/>
        <v>98</v>
      </c>
      <c r="S40" s="69">
        <f t="shared" si="0"/>
        <v>83</v>
      </c>
    </row>
    <row r="41" spans="1:19" x14ac:dyDescent="0.35">
      <c r="A41" s="389" t="s">
        <v>311</v>
      </c>
      <c r="B41" s="541" t="s">
        <v>312</v>
      </c>
      <c r="C41" s="50">
        <f>GETPIVOTDATA("Sum of Hospital / Prison",auditlapivot!$B$4,"Local Authority",B41)</f>
        <v>8</v>
      </c>
      <c r="D41" s="50">
        <f>GETPIVOTDATA("Sum of Care Home",auditlapivot!$B$4,"Local Authority",B41)</f>
        <v>50</v>
      </c>
      <c r="E41" s="50">
        <f>GETPIVOTDATA("Sum of HMO",auditlapivot!$B$4,"Local Authority",B41)</f>
        <v>14</v>
      </c>
      <c r="F41" s="50">
        <f>GETPIVOTDATA("Sum of Hostel",auditlapivot!$B$4,"Local Authority",B41)</f>
        <v>0</v>
      </c>
      <c r="G41" s="50">
        <f>GETPIVOTDATA("Sum of Hotel",auditlapivot!$B$4,"Local Authority",B41)</f>
        <v>11</v>
      </c>
      <c r="H41" s="50">
        <f>GETPIVOTDATA("Sum of Other Sleeping Accomm",auditlapivot!$B$4,"Local Authority",B41)</f>
        <v>20</v>
      </c>
      <c r="I41" s="50">
        <f>GETPIVOTDATA("Sum of Further Education",auditlapivot!$B$4,"Local Authority",B41)</f>
        <v>0</v>
      </c>
      <c r="J41" s="50">
        <f>GETPIVOTDATA("Sum of Public Building",auditlapivot!$B$4,"Local Authority",B41)</f>
        <v>0</v>
      </c>
      <c r="K41" s="50">
        <f>GETPIVOTDATA("Sum of Licensed Premises",auditlapivot!$B$4,"Local Authority",B41)</f>
        <v>8</v>
      </c>
      <c r="L41" s="50">
        <f>GETPIVOTDATA("Sum of School",auditlapivot!$B$4,"Local Authority",B41)</f>
        <v>64</v>
      </c>
      <c r="M41" s="50">
        <f>GETPIVOTDATA("Sum of Shop",auditlapivot!$B$4,"Local Authority",B41)</f>
        <v>15</v>
      </c>
      <c r="N41" s="50">
        <f>GETPIVOTDATA("Sum of Other Premises Open to Public",auditlapivot!$B$4,"Local Authority",B41)</f>
        <v>22</v>
      </c>
      <c r="O41" s="50">
        <f>GETPIVOTDATA("Sum of Factory or Warehouse",auditlapivot!$B$4,"Local Authority",B41)</f>
        <v>19</v>
      </c>
      <c r="P41" s="50">
        <f>GETPIVOTDATA("Sum of Office",auditlapivot!$B$4,"Local Authority",B41)</f>
        <v>3</v>
      </c>
      <c r="Q41" s="50">
        <f>GETPIVOTDATA("Sum of Other Workplace",auditlapivot!$B$4,"Local Authority",B41)</f>
        <v>6</v>
      </c>
      <c r="R41" s="765">
        <f t="shared" si="1"/>
        <v>240</v>
      </c>
      <c r="S41" s="69">
        <f t="shared" si="0"/>
        <v>226</v>
      </c>
    </row>
    <row r="42" spans="1:19" ht="15" thickBot="1" x14ac:dyDescent="0.4">
      <c r="A42" s="214"/>
      <c r="B42" s="539" t="s">
        <v>348</v>
      </c>
      <c r="C42" s="242">
        <f>SUM(C10:C41)</f>
        <v>320</v>
      </c>
      <c r="D42" s="242">
        <f t="shared" ref="D42:O42" si="2">SUM(D10:D41)</f>
        <v>1629</v>
      </c>
      <c r="E42" s="242">
        <f t="shared" si="2"/>
        <v>2400</v>
      </c>
      <c r="F42" s="242">
        <f t="shared" si="2"/>
        <v>59</v>
      </c>
      <c r="G42" s="242">
        <f t="shared" si="2"/>
        <v>1000</v>
      </c>
      <c r="H42" s="242">
        <f t="shared" si="2"/>
        <v>1572</v>
      </c>
      <c r="I42" s="242">
        <f>SUM(I10:I41)</f>
        <v>21</v>
      </c>
      <c r="J42" s="242">
        <f t="shared" si="2"/>
        <v>37</v>
      </c>
      <c r="K42" s="242">
        <f t="shared" si="2"/>
        <v>313</v>
      </c>
      <c r="L42" s="242">
        <f t="shared" si="2"/>
        <v>294</v>
      </c>
      <c r="M42" s="242">
        <f t="shared" si="2"/>
        <v>349</v>
      </c>
      <c r="N42" s="242">
        <f t="shared" si="2"/>
        <v>209</v>
      </c>
      <c r="O42" s="242">
        <f t="shared" si="2"/>
        <v>224</v>
      </c>
      <c r="P42" s="242">
        <f>SUM(P10:P41)</f>
        <v>212</v>
      </c>
      <c r="Q42" s="242">
        <f>SUM(Q10:Q41)</f>
        <v>129</v>
      </c>
      <c r="R42" s="402">
        <f>SUM(R10:R41)</f>
        <v>8768</v>
      </c>
      <c r="S42" s="242">
        <f>SUM(S10:S41)</f>
        <v>6368</v>
      </c>
    </row>
    <row r="43" spans="1:19" x14ac:dyDescent="0.35">
      <c r="B43" s="15"/>
      <c r="C43" s="15"/>
      <c r="D43" s="15"/>
      <c r="E43" s="15"/>
      <c r="F43" s="15"/>
      <c r="G43" s="15"/>
      <c r="H43" s="15"/>
      <c r="I43" s="15"/>
      <c r="J43" s="15"/>
      <c r="K43" s="15"/>
      <c r="L43" s="15"/>
      <c r="M43" s="15"/>
      <c r="N43" s="15"/>
      <c r="O43" s="15"/>
      <c r="P43" s="15"/>
      <c r="Q43" s="15"/>
      <c r="R43" s="15"/>
      <c r="S43" s="15"/>
    </row>
    <row r="44" spans="1:19" x14ac:dyDescent="0.35">
      <c r="A44" s="540" t="s">
        <v>329</v>
      </c>
      <c r="B44" s="1060"/>
      <c r="C44" s="1060"/>
      <c r="D44" s="1060"/>
      <c r="E44" s="1060"/>
      <c r="F44" s="1060"/>
      <c r="G44" s="1060"/>
      <c r="H44" s="1060"/>
      <c r="I44" s="1060"/>
      <c r="J44" s="1060"/>
      <c r="K44" s="1060"/>
      <c r="L44" s="1060"/>
      <c r="M44" s="1060"/>
      <c r="N44" s="1060"/>
      <c r="O44" s="1060"/>
      <c r="P44" s="1060"/>
      <c r="Q44" s="1060"/>
      <c r="R44" s="1060"/>
      <c r="S44" s="1060"/>
    </row>
    <row r="45" spans="1:19" x14ac:dyDescent="0.35">
      <c r="A45" t="s">
        <v>1194</v>
      </c>
      <c r="B45" s="347"/>
      <c r="C45" s="347"/>
      <c r="D45" s="347"/>
      <c r="E45" s="347"/>
      <c r="F45" s="347"/>
      <c r="G45" s="347"/>
      <c r="H45" s="347"/>
      <c r="I45" s="347"/>
      <c r="J45" s="347"/>
      <c r="K45" s="347"/>
      <c r="L45" s="347"/>
      <c r="M45" s="347"/>
      <c r="N45" s="347"/>
      <c r="O45" s="347"/>
      <c r="P45" s="347"/>
      <c r="Q45" s="347"/>
      <c r="R45" s="347"/>
      <c r="S45" s="347"/>
    </row>
  </sheetData>
  <sheetProtection algorithmName="SHA-512" hashValue="hDF+IC7qvcJWvp7hN96FMEnfHsxx/QrAVMFW2hOC71AWFqqBgIaZWL+8vPSNAv/NUPP8MbNAanD8cqljsjVLsw==" saltValue="ZqgdPaJUb5A3DhS0SvCmTg==" spinCount="100000" sheet="1" scenarios="1" formatCells="0" sort="0" autoFilter="0" pivotTables="0"/>
  <mergeCells count="2">
    <mergeCell ref="B44:S44"/>
    <mergeCell ref="A4:K4"/>
  </mergeCells>
  <hyperlinks>
    <hyperlink ref="A2" location="'Table of Contents'!A1" display="Back to Table of Contents" xr:uid="{00000000-0004-0000-A400-000000000000}"/>
  </hyperlinks>
  <pageMargins left="0.70866141732283472" right="0.70866141732283472" top="0.74803149606299213" bottom="0.74803149606299213" header="0.31496062992125984" footer="0.31496062992125984"/>
  <pageSetup paperSize="9" scale="69" orientation="landscape" r:id="rId1"/>
  <drawing r:id="rId2"/>
  <extLst>
    <ext xmlns:x14="http://schemas.microsoft.com/office/spreadsheetml/2009/9/main" uri="{A8765BA9-456A-4dab-B4F3-ACF838C121DE}">
      <x14:slicerList>
        <x14:slicer r:id="rId3"/>
      </x14:slicerList>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theme="3" tint="0.39997558519241921"/>
  </sheetPr>
  <dimension ref="B2:Q37"/>
  <sheetViews>
    <sheetView workbookViewId="0">
      <selection activeCell="C14" sqref="C14"/>
    </sheetView>
  </sheetViews>
  <sheetFormatPr defaultRowHeight="14.5" x14ac:dyDescent="0.35"/>
  <cols>
    <col min="2" max="2" width="20.81640625" bestFit="1" customWidth="1"/>
    <col min="3" max="3" width="21.54296875" bestFit="1" customWidth="1"/>
    <col min="4" max="4" width="16.7265625" bestFit="1" customWidth="1"/>
    <col min="5" max="5" width="11.54296875" bestFit="1" customWidth="1"/>
    <col min="6" max="6" width="12.81640625" bestFit="1" customWidth="1"/>
    <col min="7" max="7" width="11.81640625" bestFit="1" customWidth="1"/>
    <col min="8" max="8" width="28.08984375" bestFit="1" customWidth="1"/>
    <col min="9" max="9" width="22.6328125" bestFit="1" customWidth="1"/>
    <col min="10" max="10" width="20" bestFit="1" customWidth="1"/>
    <col min="11" max="11" width="23.1796875" bestFit="1" customWidth="1"/>
    <col min="12" max="12" width="12.90625" bestFit="1" customWidth="1"/>
    <col min="13" max="13" width="11.453125" bestFit="1" customWidth="1"/>
    <col min="14" max="14" width="33.90625" bestFit="1" customWidth="1"/>
    <col min="15" max="15" width="26.26953125" bestFit="1" customWidth="1"/>
    <col min="16" max="16" width="12.54296875" bestFit="1" customWidth="1"/>
    <col min="17" max="17" width="22.08984375" bestFit="1" customWidth="1"/>
  </cols>
  <sheetData>
    <row r="2" spans="2:17" x14ac:dyDescent="0.35">
      <c r="B2" s="387" t="s">
        <v>207</v>
      </c>
      <c r="C2" t="s">
        <v>466</v>
      </c>
    </row>
    <row r="4" spans="2:17" x14ac:dyDescent="0.35">
      <c r="B4" s="387" t="s">
        <v>350</v>
      </c>
      <c r="C4" t="s">
        <v>1195</v>
      </c>
      <c r="D4" t="s">
        <v>1196</v>
      </c>
      <c r="E4" t="s">
        <v>1197</v>
      </c>
      <c r="F4" t="s">
        <v>1198</v>
      </c>
      <c r="G4" t="s">
        <v>1199</v>
      </c>
      <c r="H4" t="s">
        <v>1200</v>
      </c>
      <c r="I4" t="s">
        <v>1201</v>
      </c>
      <c r="J4" t="s">
        <v>1202</v>
      </c>
      <c r="K4" t="s">
        <v>1203</v>
      </c>
      <c r="L4" t="s">
        <v>1204</v>
      </c>
      <c r="M4" t="s">
        <v>1205</v>
      </c>
      <c r="N4" t="s">
        <v>1206</v>
      </c>
      <c r="O4" t="s">
        <v>1207</v>
      </c>
      <c r="P4" t="s">
        <v>1208</v>
      </c>
      <c r="Q4" t="s">
        <v>1209</v>
      </c>
    </row>
    <row r="5" spans="2:17" x14ac:dyDescent="0.35">
      <c r="B5" s="388" t="s">
        <v>216</v>
      </c>
      <c r="C5">
        <v>10</v>
      </c>
      <c r="D5">
        <v>76</v>
      </c>
      <c r="E5">
        <v>230</v>
      </c>
      <c r="G5">
        <v>37</v>
      </c>
      <c r="H5">
        <v>28</v>
      </c>
      <c r="K5">
        <v>3</v>
      </c>
      <c r="L5">
        <v>2</v>
      </c>
      <c r="M5">
        <v>7</v>
      </c>
      <c r="N5">
        <v>5</v>
      </c>
      <c r="O5">
        <v>3</v>
      </c>
      <c r="P5">
        <v>3</v>
      </c>
      <c r="Q5">
        <v>3</v>
      </c>
    </row>
    <row r="6" spans="2:17" x14ac:dyDescent="0.35">
      <c r="B6" s="388" t="s">
        <v>221</v>
      </c>
      <c r="C6">
        <v>21</v>
      </c>
      <c r="D6">
        <v>81</v>
      </c>
      <c r="E6">
        <v>28</v>
      </c>
      <c r="F6">
        <v>2</v>
      </c>
      <c r="G6">
        <v>54</v>
      </c>
      <c r="H6">
        <v>114</v>
      </c>
      <c r="I6">
        <v>1</v>
      </c>
      <c r="J6">
        <v>5</v>
      </c>
      <c r="K6">
        <v>6</v>
      </c>
      <c r="L6">
        <v>5</v>
      </c>
      <c r="M6">
        <v>5</v>
      </c>
      <c r="N6">
        <v>11</v>
      </c>
      <c r="O6">
        <v>10</v>
      </c>
      <c r="P6">
        <v>4</v>
      </c>
      <c r="Q6">
        <v>8</v>
      </c>
    </row>
    <row r="7" spans="2:17" x14ac:dyDescent="0.35">
      <c r="B7" s="388" t="s">
        <v>225</v>
      </c>
      <c r="C7">
        <v>5</v>
      </c>
      <c r="D7">
        <v>36</v>
      </c>
      <c r="E7">
        <v>6</v>
      </c>
      <c r="G7">
        <v>7</v>
      </c>
      <c r="H7">
        <v>5</v>
      </c>
      <c r="J7">
        <v>1</v>
      </c>
      <c r="K7">
        <v>1</v>
      </c>
      <c r="L7">
        <v>4</v>
      </c>
      <c r="M7">
        <v>1</v>
      </c>
      <c r="N7">
        <v>1</v>
      </c>
      <c r="O7">
        <v>3</v>
      </c>
    </row>
    <row r="8" spans="2:17" x14ac:dyDescent="0.35">
      <c r="B8" s="388" t="s">
        <v>229</v>
      </c>
      <c r="C8">
        <v>3</v>
      </c>
      <c r="D8">
        <v>23</v>
      </c>
      <c r="E8">
        <v>15</v>
      </c>
      <c r="F8">
        <v>2</v>
      </c>
      <c r="G8">
        <v>54</v>
      </c>
      <c r="H8">
        <v>381</v>
      </c>
      <c r="J8">
        <v>3</v>
      </c>
      <c r="L8">
        <v>1</v>
      </c>
      <c r="M8">
        <v>4</v>
      </c>
      <c r="N8">
        <v>9</v>
      </c>
      <c r="O8">
        <v>4</v>
      </c>
      <c r="P8">
        <v>4</v>
      </c>
      <c r="Q8">
        <v>5</v>
      </c>
    </row>
    <row r="9" spans="2:17" x14ac:dyDescent="0.35">
      <c r="B9" s="388" t="s">
        <v>235</v>
      </c>
      <c r="C9">
        <v>40</v>
      </c>
      <c r="D9">
        <v>111</v>
      </c>
      <c r="E9">
        <v>294</v>
      </c>
      <c r="F9">
        <v>11</v>
      </c>
      <c r="G9">
        <v>99</v>
      </c>
      <c r="H9">
        <v>35</v>
      </c>
      <c r="I9">
        <v>4</v>
      </c>
      <c r="J9">
        <v>1</v>
      </c>
      <c r="K9">
        <v>57</v>
      </c>
      <c r="L9">
        <v>12</v>
      </c>
      <c r="M9">
        <v>11</v>
      </c>
      <c r="N9">
        <v>12</v>
      </c>
      <c r="O9">
        <v>1</v>
      </c>
      <c r="P9">
        <v>10</v>
      </c>
      <c r="Q9">
        <v>8</v>
      </c>
    </row>
    <row r="10" spans="2:17" x14ac:dyDescent="0.35">
      <c r="B10" s="388" t="s">
        <v>241</v>
      </c>
      <c r="C10">
        <v>2</v>
      </c>
      <c r="D10">
        <v>18</v>
      </c>
      <c r="E10">
        <v>4</v>
      </c>
      <c r="F10">
        <v>1</v>
      </c>
      <c r="G10">
        <v>2</v>
      </c>
      <c r="H10">
        <v>3</v>
      </c>
      <c r="K10">
        <v>3</v>
      </c>
      <c r="L10">
        <v>3</v>
      </c>
      <c r="M10">
        <v>2</v>
      </c>
      <c r="N10">
        <v>3</v>
      </c>
      <c r="O10">
        <v>6</v>
      </c>
      <c r="P10">
        <v>5</v>
      </c>
      <c r="Q10">
        <v>1</v>
      </c>
    </row>
    <row r="11" spans="2:17" x14ac:dyDescent="0.35">
      <c r="B11" s="388" t="s">
        <v>245</v>
      </c>
      <c r="C11">
        <v>12</v>
      </c>
      <c r="D11">
        <v>91</v>
      </c>
      <c r="E11">
        <v>33</v>
      </c>
      <c r="F11">
        <v>2</v>
      </c>
      <c r="G11">
        <v>95</v>
      </c>
      <c r="H11">
        <v>320</v>
      </c>
      <c r="J11">
        <v>4</v>
      </c>
      <c r="K11">
        <v>4</v>
      </c>
      <c r="M11">
        <v>6</v>
      </c>
      <c r="N11">
        <v>5</v>
      </c>
      <c r="O11">
        <v>5</v>
      </c>
      <c r="P11">
        <v>4</v>
      </c>
      <c r="Q11">
        <v>1</v>
      </c>
    </row>
    <row r="12" spans="2:17" x14ac:dyDescent="0.35">
      <c r="B12" s="388" t="s">
        <v>248</v>
      </c>
      <c r="C12">
        <v>15</v>
      </c>
      <c r="D12">
        <v>36</v>
      </c>
      <c r="E12">
        <v>219</v>
      </c>
      <c r="G12">
        <v>4</v>
      </c>
      <c r="H12">
        <v>16</v>
      </c>
      <c r="I12">
        <v>2</v>
      </c>
      <c r="J12">
        <v>3</v>
      </c>
      <c r="K12">
        <v>11</v>
      </c>
      <c r="L12">
        <v>4</v>
      </c>
      <c r="M12">
        <v>3</v>
      </c>
      <c r="N12">
        <v>6</v>
      </c>
      <c r="O12">
        <v>1</v>
      </c>
      <c r="Q12">
        <v>3</v>
      </c>
    </row>
    <row r="13" spans="2:17" x14ac:dyDescent="0.35">
      <c r="B13" s="388" t="s">
        <v>250</v>
      </c>
      <c r="C13">
        <v>9</v>
      </c>
      <c r="D13">
        <v>59</v>
      </c>
      <c r="E13">
        <v>14</v>
      </c>
      <c r="G13">
        <v>11</v>
      </c>
      <c r="H13">
        <v>35</v>
      </c>
      <c r="J13">
        <v>1</v>
      </c>
      <c r="K13">
        <v>4</v>
      </c>
      <c r="L13">
        <v>4</v>
      </c>
      <c r="M13">
        <v>8</v>
      </c>
      <c r="N13">
        <v>3</v>
      </c>
      <c r="O13">
        <v>17</v>
      </c>
      <c r="P13">
        <v>5</v>
      </c>
      <c r="Q13">
        <v>8</v>
      </c>
    </row>
    <row r="14" spans="2:17" x14ac:dyDescent="0.35">
      <c r="B14" s="388" t="s">
        <v>254</v>
      </c>
      <c r="D14">
        <v>33</v>
      </c>
      <c r="E14">
        <v>21</v>
      </c>
      <c r="G14">
        <v>5</v>
      </c>
      <c r="H14">
        <v>1</v>
      </c>
      <c r="K14">
        <v>3</v>
      </c>
      <c r="M14">
        <v>7</v>
      </c>
      <c r="N14">
        <v>3</v>
      </c>
      <c r="O14">
        <v>1</v>
      </c>
      <c r="Q14">
        <v>1</v>
      </c>
    </row>
    <row r="15" spans="2:17" x14ac:dyDescent="0.35">
      <c r="B15" s="388" t="s">
        <v>256</v>
      </c>
      <c r="C15">
        <v>1</v>
      </c>
      <c r="D15">
        <v>23</v>
      </c>
      <c r="E15">
        <v>11</v>
      </c>
      <c r="G15">
        <v>4</v>
      </c>
      <c r="H15">
        <v>1</v>
      </c>
      <c r="K15">
        <v>68</v>
      </c>
      <c r="L15">
        <v>2</v>
      </c>
      <c r="M15">
        <v>2</v>
      </c>
      <c r="N15">
        <v>7</v>
      </c>
      <c r="O15">
        <v>3</v>
      </c>
      <c r="Q15">
        <v>1</v>
      </c>
    </row>
    <row r="16" spans="2:17" x14ac:dyDescent="0.35">
      <c r="B16" s="388" t="s">
        <v>260</v>
      </c>
      <c r="C16">
        <v>1</v>
      </c>
      <c r="D16">
        <v>13</v>
      </c>
      <c r="E16">
        <v>10</v>
      </c>
      <c r="G16">
        <v>9</v>
      </c>
      <c r="H16">
        <v>5</v>
      </c>
      <c r="L16">
        <v>3</v>
      </c>
      <c r="M16">
        <v>3</v>
      </c>
      <c r="N16">
        <v>1</v>
      </c>
      <c r="O16">
        <v>1</v>
      </c>
    </row>
    <row r="17" spans="2:17" x14ac:dyDescent="0.35">
      <c r="B17" s="388" t="s">
        <v>264</v>
      </c>
      <c r="C17">
        <v>11</v>
      </c>
      <c r="D17">
        <v>38</v>
      </c>
      <c r="E17">
        <v>17</v>
      </c>
      <c r="G17">
        <v>21</v>
      </c>
      <c r="H17">
        <v>1</v>
      </c>
      <c r="J17">
        <v>3</v>
      </c>
      <c r="K17">
        <v>6</v>
      </c>
      <c r="L17">
        <v>33</v>
      </c>
      <c r="M17">
        <v>6</v>
      </c>
      <c r="N17">
        <v>13</v>
      </c>
      <c r="O17">
        <v>11</v>
      </c>
      <c r="P17">
        <v>5</v>
      </c>
      <c r="Q17">
        <v>2</v>
      </c>
    </row>
    <row r="18" spans="2:17" x14ac:dyDescent="0.35">
      <c r="B18" s="388" t="s">
        <v>268</v>
      </c>
      <c r="C18">
        <v>13</v>
      </c>
      <c r="D18">
        <v>113</v>
      </c>
      <c r="E18">
        <v>230</v>
      </c>
      <c r="G18">
        <v>31</v>
      </c>
      <c r="H18">
        <v>45</v>
      </c>
      <c r="I18">
        <v>1</v>
      </c>
      <c r="J18">
        <v>2</v>
      </c>
      <c r="K18">
        <v>6</v>
      </c>
      <c r="L18">
        <v>47</v>
      </c>
      <c r="M18">
        <v>14</v>
      </c>
      <c r="N18">
        <v>7</v>
      </c>
      <c r="O18">
        <v>25</v>
      </c>
      <c r="P18">
        <v>2</v>
      </c>
      <c r="Q18">
        <v>3</v>
      </c>
    </row>
    <row r="19" spans="2:17" x14ac:dyDescent="0.35">
      <c r="B19" s="388" t="s">
        <v>271</v>
      </c>
      <c r="C19">
        <v>42</v>
      </c>
      <c r="D19">
        <v>133</v>
      </c>
      <c r="E19">
        <v>835</v>
      </c>
      <c r="F19">
        <v>8</v>
      </c>
      <c r="G19">
        <v>96</v>
      </c>
      <c r="H19">
        <v>46</v>
      </c>
      <c r="I19">
        <v>1</v>
      </c>
      <c r="J19">
        <v>2</v>
      </c>
      <c r="K19">
        <v>18</v>
      </c>
      <c r="L19">
        <v>38</v>
      </c>
      <c r="M19">
        <v>97</v>
      </c>
      <c r="N19">
        <v>20</v>
      </c>
      <c r="O19">
        <v>29</v>
      </c>
      <c r="P19">
        <v>13</v>
      </c>
      <c r="Q19">
        <v>23</v>
      </c>
    </row>
    <row r="20" spans="2:17" x14ac:dyDescent="0.35">
      <c r="B20" s="388" t="s">
        <v>274</v>
      </c>
      <c r="C20">
        <v>22</v>
      </c>
      <c r="D20">
        <v>78</v>
      </c>
      <c r="E20">
        <v>88</v>
      </c>
      <c r="F20">
        <v>18</v>
      </c>
      <c r="G20">
        <v>137</v>
      </c>
      <c r="H20">
        <v>38</v>
      </c>
      <c r="K20">
        <v>4</v>
      </c>
      <c r="L20">
        <v>2</v>
      </c>
      <c r="M20">
        <v>5</v>
      </c>
      <c r="N20">
        <v>4</v>
      </c>
      <c r="O20">
        <v>4</v>
      </c>
      <c r="Q20">
        <v>2</v>
      </c>
    </row>
    <row r="21" spans="2:17" x14ac:dyDescent="0.35">
      <c r="B21" s="388" t="s">
        <v>278</v>
      </c>
      <c r="C21">
        <v>9</v>
      </c>
      <c r="D21">
        <v>34</v>
      </c>
      <c r="E21">
        <v>14</v>
      </c>
      <c r="G21">
        <v>6</v>
      </c>
      <c r="H21">
        <v>8</v>
      </c>
      <c r="J21">
        <v>1</v>
      </c>
      <c r="K21">
        <v>2</v>
      </c>
      <c r="M21">
        <v>1</v>
      </c>
      <c r="N21">
        <v>4</v>
      </c>
      <c r="O21">
        <v>3</v>
      </c>
      <c r="P21">
        <v>4</v>
      </c>
      <c r="Q21">
        <v>5</v>
      </c>
    </row>
    <row r="22" spans="2:17" x14ac:dyDescent="0.35">
      <c r="B22" s="388" t="s">
        <v>280</v>
      </c>
      <c r="C22">
        <v>2</v>
      </c>
      <c r="D22">
        <v>14</v>
      </c>
      <c r="E22">
        <v>21</v>
      </c>
      <c r="G22">
        <v>7</v>
      </c>
      <c r="H22">
        <v>36</v>
      </c>
      <c r="K22">
        <v>53</v>
      </c>
      <c r="L22">
        <v>11</v>
      </c>
      <c r="M22">
        <v>1</v>
      </c>
      <c r="N22">
        <v>6</v>
      </c>
      <c r="Q22">
        <v>2</v>
      </c>
    </row>
    <row r="23" spans="2:17" x14ac:dyDescent="0.35">
      <c r="B23" s="388" t="s">
        <v>282</v>
      </c>
      <c r="C23">
        <v>2</v>
      </c>
      <c r="D23">
        <v>21</v>
      </c>
      <c r="E23">
        <v>5</v>
      </c>
      <c r="G23">
        <v>18</v>
      </c>
      <c r="H23">
        <v>51</v>
      </c>
      <c r="K23">
        <v>1</v>
      </c>
      <c r="L23">
        <v>2</v>
      </c>
      <c r="M23">
        <v>6</v>
      </c>
      <c r="O23">
        <v>2</v>
      </c>
      <c r="P23">
        <v>1</v>
      </c>
      <c r="Q23">
        <v>1</v>
      </c>
    </row>
    <row r="24" spans="2:17" x14ac:dyDescent="0.35">
      <c r="B24" s="388" t="s">
        <v>1212</v>
      </c>
      <c r="C24">
        <v>2</v>
      </c>
      <c r="D24">
        <v>10</v>
      </c>
      <c r="E24">
        <v>4</v>
      </c>
      <c r="F24">
        <v>1</v>
      </c>
      <c r="G24">
        <v>9</v>
      </c>
      <c r="H24">
        <v>5</v>
      </c>
      <c r="J24">
        <v>1</v>
      </c>
      <c r="N24">
        <v>2</v>
      </c>
      <c r="P24">
        <v>1</v>
      </c>
      <c r="Q24">
        <v>1</v>
      </c>
    </row>
    <row r="25" spans="2:17" x14ac:dyDescent="0.35">
      <c r="B25" s="388" t="s">
        <v>288</v>
      </c>
      <c r="C25">
        <v>4</v>
      </c>
      <c r="D25">
        <v>76</v>
      </c>
      <c r="F25">
        <v>2</v>
      </c>
      <c r="G25">
        <v>23</v>
      </c>
      <c r="H25">
        <v>18</v>
      </c>
      <c r="I25">
        <v>8</v>
      </c>
      <c r="K25">
        <v>11</v>
      </c>
      <c r="L25">
        <v>2</v>
      </c>
      <c r="M25">
        <v>15</v>
      </c>
      <c r="N25">
        <v>5</v>
      </c>
      <c r="O25">
        <v>4</v>
      </c>
      <c r="Q25">
        <v>1</v>
      </c>
    </row>
    <row r="26" spans="2:17" x14ac:dyDescent="0.35">
      <c r="B26" s="388" t="s">
        <v>290</v>
      </c>
      <c r="C26">
        <v>9</v>
      </c>
      <c r="D26">
        <v>48</v>
      </c>
      <c r="E26">
        <v>10</v>
      </c>
      <c r="F26">
        <v>1</v>
      </c>
      <c r="G26">
        <v>27</v>
      </c>
      <c r="H26">
        <v>3</v>
      </c>
      <c r="K26">
        <v>17</v>
      </c>
      <c r="L26">
        <v>15</v>
      </c>
      <c r="M26">
        <v>52</v>
      </c>
      <c r="N26">
        <v>14</v>
      </c>
      <c r="O26">
        <v>21</v>
      </c>
      <c r="P26">
        <v>103</v>
      </c>
      <c r="Q26">
        <v>24</v>
      </c>
    </row>
    <row r="27" spans="2:17" x14ac:dyDescent="0.35">
      <c r="B27" s="388" t="s">
        <v>293</v>
      </c>
      <c r="C27">
        <v>1</v>
      </c>
      <c r="D27">
        <v>8</v>
      </c>
      <c r="F27">
        <v>1</v>
      </c>
      <c r="G27">
        <v>16</v>
      </c>
      <c r="H27">
        <v>13</v>
      </c>
      <c r="L27">
        <v>2</v>
      </c>
      <c r="N27">
        <v>2</v>
      </c>
    </row>
    <row r="28" spans="2:17" x14ac:dyDescent="0.35">
      <c r="B28" s="388" t="s">
        <v>295</v>
      </c>
      <c r="C28">
        <v>4</v>
      </c>
      <c r="D28">
        <v>61</v>
      </c>
      <c r="E28">
        <v>17</v>
      </c>
      <c r="G28">
        <v>32</v>
      </c>
      <c r="H28">
        <v>60</v>
      </c>
      <c r="I28">
        <v>1</v>
      </c>
      <c r="J28">
        <v>1</v>
      </c>
      <c r="K28">
        <v>5</v>
      </c>
      <c r="L28">
        <v>4</v>
      </c>
      <c r="M28">
        <v>4</v>
      </c>
      <c r="N28">
        <v>1</v>
      </c>
      <c r="O28">
        <v>1</v>
      </c>
      <c r="P28">
        <v>1</v>
      </c>
      <c r="Q28">
        <v>1</v>
      </c>
    </row>
    <row r="29" spans="2:17" x14ac:dyDescent="0.35">
      <c r="B29" s="388" t="s">
        <v>297</v>
      </c>
      <c r="C29">
        <v>4</v>
      </c>
      <c r="D29">
        <v>64</v>
      </c>
      <c r="E29">
        <v>86</v>
      </c>
      <c r="G29">
        <v>24</v>
      </c>
      <c r="H29">
        <v>43</v>
      </c>
      <c r="I29">
        <v>3</v>
      </c>
      <c r="J29">
        <v>6</v>
      </c>
      <c r="K29">
        <v>2</v>
      </c>
      <c r="L29">
        <v>6</v>
      </c>
      <c r="M29">
        <v>17</v>
      </c>
      <c r="N29">
        <v>8</v>
      </c>
      <c r="O29">
        <v>7</v>
      </c>
      <c r="P29">
        <v>8</v>
      </c>
      <c r="Q29">
        <v>2</v>
      </c>
    </row>
    <row r="30" spans="2:17" x14ac:dyDescent="0.35">
      <c r="B30" s="388" t="s">
        <v>299</v>
      </c>
      <c r="C30">
        <v>18</v>
      </c>
      <c r="D30">
        <v>32</v>
      </c>
      <c r="E30">
        <v>18</v>
      </c>
      <c r="G30">
        <v>26</v>
      </c>
      <c r="H30">
        <v>85</v>
      </c>
      <c r="K30">
        <v>4</v>
      </c>
      <c r="L30">
        <v>3</v>
      </c>
      <c r="M30">
        <v>6</v>
      </c>
      <c r="N30">
        <v>8</v>
      </c>
      <c r="O30">
        <v>5</v>
      </c>
    </row>
    <row r="31" spans="2:17" x14ac:dyDescent="0.35">
      <c r="B31" s="388" t="s">
        <v>301</v>
      </c>
      <c r="C31">
        <v>1</v>
      </c>
      <c r="D31">
        <v>13</v>
      </c>
      <c r="E31">
        <v>4</v>
      </c>
      <c r="F31">
        <v>5</v>
      </c>
      <c r="G31">
        <v>10</v>
      </c>
      <c r="H31">
        <v>27</v>
      </c>
      <c r="L31">
        <v>2</v>
      </c>
      <c r="N31">
        <v>1</v>
      </c>
    </row>
    <row r="32" spans="2:17" x14ac:dyDescent="0.35">
      <c r="B32" s="388" t="s">
        <v>303</v>
      </c>
      <c r="C32">
        <v>10</v>
      </c>
      <c r="D32">
        <v>59</v>
      </c>
      <c r="E32">
        <v>36</v>
      </c>
      <c r="F32">
        <v>2</v>
      </c>
      <c r="G32">
        <v>56</v>
      </c>
      <c r="H32">
        <v>53</v>
      </c>
      <c r="J32">
        <v>2</v>
      </c>
      <c r="K32">
        <v>4</v>
      </c>
      <c r="L32">
        <v>5</v>
      </c>
      <c r="M32">
        <v>18</v>
      </c>
      <c r="N32">
        <v>6</v>
      </c>
      <c r="O32">
        <v>9</v>
      </c>
      <c r="P32">
        <v>11</v>
      </c>
      <c r="Q32">
        <v>9</v>
      </c>
    </row>
    <row r="33" spans="2:17" x14ac:dyDescent="0.35">
      <c r="B33" s="388" t="s">
        <v>305</v>
      </c>
      <c r="C33">
        <v>36</v>
      </c>
      <c r="D33">
        <v>123</v>
      </c>
      <c r="E33">
        <v>48</v>
      </c>
      <c r="G33">
        <v>35</v>
      </c>
      <c r="H33">
        <v>28</v>
      </c>
      <c r="K33">
        <v>8</v>
      </c>
      <c r="L33">
        <v>10</v>
      </c>
      <c r="M33">
        <v>29</v>
      </c>
      <c r="N33">
        <v>15</v>
      </c>
      <c r="O33">
        <v>15</v>
      </c>
      <c r="P33">
        <v>15</v>
      </c>
      <c r="Q33">
        <v>8</v>
      </c>
    </row>
    <row r="34" spans="2:17" x14ac:dyDescent="0.35">
      <c r="B34" s="388" t="s">
        <v>308</v>
      </c>
      <c r="D34">
        <v>34</v>
      </c>
      <c r="E34">
        <v>53</v>
      </c>
      <c r="F34">
        <v>3</v>
      </c>
      <c r="G34">
        <v>21</v>
      </c>
      <c r="H34">
        <v>23</v>
      </c>
      <c r="J34">
        <v>1</v>
      </c>
      <c r="K34">
        <v>2</v>
      </c>
      <c r="L34">
        <v>8</v>
      </c>
      <c r="M34">
        <v>2</v>
      </c>
      <c r="N34">
        <v>3</v>
      </c>
      <c r="O34">
        <v>4</v>
      </c>
      <c r="P34">
        <v>4</v>
      </c>
    </row>
    <row r="35" spans="2:17" x14ac:dyDescent="0.35">
      <c r="B35" s="388" t="s">
        <v>310</v>
      </c>
      <c r="C35">
        <v>3</v>
      </c>
      <c r="D35">
        <v>20</v>
      </c>
      <c r="E35">
        <v>15</v>
      </c>
      <c r="G35">
        <v>13</v>
      </c>
      <c r="H35">
        <v>25</v>
      </c>
      <c r="K35">
        <v>2</v>
      </c>
      <c r="M35">
        <v>2</v>
      </c>
      <c r="N35">
        <v>2</v>
      </c>
      <c r="O35">
        <v>10</v>
      </c>
      <c r="P35">
        <v>6</v>
      </c>
    </row>
    <row r="36" spans="2:17" x14ac:dyDescent="0.35">
      <c r="B36" s="388" t="s">
        <v>312</v>
      </c>
      <c r="C36">
        <v>8</v>
      </c>
      <c r="D36">
        <v>50</v>
      </c>
      <c r="E36">
        <v>14</v>
      </c>
      <c r="G36">
        <v>11</v>
      </c>
      <c r="H36">
        <v>20</v>
      </c>
      <c r="K36">
        <v>8</v>
      </c>
      <c r="L36">
        <v>64</v>
      </c>
      <c r="M36">
        <v>15</v>
      </c>
      <c r="N36">
        <v>22</v>
      </c>
      <c r="O36">
        <v>19</v>
      </c>
      <c r="P36">
        <v>3</v>
      </c>
      <c r="Q36">
        <v>6</v>
      </c>
    </row>
    <row r="37" spans="2:17" x14ac:dyDescent="0.35">
      <c r="B37" s="388" t="s">
        <v>357</v>
      </c>
      <c r="C37">
        <v>320</v>
      </c>
      <c r="D37">
        <v>1629</v>
      </c>
      <c r="E37">
        <v>2400</v>
      </c>
      <c r="F37">
        <v>59</v>
      </c>
      <c r="G37">
        <v>1000</v>
      </c>
      <c r="H37">
        <v>1572</v>
      </c>
      <c r="I37">
        <v>21</v>
      </c>
      <c r="J37">
        <v>37</v>
      </c>
      <c r="K37">
        <v>313</v>
      </c>
      <c r="L37">
        <v>294</v>
      </c>
      <c r="M37">
        <v>349</v>
      </c>
      <c r="N37">
        <v>209</v>
      </c>
      <c r="O37">
        <v>224</v>
      </c>
      <c r="P37">
        <v>212</v>
      </c>
      <c r="Q37">
        <v>129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theme="3" tint="0.39997558519241921"/>
  </sheetPr>
  <dimension ref="A1:R354"/>
  <sheetViews>
    <sheetView topLeftCell="A2" workbookViewId="0">
      <selection activeCell="B7" sqref="B7"/>
    </sheetView>
  </sheetViews>
  <sheetFormatPr defaultRowHeight="14.5" x14ac:dyDescent="0.35"/>
  <cols>
    <col min="1" max="1" width="7.453125" bestFit="1" customWidth="1"/>
    <col min="2" max="2" width="24" bestFit="1" customWidth="1"/>
    <col min="3" max="3" width="10.08984375" bestFit="1" customWidth="1"/>
    <col min="4" max="4" width="17.26953125" bestFit="1" customWidth="1"/>
    <col min="5" max="5" width="12.54296875" bestFit="1" customWidth="1"/>
    <col min="6" max="6" width="7.6328125" bestFit="1" customWidth="1"/>
    <col min="8" max="8" width="7.90625" bestFit="1" customWidth="1"/>
    <col min="9" max="9" width="24" bestFit="1" customWidth="1"/>
    <col min="10" max="10" width="18.36328125" bestFit="1" customWidth="1"/>
    <col min="11" max="11" width="15.90625" bestFit="1" customWidth="1"/>
    <col min="12" max="12" width="19.08984375" bestFit="1" customWidth="1"/>
    <col min="13" max="13" width="8.81640625" bestFit="1" customWidth="1"/>
    <col min="14" max="14" width="7.453125" bestFit="1" customWidth="1"/>
    <col min="15" max="15" width="29.7265625" bestFit="1" customWidth="1"/>
    <col min="16" max="16" width="22.08984375" bestFit="1" customWidth="1"/>
    <col min="17" max="17" width="8.453125" bestFit="1" customWidth="1"/>
    <col min="18" max="18" width="17.81640625" bestFit="1" customWidth="1"/>
  </cols>
  <sheetData>
    <row r="1" spans="1:18" x14ac:dyDescent="0.35">
      <c r="A1" t="s">
        <v>207</v>
      </c>
      <c r="B1" t="s">
        <v>32</v>
      </c>
      <c r="C1" t="s">
        <v>208</v>
      </c>
      <c r="D1" t="s">
        <v>1154</v>
      </c>
      <c r="E1" t="s">
        <v>1150</v>
      </c>
      <c r="F1" t="s">
        <v>1153</v>
      </c>
      <c r="G1" t="s">
        <v>1155</v>
      </c>
      <c r="H1" t="s">
        <v>1156</v>
      </c>
      <c r="I1" t="s">
        <v>1213</v>
      </c>
      <c r="J1" t="s">
        <v>1152</v>
      </c>
      <c r="K1" t="s">
        <v>1162</v>
      </c>
      <c r="L1" t="s">
        <v>1157</v>
      </c>
      <c r="M1" t="s">
        <v>1163</v>
      </c>
      <c r="N1" t="s">
        <v>1164</v>
      </c>
      <c r="O1" t="s">
        <v>1159</v>
      </c>
      <c r="P1" t="s">
        <v>1151</v>
      </c>
      <c r="Q1" t="s">
        <v>1158</v>
      </c>
      <c r="R1" t="s">
        <v>1161</v>
      </c>
    </row>
    <row r="2" spans="1:18" x14ac:dyDescent="0.35">
      <c r="A2" t="s">
        <v>365</v>
      </c>
      <c r="B2" t="s">
        <v>254</v>
      </c>
      <c r="C2" t="s">
        <v>253</v>
      </c>
      <c r="D2">
        <v>5</v>
      </c>
      <c r="E2">
        <v>18</v>
      </c>
      <c r="F2">
        <v>1</v>
      </c>
      <c r="H2">
        <v>5</v>
      </c>
      <c r="I2">
        <v>1</v>
      </c>
      <c r="K2">
        <v>1</v>
      </c>
      <c r="L2">
        <v>2</v>
      </c>
      <c r="M2">
        <v>2</v>
      </c>
      <c r="N2">
        <v>6</v>
      </c>
      <c r="O2">
        <v>2</v>
      </c>
      <c r="P2">
        <v>4</v>
      </c>
      <c r="Q2">
        <v>4</v>
      </c>
      <c r="R2">
        <v>3</v>
      </c>
    </row>
    <row r="3" spans="1:18" x14ac:dyDescent="0.35">
      <c r="A3" t="s">
        <v>365</v>
      </c>
      <c r="B3" t="s">
        <v>280</v>
      </c>
      <c r="C3" t="s">
        <v>279</v>
      </c>
      <c r="D3">
        <v>3</v>
      </c>
      <c r="E3">
        <v>18</v>
      </c>
      <c r="F3">
        <v>35</v>
      </c>
      <c r="G3">
        <v>5</v>
      </c>
      <c r="H3">
        <v>2</v>
      </c>
      <c r="I3">
        <v>2</v>
      </c>
      <c r="J3">
        <v>1</v>
      </c>
      <c r="L3">
        <v>4</v>
      </c>
      <c r="M3">
        <v>14</v>
      </c>
      <c r="N3">
        <v>38</v>
      </c>
      <c r="P3">
        <v>1</v>
      </c>
      <c r="Q3">
        <v>1</v>
      </c>
      <c r="R3">
        <v>2</v>
      </c>
    </row>
    <row r="4" spans="1:18" x14ac:dyDescent="0.35">
      <c r="A4" t="s">
        <v>365</v>
      </c>
      <c r="B4" t="s">
        <v>288</v>
      </c>
      <c r="C4" t="s">
        <v>287</v>
      </c>
      <c r="D4">
        <v>7</v>
      </c>
      <c r="E4">
        <v>58</v>
      </c>
      <c r="F4">
        <v>2</v>
      </c>
      <c r="G4">
        <v>1</v>
      </c>
      <c r="H4">
        <v>6</v>
      </c>
      <c r="I4">
        <v>1</v>
      </c>
      <c r="K4">
        <v>1</v>
      </c>
      <c r="L4">
        <v>1</v>
      </c>
      <c r="M4">
        <v>2</v>
      </c>
      <c r="N4">
        <v>11</v>
      </c>
      <c r="O4">
        <v>9</v>
      </c>
      <c r="P4">
        <v>1</v>
      </c>
      <c r="Q4">
        <v>6</v>
      </c>
      <c r="R4">
        <v>3</v>
      </c>
    </row>
    <row r="5" spans="1:18" x14ac:dyDescent="0.35">
      <c r="A5" t="s">
        <v>365</v>
      </c>
      <c r="B5" t="s">
        <v>297</v>
      </c>
      <c r="C5" t="s">
        <v>296</v>
      </c>
      <c r="D5">
        <v>1</v>
      </c>
      <c r="E5">
        <v>51</v>
      </c>
      <c r="F5">
        <v>16</v>
      </c>
      <c r="H5">
        <v>21</v>
      </c>
      <c r="L5">
        <v>31</v>
      </c>
      <c r="M5">
        <v>12</v>
      </c>
      <c r="N5">
        <v>37</v>
      </c>
      <c r="O5">
        <v>10</v>
      </c>
      <c r="P5">
        <v>10</v>
      </c>
      <c r="Q5">
        <v>17</v>
      </c>
      <c r="R5">
        <v>9</v>
      </c>
    </row>
    <row r="6" spans="1:18" x14ac:dyDescent="0.35">
      <c r="A6" t="s">
        <v>365</v>
      </c>
      <c r="B6" t="s">
        <v>299</v>
      </c>
      <c r="C6" t="s">
        <v>298</v>
      </c>
      <c r="D6">
        <v>17</v>
      </c>
      <c r="E6">
        <v>34</v>
      </c>
      <c r="F6">
        <v>22</v>
      </c>
      <c r="G6">
        <v>2</v>
      </c>
      <c r="H6">
        <v>85</v>
      </c>
      <c r="I6">
        <v>41</v>
      </c>
      <c r="K6">
        <v>2</v>
      </c>
      <c r="L6">
        <v>21</v>
      </c>
      <c r="M6">
        <v>8</v>
      </c>
      <c r="N6">
        <v>117</v>
      </c>
      <c r="O6">
        <v>11</v>
      </c>
      <c r="P6">
        <v>7</v>
      </c>
      <c r="Q6">
        <v>7</v>
      </c>
      <c r="R6">
        <v>7</v>
      </c>
    </row>
    <row r="7" spans="1:18" x14ac:dyDescent="0.35">
      <c r="A7" t="s">
        <v>366</v>
      </c>
      <c r="B7" t="s">
        <v>216</v>
      </c>
      <c r="C7" t="s">
        <v>215</v>
      </c>
      <c r="D7">
        <v>23</v>
      </c>
      <c r="E7">
        <v>41</v>
      </c>
      <c r="F7">
        <v>192</v>
      </c>
      <c r="G7">
        <v>2</v>
      </c>
      <c r="H7">
        <v>25</v>
      </c>
      <c r="I7">
        <v>2</v>
      </c>
      <c r="J7">
        <v>5</v>
      </c>
      <c r="L7">
        <v>10</v>
      </c>
      <c r="M7">
        <v>1</v>
      </c>
      <c r="N7">
        <v>1</v>
      </c>
      <c r="O7">
        <v>7</v>
      </c>
      <c r="Q7">
        <v>1</v>
      </c>
      <c r="R7">
        <v>5</v>
      </c>
    </row>
    <row r="8" spans="1:18" x14ac:dyDescent="0.35">
      <c r="A8" t="s">
        <v>366</v>
      </c>
      <c r="B8" t="s">
        <v>221</v>
      </c>
      <c r="C8" t="s">
        <v>220</v>
      </c>
      <c r="D8">
        <v>13</v>
      </c>
      <c r="E8">
        <v>109</v>
      </c>
      <c r="F8">
        <v>44</v>
      </c>
      <c r="G8">
        <v>2</v>
      </c>
      <c r="H8">
        <v>106</v>
      </c>
      <c r="I8">
        <v>38</v>
      </c>
      <c r="L8">
        <v>24</v>
      </c>
      <c r="M8">
        <v>3</v>
      </c>
      <c r="O8">
        <v>8</v>
      </c>
      <c r="P8">
        <v>15</v>
      </c>
      <c r="Q8">
        <v>5</v>
      </c>
      <c r="R8">
        <v>6</v>
      </c>
    </row>
    <row r="9" spans="1:18" x14ac:dyDescent="0.35">
      <c r="A9" t="s">
        <v>366</v>
      </c>
      <c r="B9" t="s">
        <v>256</v>
      </c>
      <c r="C9" t="s">
        <v>255</v>
      </c>
      <c r="D9">
        <v>8</v>
      </c>
      <c r="E9">
        <v>27</v>
      </c>
      <c r="F9">
        <v>13</v>
      </c>
      <c r="G9">
        <v>9</v>
      </c>
      <c r="H9">
        <v>32</v>
      </c>
      <c r="I9">
        <v>22</v>
      </c>
      <c r="J9">
        <v>1</v>
      </c>
      <c r="K9">
        <v>5</v>
      </c>
      <c r="L9">
        <v>8</v>
      </c>
      <c r="M9">
        <v>3</v>
      </c>
      <c r="N9">
        <v>9</v>
      </c>
      <c r="O9">
        <v>7</v>
      </c>
      <c r="P9">
        <v>3</v>
      </c>
      <c r="Q9">
        <v>4</v>
      </c>
      <c r="R9">
        <v>5</v>
      </c>
    </row>
    <row r="10" spans="1:18" x14ac:dyDescent="0.35">
      <c r="A10" t="s">
        <v>366</v>
      </c>
      <c r="B10" t="s">
        <v>260</v>
      </c>
      <c r="C10" t="s">
        <v>259</v>
      </c>
      <c r="D10">
        <v>1</v>
      </c>
      <c r="E10">
        <v>10</v>
      </c>
      <c r="H10">
        <v>5</v>
      </c>
      <c r="I10">
        <v>1</v>
      </c>
      <c r="J10">
        <v>1</v>
      </c>
      <c r="L10">
        <v>4</v>
      </c>
      <c r="M10">
        <v>4</v>
      </c>
      <c r="N10">
        <v>18</v>
      </c>
      <c r="O10">
        <v>1</v>
      </c>
      <c r="Q10">
        <v>9</v>
      </c>
      <c r="R10">
        <v>3</v>
      </c>
    </row>
    <row r="11" spans="1:18" x14ac:dyDescent="0.35">
      <c r="A11" t="s">
        <v>366</v>
      </c>
      <c r="B11" t="s">
        <v>274</v>
      </c>
      <c r="C11" t="s">
        <v>273</v>
      </c>
      <c r="D11">
        <v>17</v>
      </c>
      <c r="E11">
        <v>91</v>
      </c>
      <c r="F11">
        <v>76</v>
      </c>
      <c r="G11">
        <v>6</v>
      </c>
      <c r="H11">
        <v>115</v>
      </c>
      <c r="I11">
        <v>7</v>
      </c>
      <c r="J11">
        <v>2</v>
      </c>
      <c r="K11">
        <v>1</v>
      </c>
      <c r="L11">
        <v>8</v>
      </c>
      <c r="N11">
        <v>5</v>
      </c>
      <c r="O11">
        <v>2</v>
      </c>
      <c r="P11">
        <v>2</v>
      </c>
      <c r="Q11">
        <v>1</v>
      </c>
      <c r="R11">
        <v>3</v>
      </c>
    </row>
    <row r="12" spans="1:18" x14ac:dyDescent="0.35">
      <c r="A12" t="s">
        <v>366</v>
      </c>
      <c r="B12" t="s">
        <v>278</v>
      </c>
      <c r="C12" t="s">
        <v>277</v>
      </c>
      <c r="D12">
        <v>6</v>
      </c>
      <c r="E12">
        <v>21</v>
      </c>
      <c r="F12">
        <v>6</v>
      </c>
      <c r="I12">
        <v>2</v>
      </c>
      <c r="J12">
        <v>1</v>
      </c>
      <c r="L12">
        <v>1</v>
      </c>
      <c r="M12">
        <v>3</v>
      </c>
      <c r="N12">
        <v>8</v>
      </c>
      <c r="O12">
        <v>5</v>
      </c>
      <c r="P12">
        <v>2</v>
      </c>
      <c r="Q12">
        <v>4</v>
      </c>
      <c r="R12">
        <v>4</v>
      </c>
    </row>
    <row r="13" spans="1:18" x14ac:dyDescent="0.35">
      <c r="A13" t="s">
        <v>366</v>
      </c>
      <c r="B13" t="s">
        <v>290</v>
      </c>
      <c r="C13" t="s">
        <v>289</v>
      </c>
      <c r="D13">
        <v>12</v>
      </c>
      <c r="E13">
        <v>87</v>
      </c>
      <c r="F13">
        <v>30</v>
      </c>
      <c r="H13">
        <v>38</v>
      </c>
      <c r="I13">
        <v>5</v>
      </c>
      <c r="J13">
        <v>2</v>
      </c>
      <c r="K13">
        <v>6</v>
      </c>
      <c r="L13">
        <v>23</v>
      </c>
      <c r="M13">
        <v>15</v>
      </c>
      <c r="N13">
        <v>118</v>
      </c>
      <c r="O13">
        <v>18</v>
      </c>
      <c r="P13">
        <v>36</v>
      </c>
      <c r="Q13">
        <v>113</v>
      </c>
      <c r="R13">
        <v>51</v>
      </c>
    </row>
    <row r="14" spans="1:18" x14ac:dyDescent="0.35">
      <c r="A14" t="s">
        <v>366</v>
      </c>
      <c r="B14" t="s">
        <v>301</v>
      </c>
      <c r="C14" t="s">
        <v>300</v>
      </c>
      <c r="E14">
        <v>10</v>
      </c>
      <c r="F14">
        <v>6</v>
      </c>
      <c r="G14">
        <v>1</v>
      </c>
      <c r="H14">
        <v>4</v>
      </c>
      <c r="I14">
        <v>1</v>
      </c>
      <c r="L14">
        <v>1</v>
      </c>
      <c r="O14">
        <v>1</v>
      </c>
    </row>
    <row r="15" spans="1:18" x14ac:dyDescent="0.35">
      <c r="A15" t="s">
        <v>366</v>
      </c>
      <c r="B15" t="s">
        <v>312</v>
      </c>
      <c r="C15" t="s">
        <v>311</v>
      </c>
      <c r="D15">
        <v>7</v>
      </c>
      <c r="E15">
        <v>47</v>
      </c>
      <c r="F15">
        <v>4</v>
      </c>
      <c r="G15">
        <v>1</v>
      </c>
      <c r="H15">
        <v>33</v>
      </c>
      <c r="I15">
        <v>13</v>
      </c>
      <c r="K15">
        <v>2</v>
      </c>
      <c r="L15">
        <v>8</v>
      </c>
      <c r="M15">
        <v>6</v>
      </c>
      <c r="N15">
        <v>6</v>
      </c>
      <c r="O15">
        <v>7</v>
      </c>
      <c r="P15">
        <v>25</v>
      </c>
      <c r="Q15">
        <v>15</v>
      </c>
      <c r="R15">
        <v>2</v>
      </c>
    </row>
    <row r="16" spans="1:18" x14ac:dyDescent="0.35">
      <c r="A16" t="s">
        <v>341</v>
      </c>
      <c r="B16" t="s">
        <v>229</v>
      </c>
      <c r="C16" t="s">
        <v>228</v>
      </c>
      <c r="D16">
        <v>6</v>
      </c>
      <c r="E16">
        <v>29</v>
      </c>
      <c r="F16">
        <v>32</v>
      </c>
      <c r="G16">
        <v>15</v>
      </c>
      <c r="H16">
        <v>146</v>
      </c>
      <c r="I16">
        <v>41</v>
      </c>
      <c r="K16">
        <v>4</v>
      </c>
      <c r="L16">
        <v>11</v>
      </c>
      <c r="M16">
        <v>6</v>
      </c>
      <c r="N16">
        <v>15</v>
      </c>
      <c r="O16">
        <v>6</v>
      </c>
      <c r="P16">
        <v>8</v>
      </c>
      <c r="Q16">
        <v>9</v>
      </c>
      <c r="R16">
        <v>3</v>
      </c>
    </row>
    <row r="17" spans="1:18" x14ac:dyDescent="0.35">
      <c r="A17" t="s">
        <v>341</v>
      </c>
      <c r="B17" t="s">
        <v>248</v>
      </c>
      <c r="C17" t="s">
        <v>247</v>
      </c>
      <c r="D17">
        <v>3</v>
      </c>
      <c r="E17">
        <v>37</v>
      </c>
      <c r="F17">
        <v>570</v>
      </c>
      <c r="G17">
        <v>1</v>
      </c>
      <c r="H17">
        <v>28</v>
      </c>
      <c r="J17">
        <v>1</v>
      </c>
      <c r="L17">
        <v>5</v>
      </c>
      <c r="M17">
        <v>2</v>
      </c>
      <c r="N17">
        <v>2</v>
      </c>
      <c r="O17">
        <v>4</v>
      </c>
      <c r="P17">
        <v>3</v>
      </c>
    </row>
    <row r="18" spans="1:18" x14ac:dyDescent="0.35">
      <c r="A18" t="s">
        <v>341</v>
      </c>
      <c r="B18" t="s">
        <v>254</v>
      </c>
      <c r="C18" t="s">
        <v>253</v>
      </c>
      <c r="D18">
        <v>11</v>
      </c>
      <c r="E18">
        <v>28</v>
      </c>
      <c r="F18">
        <v>19</v>
      </c>
      <c r="H18">
        <v>6</v>
      </c>
      <c r="I18">
        <v>2</v>
      </c>
      <c r="L18">
        <v>1</v>
      </c>
      <c r="M18">
        <v>4</v>
      </c>
      <c r="N18">
        <v>1</v>
      </c>
      <c r="O18">
        <v>2</v>
      </c>
      <c r="P18">
        <v>1</v>
      </c>
      <c r="Q18">
        <v>1</v>
      </c>
      <c r="R18">
        <v>5</v>
      </c>
    </row>
    <row r="19" spans="1:18" x14ac:dyDescent="0.35">
      <c r="A19" t="s">
        <v>341</v>
      </c>
      <c r="B19" t="s">
        <v>282</v>
      </c>
      <c r="C19" t="s">
        <v>281</v>
      </c>
      <c r="D19">
        <v>8</v>
      </c>
      <c r="E19">
        <v>31</v>
      </c>
      <c r="F19">
        <v>4</v>
      </c>
      <c r="G19">
        <v>1</v>
      </c>
      <c r="H19">
        <v>28</v>
      </c>
      <c r="I19">
        <v>15</v>
      </c>
      <c r="K19">
        <v>1</v>
      </c>
      <c r="L19">
        <v>7</v>
      </c>
      <c r="M19">
        <v>20</v>
      </c>
      <c r="N19">
        <v>3</v>
      </c>
      <c r="O19">
        <v>3</v>
      </c>
      <c r="P19">
        <v>19</v>
      </c>
      <c r="Q19">
        <v>2</v>
      </c>
    </row>
    <row r="20" spans="1:18" x14ac:dyDescent="0.35">
      <c r="A20" t="s">
        <v>341</v>
      </c>
      <c r="B20" t="s">
        <v>301</v>
      </c>
      <c r="C20" t="s">
        <v>300</v>
      </c>
      <c r="D20">
        <v>1</v>
      </c>
      <c r="E20">
        <v>11</v>
      </c>
      <c r="G20">
        <v>1</v>
      </c>
      <c r="H20">
        <v>3</v>
      </c>
    </row>
    <row r="21" spans="1:18" x14ac:dyDescent="0.35">
      <c r="A21" t="s">
        <v>342</v>
      </c>
      <c r="B21" t="s">
        <v>282</v>
      </c>
      <c r="C21" t="s">
        <v>281</v>
      </c>
      <c r="D21">
        <v>10</v>
      </c>
      <c r="E21">
        <v>42</v>
      </c>
      <c r="F21">
        <v>15</v>
      </c>
      <c r="G21">
        <v>2</v>
      </c>
      <c r="H21">
        <v>45</v>
      </c>
      <c r="I21">
        <v>44</v>
      </c>
      <c r="J21">
        <v>2</v>
      </c>
      <c r="L21">
        <v>3</v>
      </c>
      <c r="M21">
        <v>21</v>
      </c>
      <c r="N21">
        <v>5</v>
      </c>
      <c r="O21">
        <v>3</v>
      </c>
      <c r="P21">
        <v>14</v>
      </c>
      <c r="Q21">
        <v>9</v>
      </c>
      <c r="R21">
        <v>1</v>
      </c>
    </row>
    <row r="22" spans="1:18" x14ac:dyDescent="0.35">
      <c r="A22" t="s">
        <v>342</v>
      </c>
      <c r="B22" t="s">
        <v>293</v>
      </c>
      <c r="C22" t="s">
        <v>292</v>
      </c>
      <c r="E22">
        <v>9</v>
      </c>
      <c r="H22">
        <v>3</v>
      </c>
      <c r="P22">
        <v>1</v>
      </c>
    </row>
    <row r="23" spans="1:18" x14ac:dyDescent="0.35">
      <c r="A23" t="s">
        <v>342</v>
      </c>
      <c r="B23" t="s">
        <v>310</v>
      </c>
      <c r="C23" t="s">
        <v>309</v>
      </c>
      <c r="D23">
        <v>4</v>
      </c>
      <c r="E23">
        <v>18</v>
      </c>
      <c r="F23">
        <v>21</v>
      </c>
      <c r="H23">
        <v>16</v>
      </c>
      <c r="I23">
        <v>2</v>
      </c>
      <c r="K23">
        <v>1</v>
      </c>
      <c r="L23">
        <v>6</v>
      </c>
      <c r="M23">
        <v>7</v>
      </c>
      <c r="N23">
        <v>10</v>
      </c>
      <c r="O23">
        <v>2</v>
      </c>
      <c r="P23">
        <v>10</v>
      </c>
      <c r="Q23">
        <v>11</v>
      </c>
      <c r="R23">
        <v>1</v>
      </c>
    </row>
    <row r="24" spans="1:18" x14ac:dyDescent="0.35">
      <c r="A24" t="s">
        <v>342</v>
      </c>
      <c r="B24" t="s">
        <v>312</v>
      </c>
      <c r="C24" t="s">
        <v>311</v>
      </c>
      <c r="D24">
        <v>5</v>
      </c>
      <c r="E24">
        <v>56</v>
      </c>
      <c r="F24">
        <v>3</v>
      </c>
      <c r="G24">
        <v>1</v>
      </c>
      <c r="H24">
        <v>8</v>
      </c>
      <c r="K24">
        <v>3</v>
      </c>
      <c r="L24">
        <v>14</v>
      </c>
      <c r="M24">
        <v>16</v>
      </c>
      <c r="N24">
        <v>21</v>
      </c>
      <c r="O24">
        <v>15</v>
      </c>
      <c r="P24">
        <v>14</v>
      </c>
      <c r="Q24">
        <v>5</v>
      </c>
      <c r="R24">
        <v>3</v>
      </c>
    </row>
    <row r="25" spans="1:18" x14ac:dyDescent="0.35">
      <c r="A25" t="s">
        <v>214</v>
      </c>
      <c r="B25" t="s">
        <v>225</v>
      </c>
      <c r="C25" t="s">
        <v>224</v>
      </c>
      <c r="D25">
        <v>6</v>
      </c>
      <c r="E25">
        <v>39</v>
      </c>
      <c r="F25">
        <v>6</v>
      </c>
      <c r="H25">
        <v>14</v>
      </c>
      <c r="I25">
        <v>6</v>
      </c>
      <c r="J25">
        <v>1</v>
      </c>
      <c r="K25">
        <v>5</v>
      </c>
      <c r="L25">
        <v>17</v>
      </c>
      <c r="M25">
        <v>4</v>
      </c>
      <c r="N25">
        <v>3</v>
      </c>
      <c r="O25">
        <v>13</v>
      </c>
      <c r="P25">
        <v>2</v>
      </c>
      <c r="Q25">
        <v>3</v>
      </c>
      <c r="R25">
        <v>7</v>
      </c>
    </row>
    <row r="26" spans="1:18" x14ac:dyDescent="0.35">
      <c r="A26" t="s">
        <v>214</v>
      </c>
      <c r="B26" t="s">
        <v>260</v>
      </c>
      <c r="C26" t="s">
        <v>259</v>
      </c>
      <c r="D26">
        <v>1</v>
      </c>
      <c r="E26">
        <v>15</v>
      </c>
      <c r="H26">
        <v>6</v>
      </c>
      <c r="I26">
        <v>1</v>
      </c>
      <c r="J26">
        <v>1</v>
      </c>
      <c r="K26">
        <v>1</v>
      </c>
      <c r="L26">
        <v>2</v>
      </c>
      <c r="M26">
        <v>2</v>
      </c>
      <c r="N26">
        <v>1</v>
      </c>
      <c r="O26">
        <v>3</v>
      </c>
      <c r="P26">
        <v>2</v>
      </c>
      <c r="R26">
        <v>1</v>
      </c>
    </row>
    <row r="27" spans="1:18" x14ac:dyDescent="0.35">
      <c r="A27" t="s">
        <v>214</v>
      </c>
      <c r="B27" t="s">
        <v>280</v>
      </c>
      <c r="C27" t="s">
        <v>279</v>
      </c>
      <c r="D27">
        <v>3</v>
      </c>
      <c r="E27">
        <v>19</v>
      </c>
      <c r="F27">
        <v>17</v>
      </c>
      <c r="G27">
        <v>2</v>
      </c>
      <c r="H27">
        <v>13</v>
      </c>
      <c r="I27">
        <v>2</v>
      </c>
      <c r="J27">
        <v>2</v>
      </c>
      <c r="K27">
        <v>2</v>
      </c>
      <c r="L27">
        <v>20</v>
      </c>
      <c r="M27">
        <v>12</v>
      </c>
      <c r="N27">
        <v>22</v>
      </c>
      <c r="O27">
        <v>3</v>
      </c>
      <c r="P27">
        <v>6</v>
      </c>
      <c r="Q27">
        <v>4</v>
      </c>
      <c r="R27">
        <v>11</v>
      </c>
    </row>
    <row r="28" spans="1:18" x14ac:dyDescent="0.35">
      <c r="A28" t="s">
        <v>214</v>
      </c>
      <c r="B28" t="s">
        <v>290</v>
      </c>
      <c r="C28" t="s">
        <v>289</v>
      </c>
      <c r="D28">
        <v>9</v>
      </c>
      <c r="E28">
        <v>58</v>
      </c>
      <c r="F28">
        <v>24</v>
      </c>
      <c r="H28">
        <v>29</v>
      </c>
      <c r="I28">
        <v>3</v>
      </c>
      <c r="K28">
        <v>1</v>
      </c>
      <c r="L28">
        <v>24</v>
      </c>
      <c r="M28">
        <v>17</v>
      </c>
      <c r="N28">
        <v>41</v>
      </c>
      <c r="O28">
        <v>28</v>
      </c>
      <c r="P28">
        <v>17</v>
      </c>
      <c r="Q28">
        <v>35</v>
      </c>
      <c r="R28">
        <v>21</v>
      </c>
    </row>
    <row r="29" spans="1:18" x14ac:dyDescent="0.35">
      <c r="A29" t="s">
        <v>365</v>
      </c>
      <c r="B29" t="s">
        <v>245</v>
      </c>
      <c r="C29" t="s">
        <v>244</v>
      </c>
      <c r="D29">
        <v>7</v>
      </c>
      <c r="E29">
        <v>38</v>
      </c>
      <c r="F29">
        <v>29</v>
      </c>
      <c r="G29">
        <v>3</v>
      </c>
      <c r="H29">
        <v>58</v>
      </c>
      <c r="I29">
        <v>1</v>
      </c>
      <c r="J29">
        <v>1</v>
      </c>
      <c r="K29">
        <v>2</v>
      </c>
      <c r="L29">
        <v>12</v>
      </c>
      <c r="M29">
        <v>1</v>
      </c>
      <c r="N29">
        <v>21</v>
      </c>
      <c r="O29">
        <v>17</v>
      </c>
      <c r="P29">
        <v>12</v>
      </c>
      <c r="Q29">
        <v>9</v>
      </c>
      <c r="R29">
        <v>2</v>
      </c>
    </row>
    <row r="30" spans="1:18" x14ac:dyDescent="0.35">
      <c r="A30" t="s">
        <v>365</v>
      </c>
      <c r="B30" t="s">
        <v>274</v>
      </c>
      <c r="C30" t="s">
        <v>273</v>
      </c>
      <c r="D30">
        <v>12</v>
      </c>
      <c r="E30">
        <v>83</v>
      </c>
      <c r="F30">
        <v>59</v>
      </c>
      <c r="G30">
        <v>10</v>
      </c>
      <c r="H30">
        <v>92</v>
      </c>
      <c r="I30">
        <v>5</v>
      </c>
      <c r="L30">
        <v>5</v>
      </c>
      <c r="N30">
        <v>3</v>
      </c>
      <c r="P30">
        <v>5</v>
      </c>
      <c r="R30">
        <v>2</v>
      </c>
    </row>
    <row r="31" spans="1:18" x14ac:dyDescent="0.35">
      <c r="A31" t="s">
        <v>365</v>
      </c>
      <c r="B31" t="s">
        <v>282</v>
      </c>
      <c r="C31" t="s">
        <v>281</v>
      </c>
      <c r="E31">
        <v>15</v>
      </c>
      <c r="F31">
        <v>14</v>
      </c>
      <c r="H31">
        <v>46</v>
      </c>
      <c r="I31">
        <v>8</v>
      </c>
      <c r="K31">
        <v>1</v>
      </c>
      <c r="L31">
        <v>4</v>
      </c>
      <c r="N31">
        <v>1</v>
      </c>
      <c r="O31">
        <v>6</v>
      </c>
      <c r="P31">
        <v>16</v>
      </c>
      <c r="Q31">
        <v>3</v>
      </c>
    </row>
    <row r="32" spans="1:18" x14ac:dyDescent="0.35">
      <c r="A32" t="s">
        <v>365</v>
      </c>
      <c r="B32" t="s">
        <v>305</v>
      </c>
      <c r="C32" t="s">
        <v>304</v>
      </c>
      <c r="D32">
        <v>10</v>
      </c>
      <c r="E32">
        <v>110</v>
      </c>
      <c r="F32">
        <v>69</v>
      </c>
      <c r="H32">
        <v>36</v>
      </c>
      <c r="I32">
        <v>3</v>
      </c>
      <c r="K32">
        <v>1</v>
      </c>
      <c r="L32">
        <v>12</v>
      </c>
      <c r="M32">
        <v>7</v>
      </c>
      <c r="N32">
        <v>15</v>
      </c>
      <c r="O32">
        <v>9</v>
      </c>
      <c r="P32">
        <v>5</v>
      </c>
      <c r="Q32">
        <v>7</v>
      </c>
      <c r="R32">
        <v>2</v>
      </c>
    </row>
    <row r="33" spans="1:18" x14ac:dyDescent="0.35">
      <c r="A33" t="s">
        <v>366</v>
      </c>
      <c r="B33" t="s">
        <v>235</v>
      </c>
      <c r="C33" t="s">
        <v>234</v>
      </c>
      <c r="D33">
        <v>35</v>
      </c>
      <c r="E33">
        <v>123</v>
      </c>
      <c r="F33">
        <v>178</v>
      </c>
      <c r="G33">
        <v>33</v>
      </c>
      <c r="H33">
        <v>141</v>
      </c>
      <c r="I33">
        <v>29</v>
      </c>
      <c r="J33">
        <v>4</v>
      </c>
      <c r="K33">
        <v>5</v>
      </c>
      <c r="L33">
        <v>80</v>
      </c>
      <c r="M33">
        <v>20</v>
      </c>
      <c r="N33">
        <v>74</v>
      </c>
      <c r="O33">
        <v>65</v>
      </c>
      <c r="P33">
        <v>7</v>
      </c>
      <c r="Q33">
        <v>52</v>
      </c>
      <c r="R33">
        <v>11</v>
      </c>
    </row>
    <row r="34" spans="1:18" x14ac:dyDescent="0.35">
      <c r="A34" t="s">
        <v>366</v>
      </c>
      <c r="B34" t="s">
        <v>250</v>
      </c>
      <c r="C34" t="s">
        <v>249</v>
      </c>
      <c r="D34">
        <v>8</v>
      </c>
      <c r="E34">
        <v>57</v>
      </c>
      <c r="F34">
        <v>3</v>
      </c>
      <c r="H34">
        <v>28</v>
      </c>
      <c r="I34">
        <v>2</v>
      </c>
      <c r="K34">
        <v>1</v>
      </c>
      <c r="L34">
        <v>6</v>
      </c>
      <c r="M34">
        <v>3</v>
      </c>
      <c r="N34">
        <v>16</v>
      </c>
      <c r="O34">
        <v>3</v>
      </c>
      <c r="P34">
        <v>3</v>
      </c>
      <c r="Q34">
        <v>12</v>
      </c>
      <c r="R34">
        <v>1</v>
      </c>
    </row>
    <row r="35" spans="1:18" x14ac:dyDescent="0.35">
      <c r="A35" t="s">
        <v>366</v>
      </c>
      <c r="B35" t="s">
        <v>1212</v>
      </c>
      <c r="C35" t="s">
        <v>283</v>
      </c>
      <c r="D35">
        <v>1</v>
      </c>
      <c r="E35">
        <v>4</v>
      </c>
      <c r="G35">
        <v>2</v>
      </c>
      <c r="H35">
        <v>1</v>
      </c>
      <c r="N35">
        <v>1</v>
      </c>
    </row>
    <row r="36" spans="1:18" x14ac:dyDescent="0.35">
      <c r="A36" t="s">
        <v>366</v>
      </c>
      <c r="B36" t="s">
        <v>297</v>
      </c>
      <c r="C36" t="s">
        <v>296</v>
      </c>
      <c r="D36">
        <v>1</v>
      </c>
      <c r="E36">
        <v>45</v>
      </c>
      <c r="F36">
        <v>70</v>
      </c>
      <c r="H36">
        <v>27</v>
      </c>
      <c r="J36">
        <v>1</v>
      </c>
      <c r="L36">
        <v>10</v>
      </c>
      <c r="M36">
        <v>4</v>
      </c>
      <c r="N36">
        <v>32</v>
      </c>
      <c r="O36">
        <v>7</v>
      </c>
      <c r="P36">
        <v>23</v>
      </c>
      <c r="Q36">
        <v>7</v>
      </c>
      <c r="R36">
        <v>11</v>
      </c>
    </row>
    <row r="37" spans="1:18" x14ac:dyDescent="0.35">
      <c r="A37" t="s">
        <v>341</v>
      </c>
      <c r="B37" t="s">
        <v>256</v>
      </c>
      <c r="C37" t="s">
        <v>255</v>
      </c>
      <c r="D37">
        <v>8</v>
      </c>
      <c r="E37">
        <v>27</v>
      </c>
      <c r="F37">
        <v>12</v>
      </c>
      <c r="G37">
        <v>9</v>
      </c>
      <c r="H37">
        <v>13</v>
      </c>
      <c r="I37">
        <v>5</v>
      </c>
      <c r="K37">
        <v>1</v>
      </c>
      <c r="L37">
        <v>9</v>
      </c>
      <c r="M37">
        <v>20</v>
      </c>
      <c r="N37">
        <v>8</v>
      </c>
      <c r="O37">
        <v>11</v>
      </c>
      <c r="P37">
        <v>3</v>
      </c>
      <c r="Q37">
        <v>8</v>
      </c>
      <c r="R37">
        <v>5</v>
      </c>
    </row>
    <row r="38" spans="1:18" x14ac:dyDescent="0.35">
      <c r="A38" t="s">
        <v>341</v>
      </c>
      <c r="B38" t="s">
        <v>271</v>
      </c>
      <c r="C38" t="s">
        <v>270</v>
      </c>
      <c r="D38">
        <v>47</v>
      </c>
      <c r="E38">
        <v>148</v>
      </c>
      <c r="F38">
        <v>958</v>
      </c>
      <c r="G38">
        <v>19</v>
      </c>
      <c r="H38">
        <v>99</v>
      </c>
      <c r="I38">
        <v>6</v>
      </c>
      <c r="J38">
        <v>3</v>
      </c>
      <c r="K38">
        <v>7</v>
      </c>
      <c r="L38">
        <v>84</v>
      </c>
      <c r="M38">
        <v>45</v>
      </c>
      <c r="N38">
        <v>52</v>
      </c>
      <c r="O38">
        <v>24</v>
      </c>
      <c r="P38">
        <v>18</v>
      </c>
      <c r="Q38">
        <v>27</v>
      </c>
      <c r="R38">
        <v>25</v>
      </c>
    </row>
    <row r="39" spans="1:18" x14ac:dyDescent="0.35">
      <c r="A39" t="s">
        <v>341</v>
      </c>
      <c r="B39" t="s">
        <v>1212</v>
      </c>
      <c r="C39" t="s">
        <v>283</v>
      </c>
      <c r="D39">
        <v>2</v>
      </c>
      <c r="E39">
        <v>7</v>
      </c>
      <c r="F39">
        <v>2</v>
      </c>
      <c r="G39">
        <v>1</v>
      </c>
      <c r="H39">
        <v>8</v>
      </c>
      <c r="I39">
        <v>1</v>
      </c>
    </row>
    <row r="40" spans="1:18" x14ac:dyDescent="0.35">
      <c r="A40" t="s">
        <v>342</v>
      </c>
      <c r="B40" t="s">
        <v>235</v>
      </c>
      <c r="C40" t="s">
        <v>234</v>
      </c>
      <c r="D40">
        <v>45</v>
      </c>
      <c r="E40">
        <v>134</v>
      </c>
      <c r="F40">
        <v>183</v>
      </c>
      <c r="G40">
        <v>17</v>
      </c>
      <c r="H40">
        <v>115</v>
      </c>
      <c r="I40">
        <v>58</v>
      </c>
      <c r="J40">
        <v>6</v>
      </c>
      <c r="K40">
        <v>3</v>
      </c>
      <c r="L40">
        <v>55</v>
      </c>
      <c r="M40">
        <v>18</v>
      </c>
      <c r="N40">
        <v>27</v>
      </c>
      <c r="O40">
        <v>47</v>
      </c>
      <c r="P40">
        <v>4</v>
      </c>
      <c r="Q40">
        <v>22</v>
      </c>
      <c r="R40">
        <v>10</v>
      </c>
    </row>
    <row r="41" spans="1:18" x14ac:dyDescent="0.35">
      <c r="A41" t="s">
        <v>342</v>
      </c>
      <c r="B41" t="s">
        <v>268</v>
      </c>
      <c r="C41" t="s">
        <v>1101</v>
      </c>
      <c r="D41">
        <v>13</v>
      </c>
      <c r="E41">
        <v>138</v>
      </c>
      <c r="F41">
        <v>175</v>
      </c>
      <c r="G41">
        <v>2</v>
      </c>
      <c r="H41">
        <v>69</v>
      </c>
      <c r="I41">
        <v>7</v>
      </c>
      <c r="K41">
        <v>2</v>
      </c>
      <c r="L41">
        <v>8</v>
      </c>
      <c r="M41">
        <v>5</v>
      </c>
      <c r="N41">
        <v>11</v>
      </c>
      <c r="O41">
        <v>9</v>
      </c>
      <c r="P41">
        <v>10</v>
      </c>
      <c r="Q41">
        <v>10</v>
      </c>
      <c r="R41">
        <v>5</v>
      </c>
    </row>
    <row r="42" spans="1:18" x14ac:dyDescent="0.35">
      <c r="A42" t="s">
        <v>342</v>
      </c>
      <c r="B42" t="s">
        <v>299</v>
      </c>
      <c r="C42" t="s">
        <v>298</v>
      </c>
      <c r="D42">
        <v>17</v>
      </c>
      <c r="E42">
        <v>36</v>
      </c>
      <c r="F42">
        <v>17</v>
      </c>
      <c r="H42">
        <v>60</v>
      </c>
      <c r="I42">
        <v>13</v>
      </c>
      <c r="J42">
        <v>3</v>
      </c>
      <c r="K42">
        <v>2</v>
      </c>
      <c r="L42">
        <v>20</v>
      </c>
      <c r="M42">
        <v>15</v>
      </c>
      <c r="N42">
        <v>21</v>
      </c>
      <c r="O42">
        <v>5</v>
      </c>
      <c r="P42">
        <v>9</v>
      </c>
      <c r="Q42">
        <v>9</v>
      </c>
      <c r="R42">
        <v>4</v>
      </c>
    </row>
    <row r="43" spans="1:18" x14ac:dyDescent="0.35">
      <c r="A43" t="s">
        <v>342</v>
      </c>
      <c r="B43" t="s">
        <v>308</v>
      </c>
      <c r="C43" t="s">
        <v>307</v>
      </c>
      <c r="D43">
        <v>2</v>
      </c>
      <c r="E43">
        <v>45</v>
      </c>
      <c r="F43">
        <v>56</v>
      </c>
      <c r="G43">
        <v>5</v>
      </c>
      <c r="H43">
        <v>41</v>
      </c>
      <c r="I43">
        <v>31</v>
      </c>
      <c r="J43">
        <v>2</v>
      </c>
      <c r="K43">
        <v>2</v>
      </c>
      <c r="L43">
        <v>11</v>
      </c>
      <c r="M43">
        <v>15</v>
      </c>
      <c r="N43">
        <v>2</v>
      </c>
      <c r="O43">
        <v>7</v>
      </c>
      <c r="P43">
        <v>2</v>
      </c>
      <c r="Q43">
        <v>2</v>
      </c>
      <c r="R43">
        <v>1</v>
      </c>
    </row>
    <row r="44" spans="1:18" x14ac:dyDescent="0.35">
      <c r="A44" t="s">
        <v>214</v>
      </c>
      <c r="B44" t="s">
        <v>216</v>
      </c>
      <c r="C44" t="s">
        <v>215</v>
      </c>
      <c r="D44">
        <v>22</v>
      </c>
      <c r="E44">
        <v>113</v>
      </c>
      <c r="F44">
        <v>136</v>
      </c>
      <c r="G44">
        <v>2</v>
      </c>
      <c r="H44">
        <v>32</v>
      </c>
      <c r="I44">
        <v>1</v>
      </c>
      <c r="J44">
        <v>5</v>
      </c>
      <c r="K44">
        <v>2</v>
      </c>
      <c r="L44">
        <v>5</v>
      </c>
      <c r="M44">
        <v>9</v>
      </c>
      <c r="N44">
        <v>10</v>
      </c>
      <c r="O44">
        <v>6</v>
      </c>
      <c r="P44">
        <v>7</v>
      </c>
      <c r="Q44">
        <v>6</v>
      </c>
      <c r="R44">
        <v>8</v>
      </c>
    </row>
    <row r="45" spans="1:18" x14ac:dyDescent="0.35">
      <c r="A45" t="s">
        <v>214</v>
      </c>
      <c r="B45" t="s">
        <v>295</v>
      </c>
      <c r="C45" t="s">
        <v>294</v>
      </c>
      <c r="D45">
        <v>69</v>
      </c>
      <c r="E45">
        <v>86</v>
      </c>
      <c r="F45">
        <v>18</v>
      </c>
      <c r="G45">
        <v>7</v>
      </c>
      <c r="H45">
        <v>48</v>
      </c>
      <c r="I45">
        <v>30</v>
      </c>
      <c r="K45">
        <v>1</v>
      </c>
      <c r="L45">
        <v>5</v>
      </c>
      <c r="M45">
        <v>2</v>
      </c>
      <c r="N45">
        <v>8</v>
      </c>
      <c r="O45">
        <v>5</v>
      </c>
      <c r="P45">
        <v>7</v>
      </c>
      <c r="Q45">
        <v>3</v>
      </c>
      <c r="R45">
        <v>4</v>
      </c>
    </row>
    <row r="46" spans="1:18" x14ac:dyDescent="0.35">
      <c r="A46" t="s">
        <v>313</v>
      </c>
      <c r="B46" t="s">
        <v>282</v>
      </c>
      <c r="C46" t="s">
        <v>281</v>
      </c>
      <c r="D46">
        <v>4</v>
      </c>
      <c r="E46">
        <v>21</v>
      </c>
      <c r="F46">
        <v>6</v>
      </c>
      <c r="G46">
        <v>1</v>
      </c>
      <c r="H46">
        <v>20</v>
      </c>
      <c r="I46">
        <v>23</v>
      </c>
      <c r="J46">
        <v>1</v>
      </c>
      <c r="K46">
        <v>1</v>
      </c>
      <c r="M46">
        <v>7</v>
      </c>
      <c r="N46">
        <v>7</v>
      </c>
      <c r="O46">
        <v>4</v>
      </c>
      <c r="P46">
        <v>4</v>
      </c>
      <c r="Q46">
        <v>1</v>
      </c>
    </row>
    <row r="47" spans="1:18" x14ac:dyDescent="0.35">
      <c r="A47" t="s">
        <v>313</v>
      </c>
      <c r="B47" t="s">
        <v>288</v>
      </c>
      <c r="C47" t="s">
        <v>287</v>
      </c>
      <c r="D47">
        <v>3</v>
      </c>
      <c r="E47">
        <v>62</v>
      </c>
      <c r="F47">
        <v>8</v>
      </c>
      <c r="G47">
        <v>7</v>
      </c>
      <c r="H47">
        <v>8</v>
      </c>
      <c r="I47">
        <v>11</v>
      </c>
      <c r="J47">
        <v>5</v>
      </c>
      <c r="K47">
        <v>1</v>
      </c>
      <c r="L47">
        <v>8</v>
      </c>
      <c r="M47">
        <v>2</v>
      </c>
      <c r="N47">
        <v>14</v>
      </c>
      <c r="O47">
        <v>7</v>
      </c>
      <c r="P47">
        <v>4</v>
      </c>
      <c r="Q47">
        <v>3</v>
      </c>
      <c r="R47">
        <v>5</v>
      </c>
    </row>
    <row r="48" spans="1:18" x14ac:dyDescent="0.35">
      <c r="A48" t="s">
        <v>313</v>
      </c>
      <c r="B48" t="s">
        <v>312</v>
      </c>
      <c r="C48" t="s">
        <v>311</v>
      </c>
      <c r="D48">
        <v>5</v>
      </c>
      <c r="E48">
        <v>45</v>
      </c>
      <c r="F48">
        <v>26</v>
      </c>
      <c r="H48">
        <v>10</v>
      </c>
      <c r="I48">
        <v>2</v>
      </c>
      <c r="J48">
        <v>1</v>
      </c>
      <c r="K48">
        <v>1</v>
      </c>
      <c r="L48">
        <v>9</v>
      </c>
      <c r="M48">
        <v>11</v>
      </c>
      <c r="N48">
        <v>17</v>
      </c>
      <c r="O48">
        <v>22</v>
      </c>
      <c r="P48">
        <v>17</v>
      </c>
      <c r="Q48">
        <v>5</v>
      </c>
      <c r="R48">
        <v>3</v>
      </c>
    </row>
    <row r="49" spans="1:18" x14ac:dyDescent="0.35">
      <c r="A49" t="s">
        <v>319</v>
      </c>
      <c r="B49" t="s">
        <v>216</v>
      </c>
      <c r="C49" t="s">
        <v>215</v>
      </c>
      <c r="D49">
        <v>17</v>
      </c>
      <c r="E49">
        <v>72</v>
      </c>
      <c r="F49">
        <v>71</v>
      </c>
      <c r="H49">
        <v>2</v>
      </c>
      <c r="I49">
        <v>5</v>
      </c>
      <c r="J49">
        <v>1</v>
      </c>
      <c r="L49">
        <v>1</v>
      </c>
      <c r="M49">
        <v>1</v>
      </c>
      <c r="N49">
        <v>3</v>
      </c>
      <c r="P49">
        <v>2</v>
      </c>
      <c r="Q49">
        <v>3</v>
      </c>
      <c r="R49">
        <v>3</v>
      </c>
    </row>
    <row r="50" spans="1:18" x14ac:dyDescent="0.35">
      <c r="A50" t="s">
        <v>319</v>
      </c>
      <c r="B50" t="s">
        <v>225</v>
      </c>
      <c r="C50" t="s">
        <v>224</v>
      </c>
      <c r="D50">
        <v>7</v>
      </c>
      <c r="E50">
        <v>42</v>
      </c>
      <c r="F50">
        <v>3</v>
      </c>
      <c r="I50">
        <v>3</v>
      </c>
      <c r="N50">
        <v>3</v>
      </c>
      <c r="O50">
        <v>1</v>
      </c>
    </row>
    <row r="51" spans="1:18" x14ac:dyDescent="0.35">
      <c r="A51" t="s">
        <v>319</v>
      </c>
      <c r="B51" t="s">
        <v>245</v>
      </c>
      <c r="C51" t="s">
        <v>244</v>
      </c>
      <c r="D51">
        <v>8</v>
      </c>
      <c r="E51">
        <v>69</v>
      </c>
      <c r="F51">
        <v>34</v>
      </c>
      <c r="H51">
        <v>5</v>
      </c>
      <c r="I51">
        <v>2</v>
      </c>
      <c r="L51">
        <v>1</v>
      </c>
      <c r="M51">
        <v>1</v>
      </c>
      <c r="N51">
        <v>4</v>
      </c>
      <c r="O51">
        <v>2</v>
      </c>
      <c r="Q51">
        <v>1</v>
      </c>
    </row>
    <row r="52" spans="1:18" x14ac:dyDescent="0.35">
      <c r="A52" t="s">
        <v>319</v>
      </c>
      <c r="B52" t="s">
        <v>250</v>
      </c>
      <c r="C52" t="s">
        <v>249</v>
      </c>
      <c r="D52">
        <v>8</v>
      </c>
      <c r="E52">
        <v>50</v>
      </c>
      <c r="F52">
        <v>2</v>
      </c>
      <c r="H52">
        <v>1</v>
      </c>
      <c r="I52">
        <v>3</v>
      </c>
      <c r="L52">
        <v>3</v>
      </c>
      <c r="N52">
        <v>2</v>
      </c>
    </row>
    <row r="53" spans="1:18" x14ac:dyDescent="0.35">
      <c r="A53" t="s">
        <v>319</v>
      </c>
      <c r="B53" t="s">
        <v>297</v>
      </c>
      <c r="C53" t="s">
        <v>296</v>
      </c>
      <c r="D53">
        <v>2</v>
      </c>
      <c r="E53">
        <v>39</v>
      </c>
      <c r="F53">
        <v>9</v>
      </c>
      <c r="H53">
        <v>9</v>
      </c>
      <c r="I53">
        <v>3</v>
      </c>
      <c r="J53">
        <v>1</v>
      </c>
      <c r="L53">
        <v>3</v>
      </c>
      <c r="M53">
        <v>6</v>
      </c>
      <c r="N53">
        <v>2</v>
      </c>
      <c r="O53">
        <v>2</v>
      </c>
      <c r="P53">
        <v>2</v>
      </c>
      <c r="R53">
        <v>2</v>
      </c>
    </row>
    <row r="54" spans="1:18" x14ac:dyDescent="0.35">
      <c r="A54" t="s">
        <v>319</v>
      </c>
      <c r="B54" t="s">
        <v>303</v>
      </c>
      <c r="C54" t="s">
        <v>302</v>
      </c>
      <c r="D54">
        <v>6</v>
      </c>
      <c r="E54">
        <v>46</v>
      </c>
      <c r="F54">
        <v>17</v>
      </c>
      <c r="G54">
        <v>2</v>
      </c>
      <c r="H54">
        <v>15</v>
      </c>
      <c r="I54">
        <v>10</v>
      </c>
      <c r="L54">
        <v>3</v>
      </c>
      <c r="M54">
        <v>7</v>
      </c>
      <c r="N54">
        <v>10</v>
      </c>
      <c r="P54">
        <v>1</v>
      </c>
      <c r="R54">
        <v>5</v>
      </c>
    </row>
    <row r="55" spans="1:18" x14ac:dyDescent="0.35">
      <c r="A55" t="s">
        <v>321</v>
      </c>
      <c r="B55" t="s">
        <v>271</v>
      </c>
      <c r="C55" t="s">
        <v>270</v>
      </c>
      <c r="D55">
        <v>8</v>
      </c>
      <c r="E55">
        <v>90</v>
      </c>
      <c r="F55">
        <v>757</v>
      </c>
      <c r="G55">
        <v>3</v>
      </c>
      <c r="H55">
        <v>65</v>
      </c>
      <c r="I55">
        <v>8</v>
      </c>
      <c r="J55">
        <v>2</v>
      </c>
      <c r="K55">
        <v>2</v>
      </c>
      <c r="L55">
        <v>10</v>
      </c>
      <c r="M55">
        <v>15</v>
      </c>
      <c r="N55">
        <v>27</v>
      </c>
      <c r="O55">
        <v>29</v>
      </c>
      <c r="P55">
        <v>2</v>
      </c>
      <c r="Q55">
        <v>7</v>
      </c>
      <c r="R55">
        <v>20</v>
      </c>
    </row>
    <row r="56" spans="1:18" x14ac:dyDescent="0.35">
      <c r="A56" t="s">
        <v>365</v>
      </c>
      <c r="B56" t="s">
        <v>256</v>
      </c>
      <c r="C56" t="s">
        <v>255</v>
      </c>
      <c r="D56">
        <v>8</v>
      </c>
      <c r="E56">
        <v>22</v>
      </c>
      <c r="F56">
        <v>24</v>
      </c>
      <c r="G56">
        <v>7</v>
      </c>
      <c r="H56">
        <v>6</v>
      </c>
      <c r="I56">
        <v>2</v>
      </c>
      <c r="J56">
        <v>1</v>
      </c>
      <c r="K56">
        <v>1</v>
      </c>
      <c r="L56">
        <v>4</v>
      </c>
      <c r="M56">
        <v>5</v>
      </c>
      <c r="N56">
        <v>6</v>
      </c>
      <c r="O56">
        <v>12</v>
      </c>
      <c r="P56">
        <v>3</v>
      </c>
      <c r="Q56">
        <v>1</v>
      </c>
    </row>
    <row r="57" spans="1:18" x14ac:dyDescent="0.35">
      <c r="A57" t="s">
        <v>365</v>
      </c>
      <c r="B57" t="s">
        <v>278</v>
      </c>
      <c r="C57" t="s">
        <v>277</v>
      </c>
      <c r="D57">
        <v>2</v>
      </c>
      <c r="E57">
        <v>40</v>
      </c>
      <c r="F57">
        <v>9</v>
      </c>
      <c r="H57">
        <v>4</v>
      </c>
      <c r="J57">
        <v>1</v>
      </c>
      <c r="K57">
        <v>3</v>
      </c>
      <c r="L57">
        <v>7</v>
      </c>
      <c r="M57">
        <v>13</v>
      </c>
      <c r="N57">
        <v>21</v>
      </c>
      <c r="O57">
        <v>9</v>
      </c>
      <c r="P57">
        <v>7</v>
      </c>
      <c r="Q57">
        <v>24</v>
      </c>
      <c r="R57">
        <v>7</v>
      </c>
    </row>
    <row r="58" spans="1:18" x14ac:dyDescent="0.35">
      <c r="A58" t="s">
        <v>366</v>
      </c>
      <c r="B58" t="s">
        <v>241</v>
      </c>
      <c r="C58" t="s">
        <v>240</v>
      </c>
      <c r="D58">
        <v>12</v>
      </c>
      <c r="E58">
        <v>22</v>
      </c>
      <c r="F58">
        <v>3</v>
      </c>
      <c r="H58">
        <v>2</v>
      </c>
      <c r="I58">
        <v>2</v>
      </c>
      <c r="K58">
        <v>1</v>
      </c>
      <c r="O58">
        <v>2</v>
      </c>
      <c r="P58">
        <v>2</v>
      </c>
      <c r="Q58">
        <v>5</v>
      </c>
    </row>
    <row r="59" spans="1:18" x14ac:dyDescent="0.35">
      <c r="A59" t="s">
        <v>366</v>
      </c>
      <c r="B59" t="s">
        <v>248</v>
      </c>
      <c r="C59" t="s">
        <v>247</v>
      </c>
      <c r="D59">
        <v>19</v>
      </c>
      <c r="E59">
        <v>38</v>
      </c>
      <c r="F59">
        <v>489</v>
      </c>
      <c r="H59">
        <v>3</v>
      </c>
      <c r="K59">
        <v>1</v>
      </c>
      <c r="L59">
        <v>21</v>
      </c>
      <c r="M59">
        <v>2</v>
      </c>
      <c r="N59">
        <v>7</v>
      </c>
      <c r="O59">
        <v>13</v>
      </c>
      <c r="P59">
        <v>1</v>
      </c>
      <c r="Q59">
        <v>1</v>
      </c>
      <c r="R59">
        <v>3</v>
      </c>
    </row>
    <row r="60" spans="1:18" x14ac:dyDescent="0.35">
      <c r="A60" t="s">
        <v>366</v>
      </c>
      <c r="B60" t="s">
        <v>254</v>
      </c>
      <c r="C60" t="s">
        <v>253</v>
      </c>
      <c r="D60">
        <v>7</v>
      </c>
      <c r="E60">
        <v>29</v>
      </c>
      <c r="F60">
        <v>24</v>
      </c>
      <c r="H60">
        <v>5</v>
      </c>
      <c r="I60">
        <v>1</v>
      </c>
      <c r="L60">
        <v>2</v>
      </c>
      <c r="M60">
        <v>5</v>
      </c>
      <c r="N60">
        <v>2</v>
      </c>
      <c r="O60">
        <v>3</v>
      </c>
      <c r="P60">
        <v>7</v>
      </c>
      <c r="Q60">
        <v>5</v>
      </c>
      <c r="R60">
        <v>5</v>
      </c>
    </row>
    <row r="61" spans="1:18" x14ac:dyDescent="0.35">
      <c r="A61" t="s">
        <v>341</v>
      </c>
      <c r="B61" t="s">
        <v>260</v>
      </c>
      <c r="C61" t="s">
        <v>259</v>
      </c>
      <c r="D61">
        <v>1</v>
      </c>
      <c r="E61">
        <v>20</v>
      </c>
      <c r="F61">
        <v>9</v>
      </c>
      <c r="H61">
        <v>8</v>
      </c>
      <c r="I61">
        <v>4</v>
      </c>
      <c r="K61">
        <v>2</v>
      </c>
      <c r="L61">
        <v>4</v>
      </c>
      <c r="M61">
        <v>2</v>
      </c>
      <c r="N61">
        <v>10</v>
      </c>
      <c r="O61">
        <v>2</v>
      </c>
      <c r="Q61">
        <v>14</v>
      </c>
      <c r="R61">
        <v>4</v>
      </c>
    </row>
    <row r="62" spans="1:18" x14ac:dyDescent="0.35">
      <c r="A62" t="s">
        <v>341</v>
      </c>
      <c r="B62" t="s">
        <v>278</v>
      </c>
      <c r="C62" t="s">
        <v>277</v>
      </c>
      <c r="D62">
        <v>1</v>
      </c>
      <c r="E62">
        <v>37</v>
      </c>
      <c r="F62">
        <v>7</v>
      </c>
      <c r="H62">
        <v>3</v>
      </c>
      <c r="I62">
        <v>2</v>
      </c>
      <c r="K62">
        <v>3</v>
      </c>
      <c r="L62">
        <v>11</v>
      </c>
      <c r="M62">
        <v>3</v>
      </c>
      <c r="N62">
        <v>27</v>
      </c>
      <c r="O62">
        <v>4</v>
      </c>
      <c r="P62">
        <v>9</v>
      </c>
      <c r="Q62">
        <v>4</v>
      </c>
      <c r="R62">
        <v>4</v>
      </c>
    </row>
    <row r="63" spans="1:18" x14ac:dyDescent="0.35">
      <c r="A63" t="s">
        <v>341</v>
      </c>
      <c r="B63" t="s">
        <v>290</v>
      </c>
      <c r="C63" t="s">
        <v>289</v>
      </c>
      <c r="D63">
        <v>6</v>
      </c>
      <c r="E63">
        <v>55</v>
      </c>
      <c r="F63">
        <v>22</v>
      </c>
      <c r="H63">
        <v>29</v>
      </c>
      <c r="I63">
        <v>2</v>
      </c>
      <c r="J63">
        <v>2</v>
      </c>
      <c r="L63">
        <v>48</v>
      </c>
      <c r="M63">
        <v>16</v>
      </c>
      <c r="N63">
        <v>86</v>
      </c>
      <c r="O63">
        <v>22</v>
      </c>
      <c r="P63">
        <v>58</v>
      </c>
      <c r="Q63">
        <v>61</v>
      </c>
      <c r="R63">
        <v>89</v>
      </c>
    </row>
    <row r="64" spans="1:18" x14ac:dyDescent="0.35">
      <c r="A64" t="s">
        <v>341</v>
      </c>
      <c r="B64" t="s">
        <v>295</v>
      </c>
      <c r="C64" t="s">
        <v>294</v>
      </c>
      <c r="D64">
        <v>57</v>
      </c>
      <c r="E64">
        <v>81</v>
      </c>
      <c r="F64">
        <v>30</v>
      </c>
      <c r="G64">
        <v>4</v>
      </c>
      <c r="H64">
        <v>34</v>
      </c>
      <c r="I64">
        <v>39</v>
      </c>
      <c r="K64">
        <v>2</v>
      </c>
      <c r="L64">
        <v>15</v>
      </c>
      <c r="M64">
        <v>4</v>
      </c>
      <c r="N64">
        <v>3</v>
      </c>
      <c r="O64">
        <v>8</v>
      </c>
      <c r="P64">
        <v>2</v>
      </c>
      <c r="Q64">
        <v>5</v>
      </c>
      <c r="R64">
        <v>3</v>
      </c>
    </row>
    <row r="65" spans="1:18" x14ac:dyDescent="0.35">
      <c r="A65" t="s">
        <v>341</v>
      </c>
      <c r="B65" t="s">
        <v>305</v>
      </c>
      <c r="C65" t="s">
        <v>304</v>
      </c>
      <c r="D65">
        <v>12</v>
      </c>
      <c r="E65">
        <v>102</v>
      </c>
      <c r="F65">
        <v>36</v>
      </c>
      <c r="G65">
        <v>1</v>
      </c>
      <c r="H65">
        <v>26</v>
      </c>
      <c r="I65">
        <v>2</v>
      </c>
      <c r="J65">
        <v>1</v>
      </c>
      <c r="K65">
        <v>5</v>
      </c>
      <c r="L65">
        <v>4</v>
      </c>
      <c r="M65">
        <v>4</v>
      </c>
      <c r="N65">
        <v>22</v>
      </c>
      <c r="O65">
        <v>9</v>
      </c>
      <c r="P65">
        <v>12</v>
      </c>
      <c r="Q65">
        <v>6</v>
      </c>
      <c r="R65">
        <v>9</v>
      </c>
    </row>
    <row r="66" spans="1:18" x14ac:dyDescent="0.35">
      <c r="A66" t="s">
        <v>342</v>
      </c>
      <c r="B66" t="s">
        <v>225</v>
      </c>
      <c r="C66" t="s">
        <v>224</v>
      </c>
      <c r="D66">
        <v>15</v>
      </c>
      <c r="E66">
        <v>35</v>
      </c>
      <c r="F66">
        <v>4</v>
      </c>
      <c r="G66">
        <v>1</v>
      </c>
      <c r="H66">
        <v>19</v>
      </c>
      <c r="I66">
        <v>16</v>
      </c>
      <c r="K66">
        <v>2</v>
      </c>
      <c r="L66">
        <v>12</v>
      </c>
      <c r="N66">
        <v>3</v>
      </c>
      <c r="O66">
        <v>7</v>
      </c>
      <c r="P66">
        <v>3</v>
      </c>
      <c r="R66">
        <v>2</v>
      </c>
    </row>
    <row r="67" spans="1:18" x14ac:dyDescent="0.35">
      <c r="A67" t="s">
        <v>342</v>
      </c>
      <c r="B67" t="s">
        <v>241</v>
      </c>
      <c r="C67" t="s">
        <v>240</v>
      </c>
      <c r="D67">
        <v>1</v>
      </c>
      <c r="E67">
        <v>19</v>
      </c>
      <c r="F67">
        <v>5</v>
      </c>
      <c r="H67">
        <v>6</v>
      </c>
      <c r="I67">
        <v>1</v>
      </c>
      <c r="J67">
        <v>1</v>
      </c>
      <c r="L67">
        <v>1</v>
      </c>
      <c r="M67">
        <v>23</v>
      </c>
      <c r="N67">
        <v>1</v>
      </c>
      <c r="O67">
        <v>1</v>
      </c>
      <c r="P67">
        <v>3</v>
      </c>
      <c r="Q67">
        <v>2</v>
      </c>
    </row>
    <row r="68" spans="1:18" x14ac:dyDescent="0.35">
      <c r="A68" t="s">
        <v>342</v>
      </c>
      <c r="B68" t="s">
        <v>248</v>
      </c>
      <c r="C68" t="s">
        <v>247</v>
      </c>
      <c r="D68">
        <v>9</v>
      </c>
      <c r="E68">
        <v>36</v>
      </c>
      <c r="F68">
        <v>195</v>
      </c>
      <c r="G68">
        <v>1</v>
      </c>
      <c r="H68">
        <v>41</v>
      </c>
      <c r="I68">
        <v>4</v>
      </c>
      <c r="J68">
        <v>2</v>
      </c>
      <c r="K68">
        <v>1</v>
      </c>
      <c r="L68">
        <v>5</v>
      </c>
      <c r="M68">
        <v>1</v>
      </c>
      <c r="N68">
        <v>5</v>
      </c>
      <c r="O68">
        <v>2</v>
      </c>
      <c r="P68">
        <v>2</v>
      </c>
      <c r="Q68">
        <v>2</v>
      </c>
    </row>
    <row r="69" spans="1:18" x14ac:dyDescent="0.35">
      <c r="A69" t="s">
        <v>342</v>
      </c>
      <c r="B69" t="s">
        <v>256</v>
      </c>
      <c r="C69" t="s">
        <v>255</v>
      </c>
      <c r="D69">
        <v>5</v>
      </c>
      <c r="E69">
        <v>28</v>
      </c>
      <c r="F69">
        <v>12</v>
      </c>
      <c r="G69">
        <v>2</v>
      </c>
      <c r="H69">
        <v>11</v>
      </c>
      <c r="I69">
        <v>21</v>
      </c>
      <c r="K69">
        <v>1</v>
      </c>
      <c r="L69">
        <v>11</v>
      </c>
      <c r="M69">
        <v>13</v>
      </c>
      <c r="N69">
        <v>2</v>
      </c>
      <c r="O69">
        <v>16</v>
      </c>
      <c r="P69">
        <v>10</v>
      </c>
      <c r="Q69">
        <v>8</v>
      </c>
      <c r="R69">
        <v>4</v>
      </c>
    </row>
    <row r="70" spans="1:18" x14ac:dyDescent="0.35">
      <c r="A70" t="s">
        <v>214</v>
      </c>
      <c r="B70" t="s">
        <v>241</v>
      </c>
      <c r="C70" t="s">
        <v>240</v>
      </c>
      <c r="D70">
        <v>5</v>
      </c>
      <c r="E70">
        <v>22</v>
      </c>
      <c r="F70">
        <v>8</v>
      </c>
      <c r="G70">
        <v>2</v>
      </c>
      <c r="H70">
        <v>3</v>
      </c>
      <c r="I70">
        <v>2</v>
      </c>
      <c r="L70">
        <v>1</v>
      </c>
      <c r="M70">
        <v>17</v>
      </c>
      <c r="O70">
        <v>1</v>
      </c>
      <c r="P70">
        <v>7</v>
      </c>
      <c r="Q70">
        <v>2</v>
      </c>
    </row>
    <row r="71" spans="1:18" x14ac:dyDescent="0.35">
      <c r="A71" t="s">
        <v>214</v>
      </c>
      <c r="B71" t="s">
        <v>268</v>
      </c>
      <c r="C71" t="s">
        <v>1101</v>
      </c>
      <c r="D71">
        <v>29</v>
      </c>
      <c r="E71">
        <v>135</v>
      </c>
      <c r="F71">
        <v>214</v>
      </c>
      <c r="H71">
        <v>85</v>
      </c>
      <c r="I71">
        <v>10</v>
      </c>
      <c r="K71">
        <v>4</v>
      </c>
      <c r="L71">
        <v>12</v>
      </c>
      <c r="M71">
        <v>122</v>
      </c>
      <c r="N71">
        <v>9</v>
      </c>
      <c r="O71">
        <v>12</v>
      </c>
      <c r="P71">
        <v>10</v>
      </c>
      <c r="Q71">
        <v>5</v>
      </c>
      <c r="R71">
        <v>10</v>
      </c>
    </row>
    <row r="72" spans="1:18" x14ac:dyDescent="0.35">
      <c r="A72" t="s">
        <v>214</v>
      </c>
      <c r="B72" t="s">
        <v>274</v>
      </c>
      <c r="C72" t="s">
        <v>273</v>
      </c>
      <c r="D72">
        <v>15</v>
      </c>
      <c r="E72">
        <v>81</v>
      </c>
      <c r="F72">
        <v>45</v>
      </c>
      <c r="G72">
        <v>2</v>
      </c>
      <c r="H72">
        <v>25</v>
      </c>
      <c r="I72">
        <v>3</v>
      </c>
      <c r="K72">
        <v>1</v>
      </c>
      <c r="L72">
        <v>5</v>
      </c>
      <c r="M72">
        <v>4</v>
      </c>
      <c r="N72">
        <v>4</v>
      </c>
      <c r="O72">
        <v>3</v>
      </c>
      <c r="P72">
        <v>4</v>
      </c>
      <c r="Q72">
        <v>3</v>
      </c>
      <c r="R72">
        <v>1</v>
      </c>
    </row>
    <row r="73" spans="1:18" x14ac:dyDescent="0.35">
      <c r="A73" t="s">
        <v>214</v>
      </c>
      <c r="B73" t="s">
        <v>288</v>
      </c>
      <c r="C73" t="s">
        <v>287</v>
      </c>
      <c r="D73">
        <v>2</v>
      </c>
      <c r="E73">
        <v>100</v>
      </c>
      <c r="F73">
        <v>9</v>
      </c>
      <c r="G73">
        <v>2</v>
      </c>
      <c r="H73">
        <v>31</v>
      </c>
      <c r="I73">
        <v>19</v>
      </c>
      <c r="J73">
        <v>1</v>
      </c>
      <c r="L73">
        <v>3</v>
      </c>
      <c r="M73">
        <v>4</v>
      </c>
      <c r="N73">
        <v>23</v>
      </c>
      <c r="O73">
        <v>3</v>
      </c>
      <c r="P73">
        <v>27</v>
      </c>
      <c r="Q73">
        <v>7</v>
      </c>
      <c r="R73">
        <v>13</v>
      </c>
    </row>
    <row r="74" spans="1:18" x14ac:dyDescent="0.35">
      <c r="A74" t="s">
        <v>214</v>
      </c>
      <c r="B74" t="s">
        <v>293</v>
      </c>
      <c r="C74" t="s">
        <v>292</v>
      </c>
      <c r="E74">
        <v>3</v>
      </c>
      <c r="H74">
        <v>5</v>
      </c>
      <c r="R74">
        <v>1</v>
      </c>
    </row>
    <row r="75" spans="1:18" x14ac:dyDescent="0.35">
      <c r="A75" t="s">
        <v>313</v>
      </c>
      <c r="B75" t="s">
        <v>245</v>
      </c>
      <c r="C75" t="s">
        <v>244</v>
      </c>
      <c r="D75">
        <v>7</v>
      </c>
      <c r="E75">
        <v>61</v>
      </c>
      <c r="F75">
        <v>21</v>
      </c>
      <c r="G75">
        <v>6</v>
      </c>
      <c r="H75">
        <v>90</v>
      </c>
      <c r="I75">
        <v>67</v>
      </c>
      <c r="K75">
        <v>4</v>
      </c>
      <c r="L75">
        <v>12</v>
      </c>
      <c r="M75">
        <v>23</v>
      </c>
      <c r="N75">
        <v>20</v>
      </c>
      <c r="O75">
        <v>44</v>
      </c>
      <c r="P75">
        <v>43</v>
      </c>
      <c r="Q75">
        <v>30</v>
      </c>
      <c r="R75">
        <v>7</v>
      </c>
    </row>
    <row r="76" spans="1:18" x14ac:dyDescent="0.35">
      <c r="A76" t="s">
        <v>313</v>
      </c>
      <c r="B76" t="s">
        <v>274</v>
      </c>
      <c r="C76" t="s">
        <v>273</v>
      </c>
      <c r="D76">
        <v>20</v>
      </c>
      <c r="E76">
        <v>95</v>
      </c>
      <c r="F76">
        <v>65</v>
      </c>
      <c r="G76">
        <v>15</v>
      </c>
      <c r="H76">
        <v>236</v>
      </c>
      <c r="I76">
        <v>33</v>
      </c>
      <c r="J76">
        <v>1</v>
      </c>
      <c r="L76">
        <v>11</v>
      </c>
      <c r="M76">
        <v>1</v>
      </c>
      <c r="N76">
        <v>8</v>
      </c>
      <c r="O76">
        <v>3</v>
      </c>
      <c r="P76">
        <v>1</v>
      </c>
      <c r="Q76">
        <v>3</v>
      </c>
      <c r="R76">
        <v>1</v>
      </c>
    </row>
    <row r="77" spans="1:18" x14ac:dyDescent="0.35">
      <c r="A77" t="s">
        <v>313</v>
      </c>
      <c r="B77" t="s">
        <v>293</v>
      </c>
      <c r="C77" t="s">
        <v>292</v>
      </c>
      <c r="D77">
        <v>1</v>
      </c>
      <c r="E77">
        <v>12</v>
      </c>
      <c r="H77">
        <v>9</v>
      </c>
      <c r="I77">
        <v>1</v>
      </c>
    </row>
    <row r="78" spans="1:18" x14ac:dyDescent="0.35">
      <c r="A78" t="s">
        <v>319</v>
      </c>
      <c r="B78" t="s">
        <v>254</v>
      </c>
      <c r="C78" t="s">
        <v>253</v>
      </c>
      <c r="D78">
        <v>2</v>
      </c>
      <c r="E78">
        <v>22</v>
      </c>
      <c r="F78">
        <v>13</v>
      </c>
      <c r="H78">
        <v>3</v>
      </c>
      <c r="I78">
        <v>1</v>
      </c>
      <c r="L78">
        <v>1</v>
      </c>
      <c r="N78">
        <v>3</v>
      </c>
    </row>
    <row r="79" spans="1:18" x14ac:dyDescent="0.35">
      <c r="A79" t="s">
        <v>319</v>
      </c>
      <c r="B79" t="s">
        <v>256</v>
      </c>
      <c r="C79" t="s">
        <v>255</v>
      </c>
      <c r="D79">
        <v>3</v>
      </c>
      <c r="E79">
        <v>23</v>
      </c>
      <c r="F79">
        <v>5</v>
      </c>
      <c r="H79">
        <v>1</v>
      </c>
      <c r="L79">
        <v>3</v>
      </c>
      <c r="M79">
        <v>2</v>
      </c>
      <c r="N79">
        <v>1</v>
      </c>
      <c r="O79">
        <v>3</v>
      </c>
      <c r="P79">
        <v>2</v>
      </c>
      <c r="R79">
        <v>1</v>
      </c>
    </row>
    <row r="80" spans="1:18" x14ac:dyDescent="0.35">
      <c r="A80" t="s">
        <v>319</v>
      </c>
      <c r="B80" t="s">
        <v>293</v>
      </c>
      <c r="C80" t="s">
        <v>292</v>
      </c>
      <c r="D80">
        <v>1</v>
      </c>
      <c r="E80">
        <v>5</v>
      </c>
      <c r="G80">
        <v>1</v>
      </c>
      <c r="H80">
        <v>2</v>
      </c>
    </row>
    <row r="81" spans="1:18" x14ac:dyDescent="0.35">
      <c r="A81" t="s">
        <v>321</v>
      </c>
      <c r="B81" t="s">
        <v>229</v>
      </c>
      <c r="C81" t="s">
        <v>228</v>
      </c>
      <c r="D81">
        <v>3</v>
      </c>
      <c r="E81">
        <v>12</v>
      </c>
      <c r="F81">
        <v>10</v>
      </c>
      <c r="H81">
        <v>106</v>
      </c>
      <c r="I81">
        <v>42</v>
      </c>
      <c r="L81">
        <v>1</v>
      </c>
      <c r="M81">
        <v>5</v>
      </c>
      <c r="N81">
        <v>2</v>
      </c>
      <c r="O81">
        <v>3</v>
      </c>
      <c r="P81">
        <v>1</v>
      </c>
      <c r="Q81">
        <v>3</v>
      </c>
      <c r="R81">
        <v>1</v>
      </c>
    </row>
    <row r="82" spans="1:18" x14ac:dyDescent="0.35">
      <c r="A82" t="s">
        <v>321</v>
      </c>
      <c r="B82" t="s">
        <v>280</v>
      </c>
      <c r="C82" t="s">
        <v>279</v>
      </c>
      <c r="D82">
        <v>2</v>
      </c>
      <c r="E82">
        <v>15</v>
      </c>
      <c r="F82">
        <v>31</v>
      </c>
      <c r="H82">
        <v>2</v>
      </c>
      <c r="I82">
        <v>2</v>
      </c>
      <c r="L82">
        <v>7</v>
      </c>
      <c r="M82">
        <v>12</v>
      </c>
      <c r="N82">
        <v>2</v>
      </c>
      <c r="O82">
        <v>3</v>
      </c>
      <c r="P82">
        <v>5</v>
      </c>
      <c r="R82">
        <v>7</v>
      </c>
    </row>
    <row r="83" spans="1:18" x14ac:dyDescent="0.35">
      <c r="A83" t="s">
        <v>321</v>
      </c>
      <c r="B83" t="s">
        <v>301</v>
      </c>
      <c r="C83" t="s">
        <v>300</v>
      </c>
      <c r="D83">
        <v>1</v>
      </c>
      <c r="E83">
        <v>7</v>
      </c>
      <c r="F83">
        <v>3</v>
      </c>
      <c r="G83">
        <v>2</v>
      </c>
      <c r="H83">
        <v>11</v>
      </c>
      <c r="I83">
        <v>13</v>
      </c>
    </row>
    <row r="84" spans="1:18" x14ac:dyDescent="0.35">
      <c r="A84" t="s">
        <v>365</v>
      </c>
      <c r="B84" t="s">
        <v>264</v>
      </c>
      <c r="C84" t="s">
        <v>263</v>
      </c>
      <c r="D84">
        <v>12</v>
      </c>
      <c r="E84">
        <v>52</v>
      </c>
      <c r="F84">
        <v>15</v>
      </c>
      <c r="G84">
        <v>1</v>
      </c>
      <c r="H84">
        <v>20</v>
      </c>
      <c r="I84">
        <v>2</v>
      </c>
      <c r="K84">
        <v>7</v>
      </c>
      <c r="L84">
        <v>27</v>
      </c>
      <c r="M84">
        <v>23</v>
      </c>
      <c r="N84">
        <v>17</v>
      </c>
      <c r="O84">
        <v>17</v>
      </c>
      <c r="P84">
        <v>30</v>
      </c>
      <c r="Q84">
        <v>10</v>
      </c>
      <c r="R84">
        <v>10</v>
      </c>
    </row>
    <row r="85" spans="1:18" x14ac:dyDescent="0.35">
      <c r="A85" t="s">
        <v>365</v>
      </c>
      <c r="B85" t="s">
        <v>1212</v>
      </c>
      <c r="C85" t="s">
        <v>283</v>
      </c>
      <c r="D85">
        <v>2</v>
      </c>
      <c r="E85">
        <v>6</v>
      </c>
      <c r="F85">
        <v>7</v>
      </c>
      <c r="H85">
        <v>2</v>
      </c>
      <c r="M85">
        <v>1</v>
      </c>
      <c r="Q85">
        <v>1</v>
      </c>
    </row>
    <row r="86" spans="1:18" x14ac:dyDescent="0.35">
      <c r="A86" t="s">
        <v>365</v>
      </c>
      <c r="B86" t="s">
        <v>293</v>
      </c>
      <c r="C86" t="s">
        <v>292</v>
      </c>
      <c r="D86">
        <v>1</v>
      </c>
      <c r="E86">
        <v>10</v>
      </c>
      <c r="F86">
        <v>1</v>
      </c>
      <c r="H86">
        <v>4</v>
      </c>
    </row>
    <row r="87" spans="1:18" x14ac:dyDescent="0.35">
      <c r="A87" t="s">
        <v>365</v>
      </c>
      <c r="B87" t="s">
        <v>308</v>
      </c>
      <c r="C87" t="s">
        <v>307</v>
      </c>
      <c r="D87">
        <v>1</v>
      </c>
      <c r="E87">
        <v>39</v>
      </c>
      <c r="F87">
        <v>105</v>
      </c>
      <c r="G87">
        <v>3</v>
      </c>
      <c r="H87">
        <v>43</v>
      </c>
      <c r="I87">
        <v>19</v>
      </c>
      <c r="K87">
        <v>1</v>
      </c>
      <c r="L87">
        <v>2</v>
      </c>
      <c r="M87">
        <v>1</v>
      </c>
      <c r="P87">
        <v>1</v>
      </c>
      <c r="Q87">
        <v>2</v>
      </c>
    </row>
    <row r="88" spans="1:18" x14ac:dyDescent="0.35">
      <c r="A88" t="s">
        <v>365</v>
      </c>
      <c r="B88" t="s">
        <v>310</v>
      </c>
      <c r="C88" t="s">
        <v>309</v>
      </c>
      <c r="D88">
        <v>2</v>
      </c>
      <c r="E88">
        <v>15</v>
      </c>
      <c r="F88">
        <v>9</v>
      </c>
      <c r="H88">
        <v>17</v>
      </c>
      <c r="I88">
        <v>1</v>
      </c>
      <c r="K88">
        <v>1</v>
      </c>
      <c r="L88">
        <v>2</v>
      </c>
      <c r="M88">
        <v>3</v>
      </c>
      <c r="N88">
        <v>6</v>
      </c>
      <c r="O88">
        <v>5</v>
      </c>
      <c r="P88">
        <v>104</v>
      </c>
      <c r="Q88">
        <v>7</v>
      </c>
      <c r="R88">
        <v>4</v>
      </c>
    </row>
    <row r="89" spans="1:18" x14ac:dyDescent="0.35">
      <c r="A89" t="s">
        <v>366</v>
      </c>
      <c r="B89" t="s">
        <v>271</v>
      </c>
      <c r="C89" t="s">
        <v>270</v>
      </c>
      <c r="D89">
        <v>69</v>
      </c>
      <c r="E89">
        <v>165</v>
      </c>
      <c r="F89">
        <v>1115</v>
      </c>
      <c r="G89">
        <v>27</v>
      </c>
      <c r="H89">
        <v>88</v>
      </c>
      <c r="I89">
        <v>6</v>
      </c>
      <c r="J89">
        <v>12</v>
      </c>
      <c r="K89">
        <v>5</v>
      </c>
      <c r="L89">
        <v>139</v>
      </c>
      <c r="M89">
        <v>61</v>
      </c>
      <c r="N89">
        <v>147</v>
      </c>
      <c r="O89">
        <v>33</v>
      </c>
      <c r="P89">
        <v>24</v>
      </c>
      <c r="Q89">
        <v>41</v>
      </c>
      <c r="R89">
        <v>24</v>
      </c>
    </row>
    <row r="90" spans="1:18" x14ac:dyDescent="0.35">
      <c r="A90" t="s">
        <v>366</v>
      </c>
      <c r="B90" t="s">
        <v>308</v>
      </c>
      <c r="C90" t="s">
        <v>307</v>
      </c>
      <c r="D90">
        <v>13</v>
      </c>
      <c r="E90">
        <v>40</v>
      </c>
      <c r="F90">
        <v>249</v>
      </c>
      <c r="G90">
        <v>3</v>
      </c>
      <c r="H90">
        <v>16</v>
      </c>
      <c r="I90">
        <v>3</v>
      </c>
      <c r="L90">
        <v>3</v>
      </c>
      <c r="M90">
        <v>3</v>
      </c>
      <c r="N90">
        <v>1</v>
      </c>
      <c r="O90">
        <v>4</v>
      </c>
      <c r="P90">
        <v>1</v>
      </c>
      <c r="Q90">
        <v>1</v>
      </c>
      <c r="R90">
        <v>3</v>
      </c>
    </row>
    <row r="91" spans="1:18" x14ac:dyDescent="0.35">
      <c r="A91" t="s">
        <v>341</v>
      </c>
      <c r="B91" t="s">
        <v>264</v>
      </c>
      <c r="C91" t="s">
        <v>263</v>
      </c>
      <c r="D91">
        <v>8</v>
      </c>
      <c r="E91">
        <v>47</v>
      </c>
      <c r="F91">
        <v>9</v>
      </c>
      <c r="G91">
        <v>1</v>
      </c>
      <c r="H91">
        <v>13</v>
      </c>
      <c r="I91">
        <v>2</v>
      </c>
      <c r="J91">
        <v>1</v>
      </c>
      <c r="K91">
        <v>5</v>
      </c>
      <c r="L91">
        <v>9</v>
      </c>
      <c r="M91">
        <v>22</v>
      </c>
      <c r="N91">
        <v>13</v>
      </c>
      <c r="O91">
        <v>2</v>
      </c>
      <c r="P91">
        <v>16</v>
      </c>
      <c r="Q91">
        <v>12</v>
      </c>
    </row>
    <row r="92" spans="1:18" x14ac:dyDescent="0.35">
      <c r="A92" t="s">
        <v>341</v>
      </c>
      <c r="B92" t="s">
        <v>280</v>
      </c>
      <c r="C92" t="s">
        <v>279</v>
      </c>
      <c r="D92">
        <v>3</v>
      </c>
      <c r="E92">
        <v>19</v>
      </c>
      <c r="F92">
        <v>21</v>
      </c>
      <c r="G92">
        <v>3</v>
      </c>
      <c r="H92">
        <v>10</v>
      </c>
      <c r="L92">
        <v>3</v>
      </c>
      <c r="M92">
        <v>31</v>
      </c>
      <c r="N92">
        <v>3</v>
      </c>
      <c r="P92">
        <v>3</v>
      </c>
      <c r="R92">
        <v>1</v>
      </c>
    </row>
    <row r="93" spans="1:18" x14ac:dyDescent="0.35">
      <c r="A93" t="s">
        <v>342</v>
      </c>
      <c r="B93" t="s">
        <v>229</v>
      </c>
      <c r="C93" t="s">
        <v>228</v>
      </c>
      <c r="D93">
        <v>5</v>
      </c>
      <c r="E93">
        <v>22</v>
      </c>
      <c r="F93">
        <v>25</v>
      </c>
      <c r="G93">
        <v>4</v>
      </c>
      <c r="H93">
        <v>62</v>
      </c>
      <c r="I93">
        <v>38</v>
      </c>
      <c r="L93">
        <v>4</v>
      </c>
      <c r="M93">
        <v>4</v>
      </c>
      <c r="N93">
        <v>5</v>
      </c>
      <c r="O93">
        <v>5</v>
      </c>
      <c r="P93">
        <v>3</v>
      </c>
      <c r="Q93">
        <v>3</v>
      </c>
      <c r="R93">
        <v>5</v>
      </c>
    </row>
    <row r="94" spans="1:18" x14ac:dyDescent="0.35">
      <c r="A94" t="s">
        <v>342</v>
      </c>
      <c r="B94" t="s">
        <v>250</v>
      </c>
      <c r="C94" t="s">
        <v>249</v>
      </c>
      <c r="D94">
        <v>5</v>
      </c>
      <c r="E94">
        <v>59</v>
      </c>
      <c r="F94">
        <v>8</v>
      </c>
      <c r="H94">
        <v>25</v>
      </c>
      <c r="I94">
        <v>7</v>
      </c>
      <c r="J94">
        <v>2</v>
      </c>
      <c r="L94">
        <v>4</v>
      </c>
      <c r="M94">
        <v>15</v>
      </c>
      <c r="N94">
        <v>9</v>
      </c>
      <c r="O94">
        <v>7</v>
      </c>
      <c r="P94">
        <v>10</v>
      </c>
      <c r="Q94">
        <v>12</v>
      </c>
      <c r="R94">
        <v>2</v>
      </c>
    </row>
    <row r="95" spans="1:18" x14ac:dyDescent="0.35">
      <c r="A95" t="s">
        <v>342</v>
      </c>
      <c r="B95" t="s">
        <v>264</v>
      </c>
      <c r="C95" t="s">
        <v>263</v>
      </c>
      <c r="D95">
        <v>14</v>
      </c>
      <c r="E95">
        <v>41</v>
      </c>
      <c r="F95">
        <v>5</v>
      </c>
      <c r="G95">
        <v>1</v>
      </c>
      <c r="H95">
        <v>13</v>
      </c>
      <c r="K95">
        <v>4</v>
      </c>
      <c r="L95">
        <v>11</v>
      </c>
      <c r="M95">
        <v>25</v>
      </c>
      <c r="N95">
        <v>11</v>
      </c>
      <c r="O95">
        <v>7</v>
      </c>
      <c r="P95">
        <v>18</v>
      </c>
      <c r="Q95">
        <v>6</v>
      </c>
      <c r="R95">
        <v>3</v>
      </c>
    </row>
    <row r="96" spans="1:18" x14ac:dyDescent="0.35">
      <c r="A96" t="s">
        <v>342</v>
      </c>
      <c r="B96" t="s">
        <v>280</v>
      </c>
      <c r="C96" t="s">
        <v>279</v>
      </c>
      <c r="D96">
        <v>3</v>
      </c>
      <c r="E96">
        <v>16</v>
      </c>
      <c r="F96">
        <v>32</v>
      </c>
      <c r="G96">
        <v>3</v>
      </c>
      <c r="H96">
        <v>5</v>
      </c>
      <c r="I96">
        <v>1</v>
      </c>
      <c r="J96">
        <v>2</v>
      </c>
      <c r="K96">
        <v>3</v>
      </c>
      <c r="L96">
        <v>11</v>
      </c>
      <c r="M96">
        <v>2</v>
      </c>
      <c r="N96">
        <v>4</v>
      </c>
      <c r="O96">
        <v>3</v>
      </c>
      <c r="P96">
        <v>4</v>
      </c>
      <c r="Q96">
        <v>2</v>
      </c>
      <c r="R96">
        <v>4</v>
      </c>
    </row>
    <row r="97" spans="1:18" x14ac:dyDescent="0.35">
      <c r="A97" t="s">
        <v>342</v>
      </c>
      <c r="B97" t="s">
        <v>303</v>
      </c>
      <c r="C97" t="s">
        <v>302</v>
      </c>
      <c r="D97">
        <v>11</v>
      </c>
      <c r="E97">
        <v>45</v>
      </c>
      <c r="F97">
        <v>32</v>
      </c>
      <c r="G97">
        <v>2</v>
      </c>
      <c r="H97">
        <v>67</v>
      </c>
      <c r="I97">
        <v>38</v>
      </c>
      <c r="J97">
        <v>1</v>
      </c>
      <c r="L97">
        <v>30</v>
      </c>
      <c r="M97">
        <v>28</v>
      </c>
      <c r="N97">
        <v>20</v>
      </c>
      <c r="O97">
        <v>14</v>
      </c>
      <c r="P97">
        <v>3</v>
      </c>
      <c r="Q97">
        <v>19</v>
      </c>
      <c r="R97">
        <v>9</v>
      </c>
    </row>
    <row r="98" spans="1:18" x14ac:dyDescent="0.35">
      <c r="A98" t="s">
        <v>214</v>
      </c>
      <c r="B98" t="s">
        <v>229</v>
      </c>
      <c r="C98" t="s">
        <v>228</v>
      </c>
      <c r="D98">
        <v>3</v>
      </c>
      <c r="E98">
        <v>35</v>
      </c>
      <c r="F98">
        <v>34</v>
      </c>
      <c r="G98">
        <v>4</v>
      </c>
      <c r="H98">
        <v>60</v>
      </c>
      <c r="I98">
        <v>40</v>
      </c>
      <c r="J98">
        <v>1</v>
      </c>
      <c r="L98">
        <v>5</v>
      </c>
      <c r="M98">
        <v>2</v>
      </c>
      <c r="N98">
        <v>12</v>
      </c>
      <c r="O98">
        <v>5</v>
      </c>
      <c r="P98">
        <v>8</v>
      </c>
      <c r="Q98">
        <v>5</v>
      </c>
      <c r="R98">
        <v>6</v>
      </c>
    </row>
    <row r="99" spans="1:18" x14ac:dyDescent="0.35">
      <c r="A99" t="s">
        <v>214</v>
      </c>
      <c r="B99" t="s">
        <v>245</v>
      </c>
      <c r="C99" t="s">
        <v>244</v>
      </c>
      <c r="D99">
        <v>12</v>
      </c>
      <c r="E99">
        <v>77</v>
      </c>
      <c r="F99">
        <v>32</v>
      </c>
      <c r="G99">
        <v>7</v>
      </c>
      <c r="H99">
        <v>86</v>
      </c>
      <c r="I99">
        <v>16</v>
      </c>
      <c r="J99">
        <v>5</v>
      </c>
      <c r="K99">
        <v>10</v>
      </c>
      <c r="L99">
        <v>17</v>
      </c>
      <c r="M99">
        <v>55</v>
      </c>
      <c r="N99">
        <v>30</v>
      </c>
      <c r="O99">
        <v>29</v>
      </c>
      <c r="P99">
        <v>17</v>
      </c>
      <c r="Q99">
        <v>34</v>
      </c>
      <c r="R99">
        <v>13</v>
      </c>
    </row>
    <row r="100" spans="1:18" x14ac:dyDescent="0.35">
      <c r="A100" t="s">
        <v>214</v>
      </c>
      <c r="B100" t="s">
        <v>254</v>
      </c>
      <c r="C100" t="s">
        <v>253</v>
      </c>
      <c r="D100">
        <v>2</v>
      </c>
      <c r="E100">
        <v>26</v>
      </c>
      <c r="F100">
        <v>19</v>
      </c>
      <c r="H100">
        <v>5</v>
      </c>
      <c r="I100">
        <v>1</v>
      </c>
      <c r="J100">
        <v>2</v>
      </c>
      <c r="L100">
        <v>7</v>
      </c>
      <c r="M100">
        <v>4</v>
      </c>
      <c r="N100">
        <v>12</v>
      </c>
      <c r="O100">
        <v>4</v>
      </c>
      <c r="Q100">
        <v>2</v>
      </c>
    </row>
    <row r="101" spans="1:18" x14ac:dyDescent="0.35">
      <c r="A101" t="s">
        <v>214</v>
      </c>
      <c r="B101" t="s">
        <v>256</v>
      </c>
      <c r="C101" t="s">
        <v>255</v>
      </c>
      <c r="D101">
        <v>7</v>
      </c>
      <c r="E101">
        <v>29</v>
      </c>
      <c r="F101">
        <v>6</v>
      </c>
      <c r="G101">
        <v>9</v>
      </c>
      <c r="H101">
        <v>30</v>
      </c>
      <c r="I101">
        <v>11</v>
      </c>
      <c r="K101">
        <v>1</v>
      </c>
      <c r="L101">
        <v>7</v>
      </c>
      <c r="M101">
        <v>16</v>
      </c>
      <c r="N101">
        <v>4</v>
      </c>
      <c r="O101">
        <v>13</v>
      </c>
      <c r="P101">
        <v>5</v>
      </c>
      <c r="Q101">
        <v>9</v>
      </c>
      <c r="R101">
        <v>2</v>
      </c>
    </row>
    <row r="102" spans="1:18" x14ac:dyDescent="0.35">
      <c r="A102" t="s">
        <v>214</v>
      </c>
      <c r="B102" t="s">
        <v>264</v>
      </c>
      <c r="C102" t="s">
        <v>263</v>
      </c>
      <c r="D102">
        <v>24</v>
      </c>
      <c r="E102">
        <v>46</v>
      </c>
      <c r="F102">
        <v>5</v>
      </c>
      <c r="G102">
        <v>1</v>
      </c>
      <c r="H102">
        <v>11</v>
      </c>
      <c r="I102">
        <v>18</v>
      </c>
      <c r="K102">
        <v>6</v>
      </c>
      <c r="L102">
        <v>19</v>
      </c>
      <c r="M102">
        <v>26</v>
      </c>
      <c r="N102">
        <v>8</v>
      </c>
      <c r="O102">
        <v>9</v>
      </c>
      <c r="P102">
        <v>13</v>
      </c>
      <c r="Q102">
        <v>10</v>
      </c>
      <c r="R102">
        <v>5</v>
      </c>
    </row>
    <row r="103" spans="1:18" x14ac:dyDescent="0.35">
      <c r="A103" t="s">
        <v>214</v>
      </c>
      <c r="B103" t="s">
        <v>278</v>
      </c>
      <c r="C103" t="s">
        <v>277</v>
      </c>
      <c r="D103">
        <v>2</v>
      </c>
      <c r="E103">
        <v>35</v>
      </c>
      <c r="F103">
        <v>7</v>
      </c>
      <c r="H103">
        <v>6</v>
      </c>
      <c r="J103">
        <v>1</v>
      </c>
      <c r="L103">
        <v>3</v>
      </c>
      <c r="M103">
        <v>10</v>
      </c>
      <c r="N103">
        <v>3</v>
      </c>
      <c r="O103">
        <v>3</v>
      </c>
      <c r="P103">
        <v>2</v>
      </c>
      <c r="Q103">
        <v>2</v>
      </c>
      <c r="R103">
        <v>4</v>
      </c>
    </row>
    <row r="104" spans="1:18" x14ac:dyDescent="0.35">
      <c r="A104" t="s">
        <v>214</v>
      </c>
      <c r="B104" t="s">
        <v>282</v>
      </c>
      <c r="C104" t="s">
        <v>281</v>
      </c>
      <c r="D104">
        <v>8</v>
      </c>
      <c r="E104">
        <v>31</v>
      </c>
      <c r="F104">
        <v>9</v>
      </c>
      <c r="G104">
        <v>1</v>
      </c>
      <c r="H104">
        <v>11</v>
      </c>
      <c r="I104">
        <v>28</v>
      </c>
      <c r="K104">
        <v>1</v>
      </c>
      <c r="L104">
        <v>4</v>
      </c>
      <c r="M104">
        <v>3</v>
      </c>
      <c r="N104">
        <v>14</v>
      </c>
      <c r="O104">
        <v>2</v>
      </c>
      <c r="P104">
        <v>7</v>
      </c>
      <c r="Q104">
        <v>8</v>
      </c>
      <c r="R104">
        <v>3</v>
      </c>
    </row>
    <row r="105" spans="1:18" x14ac:dyDescent="0.35">
      <c r="A105" t="s">
        <v>214</v>
      </c>
      <c r="B105" t="s">
        <v>297</v>
      </c>
      <c r="C105" t="s">
        <v>296</v>
      </c>
      <c r="D105">
        <v>1</v>
      </c>
      <c r="E105">
        <v>58</v>
      </c>
      <c r="F105">
        <v>17</v>
      </c>
      <c r="H105">
        <v>20</v>
      </c>
      <c r="I105">
        <v>14</v>
      </c>
      <c r="K105">
        <v>3</v>
      </c>
      <c r="L105">
        <v>10</v>
      </c>
      <c r="M105">
        <v>4</v>
      </c>
      <c r="N105">
        <v>5</v>
      </c>
      <c r="O105">
        <v>5</v>
      </c>
      <c r="P105">
        <v>16</v>
      </c>
      <c r="Q105">
        <v>6</v>
      </c>
      <c r="R105">
        <v>10</v>
      </c>
    </row>
    <row r="106" spans="1:18" x14ac:dyDescent="0.35">
      <c r="A106" t="s">
        <v>214</v>
      </c>
      <c r="B106" t="s">
        <v>301</v>
      </c>
      <c r="C106" t="s">
        <v>300</v>
      </c>
      <c r="E106">
        <v>8</v>
      </c>
      <c r="F106">
        <v>3</v>
      </c>
      <c r="H106">
        <v>2</v>
      </c>
      <c r="K106">
        <v>1</v>
      </c>
      <c r="L106">
        <v>1</v>
      </c>
      <c r="R106">
        <v>1</v>
      </c>
    </row>
    <row r="107" spans="1:18" x14ac:dyDescent="0.35">
      <c r="A107" t="s">
        <v>214</v>
      </c>
      <c r="B107" t="s">
        <v>310</v>
      </c>
      <c r="C107" t="s">
        <v>309</v>
      </c>
      <c r="D107">
        <v>5</v>
      </c>
      <c r="E107">
        <v>16</v>
      </c>
      <c r="F107">
        <v>17</v>
      </c>
      <c r="H107">
        <v>13</v>
      </c>
      <c r="I107">
        <v>1</v>
      </c>
      <c r="L107">
        <v>2</v>
      </c>
      <c r="M107">
        <v>1</v>
      </c>
      <c r="N107">
        <v>6</v>
      </c>
      <c r="O107">
        <v>3</v>
      </c>
      <c r="P107">
        <v>6</v>
      </c>
      <c r="Q107">
        <v>4</v>
      </c>
      <c r="R107">
        <v>5</v>
      </c>
    </row>
    <row r="108" spans="1:18" x14ac:dyDescent="0.35">
      <c r="A108" t="s">
        <v>313</v>
      </c>
      <c r="B108" t="s">
        <v>254</v>
      </c>
      <c r="C108" t="s">
        <v>253</v>
      </c>
      <c r="D108">
        <v>4</v>
      </c>
      <c r="E108">
        <v>32</v>
      </c>
      <c r="F108">
        <v>29</v>
      </c>
      <c r="H108">
        <v>6</v>
      </c>
      <c r="I108">
        <v>1</v>
      </c>
      <c r="K108">
        <v>1</v>
      </c>
      <c r="L108">
        <v>8</v>
      </c>
      <c r="M108">
        <v>8</v>
      </c>
      <c r="N108">
        <v>6</v>
      </c>
      <c r="O108">
        <v>1</v>
      </c>
      <c r="Q108">
        <v>4</v>
      </c>
      <c r="R108">
        <v>1</v>
      </c>
    </row>
    <row r="109" spans="1:18" x14ac:dyDescent="0.35">
      <c r="A109" t="s">
        <v>313</v>
      </c>
      <c r="B109" t="s">
        <v>278</v>
      </c>
      <c r="C109" t="s">
        <v>277</v>
      </c>
      <c r="D109">
        <v>2</v>
      </c>
      <c r="E109">
        <v>34</v>
      </c>
      <c r="F109">
        <v>8</v>
      </c>
      <c r="H109">
        <v>3</v>
      </c>
      <c r="I109">
        <v>1</v>
      </c>
      <c r="M109">
        <v>1</v>
      </c>
      <c r="N109">
        <v>1</v>
      </c>
      <c r="O109">
        <v>3</v>
      </c>
      <c r="Q109">
        <v>1</v>
      </c>
    </row>
    <row r="110" spans="1:18" x14ac:dyDescent="0.35">
      <c r="A110" t="s">
        <v>313</v>
      </c>
      <c r="B110" t="s">
        <v>1212</v>
      </c>
      <c r="C110" t="s">
        <v>283</v>
      </c>
    </row>
    <row r="111" spans="1:18" x14ac:dyDescent="0.35">
      <c r="A111" t="s">
        <v>313</v>
      </c>
      <c r="B111" t="s">
        <v>290</v>
      </c>
      <c r="C111" t="s">
        <v>289</v>
      </c>
      <c r="D111">
        <v>12</v>
      </c>
      <c r="E111">
        <v>50</v>
      </c>
      <c r="F111">
        <v>11</v>
      </c>
      <c r="G111">
        <v>2</v>
      </c>
      <c r="H111">
        <v>26</v>
      </c>
      <c r="I111">
        <v>3</v>
      </c>
      <c r="K111">
        <v>1</v>
      </c>
      <c r="L111">
        <v>11</v>
      </c>
      <c r="M111">
        <v>13</v>
      </c>
      <c r="N111">
        <v>25</v>
      </c>
      <c r="O111">
        <v>11</v>
      </c>
      <c r="P111">
        <v>29</v>
      </c>
      <c r="Q111">
        <v>92</v>
      </c>
      <c r="R111">
        <v>20</v>
      </c>
    </row>
    <row r="112" spans="1:18" x14ac:dyDescent="0.35">
      <c r="A112" t="s">
        <v>365</v>
      </c>
      <c r="B112" t="s">
        <v>250</v>
      </c>
      <c r="C112" t="s">
        <v>249</v>
      </c>
      <c r="D112">
        <v>10</v>
      </c>
      <c r="E112">
        <v>30</v>
      </c>
      <c r="F112">
        <v>19</v>
      </c>
      <c r="H112">
        <v>22</v>
      </c>
      <c r="L112">
        <v>11</v>
      </c>
      <c r="M112">
        <v>5</v>
      </c>
      <c r="N112">
        <v>21</v>
      </c>
      <c r="O112">
        <v>11</v>
      </c>
      <c r="P112">
        <v>13</v>
      </c>
      <c r="Q112">
        <v>7</v>
      </c>
      <c r="R112">
        <v>4</v>
      </c>
    </row>
    <row r="113" spans="1:18" x14ac:dyDescent="0.35">
      <c r="A113" t="s">
        <v>365</v>
      </c>
      <c r="B113" t="s">
        <v>290</v>
      </c>
      <c r="C113" t="s">
        <v>289</v>
      </c>
      <c r="D113">
        <v>7</v>
      </c>
      <c r="E113">
        <v>39</v>
      </c>
      <c r="F113">
        <v>55</v>
      </c>
      <c r="H113">
        <v>20</v>
      </c>
      <c r="I113">
        <v>2</v>
      </c>
      <c r="K113">
        <v>5</v>
      </c>
      <c r="L113">
        <v>35</v>
      </c>
      <c r="M113">
        <v>3</v>
      </c>
      <c r="N113">
        <v>42</v>
      </c>
      <c r="O113">
        <v>9</v>
      </c>
      <c r="P113">
        <v>26</v>
      </c>
      <c r="Q113">
        <v>42</v>
      </c>
      <c r="R113">
        <v>16</v>
      </c>
    </row>
    <row r="114" spans="1:18" x14ac:dyDescent="0.35">
      <c r="A114" t="s">
        <v>366</v>
      </c>
      <c r="B114" t="s">
        <v>229</v>
      </c>
      <c r="C114" t="s">
        <v>228</v>
      </c>
      <c r="D114">
        <v>11</v>
      </c>
      <c r="E114">
        <v>32</v>
      </c>
      <c r="F114">
        <v>19</v>
      </c>
      <c r="G114">
        <v>12</v>
      </c>
      <c r="H114">
        <v>176</v>
      </c>
      <c r="I114">
        <v>30</v>
      </c>
      <c r="J114">
        <v>1</v>
      </c>
      <c r="K114">
        <v>2</v>
      </c>
      <c r="L114">
        <v>3</v>
      </c>
      <c r="M114">
        <v>10</v>
      </c>
      <c r="N114">
        <v>18</v>
      </c>
      <c r="O114">
        <v>6</v>
      </c>
      <c r="P114">
        <v>11</v>
      </c>
      <c r="Q114">
        <v>6</v>
      </c>
      <c r="R114">
        <v>4</v>
      </c>
    </row>
    <row r="115" spans="1:18" x14ac:dyDescent="0.35">
      <c r="A115" t="s">
        <v>366</v>
      </c>
      <c r="B115" t="s">
        <v>280</v>
      </c>
      <c r="C115" t="s">
        <v>279</v>
      </c>
      <c r="D115">
        <v>3</v>
      </c>
      <c r="E115">
        <v>16</v>
      </c>
      <c r="F115">
        <v>23</v>
      </c>
      <c r="G115">
        <v>3</v>
      </c>
      <c r="H115">
        <v>6</v>
      </c>
      <c r="I115">
        <v>1</v>
      </c>
      <c r="K115">
        <v>1</v>
      </c>
      <c r="L115">
        <v>6</v>
      </c>
      <c r="M115">
        <v>12</v>
      </c>
      <c r="N115">
        <v>16</v>
      </c>
      <c r="O115">
        <v>4</v>
      </c>
      <c r="P115">
        <v>4</v>
      </c>
      <c r="Q115">
        <v>1</v>
      </c>
      <c r="R115">
        <v>2</v>
      </c>
    </row>
    <row r="116" spans="1:18" x14ac:dyDescent="0.35">
      <c r="A116" t="s">
        <v>366</v>
      </c>
      <c r="B116" t="s">
        <v>303</v>
      </c>
      <c r="C116" t="s">
        <v>302</v>
      </c>
      <c r="D116">
        <v>19</v>
      </c>
      <c r="E116">
        <v>58</v>
      </c>
      <c r="F116">
        <v>29</v>
      </c>
      <c r="G116">
        <v>3</v>
      </c>
      <c r="H116">
        <v>48</v>
      </c>
      <c r="I116">
        <v>15</v>
      </c>
      <c r="L116">
        <v>15</v>
      </c>
      <c r="M116">
        <v>4</v>
      </c>
      <c r="N116">
        <v>26</v>
      </c>
      <c r="O116">
        <v>9</v>
      </c>
      <c r="P116">
        <v>45</v>
      </c>
      <c r="Q116">
        <v>9</v>
      </c>
      <c r="R116">
        <v>8</v>
      </c>
    </row>
    <row r="117" spans="1:18" x14ac:dyDescent="0.35">
      <c r="A117" t="s">
        <v>341</v>
      </c>
      <c r="B117" t="s">
        <v>216</v>
      </c>
      <c r="C117" t="s">
        <v>215</v>
      </c>
      <c r="D117">
        <v>21</v>
      </c>
      <c r="E117">
        <v>103</v>
      </c>
      <c r="F117">
        <v>219</v>
      </c>
      <c r="G117">
        <v>2</v>
      </c>
      <c r="H117">
        <v>50</v>
      </c>
      <c r="I117">
        <v>4</v>
      </c>
      <c r="K117">
        <v>1</v>
      </c>
      <c r="L117">
        <v>10</v>
      </c>
      <c r="M117">
        <v>4</v>
      </c>
      <c r="N117">
        <v>6</v>
      </c>
      <c r="O117">
        <v>6</v>
      </c>
      <c r="P117">
        <v>2</v>
      </c>
      <c r="Q117">
        <v>5</v>
      </c>
      <c r="R117">
        <v>2</v>
      </c>
    </row>
    <row r="118" spans="1:18" x14ac:dyDescent="0.35">
      <c r="A118" t="s">
        <v>341</v>
      </c>
      <c r="B118" t="s">
        <v>274</v>
      </c>
      <c r="C118" t="s">
        <v>273</v>
      </c>
      <c r="D118">
        <v>18</v>
      </c>
      <c r="E118">
        <v>93</v>
      </c>
      <c r="F118">
        <v>47</v>
      </c>
      <c r="G118">
        <v>10</v>
      </c>
      <c r="H118">
        <v>67</v>
      </c>
      <c r="I118">
        <v>9</v>
      </c>
      <c r="L118">
        <v>8</v>
      </c>
      <c r="M118">
        <v>1</v>
      </c>
      <c r="N118">
        <v>8</v>
      </c>
      <c r="O118">
        <v>1</v>
      </c>
      <c r="P118">
        <v>4</v>
      </c>
      <c r="Q118">
        <v>1</v>
      </c>
      <c r="R118">
        <v>1</v>
      </c>
    </row>
    <row r="119" spans="1:18" x14ac:dyDescent="0.35">
      <c r="A119" t="s">
        <v>341</v>
      </c>
      <c r="B119" t="s">
        <v>312</v>
      </c>
      <c r="C119" t="s">
        <v>311</v>
      </c>
      <c r="D119">
        <v>10</v>
      </c>
      <c r="E119">
        <v>47</v>
      </c>
      <c r="F119">
        <v>2</v>
      </c>
      <c r="G119">
        <v>1</v>
      </c>
      <c r="H119">
        <v>16</v>
      </c>
      <c r="I119">
        <v>1</v>
      </c>
      <c r="J119">
        <v>2</v>
      </c>
      <c r="K119">
        <v>4</v>
      </c>
      <c r="L119">
        <v>22</v>
      </c>
      <c r="M119">
        <v>15</v>
      </c>
      <c r="N119">
        <v>12</v>
      </c>
      <c r="O119">
        <v>11</v>
      </c>
      <c r="P119">
        <v>18</v>
      </c>
      <c r="Q119">
        <v>11</v>
      </c>
      <c r="R119">
        <v>5</v>
      </c>
    </row>
    <row r="120" spans="1:18" x14ac:dyDescent="0.35">
      <c r="A120" t="s">
        <v>342</v>
      </c>
      <c r="B120" t="s">
        <v>245</v>
      </c>
      <c r="C120" t="s">
        <v>244</v>
      </c>
      <c r="D120">
        <v>18</v>
      </c>
      <c r="E120">
        <v>88</v>
      </c>
      <c r="F120">
        <v>39</v>
      </c>
      <c r="G120">
        <v>8</v>
      </c>
      <c r="H120">
        <v>86</v>
      </c>
      <c r="I120">
        <v>7</v>
      </c>
      <c r="K120">
        <v>12</v>
      </c>
      <c r="L120">
        <v>15</v>
      </c>
      <c r="M120">
        <v>10</v>
      </c>
      <c r="N120">
        <v>35</v>
      </c>
      <c r="O120">
        <v>15</v>
      </c>
      <c r="P120">
        <v>30</v>
      </c>
      <c r="Q120">
        <v>9</v>
      </c>
      <c r="R120">
        <v>7</v>
      </c>
    </row>
    <row r="121" spans="1:18" x14ac:dyDescent="0.35">
      <c r="A121" t="s">
        <v>342</v>
      </c>
      <c r="B121" t="s">
        <v>278</v>
      </c>
      <c r="C121" t="s">
        <v>277</v>
      </c>
      <c r="E121">
        <v>35</v>
      </c>
      <c r="F121">
        <v>10</v>
      </c>
      <c r="H121">
        <v>6</v>
      </c>
      <c r="I121">
        <v>1</v>
      </c>
      <c r="J121">
        <v>1</v>
      </c>
      <c r="K121">
        <v>1</v>
      </c>
      <c r="L121">
        <v>3</v>
      </c>
      <c r="M121">
        <v>1</v>
      </c>
      <c r="N121">
        <v>1</v>
      </c>
      <c r="O121">
        <v>1</v>
      </c>
      <c r="P121">
        <v>3</v>
      </c>
      <c r="Q121">
        <v>1</v>
      </c>
      <c r="R121">
        <v>1</v>
      </c>
    </row>
    <row r="122" spans="1:18" x14ac:dyDescent="0.35">
      <c r="A122" t="s">
        <v>342</v>
      </c>
      <c r="B122" t="s">
        <v>1212</v>
      </c>
      <c r="C122" t="s">
        <v>283</v>
      </c>
      <c r="D122">
        <v>4</v>
      </c>
      <c r="E122">
        <v>11</v>
      </c>
      <c r="H122">
        <v>5</v>
      </c>
      <c r="I122">
        <v>2</v>
      </c>
      <c r="N122">
        <v>1</v>
      </c>
    </row>
    <row r="123" spans="1:18" x14ac:dyDescent="0.35">
      <c r="A123" t="s">
        <v>342</v>
      </c>
      <c r="B123" t="s">
        <v>288</v>
      </c>
      <c r="C123" t="s">
        <v>287</v>
      </c>
      <c r="D123">
        <v>2</v>
      </c>
      <c r="E123">
        <v>40</v>
      </c>
      <c r="F123">
        <v>3</v>
      </c>
      <c r="H123">
        <v>29</v>
      </c>
      <c r="I123">
        <v>4</v>
      </c>
      <c r="J123">
        <v>1</v>
      </c>
      <c r="L123">
        <v>7</v>
      </c>
      <c r="M123">
        <v>1</v>
      </c>
      <c r="N123">
        <v>8</v>
      </c>
      <c r="O123">
        <v>2</v>
      </c>
      <c r="P123">
        <v>1</v>
      </c>
      <c r="Q123">
        <v>3</v>
      </c>
      <c r="R123">
        <v>1</v>
      </c>
    </row>
    <row r="124" spans="1:18" x14ac:dyDescent="0.35">
      <c r="A124" t="s">
        <v>342</v>
      </c>
      <c r="B124" t="s">
        <v>290</v>
      </c>
      <c r="C124" t="s">
        <v>289</v>
      </c>
      <c r="D124">
        <v>10</v>
      </c>
      <c r="E124">
        <v>59</v>
      </c>
      <c r="F124">
        <v>24</v>
      </c>
      <c r="H124">
        <v>27</v>
      </c>
      <c r="I124">
        <v>5</v>
      </c>
      <c r="K124">
        <v>4</v>
      </c>
      <c r="L124">
        <v>26</v>
      </c>
      <c r="M124">
        <v>6</v>
      </c>
      <c r="N124">
        <v>81</v>
      </c>
      <c r="O124">
        <v>18</v>
      </c>
      <c r="P124">
        <v>24</v>
      </c>
      <c r="Q124">
        <v>40</v>
      </c>
      <c r="R124">
        <v>27</v>
      </c>
    </row>
    <row r="125" spans="1:18" x14ac:dyDescent="0.35">
      <c r="A125" t="s">
        <v>342</v>
      </c>
      <c r="B125" t="s">
        <v>295</v>
      </c>
      <c r="C125" t="s">
        <v>294</v>
      </c>
      <c r="D125">
        <v>58</v>
      </c>
      <c r="E125">
        <v>80</v>
      </c>
      <c r="F125">
        <v>6</v>
      </c>
      <c r="G125">
        <v>9</v>
      </c>
      <c r="H125">
        <v>70</v>
      </c>
      <c r="I125">
        <v>36</v>
      </c>
      <c r="K125">
        <v>1</v>
      </c>
      <c r="L125">
        <v>4</v>
      </c>
      <c r="M125">
        <v>2</v>
      </c>
      <c r="N125">
        <v>5</v>
      </c>
      <c r="O125">
        <v>14</v>
      </c>
      <c r="P125">
        <v>3</v>
      </c>
      <c r="Q125">
        <v>4</v>
      </c>
      <c r="R125">
        <v>1</v>
      </c>
    </row>
    <row r="126" spans="1:18" x14ac:dyDescent="0.35">
      <c r="A126" t="s">
        <v>214</v>
      </c>
      <c r="B126" t="s">
        <v>221</v>
      </c>
      <c r="C126" t="s">
        <v>220</v>
      </c>
      <c r="D126">
        <v>26</v>
      </c>
      <c r="E126">
        <v>88</v>
      </c>
      <c r="F126">
        <v>48</v>
      </c>
      <c r="G126">
        <v>7</v>
      </c>
      <c r="H126">
        <v>73</v>
      </c>
      <c r="I126">
        <v>48</v>
      </c>
      <c r="J126">
        <v>3</v>
      </c>
      <c r="K126">
        <v>3</v>
      </c>
      <c r="L126">
        <v>13</v>
      </c>
      <c r="M126">
        <v>8</v>
      </c>
      <c r="N126">
        <v>13</v>
      </c>
      <c r="O126">
        <v>4</v>
      </c>
      <c r="P126">
        <v>21</v>
      </c>
      <c r="Q126">
        <v>13</v>
      </c>
      <c r="R126">
        <v>5</v>
      </c>
    </row>
    <row r="127" spans="1:18" x14ac:dyDescent="0.35">
      <c r="A127" t="s">
        <v>313</v>
      </c>
      <c r="B127" t="s">
        <v>241</v>
      </c>
      <c r="C127" t="s">
        <v>240</v>
      </c>
      <c r="D127">
        <v>4</v>
      </c>
      <c r="E127">
        <v>22</v>
      </c>
      <c r="F127">
        <v>3</v>
      </c>
      <c r="M127">
        <v>8</v>
      </c>
      <c r="N127">
        <v>1</v>
      </c>
      <c r="O127">
        <v>4</v>
      </c>
      <c r="P127">
        <v>3</v>
      </c>
      <c r="Q127">
        <v>4</v>
      </c>
    </row>
    <row r="128" spans="1:18" x14ac:dyDescent="0.35">
      <c r="A128" t="s">
        <v>313</v>
      </c>
      <c r="B128" t="s">
        <v>248</v>
      </c>
      <c r="C128" t="s">
        <v>247</v>
      </c>
      <c r="D128">
        <v>3</v>
      </c>
      <c r="E128">
        <v>35</v>
      </c>
      <c r="F128">
        <v>336</v>
      </c>
      <c r="G128">
        <v>1</v>
      </c>
      <c r="H128">
        <v>17</v>
      </c>
      <c r="I128">
        <v>1</v>
      </c>
      <c r="K128">
        <v>2</v>
      </c>
      <c r="L128">
        <v>12</v>
      </c>
      <c r="M128">
        <v>1</v>
      </c>
      <c r="N128">
        <v>4</v>
      </c>
      <c r="O128">
        <v>7</v>
      </c>
      <c r="P128">
        <v>4</v>
      </c>
      <c r="R128">
        <v>1</v>
      </c>
    </row>
    <row r="129" spans="1:18" x14ac:dyDescent="0.35">
      <c r="A129" t="s">
        <v>313</v>
      </c>
      <c r="B129" t="s">
        <v>299</v>
      </c>
      <c r="C129" t="s">
        <v>298</v>
      </c>
      <c r="D129">
        <v>18</v>
      </c>
      <c r="E129">
        <v>32</v>
      </c>
      <c r="F129">
        <v>16</v>
      </c>
      <c r="H129">
        <v>8</v>
      </c>
      <c r="I129">
        <v>2</v>
      </c>
      <c r="L129">
        <v>4</v>
      </c>
      <c r="M129">
        <v>11</v>
      </c>
      <c r="N129">
        <v>1</v>
      </c>
      <c r="O129">
        <v>6</v>
      </c>
      <c r="P129">
        <v>5</v>
      </c>
      <c r="R129">
        <v>1</v>
      </c>
    </row>
    <row r="130" spans="1:18" x14ac:dyDescent="0.35">
      <c r="A130" t="s">
        <v>319</v>
      </c>
      <c r="B130" t="s">
        <v>229</v>
      </c>
      <c r="C130" t="s">
        <v>228</v>
      </c>
      <c r="E130">
        <v>7</v>
      </c>
      <c r="F130">
        <v>15</v>
      </c>
      <c r="G130">
        <v>6</v>
      </c>
      <c r="H130">
        <v>69</v>
      </c>
      <c r="I130">
        <v>9</v>
      </c>
      <c r="J130">
        <v>2</v>
      </c>
      <c r="M130">
        <v>2</v>
      </c>
      <c r="N130">
        <v>1</v>
      </c>
      <c r="O130">
        <v>4</v>
      </c>
      <c r="P130">
        <v>2</v>
      </c>
      <c r="Q130">
        <v>1</v>
      </c>
      <c r="R130">
        <v>2</v>
      </c>
    </row>
    <row r="131" spans="1:18" x14ac:dyDescent="0.35">
      <c r="A131" t="s">
        <v>319</v>
      </c>
      <c r="B131" t="s">
        <v>278</v>
      </c>
      <c r="C131" t="s">
        <v>277</v>
      </c>
      <c r="E131">
        <v>21</v>
      </c>
      <c r="F131">
        <v>4</v>
      </c>
      <c r="H131">
        <v>1</v>
      </c>
      <c r="L131">
        <v>1</v>
      </c>
      <c r="N131">
        <v>1</v>
      </c>
      <c r="O131">
        <v>1</v>
      </c>
    </row>
    <row r="132" spans="1:18" x14ac:dyDescent="0.35">
      <c r="A132" t="s">
        <v>319</v>
      </c>
      <c r="B132" t="s">
        <v>288</v>
      </c>
      <c r="C132" t="s">
        <v>287</v>
      </c>
      <c r="E132">
        <v>66</v>
      </c>
      <c r="H132">
        <v>10</v>
      </c>
      <c r="I132">
        <v>2</v>
      </c>
      <c r="L132">
        <v>2</v>
      </c>
      <c r="N132">
        <v>6</v>
      </c>
      <c r="O132">
        <v>1</v>
      </c>
      <c r="P132">
        <v>1</v>
      </c>
      <c r="R132">
        <v>1</v>
      </c>
    </row>
    <row r="133" spans="1:18" x14ac:dyDescent="0.35">
      <c r="A133" t="s">
        <v>319</v>
      </c>
      <c r="B133" t="s">
        <v>299</v>
      </c>
      <c r="C133" t="s">
        <v>298</v>
      </c>
      <c r="D133">
        <v>16</v>
      </c>
      <c r="E133">
        <v>34</v>
      </c>
      <c r="F133">
        <v>5</v>
      </c>
      <c r="H133">
        <v>3</v>
      </c>
      <c r="L133">
        <v>1</v>
      </c>
      <c r="M133">
        <v>2</v>
      </c>
      <c r="N133">
        <v>2</v>
      </c>
      <c r="P133">
        <v>1</v>
      </c>
      <c r="R133">
        <v>2</v>
      </c>
    </row>
    <row r="134" spans="1:18" x14ac:dyDescent="0.35">
      <c r="A134" t="s">
        <v>319</v>
      </c>
      <c r="B134" t="s">
        <v>305</v>
      </c>
      <c r="C134" t="s">
        <v>304</v>
      </c>
      <c r="D134">
        <v>9</v>
      </c>
      <c r="E134">
        <v>83</v>
      </c>
      <c r="F134">
        <v>23</v>
      </c>
      <c r="H134">
        <v>6</v>
      </c>
      <c r="L134">
        <v>1</v>
      </c>
      <c r="M134">
        <v>1</v>
      </c>
      <c r="N134">
        <v>5</v>
      </c>
      <c r="O134">
        <v>1</v>
      </c>
      <c r="P134">
        <v>6</v>
      </c>
      <c r="Q134">
        <v>5</v>
      </c>
      <c r="R134">
        <v>5</v>
      </c>
    </row>
    <row r="135" spans="1:18" x14ac:dyDescent="0.35">
      <c r="A135" t="s">
        <v>321</v>
      </c>
      <c r="B135" t="s">
        <v>254</v>
      </c>
      <c r="C135" t="s">
        <v>253</v>
      </c>
      <c r="D135">
        <v>2</v>
      </c>
      <c r="E135">
        <v>28</v>
      </c>
      <c r="F135">
        <v>25</v>
      </c>
      <c r="H135">
        <v>5</v>
      </c>
      <c r="I135">
        <v>1</v>
      </c>
      <c r="L135">
        <v>3</v>
      </c>
      <c r="M135">
        <v>5</v>
      </c>
      <c r="N135">
        <v>2</v>
      </c>
      <c r="Q135">
        <v>1</v>
      </c>
    </row>
    <row r="136" spans="1:18" x14ac:dyDescent="0.35">
      <c r="A136" t="s">
        <v>321</v>
      </c>
      <c r="B136" t="s">
        <v>299</v>
      </c>
      <c r="C136" t="s">
        <v>298</v>
      </c>
      <c r="D136">
        <v>17</v>
      </c>
      <c r="E136">
        <v>29</v>
      </c>
      <c r="F136">
        <v>13</v>
      </c>
      <c r="H136">
        <v>8</v>
      </c>
      <c r="I136">
        <v>9</v>
      </c>
      <c r="L136">
        <v>4</v>
      </c>
      <c r="M136">
        <v>5</v>
      </c>
      <c r="N136">
        <v>5</v>
      </c>
      <c r="O136">
        <v>4</v>
      </c>
      <c r="P136">
        <v>3</v>
      </c>
      <c r="Q136">
        <v>1</v>
      </c>
      <c r="R136">
        <v>3</v>
      </c>
    </row>
    <row r="137" spans="1:18" x14ac:dyDescent="0.35">
      <c r="A137" t="s">
        <v>321</v>
      </c>
      <c r="B137" t="s">
        <v>312</v>
      </c>
      <c r="C137" t="s">
        <v>311</v>
      </c>
      <c r="D137">
        <v>7</v>
      </c>
      <c r="E137">
        <v>42</v>
      </c>
      <c r="F137">
        <v>19</v>
      </c>
      <c r="G137">
        <v>1</v>
      </c>
      <c r="H137">
        <v>15</v>
      </c>
      <c r="J137">
        <v>1</v>
      </c>
      <c r="K137">
        <v>1</v>
      </c>
      <c r="L137">
        <v>15</v>
      </c>
      <c r="M137">
        <v>22</v>
      </c>
      <c r="N137">
        <v>18</v>
      </c>
      <c r="O137">
        <v>12</v>
      </c>
      <c r="P137">
        <v>16</v>
      </c>
      <c r="Q137">
        <v>5</v>
      </c>
      <c r="R137">
        <v>3</v>
      </c>
    </row>
    <row r="138" spans="1:18" x14ac:dyDescent="0.35">
      <c r="A138" t="s">
        <v>326</v>
      </c>
      <c r="B138" t="s">
        <v>288</v>
      </c>
      <c r="C138" t="s">
        <v>287</v>
      </c>
      <c r="D138">
        <v>5</v>
      </c>
      <c r="E138">
        <v>87</v>
      </c>
      <c r="F138">
        <v>10</v>
      </c>
      <c r="G138">
        <v>3</v>
      </c>
      <c r="H138">
        <v>38</v>
      </c>
      <c r="I138">
        <v>16</v>
      </c>
      <c r="J138">
        <v>7</v>
      </c>
      <c r="L138">
        <v>22</v>
      </c>
      <c r="M138">
        <v>1</v>
      </c>
      <c r="N138">
        <v>60</v>
      </c>
      <c r="O138">
        <v>10</v>
      </c>
      <c r="P138">
        <v>4</v>
      </c>
      <c r="Q138">
        <v>3</v>
      </c>
      <c r="R138">
        <v>5</v>
      </c>
    </row>
    <row r="139" spans="1:18" x14ac:dyDescent="0.35">
      <c r="A139" t="s">
        <v>365</v>
      </c>
      <c r="B139" t="s">
        <v>241</v>
      </c>
      <c r="C139" t="s">
        <v>240</v>
      </c>
      <c r="E139">
        <v>22</v>
      </c>
      <c r="F139">
        <v>2</v>
      </c>
      <c r="H139">
        <v>5</v>
      </c>
      <c r="I139">
        <v>4</v>
      </c>
      <c r="L139">
        <v>1</v>
      </c>
      <c r="M139">
        <v>3</v>
      </c>
      <c r="N139">
        <v>2</v>
      </c>
      <c r="O139">
        <v>1</v>
      </c>
      <c r="P139">
        <v>1</v>
      </c>
      <c r="Q139">
        <v>3</v>
      </c>
    </row>
    <row r="140" spans="1:18" x14ac:dyDescent="0.35">
      <c r="A140" t="s">
        <v>365</v>
      </c>
      <c r="B140" t="s">
        <v>271</v>
      </c>
      <c r="C140" t="s">
        <v>270</v>
      </c>
      <c r="D140">
        <v>41</v>
      </c>
      <c r="E140">
        <v>102</v>
      </c>
      <c r="F140">
        <v>475</v>
      </c>
      <c r="G140">
        <v>15</v>
      </c>
      <c r="H140">
        <v>83</v>
      </c>
      <c r="I140">
        <v>1</v>
      </c>
      <c r="J140">
        <v>11</v>
      </c>
      <c r="K140">
        <v>6</v>
      </c>
      <c r="L140">
        <v>98</v>
      </c>
      <c r="M140">
        <v>27</v>
      </c>
      <c r="N140">
        <v>93</v>
      </c>
      <c r="O140">
        <v>31</v>
      </c>
      <c r="P140">
        <v>54</v>
      </c>
      <c r="Q140">
        <v>63</v>
      </c>
      <c r="R140">
        <v>22</v>
      </c>
    </row>
    <row r="141" spans="1:18" x14ac:dyDescent="0.35">
      <c r="A141" t="s">
        <v>366</v>
      </c>
      <c r="B141" t="s">
        <v>299</v>
      </c>
      <c r="C141" t="s">
        <v>298</v>
      </c>
      <c r="D141">
        <v>16</v>
      </c>
      <c r="E141">
        <v>39</v>
      </c>
      <c r="F141">
        <v>37</v>
      </c>
      <c r="G141">
        <v>1</v>
      </c>
      <c r="H141">
        <v>55</v>
      </c>
      <c r="I141">
        <v>35</v>
      </c>
      <c r="K141">
        <v>6</v>
      </c>
      <c r="L141">
        <v>20</v>
      </c>
      <c r="M141">
        <v>16</v>
      </c>
      <c r="N141">
        <v>20</v>
      </c>
      <c r="O141">
        <v>12</v>
      </c>
      <c r="P141">
        <v>10</v>
      </c>
      <c r="Q141">
        <v>13</v>
      </c>
      <c r="R141">
        <v>10</v>
      </c>
    </row>
    <row r="142" spans="1:18" x14ac:dyDescent="0.35">
      <c r="A142" t="s">
        <v>341</v>
      </c>
      <c r="B142" t="s">
        <v>225</v>
      </c>
      <c r="C142" t="s">
        <v>224</v>
      </c>
      <c r="D142">
        <v>1</v>
      </c>
      <c r="E142">
        <v>35</v>
      </c>
      <c r="F142">
        <v>9</v>
      </c>
      <c r="H142">
        <v>12</v>
      </c>
      <c r="I142">
        <v>11</v>
      </c>
      <c r="L142">
        <v>8</v>
      </c>
      <c r="M142">
        <v>1</v>
      </c>
      <c r="N142">
        <v>6</v>
      </c>
      <c r="O142">
        <v>7</v>
      </c>
      <c r="P142">
        <v>2</v>
      </c>
      <c r="Q142">
        <v>2</v>
      </c>
      <c r="R142">
        <v>5</v>
      </c>
    </row>
    <row r="143" spans="1:18" x14ac:dyDescent="0.35">
      <c r="A143" t="s">
        <v>341</v>
      </c>
      <c r="B143" t="s">
        <v>288</v>
      </c>
      <c r="C143" t="s">
        <v>287</v>
      </c>
      <c r="D143">
        <v>5</v>
      </c>
      <c r="E143">
        <v>72</v>
      </c>
      <c r="F143">
        <v>6</v>
      </c>
      <c r="G143">
        <v>3</v>
      </c>
      <c r="H143">
        <v>20</v>
      </c>
      <c r="I143">
        <v>47</v>
      </c>
      <c r="K143">
        <v>1</v>
      </c>
      <c r="L143">
        <v>9</v>
      </c>
      <c r="M143">
        <v>9</v>
      </c>
      <c r="N143">
        <v>11</v>
      </c>
      <c r="O143">
        <v>16</v>
      </c>
      <c r="P143">
        <v>22</v>
      </c>
      <c r="Q143">
        <v>5</v>
      </c>
      <c r="R143">
        <v>4</v>
      </c>
    </row>
    <row r="144" spans="1:18" x14ac:dyDescent="0.35">
      <c r="A144" t="s">
        <v>341</v>
      </c>
      <c r="B144" t="s">
        <v>299</v>
      </c>
      <c r="C144" t="s">
        <v>298</v>
      </c>
      <c r="D144">
        <v>18</v>
      </c>
      <c r="E144">
        <v>32</v>
      </c>
      <c r="F144">
        <v>39</v>
      </c>
      <c r="H144">
        <v>53</v>
      </c>
      <c r="I144">
        <v>26</v>
      </c>
      <c r="J144">
        <v>1</v>
      </c>
      <c r="K144">
        <v>6</v>
      </c>
      <c r="L144">
        <v>29</v>
      </c>
      <c r="M144">
        <v>19</v>
      </c>
      <c r="N144">
        <v>31</v>
      </c>
      <c r="O144">
        <v>8</v>
      </c>
      <c r="P144">
        <v>9</v>
      </c>
      <c r="Q144">
        <v>11</v>
      </c>
      <c r="R144">
        <v>3</v>
      </c>
    </row>
    <row r="145" spans="1:18" x14ac:dyDescent="0.35">
      <c r="A145" t="s">
        <v>342</v>
      </c>
      <c r="B145" t="s">
        <v>254</v>
      </c>
      <c r="C145" t="s">
        <v>253</v>
      </c>
      <c r="D145">
        <v>1</v>
      </c>
      <c r="E145">
        <v>32</v>
      </c>
      <c r="F145">
        <v>22</v>
      </c>
      <c r="H145">
        <v>7</v>
      </c>
      <c r="I145">
        <v>1</v>
      </c>
      <c r="K145">
        <v>3</v>
      </c>
      <c r="L145">
        <v>4</v>
      </c>
      <c r="M145">
        <v>4</v>
      </c>
      <c r="N145">
        <v>6</v>
      </c>
      <c r="O145">
        <v>5</v>
      </c>
      <c r="P145">
        <v>1</v>
      </c>
      <c r="Q145">
        <v>3</v>
      </c>
      <c r="R145">
        <v>3</v>
      </c>
    </row>
    <row r="146" spans="1:18" x14ac:dyDescent="0.35">
      <c r="A146" t="s">
        <v>342</v>
      </c>
      <c r="B146" t="s">
        <v>260</v>
      </c>
      <c r="C146" t="s">
        <v>259</v>
      </c>
      <c r="D146">
        <v>1</v>
      </c>
      <c r="E146">
        <v>16</v>
      </c>
      <c r="F146">
        <v>2</v>
      </c>
      <c r="H146">
        <v>8</v>
      </c>
      <c r="M146">
        <v>1</v>
      </c>
      <c r="N146">
        <v>1</v>
      </c>
      <c r="P146">
        <v>1</v>
      </c>
    </row>
    <row r="147" spans="1:18" x14ac:dyDescent="0.35">
      <c r="A147" t="s">
        <v>342</v>
      </c>
      <c r="B147" t="s">
        <v>274</v>
      </c>
      <c r="C147" t="s">
        <v>273</v>
      </c>
      <c r="D147">
        <v>12</v>
      </c>
      <c r="E147">
        <v>79</v>
      </c>
      <c r="F147">
        <v>60</v>
      </c>
      <c r="G147">
        <v>27</v>
      </c>
      <c r="H147">
        <v>82</v>
      </c>
      <c r="I147">
        <v>10</v>
      </c>
      <c r="K147">
        <v>1</v>
      </c>
      <c r="L147">
        <v>4</v>
      </c>
      <c r="M147">
        <v>2</v>
      </c>
      <c r="N147">
        <v>1</v>
      </c>
      <c r="O147">
        <v>4</v>
      </c>
      <c r="P147">
        <v>2</v>
      </c>
      <c r="R147">
        <v>2</v>
      </c>
    </row>
    <row r="148" spans="1:18" x14ac:dyDescent="0.35">
      <c r="A148" t="s">
        <v>342</v>
      </c>
      <c r="B148" t="s">
        <v>297</v>
      </c>
      <c r="C148" t="s">
        <v>296</v>
      </c>
      <c r="D148">
        <v>3</v>
      </c>
      <c r="E148">
        <v>56</v>
      </c>
      <c r="F148">
        <v>6</v>
      </c>
      <c r="H148">
        <v>16</v>
      </c>
      <c r="J148">
        <v>2</v>
      </c>
      <c r="L148">
        <v>4</v>
      </c>
      <c r="M148">
        <v>1</v>
      </c>
      <c r="N148">
        <v>1</v>
      </c>
      <c r="P148">
        <v>1</v>
      </c>
      <c r="Q148">
        <v>1</v>
      </c>
    </row>
    <row r="149" spans="1:18" x14ac:dyDescent="0.35">
      <c r="A149" t="s">
        <v>214</v>
      </c>
      <c r="B149" t="s">
        <v>235</v>
      </c>
      <c r="C149" t="s">
        <v>234</v>
      </c>
      <c r="D149">
        <v>66</v>
      </c>
      <c r="E149">
        <v>120</v>
      </c>
      <c r="F149">
        <v>142</v>
      </c>
      <c r="G149">
        <v>21</v>
      </c>
      <c r="H149">
        <v>112</v>
      </c>
      <c r="I149">
        <v>23</v>
      </c>
      <c r="J149">
        <v>2</v>
      </c>
      <c r="K149">
        <v>5</v>
      </c>
      <c r="L149">
        <v>85</v>
      </c>
      <c r="M149">
        <v>16</v>
      </c>
      <c r="N149">
        <v>26</v>
      </c>
      <c r="O149">
        <v>40</v>
      </c>
      <c r="P149">
        <v>7</v>
      </c>
      <c r="Q149">
        <v>41</v>
      </c>
      <c r="R149">
        <v>8</v>
      </c>
    </row>
    <row r="150" spans="1:18" x14ac:dyDescent="0.35">
      <c r="A150" t="s">
        <v>214</v>
      </c>
      <c r="B150" t="s">
        <v>250</v>
      </c>
      <c r="C150" t="s">
        <v>249</v>
      </c>
      <c r="D150">
        <v>3</v>
      </c>
      <c r="E150">
        <v>57</v>
      </c>
      <c r="F150">
        <v>7</v>
      </c>
      <c r="H150">
        <v>24</v>
      </c>
      <c r="I150">
        <v>8</v>
      </c>
      <c r="L150">
        <v>9</v>
      </c>
      <c r="M150">
        <v>8</v>
      </c>
      <c r="N150">
        <v>11</v>
      </c>
      <c r="O150">
        <v>6</v>
      </c>
      <c r="P150">
        <v>7</v>
      </c>
      <c r="Q150">
        <v>3</v>
      </c>
      <c r="R150">
        <v>2</v>
      </c>
    </row>
    <row r="151" spans="1:18" x14ac:dyDescent="0.35">
      <c r="A151" t="s">
        <v>214</v>
      </c>
      <c r="B151" t="s">
        <v>305</v>
      </c>
      <c r="C151" t="s">
        <v>304</v>
      </c>
      <c r="D151">
        <v>26</v>
      </c>
      <c r="E151">
        <v>98</v>
      </c>
      <c r="F151">
        <v>52</v>
      </c>
      <c r="H151">
        <v>31</v>
      </c>
      <c r="I151">
        <v>2</v>
      </c>
      <c r="L151">
        <v>5</v>
      </c>
      <c r="M151">
        <v>1</v>
      </c>
      <c r="N151">
        <v>8</v>
      </c>
      <c r="O151">
        <v>10</v>
      </c>
      <c r="P151">
        <v>6</v>
      </c>
      <c r="Q151">
        <v>9</v>
      </c>
      <c r="R151">
        <v>4</v>
      </c>
    </row>
    <row r="152" spans="1:18" x14ac:dyDescent="0.35">
      <c r="A152" t="s">
        <v>313</v>
      </c>
      <c r="B152" t="s">
        <v>216</v>
      </c>
      <c r="C152" t="s">
        <v>215</v>
      </c>
      <c r="D152">
        <v>15</v>
      </c>
      <c r="E152">
        <v>70</v>
      </c>
      <c r="F152">
        <v>231</v>
      </c>
      <c r="H152">
        <v>44</v>
      </c>
      <c r="I152">
        <v>17</v>
      </c>
      <c r="J152">
        <v>2</v>
      </c>
      <c r="K152">
        <v>1</v>
      </c>
      <c r="L152">
        <v>7</v>
      </c>
      <c r="M152">
        <v>6</v>
      </c>
      <c r="N152">
        <v>13</v>
      </c>
      <c r="O152">
        <v>9</v>
      </c>
      <c r="P152">
        <v>8</v>
      </c>
      <c r="Q152">
        <v>6</v>
      </c>
      <c r="R152">
        <v>4</v>
      </c>
    </row>
    <row r="153" spans="1:18" x14ac:dyDescent="0.35">
      <c r="A153" t="s">
        <v>313</v>
      </c>
      <c r="B153" t="s">
        <v>225</v>
      </c>
      <c r="C153" t="s">
        <v>224</v>
      </c>
      <c r="D153">
        <v>7</v>
      </c>
      <c r="E153">
        <v>38</v>
      </c>
      <c r="F153">
        <v>7</v>
      </c>
      <c r="H153">
        <v>2</v>
      </c>
      <c r="I153">
        <v>6</v>
      </c>
      <c r="K153">
        <v>7</v>
      </c>
      <c r="L153">
        <v>10</v>
      </c>
      <c r="M153">
        <v>8</v>
      </c>
      <c r="N153">
        <v>10</v>
      </c>
      <c r="O153">
        <v>9</v>
      </c>
      <c r="P153">
        <v>8</v>
      </c>
      <c r="Q153">
        <v>2</v>
      </c>
      <c r="R153">
        <v>9</v>
      </c>
    </row>
    <row r="154" spans="1:18" x14ac:dyDescent="0.35">
      <c r="A154" t="s">
        <v>313</v>
      </c>
      <c r="B154" t="s">
        <v>310</v>
      </c>
      <c r="C154" t="s">
        <v>309</v>
      </c>
      <c r="D154">
        <v>6</v>
      </c>
      <c r="E154">
        <v>19</v>
      </c>
      <c r="F154">
        <v>21</v>
      </c>
      <c r="H154">
        <v>20</v>
      </c>
      <c r="I154">
        <v>3</v>
      </c>
      <c r="K154">
        <v>2</v>
      </c>
      <c r="L154">
        <v>12</v>
      </c>
      <c r="M154">
        <v>1</v>
      </c>
      <c r="N154">
        <v>13</v>
      </c>
      <c r="O154">
        <v>7</v>
      </c>
      <c r="P154">
        <v>15</v>
      </c>
      <c r="Q154">
        <v>5</v>
      </c>
      <c r="R154">
        <v>4</v>
      </c>
    </row>
    <row r="155" spans="1:18" x14ac:dyDescent="0.35">
      <c r="A155" t="s">
        <v>319</v>
      </c>
      <c r="B155" t="s">
        <v>268</v>
      </c>
      <c r="C155" t="s">
        <v>267</v>
      </c>
      <c r="D155">
        <v>2</v>
      </c>
      <c r="E155">
        <v>120</v>
      </c>
      <c r="F155">
        <v>79</v>
      </c>
      <c r="G155">
        <v>2</v>
      </c>
      <c r="H155">
        <v>2</v>
      </c>
      <c r="I155">
        <v>10</v>
      </c>
      <c r="K155">
        <v>1</v>
      </c>
      <c r="L155">
        <v>2</v>
      </c>
      <c r="M155">
        <v>3</v>
      </c>
      <c r="N155">
        <v>7</v>
      </c>
      <c r="O155">
        <v>6</v>
      </c>
      <c r="P155">
        <v>13</v>
      </c>
      <c r="Q155">
        <v>3</v>
      </c>
    </row>
    <row r="156" spans="1:18" x14ac:dyDescent="0.35">
      <c r="A156" t="s">
        <v>321</v>
      </c>
      <c r="B156" t="s">
        <v>245</v>
      </c>
      <c r="C156" t="s">
        <v>244</v>
      </c>
      <c r="D156">
        <v>7</v>
      </c>
      <c r="E156">
        <v>35</v>
      </c>
      <c r="F156">
        <v>33</v>
      </c>
      <c r="H156">
        <v>17</v>
      </c>
      <c r="I156">
        <v>20</v>
      </c>
      <c r="J156">
        <v>2</v>
      </c>
      <c r="L156">
        <v>6</v>
      </c>
      <c r="N156">
        <v>3</v>
      </c>
      <c r="O156">
        <v>2</v>
      </c>
      <c r="P156">
        <v>6</v>
      </c>
      <c r="Q156">
        <v>7</v>
      </c>
      <c r="R156">
        <v>3</v>
      </c>
    </row>
    <row r="157" spans="1:18" x14ac:dyDescent="0.35">
      <c r="A157" t="s">
        <v>321</v>
      </c>
      <c r="B157" t="s">
        <v>268</v>
      </c>
      <c r="C157" t="s">
        <v>1101</v>
      </c>
      <c r="D157">
        <v>1</v>
      </c>
      <c r="E157">
        <v>121</v>
      </c>
      <c r="F157">
        <v>156</v>
      </c>
      <c r="H157">
        <v>11</v>
      </c>
      <c r="I157">
        <v>14</v>
      </c>
      <c r="K157">
        <v>3</v>
      </c>
      <c r="L157">
        <v>3</v>
      </c>
      <c r="M157">
        <v>13</v>
      </c>
      <c r="N157">
        <v>13</v>
      </c>
      <c r="O157">
        <v>5</v>
      </c>
      <c r="P157">
        <v>20</v>
      </c>
      <c r="Q157">
        <v>1</v>
      </c>
      <c r="R157">
        <v>9</v>
      </c>
    </row>
    <row r="158" spans="1:18" x14ac:dyDescent="0.35">
      <c r="A158" t="s">
        <v>326</v>
      </c>
      <c r="B158" t="s">
        <v>241</v>
      </c>
      <c r="C158" t="s">
        <v>240</v>
      </c>
      <c r="D158">
        <v>1</v>
      </c>
      <c r="E158">
        <v>15</v>
      </c>
      <c r="F158">
        <v>2</v>
      </c>
      <c r="M158">
        <v>6</v>
      </c>
      <c r="N158">
        <v>1</v>
      </c>
      <c r="P158">
        <v>2</v>
      </c>
    </row>
    <row r="159" spans="1:18" x14ac:dyDescent="0.35">
      <c r="A159" t="s">
        <v>326</v>
      </c>
      <c r="B159" t="s">
        <v>295</v>
      </c>
      <c r="C159" t="s">
        <v>294</v>
      </c>
      <c r="D159">
        <v>24</v>
      </c>
      <c r="E159">
        <v>46</v>
      </c>
      <c r="F159">
        <v>10</v>
      </c>
      <c r="G159">
        <v>1</v>
      </c>
      <c r="H159">
        <v>15</v>
      </c>
      <c r="I159">
        <v>10</v>
      </c>
      <c r="K159">
        <v>1</v>
      </c>
      <c r="L159">
        <v>12</v>
      </c>
      <c r="M159">
        <v>7</v>
      </c>
      <c r="N159">
        <v>3</v>
      </c>
      <c r="O159">
        <v>4</v>
      </c>
      <c r="P159">
        <v>3</v>
      </c>
      <c r="Q159">
        <v>1</v>
      </c>
      <c r="R159">
        <v>1</v>
      </c>
    </row>
    <row r="160" spans="1:18" x14ac:dyDescent="0.35">
      <c r="A160" t="s">
        <v>326</v>
      </c>
      <c r="B160" t="s">
        <v>310</v>
      </c>
      <c r="C160" t="s">
        <v>309</v>
      </c>
      <c r="E160">
        <v>14</v>
      </c>
      <c r="F160">
        <v>11</v>
      </c>
      <c r="H160">
        <v>3</v>
      </c>
      <c r="K160">
        <v>1</v>
      </c>
      <c r="L160">
        <v>1</v>
      </c>
      <c r="M160">
        <v>3</v>
      </c>
      <c r="N160">
        <v>3</v>
      </c>
      <c r="O160">
        <v>3</v>
      </c>
      <c r="P160">
        <v>2</v>
      </c>
      <c r="Q160">
        <v>1</v>
      </c>
      <c r="R160">
        <v>1</v>
      </c>
    </row>
    <row r="161" spans="1:18" x14ac:dyDescent="0.35">
      <c r="A161" t="s">
        <v>327</v>
      </c>
      <c r="B161" t="s">
        <v>1210</v>
      </c>
      <c r="C161" t="s">
        <v>220</v>
      </c>
      <c r="D161">
        <v>8</v>
      </c>
      <c r="E161">
        <v>67</v>
      </c>
      <c r="F161">
        <v>16</v>
      </c>
      <c r="G161">
        <v>2</v>
      </c>
      <c r="H161">
        <v>28</v>
      </c>
      <c r="I161">
        <v>147</v>
      </c>
      <c r="K161">
        <v>5</v>
      </c>
      <c r="L161">
        <v>3</v>
      </c>
      <c r="M161">
        <v>7</v>
      </c>
      <c r="N161">
        <v>11</v>
      </c>
      <c r="O161">
        <v>6</v>
      </c>
      <c r="P161">
        <v>19</v>
      </c>
      <c r="Q161">
        <v>4</v>
      </c>
      <c r="R161">
        <v>10</v>
      </c>
    </row>
    <row r="162" spans="1:18" x14ac:dyDescent="0.35">
      <c r="A162" t="s">
        <v>327</v>
      </c>
      <c r="B162" t="s">
        <v>1211</v>
      </c>
      <c r="C162" t="s">
        <v>228</v>
      </c>
      <c r="D162">
        <v>6</v>
      </c>
      <c r="E162">
        <v>29</v>
      </c>
      <c r="F162">
        <v>18</v>
      </c>
      <c r="G162">
        <v>2</v>
      </c>
      <c r="H162">
        <v>78</v>
      </c>
      <c r="I162">
        <v>301</v>
      </c>
      <c r="K162">
        <v>2</v>
      </c>
      <c r="L162">
        <v>2</v>
      </c>
      <c r="M162">
        <v>1</v>
      </c>
      <c r="N162">
        <v>3</v>
      </c>
      <c r="O162">
        <v>9</v>
      </c>
      <c r="P162">
        <v>5</v>
      </c>
      <c r="Q162">
        <v>2</v>
      </c>
      <c r="R162">
        <v>1</v>
      </c>
    </row>
    <row r="163" spans="1:18" x14ac:dyDescent="0.35">
      <c r="A163" t="s">
        <v>327</v>
      </c>
      <c r="B163" t="s">
        <v>235</v>
      </c>
      <c r="C163" t="s">
        <v>234</v>
      </c>
      <c r="D163">
        <v>35</v>
      </c>
      <c r="E163">
        <v>110</v>
      </c>
      <c r="F163">
        <v>202</v>
      </c>
      <c r="G163">
        <v>12</v>
      </c>
      <c r="H163">
        <v>82</v>
      </c>
      <c r="I163">
        <v>32</v>
      </c>
      <c r="J163">
        <v>1</v>
      </c>
      <c r="K163">
        <v>1</v>
      </c>
      <c r="L163">
        <v>32</v>
      </c>
      <c r="M163">
        <v>5</v>
      </c>
      <c r="N163">
        <v>22</v>
      </c>
      <c r="O163">
        <v>8</v>
      </c>
      <c r="P163">
        <v>5</v>
      </c>
      <c r="Q163">
        <v>11</v>
      </c>
      <c r="R163">
        <v>6</v>
      </c>
    </row>
    <row r="164" spans="1:18" x14ac:dyDescent="0.35">
      <c r="A164" t="s">
        <v>327</v>
      </c>
      <c r="B164" t="s">
        <v>254</v>
      </c>
      <c r="C164" t="s">
        <v>253</v>
      </c>
      <c r="D164">
        <v>4</v>
      </c>
      <c r="E164">
        <v>25</v>
      </c>
      <c r="F164">
        <v>23</v>
      </c>
      <c r="H164">
        <v>2</v>
      </c>
      <c r="I164">
        <v>1</v>
      </c>
      <c r="L164">
        <v>2</v>
      </c>
      <c r="M164">
        <v>3</v>
      </c>
      <c r="O164">
        <v>1</v>
      </c>
      <c r="Q164">
        <v>1</v>
      </c>
      <c r="R164">
        <v>1</v>
      </c>
    </row>
    <row r="165" spans="1:18" x14ac:dyDescent="0.35">
      <c r="A165" t="s">
        <v>327</v>
      </c>
      <c r="B165" t="s">
        <v>278</v>
      </c>
      <c r="C165" t="s">
        <v>277</v>
      </c>
      <c r="D165">
        <v>9</v>
      </c>
      <c r="E165">
        <v>29</v>
      </c>
      <c r="F165">
        <v>6</v>
      </c>
      <c r="H165">
        <v>6</v>
      </c>
      <c r="I165">
        <v>12</v>
      </c>
      <c r="K165">
        <v>2</v>
      </c>
      <c r="L165">
        <v>2</v>
      </c>
      <c r="M165">
        <v>1</v>
      </c>
      <c r="N165">
        <v>5</v>
      </c>
      <c r="O165">
        <v>6</v>
      </c>
      <c r="P165">
        <v>5</v>
      </c>
      <c r="Q165">
        <v>3</v>
      </c>
      <c r="R165">
        <v>5</v>
      </c>
    </row>
    <row r="166" spans="1:18" x14ac:dyDescent="0.35">
      <c r="A166" t="s">
        <v>365</v>
      </c>
      <c r="B166" t="s">
        <v>216</v>
      </c>
      <c r="C166" t="s">
        <v>215</v>
      </c>
      <c r="D166">
        <v>4</v>
      </c>
      <c r="E166">
        <v>71</v>
      </c>
      <c r="F166">
        <v>164</v>
      </c>
      <c r="G166">
        <v>2</v>
      </c>
      <c r="H166">
        <v>72</v>
      </c>
      <c r="I166">
        <v>3</v>
      </c>
      <c r="J166">
        <v>4</v>
      </c>
      <c r="L166">
        <v>27</v>
      </c>
      <c r="M166">
        <v>1</v>
      </c>
      <c r="N166">
        <v>6</v>
      </c>
      <c r="O166">
        <v>6</v>
      </c>
      <c r="P166">
        <v>1</v>
      </c>
      <c r="Q166">
        <v>2</v>
      </c>
      <c r="R166">
        <v>6</v>
      </c>
    </row>
    <row r="167" spans="1:18" x14ac:dyDescent="0.35">
      <c r="A167" t="s">
        <v>365</v>
      </c>
      <c r="B167" t="s">
        <v>235</v>
      </c>
      <c r="C167" t="s">
        <v>234</v>
      </c>
      <c r="D167">
        <v>40</v>
      </c>
      <c r="E167">
        <v>127</v>
      </c>
      <c r="F167">
        <v>134</v>
      </c>
      <c r="G167">
        <v>69</v>
      </c>
      <c r="H167">
        <v>105</v>
      </c>
      <c r="I167">
        <v>42</v>
      </c>
      <c r="J167">
        <v>3</v>
      </c>
      <c r="K167">
        <v>7</v>
      </c>
      <c r="L167">
        <v>127</v>
      </c>
      <c r="M167">
        <v>28</v>
      </c>
      <c r="N167">
        <v>89</v>
      </c>
      <c r="O167">
        <v>108</v>
      </c>
      <c r="P167">
        <v>15</v>
      </c>
      <c r="Q167">
        <v>43</v>
      </c>
      <c r="R167">
        <v>19</v>
      </c>
    </row>
    <row r="168" spans="1:18" x14ac:dyDescent="0.35">
      <c r="A168" t="s">
        <v>365</v>
      </c>
      <c r="B168" t="s">
        <v>248</v>
      </c>
      <c r="C168" t="s">
        <v>247</v>
      </c>
      <c r="D168">
        <v>37</v>
      </c>
      <c r="E168">
        <v>40</v>
      </c>
      <c r="F168">
        <v>315</v>
      </c>
      <c r="G168">
        <v>1</v>
      </c>
      <c r="H168">
        <v>34</v>
      </c>
      <c r="I168">
        <v>2</v>
      </c>
      <c r="L168">
        <v>23</v>
      </c>
      <c r="M168">
        <v>1</v>
      </c>
      <c r="N168">
        <v>3</v>
      </c>
      <c r="O168">
        <v>3</v>
      </c>
      <c r="Q168">
        <v>1</v>
      </c>
    </row>
    <row r="169" spans="1:18" x14ac:dyDescent="0.35">
      <c r="A169" t="s">
        <v>365</v>
      </c>
      <c r="B169" t="s">
        <v>260</v>
      </c>
      <c r="C169" t="s">
        <v>259</v>
      </c>
      <c r="D169">
        <v>1</v>
      </c>
      <c r="E169">
        <v>14</v>
      </c>
      <c r="F169">
        <v>14</v>
      </c>
      <c r="H169">
        <v>7</v>
      </c>
      <c r="I169">
        <v>2</v>
      </c>
      <c r="J169">
        <v>1</v>
      </c>
      <c r="K169">
        <v>3</v>
      </c>
      <c r="L169">
        <v>18</v>
      </c>
      <c r="M169">
        <v>7</v>
      </c>
      <c r="N169">
        <v>25</v>
      </c>
      <c r="O169">
        <v>8</v>
      </c>
      <c r="Q169">
        <v>11</v>
      </c>
      <c r="R169">
        <v>8</v>
      </c>
    </row>
    <row r="170" spans="1:18" x14ac:dyDescent="0.35">
      <c r="A170" t="s">
        <v>365</v>
      </c>
      <c r="B170" t="s">
        <v>268</v>
      </c>
      <c r="C170" t="s">
        <v>1101</v>
      </c>
      <c r="D170">
        <v>13</v>
      </c>
      <c r="E170">
        <v>118</v>
      </c>
      <c r="F170">
        <v>222</v>
      </c>
      <c r="G170">
        <v>1</v>
      </c>
      <c r="H170">
        <v>57</v>
      </c>
      <c r="I170">
        <v>3</v>
      </c>
      <c r="J170">
        <v>2</v>
      </c>
      <c r="K170">
        <v>4</v>
      </c>
      <c r="L170">
        <v>11</v>
      </c>
      <c r="M170">
        <v>3</v>
      </c>
      <c r="N170">
        <v>13</v>
      </c>
      <c r="O170">
        <v>22</v>
      </c>
      <c r="P170">
        <v>14</v>
      </c>
      <c r="Q170">
        <v>10</v>
      </c>
      <c r="R170">
        <v>5</v>
      </c>
    </row>
    <row r="171" spans="1:18" x14ac:dyDescent="0.35">
      <c r="A171" t="s">
        <v>366</v>
      </c>
      <c r="B171" t="s">
        <v>268</v>
      </c>
      <c r="C171" t="s">
        <v>1101</v>
      </c>
      <c r="D171">
        <v>18</v>
      </c>
      <c r="E171">
        <v>137</v>
      </c>
      <c r="F171">
        <v>272</v>
      </c>
      <c r="G171">
        <v>1</v>
      </c>
      <c r="H171">
        <v>61</v>
      </c>
      <c r="I171">
        <v>6</v>
      </c>
      <c r="J171">
        <v>2</v>
      </c>
      <c r="K171">
        <v>4</v>
      </c>
      <c r="L171">
        <v>9</v>
      </c>
      <c r="M171">
        <v>12</v>
      </c>
      <c r="N171">
        <v>31</v>
      </c>
      <c r="O171">
        <v>18</v>
      </c>
      <c r="P171">
        <v>23</v>
      </c>
      <c r="Q171">
        <v>12</v>
      </c>
      <c r="R171">
        <v>12</v>
      </c>
    </row>
    <row r="172" spans="1:18" x14ac:dyDescent="0.35">
      <c r="A172" t="s">
        <v>366</v>
      </c>
      <c r="B172" t="s">
        <v>282</v>
      </c>
      <c r="C172" t="s">
        <v>281</v>
      </c>
      <c r="D172">
        <v>11</v>
      </c>
      <c r="E172">
        <v>38</v>
      </c>
      <c r="F172">
        <v>13</v>
      </c>
      <c r="G172">
        <v>4</v>
      </c>
      <c r="H172">
        <v>38</v>
      </c>
      <c r="I172">
        <v>28</v>
      </c>
      <c r="K172">
        <v>2</v>
      </c>
      <c r="L172">
        <v>2</v>
      </c>
      <c r="M172">
        <v>2</v>
      </c>
      <c r="N172">
        <v>2</v>
      </c>
      <c r="O172">
        <v>3</v>
      </c>
      <c r="P172">
        <v>43</v>
      </c>
      <c r="Q172">
        <v>7</v>
      </c>
    </row>
    <row r="173" spans="1:18" x14ac:dyDescent="0.35">
      <c r="A173" t="s">
        <v>366</v>
      </c>
      <c r="B173" t="s">
        <v>288</v>
      </c>
      <c r="C173" t="s">
        <v>287</v>
      </c>
      <c r="D173">
        <v>5</v>
      </c>
      <c r="E173">
        <v>72</v>
      </c>
      <c r="F173">
        <v>6</v>
      </c>
      <c r="G173">
        <v>4</v>
      </c>
      <c r="H173">
        <v>36</v>
      </c>
      <c r="I173">
        <v>30</v>
      </c>
      <c r="K173">
        <v>1</v>
      </c>
      <c r="L173">
        <v>4</v>
      </c>
      <c r="M173">
        <v>5</v>
      </c>
      <c r="N173">
        <v>39</v>
      </c>
      <c r="O173">
        <v>13</v>
      </c>
      <c r="P173">
        <v>34</v>
      </c>
      <c r="Q173">
        <v>4</v>
      </c>
      <c r="R173">
        <v>10</v>
      </c>
    </row>
    <row r="174" spans="1:18" x14ac:dyDescent="0.35">
      <c r="A174" t="s">
        <v>366</v>
      </c>
      <c r="B174" t="s">
        <v>293</v>
      </c>
      <c r="C174" t="s">
        <v>292</v>
      </c>
      <c r="D174">
        <v>1</v>
      </c>
      <c r="E174">
        <v>14</v>
      </c>
      <c r="F174">
        <v>6</v>
      </c>
      <c r="G174">
        <v>1</v>
      </c>
      <c r="H174">
        <v>9</v>
      </c>
      <c r="I174">
        <v>1</v>
      </c>
    </row>
    <row r="175" spans="1:18" x14ac:dyDescent="0.35">
      <c r="A175" t="s">
        <v>366</v>
      </c>
      <c r="B175" t="s">
        <v>310</v>
      </c>
      <c r="C175" t="s">
        <v>309</v>
      </c>
      <c r="D175">
        <v>7</v>
      </c>
      <c r="E175">
        <v>26</v>
      </c>
      <c r="F175">
        <v>19</v>
      </c>
      <c r="H175">
        <v>17</v>
      </c>
      <c r="I175">
        <v>2</v>
      </c>
      <c r="J175">
        <v>1</v>
      </c>
      <c r="L175">
        <v>3</v>
      </c>
      <c r="M175">
        <v>5</v>
      </c>
      <c r="N175">
        <v>7</v>
      </c>
      <c r="O175">
        <v>7</v>
      </c>
      <c r="P175">
        <v>117</v>
      </c>
      <c r="Q175">
        <v>9</v>
      </c>
    </row>
    <row r="176" spans="1:18" x14ac:dyDescent="0.35">
      <c r="A176" t="s">
        <v>341</v>
      </c>
      <c r="B176" t="s">
        <v>221</v>
      </c>
      <c r="C176" t="s">
        <v>220</v>
      </c>
      <c r="D176">
        <v>25</v>
      </c>
      <c r="E176">
        <v>89</v>
      </c>
      <c r="F176">
        <v>41</v>
      </c>
      <c r="G176">
        <v>2</v>
      </c>
      <c r="H176">
        <v>59</v>
      </c>
      <c r="I176">
        <v>54</v>
      </c>
      <c r="L176">
        <v>12</v>
      </c>
      <c r="M176">
        <v>62</v>
      </c>
      <c r="N176">
        <v>2</v>
      </c>
      <c r="O176">
        <v>3</v>
      </c>
      <c r="P176">
        <v>8</v>
      </c>
      <c r="Q176">
        <v>2</v>
      </c>
      <c r="R176">
        <v>3</v>
      </c>
    </row>
    <row r="177" spans="1:18" x14ac:dyDescent="0.35">
      <c r="A177" t="s">
        <v>341</v>
      </c>
      <c r="B177" t="s">
        <v>241</v>
      </c>
      <c r="C177" t="s">
        <v>240</v>
      </c>
      <c r="D177">
        <v>15</v>
      </c>
      <c r="E177">
        <v>19</v>
      </c>
      <c r="F177">
        <v>2</v>
      </c>
      <c r="G177">
        <v>2</v>
      </c>
      <c r="H177">
        <v>2</v>
      </c>
      <c r="I177">
        <v>1</v>
      </c>
      <c r="L177">
        <v>2</v>
      </c>
      <c r="M177">
        <v>10</v>
      </c>
      <c r="N177">
        <v>6</v>
      </c>
      <c r="O177">
        <v>3</v>
      </c>
      <c r="Q177">
        <v>6</v>
      </c>
    </row>
    <row r="178" spans="1:18" x14ac:dyDescent="0.35">
      <c r="A178" t="s">
        <v>341</v>
      </c>
      <c r="B178" t="s">
        <v>245</v>
      </c>
      <c r="C178" t="s">
        <v>244</v>
      </c>
      <c r="D178">
        <v>11</v>
      </c>
      <c r="E178">
        <v>76</v>
      </c>
      <c r="F178">
        <v>44</v>
      </c>
      <c r="G178">
        <v>6</v>
      </c>
      <c r="H178">
        <v>110</v>
      </c>
      <c r="I178">
        <v>10</v>
      </c>
      <c r="J178">
        <v>2</v>
      </c>
      <c r="K178">
        <v>7</v>
      </c>
      <c r="L178">
        <v>5</v>
      </c>
      <c r="M178">
        <v>18</v>
      </c>
      <c r="N178">
        <v>18</v>
      </c>
      <c r="O178">
        <v>8</v>
      </c>
      <c r="P178">
        <v>22</v>
      </c>
      <c r="Q178">
        <v>19</v>
      </c>
      <c r="R178">
        <v>7</v>
      </c>
    </row>
    <row r="179" spans="1:18" x14ac:dyDescent="0.35">
      <c r="A179" t="s">
        <v>341</v>
      </c>
      <c r="B179" t="s">
        <v>250</v>
      </c>
      <c r="C179" t="s">
        <v>249</v>
      </c>
      <c r="D179">
        <v>6</v>
      </c>
      <c r="E179">
        <v>46</v>
      </c>
      <c r="F179">
        <v>9</v>
      </c>
      <c r="H179">
        <v>24</v>
      </c>
      <c r="I179">
        <v>9</v>
      </c>
      <c r="K179">
        <v>2</v>
      </c>
      <c r="L179">
        <v>4</v>
      </c>
      <c r="M179">
        <v>2</v>
      </c>
      <c r="N179">
        <v>23</v>
      </c>
      <c r="O179">
        <v>7</v>
      </c>
      <c r="P179">
        <v>22</v>
      </c>
      <c r="Q179">
        <v>6</v>
      </c>
      <c r="R179">
        <v>4</v>
      </c>
    </row>
    <row r="180" spans="1:18" x14ac:dyDescent="0.35">
      <c r="A180" t="s">
        <v>341</v>
      </c>
      <c r="B180" t="s">
        <v>303</v>
      </c>
      <c r="C180" t="s">
        <v>302</v>
      </c>
      <c r="D180">
        <v>19</v>
      </c>
      <c r="E180">
        <v>51</v>
      </c>
      <c r="F180">
        <v>32</v>
      </c>
      <c r="G180">
        <v>6</v>
      </c>
      <c r="H180">
        <v>59</v>
      </c>
      <c r="I180">
        <v>34</v>
      </c>
      <c r="K180">
        <v>4</v>
      </c>
      <c r="L180">
        <v>15</v>
      </c>
      <c r="M180">
        <v>4</v>
      </c>
      <c r="N180">
        <v>22</v>
      </c>
      <c r="O180">
        <v>12</v>
      </c>
      <c r="P180">
        <v>9</v>
      </c>
      <c r="Q180">
        <v>9</v>
      </c>
      <c r="R180">
        <v>34</v>
      </c>
    </row>
    <row r="181" spans="1:18" x14ac:dyDescent="0.35">
      <c r="A181" t="s">
        <v>342</v>
      </c>
      <c r="B181" t="s">
        <v>216</v>
      </c>
      <c r="C181" t="s">
        <v>215</v>
      </c>
      <c r="D181">
        <v>13</v>
      </c>
      <c r="E181">
        <v>46</v>
      </c>
      <c r="F181">
        <v>170</v>
      </c>
      <c r="G181">
        <v>1</v>
      </c>
      <c r="H181">
        <v>35</v>
      </c>
      <c r="I181">
        <v>1</v>
      </c>
      <c r="J181">
        <v>3</v>
      </c>
      <c r="K181">
        <v>1</v>
      </c>
      <c r="L181">
        <v>9</v>
      </c>
      <c r="M181">
        <v>3</v>
      </c>
      <c r="N181">
        <v>12</v>
      </c>
      <c r="O181">
        <v>6</v>
      </c>
      <c r="P181">
        <v>6</v>
      </c>
      <c r="Q181">
        <v>5</v>
      </c>
      <c r="R181">
        <v>4</v>
      </c>
    </row>
    <row r="182" spans="1:18" x14ac:dyDescent="0.35">
      <c r="A182" t="s">
        <v>342</v>
      </c>
      <c r="B182" t="s">
        <v>221</v>
      </c>
      <c r="C182" t="s">
        <v>220</v>
      </c>
      <c r="D182">
        <v>15</v>
      </c>
      <c r="E182">
        <v>92</v>
      </c>
      <c r="F182">
        <v>39</v>
      </c>
      <c r="H182">
        <v>72</v>
      </c>
      <c r="I182">
        <v>52</v>
      </c>
      <c r="J182">
        <v>1</v>
      </c>
      <c r="K182">
        <v>6</v>
      </c>
      <c r="L182">
        <v>10</v>
      </c>
      <c r="M182">
        <v>8</v>
      </c>
      <c r="N182">
        <v>10</v>
      </c>
      <c r="O182">
        <v>8</v>
      </c>
      <c r="P182">
        <v>15</v>
      </c>
      <c r="Q182">
        <v>11</v>
      </c>
      <c r="R182">
        <v>5</v>
      </c>
    </row>
    <row r="183" spans="1:18" x14ac:dyDescent="0.35">
      <c r="A183" t="s">
        <v>342</v>
      </c>
      <c r="B183" t="s">
        <v>301</v>
      </c>
      <c r="C183" t="s">
        <v>300</v>
      </c>
      <c r="D183">
        <v>1</v>
      </c>
      <c r="E183">
        <v>16</v>
      </c>
      <c r="F183">
        <v>3</v>
      </c>
      <c r="L183">
        <v>1</v>
      </c>
      <c r="M183">
        <v>1</v>
      </c>
      <c r="N183">
        <v>1</v>
      </c>
    </row>
    <row r="184" spans="1:18" x14ac:dyDescent="0.35">
      <c r="A184" t="s">
        <v>214</v>
      </c>
      <c r="B184" t="s">
        <v>248</v>
      </c>
      <c r="C184" t="s">
        <v>247</v>
      </c>
      <c r="D184">
        <v>14</v>
      </c>
      <c r="E184">
        <v>39</v>
      </c>
      <c r="F184">
        <v>280</v>
      </c>
      <c r="G184">
        <v>2</v>
      </c>
      <c r="H184">
        <v>15</v>
      </c>
      <c r="L184">
        <v>10</v>
      </c>
      <c r="M184">
        <v>6</v>
      </c>
      <c r="N184">
        <v>5</v>
      </c>
      <c r="O184">
        <v>4</v>
      </c>
      <c r="P184">
        <v>1</v>
      </c>
      <c r="Q184">
        <v>1</v>
      </c>
      <c r="R184">
        <v>4</v>
      </c>
    </row>
    <row r="185" spans="1:18" x14ac:dyDescent="0.35">
      <c r="A185" t="s">
        <v>313</v>
      </c>
      <c r="B185" t="s">
        <v>221</v>
      </c>
      <c r="C185" t="s">
        <v>220</v>
      </c>
      <c r="D185">
        <v>15</v>
      </c>
      <c r="E185">
        <v>81</v>
      </c>
      <c r="F185">
        <v>20</v>
      </c>
      <c r="G185">
        <v>5</v>
      </c>
      <c r="H185">
        <v>44</v>
      </c>
      <c r="I185">
        <v>47</v>
      </c>
      <c r="K185">
        <v>3</v>
      </c>
      <c r="L185">
        <v>8</v>
      </c>
      <c r="M185">
        <v>30</v>
      </c>
      <c r="N185">
        <v>34</v>
      </c>
      <c r="O185">
        <v>9</v>
      </c>
      <c r="P185">
        <v>19</v>
      </c>
      <c r="Q185">
        <v>17</v>
      </c>
      <c r="R185">
        <v>19</v>
      </c>
    </row>
    <row r="186" spans="1:18" x14ac:dyDescent="0.35">
      <c r="A186" t="s">
        <v>313</v>
      </c>
      <c r="B186" t="s">
        <v>260</v>
      </c>
      <c r="C186" t="s">
        <v>259</v>
      </c>
      <c r="E186">
        <v>7</v>
      </c>
      <c r="F186">
        <v>2</v>
      </c>
      <c r="H186">
        <v>6</v>
      </c>
      <c r="I186">
        <v>2</v>
      </c>
      <c r="M186">
        <v>5</v>
      </c>
      <c r="O186">
        <v>3</v>
      </c>
      <c r="P186">
        <v>1</v>
      </c>
      <c r="Q186">
        <v>2</v>
      </c>
    </row>
    <row r="187" spans="1:18" x14ac:dyDescent="0.35">
      <c r="A187" t="s">
        <v>313</v>
      </c>
      <c r="B187" t="s">
        <v>295</v>
      </c>
      <c r="C187" t="s">
        <v>294</v>
      </c>
      <c r="D187">
        <v>36</v>
      </c>
      <c r="E187">
        <v>71</v>
      </c>
      <c r="F187">
        <v>10</v>
      </c>
      <c r="G187">
        <v>2</v>
      </c>
      <c r="H187">
        <v>67</v>
      </c>
      <c r="I187">
        <v>33</v>
      </c>
      <c r="L187">
        <v>6</v>
      </c>
      <c r="M187">
        <v>6</v>
      </c>
      <c r="N187">
        <v>6</v>
      </c>
      <c r="O187">
        <v>6</v>
      </c>
      <c r="P187">
        <v>2</v>
      </c>
      <c r="Q187">
        <v>1</v>
      </c>
      <c r="R187">
        <v>2</v>
      </c>
    </row>
    <row r="188" spans="1:18" x14ac:dyDescent="0.35">
      <c r="A188" t="s">
        <v>313</v>
      </c>
      <c r="B188" t="s">
        <v>297</v>
      </c>
      <c r="C188" t="s">
        <v>296</v>
      </c>
      <c r="D188">
        <v>1</v>
      </c>
      <c r="E188">
        <v>48</v>
      </c>
      <c r="F188">
        <v>5</v>
      </c>
      <c r="H188">
        <v>24</v>
      </c>
      <c r="I188">
        <v>20</v>
      </c>
      <c r="J188">
        <v>1</v>
      </c>
      <c r="L188">
        <v>9</v>
      </c>
      <c r="M188">
        <v>7</v>
      </c>
      <c r="N188">
        <v>11</v>
      </c>
      <c r="O188">
        <v>10</v>
      </c>
      <c r="P188">
        <v>5</v>
      </c>
      <c r="Q188">
        <v>3</v>
      </c>
      <c r="R188">
        <v>5</v>
      </c>
    </row>
    <row r="189" spans="1:18" x14ac:dyDescent="0.35">
      <c r="A189" t="s">
        <v>313</v>
      </c>
      <c r="B189" t="s">
        <v>301</v>
      </c>
      <c r="C189" t="s">
        <v>300</v>
      </c>
      <c r="E189">
        <v>11</v>
      </c>
    </row>
    <row r="190" spans="1:18" x14ac:dyDescent="0.35">
      <c r="A190" t="s">
        <v>313</v>
      </c>
      <c r="B190" t="s">
        <v>305</v>
      </c>
      <c r="C190" t="s">
        <v>304</v>
      </c>
      <c r="D190">
        <v>15</v>
      </c>
      <c r="E190">
        <v>61</v>
      </c>
      <c r="F190">
        <v>45</v>
      </c>
      <c r="H190">
        <v>3</v>
      </c>
      <c r="I190">
        <v>2</v>
      </c>
      <c r="K190">
        <v>1</v>
      </c>
      <c r="L190">
        <v>5</v>
      </c>
      <c r="M190">
        <v>1</v>
      </c>
      <c r="N190">
        <v>13</v>
      </c>
      <c r="O190">
        <v>1</v>
      </c>
      <c r="P190">
        <v>5</v>
      </c>
      <c r="Q190">
        <v>3</v>
      </c>
      <c r="R190">
        <v>4</v>
      </c>
    </row>
    <row r="191" spans="1:18" x14ac:dyDescent="0.35">
      <c r="A191" t="s">
        <v>319</v>
      </c>
      <c r="B191" t="s">
        <v>241</v>
      </c>
      <c r="C191" t="s">
        <v>240</v>
      </c>
      <c r="D191">
        <v>2</v>
      </c>
      <c r="E191">
        <v>19</v>
      </c>
      <c r="G191">
        <v>4</v>
      </c>
      <c r="L191">
        <v>1</v>
      </c>
      <c r="M191">
        <v>2</v>
      </c>
      <c r="N191">
        <v>1</v>
      </c>
      <c r="O191">
        <v>3</v>
      </c>
      <c r="P191">
        <v>2</v>
      </c>
      <c r="Q191">
        <v>1</v>
      </c>
    </row>
    <row r="192" spans="1:18" x14ac:dyDescent="0.35">
      <c r="A192" t="s">
        <v>319</v>
      </c>
      <c r="B192" t="s">
        <v>264</v>
      </c>
      <c r="C192" t="s">
        <v>263</v>
      </c>
      <c r="D192">
        <v>7</v>
      </c>
      <c r="E192">
        <v>39</v>
      </c>
      <c r="J192">
        <v>1</v>
      </c>
      <c r="L192">
        <v>1</v>
      </c>
      <c r="M192">
        <v>3</v>
      </c>
      <c r="N192">
        <v>2</v>
      </c>
      <c r="O192">
        <v>3</v>
      </c>
      <c r="P192">
        <v>4</v>
      </c>
      <c r="Q192">
        <v>1</v>
      </c>
      <c r="R192">
        <v>1</v>
      </c>
    </row>
    <row r="193" spans="1:18" x14ac:dyDescent="0.35">
      <c r="A193" t="s">
        <v>319</v>
      </c>
      <c r="B193" t="s">
        <v>274</v>
      </c>
      <c r="C193" t="s">
        <v>273</v>
      </c>
      <c r="D193">
        <v>18</v>
      </c>
      <c r="E193">
        <v>56</v>
      </c>
      <c r="F193">
        <v>16</v>
      </c>
      <c r="H193">
        <v>17</v>
      </c>
      <c r="I193">
        <v>2</v>
      </c>
      <c r="K193">
        <v>1</v>
      </c>
      <c r="L193">
        <v>1</v>
      </c>
      <c r="M193">
        <v>1</v>
      </c>
      <c r="N193">
        <v>2</v>
      </c>
      <c r="O193">
        <v>2</v>
      </c>
      <c r="P193">
        <v>4</v>
      </c>
      <c r="Q193">
        <v>2</v>
      </c>
      <c r="R193">
        <v>2</v>
      </c>
    </row>
    <row r="194" spans="1:18" x14ac:dyDescent="0.35">
      <c r="A194" t="s">
        <v>327</v>
      </c>
      <c r="B194" t="s">
        <v>305</v>
      </c>
      <c r="C194" t="s">
        <v>304</v>
      </c>
      <c r="D194">
        <v>23</v>
      </c>
      <c r="E194">
        <v>143</v>
      </c>
      <c r="F194">
        <v>59</v>
      </c>
      <c r="H194">
        <v>59</v>
      </c>
      <c r="I194">
        <v>21</v>
      </c>
      <c r="L194">
        <v>4</v>
      </c>
      <c r="M194">
        <v>7</v>
      </c>
      <c r="N194">
        <v>13</v>
      </c>
      <c r="O194">
        <v>18</v>
      </c>
      <c r="P194">
        <v>6</v>
      </c>
      <c r="Q194">
        <v>13</v>
      </c>
      <c r="R194">
        <v>12</v>
      </c>
    </row>
    <row r="195" spans="1:18" x14ac:dyDescent="0.35">
      <c r="A195" t="s">
        <v>466</v>
      </c>
      <c r="B195" t="s">
        <v>241</v>
      </c>
      <c r="C195" t="s">
        <v>240</v>
      </c>
      <c r="D195">
        <v>2</v>
      </c>
      <c r="E195">
        <v>18</v>
      </c>
      <c r="F195">
        <v>4</v>
      </c>
      <c r="G195">
        <v>1</v>
      </c>
      <c r="H195">
        <v>2</v>
      </c>
      <c r="I195">
        <v>3</v>
      </c>
      <c r="L195">
        <v>3</v>
      </c>
      <c r="M195">
        <v>3</v>
      </c>
      <c r="N195">
        <v>2</v>
      </c>
      <c r="O195">
        <v>3</v>
      </c>
      <c r="P195">
        <v>6</v>
      </c>
      <c r="Q195">
        <v>5</v>
      </c>
      <c r="R195">
        <v>1</v>
      </c>
    </row>
    <row r="196" spans="1:18" x14ac:dyDescent="0.35">
      <c r="A196" t="s">
        <v>466</v>
      </c>
      <c r="B196" t="s">
        <v>303</v>
      </c>
      <c r="C196" t="s">
        <v>302</v>
      </c>
      <c r="D196">
        <v>10</v>
      </c>
      <c r="E196">
        <v>59</v>
      </c>
      <c r="F196">
        <v>36</v>
      </c>
      <c r="G196">
        <v>2</v>
      </c>
      <c r="H196">
        <v>56</v>
      </c>
      <c r="I196">
        <v>53</v>
      </c>
      <c r="K196">
        <v>2</v>
      </c>
      <c r="L196">
        <v>4</v>
      </c>
      <c r="M196">
        <v>5</v>
      </c>
      <c r="N196">
        <v>18</v>
      </c>
      <c r="O196">
        <v>6</v>
      </c>
      <c r="P196">
        <v>9</v>
      </c>
      <c r="Q196">
        <v>11</v>
      </c>
      <c r="R196">
        <v>9</v>
      </c>
    </row>
    <row r="197" spans="1:18" x14ac:dyDescent="0.35">
      <c r="A197" t="s">
        <v>466</v>
      </c>
      <c r="B197" t="s">
        <v>254</v>
      </c>
      <c r="C197" t="s">
        <v>253</v>
      </c>
      <c r="E197">
        <v>33</v>
      </c>
      <c r="F197">
        <v>21</v>
      </c>
      <c r="H197">
        <v>5</v>
      </c>
      <c r="I197">
        <v>1</v>
      </c>
      <c r="L197">
        <v>3</v>
      </c>
      <c r="N197">
        <v>7</v>
      </c>
      <c r="O197">
        <v>3</v>
      </c>
      <c r="P197">
        <v>1</v>
      </c>
      <c r="R197">
        <v>1</v>
      </c>
    </row>
    <row r="198" spans="1:18" x14ac:dyDescent="0.35">
      <c r="A198" t="s">
        <v>466</v>
      </c>
      <c r="B198" t="s">
        <v>260</v>
      </c>
      <c r="C198" t="s">
        <v>259</v>
      </c>
      <c r="D198">
        <v>1</v>
      </c>
      <c r="E198">
        <v>13</v>
      </c>
      <c r="F198">
        <v>10</v>
      </c>
      <c r="H198">
        <v>9</v>
      </c>
      <c r="I198">
        <v>5</v>
      </c>
      <c r="M198">
        <v>3</v>
      </c>
      <c r="N198">
        <v>3</v>
      </c>
      <c r="O198">
        <v>1</v>
      </c>
      <c r="P198">
        <v>1</v>
      </c>
    </row>
    <row r="199" spans="1:18" x14ac:dyDescent="0.35">
      <c r="A199" t="s">
        <v>466</v>
      </c>
      <c r="B199" t="s">
        <v>280</v>
      </c>
      <c r="C199" t="s">
        <v>279</v>
      </c>
      <c r="D199">
        <v>2</v>
      </c>
      <c r="E199">
        <v>14</v>
      </c>
      <c r="F199">
        <v>21</v>
      </c>
      <c r="H199">
        <v>7</v>
      </c>
      <c r="I199">
        <v>36</v>
      </c>
      <c r="L199">
        <v>53</v>
      </c>
      <c r="M199">
        <v>11</v>
      </c>
      <c r="N199">
        <v>1</v>
      </c>
      <c r="O199">
        <v>6</v>
      </c>
      <c r="R199">
        <v>2</v>
      </c>
    </row>
    <row r="200" spans="1:18" x14ac:dyDescent="0.35">
      <c r="A200" t="s">
        <v>466</v>
      </c>
      <c r="B200" t="s">
        <v>312</v>
      </c>
      <c r="C200" t="s">
        <v>311</v>
      </c>
      <c r="D200">
        <v>8</v>
      </c>
      <c r="E200">
        <v>50</v>
      </c>
      <c r="F200">
        <v>14</v>
      </c>
      <c r="H200">
        <v>11</v>
      </c>
      <c r="I200">
        <v>20</v>
      </c>
      <c r="L200">
        <v>8</v>
      </c>
      <c r="M200">
        <v>64</v>
      </c>
      <c r="N200">
        <v>15</v>
      </c>
      <c r="O200">
        <v>22</v>
      </c>
      <c r="P200">
        <v>19</v>
      </c>
      <c r="Q200">
        <v>3</v>
      </c>
      <c r="R200">
        <v>6</v>
      </c>
    </row>
    <row r="201" spans="1:18" x14ac:dyDescent="0.35">
      <c r="A201" t="s">
        <v>326</v>
      </c>
      <c r="B201" t="s">
        <v>290</v>
      </c>
      <c r="C201" t="s">
        <v>289</v>
      </c>
      <c r="D201">
        <v>10</v>
      </c>
      <c r="E201">
        <v>48</v>
      </c>
      <c r="F201">
        <v>22</v>
      </c>
      <c r="G201">
        <v>1</v>
      </c>
      <c r="H201">
        <v>31</v>
      </c>
      <c r="I201">
        <v>4</v>
      </c>
      <c r="L201">
        <v>7</v>
      </c>
      <c r="M201">
        <v>9</v>
      </c>
      <c r="N201">
        <v>37</v>
      </c>
      <c r="O201">
        <v>6</v>
      </c>
      <c r="P201">
        <v>11</v>
      </c>
      <c r="Q201">
        <v>10</v>
      </c>
      <c r="R201">
        <v>1</v>
      </c>
    </row>
    <row r="202" spans="1:18" x14ac:dyDescent="0.35">
      <c r="A202" t="s">
        <v>326</v>
      </c>
      <c r="B202" t="s">
        <v>303</v>
      </c>
      <c r="C202" t="s">
        <v>302</v>
      </c>
      <c r="D202">
        <v>6</v>
      </c>
      <c r="E202">
        <v>46</v>
      </c>
      <c r="F202">
        <v>27</v>
      </c>
      <c r="G202">
        <v>2</v>
      </c>
      <c r="H202">
        <v>45</v>
      </c>
      <c r="I202">
        <v>17</v>
      </c>
      <c r="L202">
        <v>13</v>
      </c>
      <c r="M202">
        <v>5</v>
      </c>
      <c r="N202">
        <v>43</v>
      </c>
      <c r="O202">
        <v>3</v>
      </c>
      <c r="P202">
        <v>17</v>
      </c>
      <c r="Q202">
        <v>12</v>
      </c>
      <c r="R202">
        <v>4</v>
      </c>
    </row>
    <row r="203" spans="1:18" x14ac:dyDescent="0.35">
      <c r="A203" t="s">
        <v>326</v>
      </c>
      <c r="B203" t="s">
        <v>305</v>
      </c>
      <c r="C203" t="s">
        <v>304</v>
      </c>
      <c r="D203">
        <v>12</v>
      </c>
      <c r="E203">
        <v>113</v>
      </c>
      <c r="F203">
        <v>26</v>
      </c>
      <c r="H203">
        <v>36</v>
      </c>
      <c r="I203">
        <v>1</v>
      </c>
      <c r="J203">
        <v>1</v>
      </c>
      <c r="K203">
        <v>1</v>
      </c>
      <c r="L203">
        <v>7</v>
      </c>
      <c r="M203">
        <v>3</v>
      </c>
      <c r="N203">
        <v>9</v>
      </c>
      <c r="O203">
        <v>8</v>
      </c>
      <c r="P203">
        <v>5</v>
      </c>
      <c r="Q203">
        <v>9</v>
      </c>
      <c r="R203">
        <v>7</v>
      </c>
    </row>
    <row r="204" spans="1:18" x14ac:dyDescent="0.35">
      <c r="A204" t="s">
        <v>326</v>
      </c>
      <c r="B204" t="s">
        <v>308</v>
      </c>
      <c r="C204" t="s">
        <v>307</v>
      </c>
      <c r="D204">
        <v>2</v>
      </c>
      <c r="E204">
        <v>37</v>
      </c>
      <c r="F204">
        <v>48</v>
      </c>
      <c r="G204">
        <v>2</v>
      </c>
      <c r="H204">
        <v>8</v>
      </c>
      <c r="I204">
        <v>1</v>
      </c>
      <c r="K204">
        <v>1</v>
      </c>
      <c r="L204">
        <v>4</v>
      </c>
      <c r="M204">
        <v>1</v>
      </c>
      <c r="N204">
        <v>2</v>
      </c>
      <c r="O204">
        <v>1</v>
      </c>
      <c r="P204">
        <v>2</v>
      </c>
      <c r="R204">
        <v>1</v>
      </c>
    </row>
    <row r="205" spans="1:18" x14ac:dyDescent="0.35">
      <c r="A205" t="s">
        <v>327</v>
      </c>
      <c r="B205" t="s">
        <v>1215</v>
      </c>
      <c r="C205" t="s">
        <v>224</v>
      </c>
      <c r="D205">
        <v>7</v>
      </c>
      <c r="E205">
        <v>38</v>
      </c>
      <c r="F205">
        <v>6</v>
      </c>
      <c r="H205">
        <v>9</v>
      </c>
      <c r="I205">
        <v>15</v>
      </c>
      <c r="K205">
        <v>2</v>
      </c>
      <c r="L205">
        <v>4</v>
      </c>
      <c r="M205">
        <v>7</v>
      </c>
      <c r="N205">
        <v>3</v>
      </c>
      <c r="O205">
        <v>2</v>
      </c>
      <c r="P205">
        <v>7</v>
      </c>
      <c r="R205">
        <v>3</v>
      </c>
    </row>
    <row r="206" spans="1:18" x14ac:dyDescent="0.35">
      <c r="A206" t="s">
        <v>327</v>
      </c>
      <c r="B206" t="s">
        <v>1216</v>
      </c>
      <c r="C206" t="s">
        <v>244</v>
      </c>
      <c r="D206">
        <v>13</v>
      </c>
      <c r="E206">
        <v>52</v>
      </c>
      <c r="F206">
        <v>25</v>
      </c>
      <c r="H206">
        <v>33</v>
      </c>
      <c r="I206">
        <v>204</v>
      </c>
      <c r="K206">
        <v>2</v>
      </c>
      <c r="L206">
        <v>3</v>
      </c>
      <c r="M206">
        <v>3</v>
      </c>
      <c r="N206">
        <v>6</v>
      </c>
      <c r="O206">
        <v>4</v>
      </c>
      <c r="P206">
        <v>5</v>
      </c>
      <c r="Q206">
        <v>5</v>
      </c>
      <c r="R206">
        <v>3</v>
      </c>
    </row>
    <row r="207" spans="1:18" x14ac:dyDescent="0.35">
      <c r="A207" t="s">
        <v>327</v>
      </c>
      <c r="B207" t="s">
        <v>1212</v>
      </c>
      <c r="C207" t="s">
        <v>283</v>
      </c>
      <c r="D207">
        <v>3</v>
      </c>
      <c r="E207">
        <v>11</v>
      </c>
      <c r="F207">
        <v>1</v>
      </c>
      <c r="G207">
        <v>3</v>
      </c>
      <c r="H207">
        <v>14</v>
      </c>
      <c r="I207">
        <v>1</v>
      </c>
      <c r="P207">
        <v>1</v>
      </c>
    </row>
    <row r="208" spans="1:18" x14ac:dyDescent="0.35">
      <c r="A208" t="s">
        <v>327</v>
      </c>
      <c r="B208" t="s">
        <v>299</v>
      </c>
      <c r="C208" t="s">
        <v>298</v>
      </c>
      <c r="D208">
        <v>16</v>
      </c>
      <c r="E208">
        <v>36</v>
      </c>
      <c r="F208">
        <v>3</v>
      </c>
      <c r="H208">
        <v>34</v>
      </c>
      <c r="I208">
        <v>52</v>
      </c>
      <c r="L208">
        <v>4</v>
      </c>
      <c r="M208">
        <v>3</v>
      </c>
      <c r="N208">
        <v>5</v>
      </c>
      <c r="O208">
        <v>3</v>
      </c>
      <c r="P208">
        <v>2</v>
      </c>
      <c r="R208">
        <v>2</v>
      </c>
    </row>
    <row r="209" spans="1:18" x14ac:dyDescent="0.35">
      <c r="A209" t="s">
        <v>327</v>
      </c>
      <c r="B209" t="s">
        <v>301</v>
      </c>
      <c r="C209" t="s">
        <v>300</v>
      </c>
      <c r="D209">
        <v>1</v>
      </c>
      <c r="E209">
        <v>16</v>
      </c>
      <c r="F209">
        <v>4</v>
      </c>
      <c r="G209">
        <v>6</v>
      </c>
      <c r="H209">
        <v>15</v>
      </c>
      <c r="I209">
        <v>17</v>
      </c>
      <c r="M209">
        <v>8</v>
      </c>
      <c r="O209">
        <v>2</v>
      </c>
      <c r="Q209">
        <v>1</v>
      </c>
      <c r="R209">
        <v>1</v>
      </c>
    </row>
    <row r="210" spans="1:18" x14ac:dyDescent="0.35">
      <c r="A210" t="s">
        <v>466</v>
      </c>
      <c r="B210" t="s">
        <v>301</v>
      </c>
      <c r="C210" t="s">
        <v>300</v>
      </c>
      <c r="D210">
        <v>1</v>
      </c>
      <c r="E210">
        <v>13</v>
      </c>
      <c r="F210">
        <v>4</v>
      </c>
      <c r="G210">
        <v>5</v>
      </c>
      <c r="H210">
        <v>10</v>
      </c>
      <c r="I210">
        <v>27</v>
      </c>
      <c r="M210">
        <v>2</v>
      </c>
      <c r="O210">
        <v>1</v>
      </c>
    </row>
    <row r="211" spans="1:18" x14ac:dyDescent="0.35">
      <c r="A211" t="s">
        <v>466</v>
      </c>
      <c r="B211" t="s">
        <v>250</v>
      </c>
      <c r="C211" t="s">
        <v>249</v>
      </c>
      <c r="D211">
        <v>9</v>
      </c>
      <c r="E211">
        <v>59</v>
      </c>
      <c r="F211">
        <v>14</v>
      </c>
      <c r="H211">
        <v>11</v>
      </c>
      <c r="I211">
        <v>35</v>
      </c>
      <c r="K211">
        <v>1</v>
      </c>
      <c r="L211">
        <v>4</v>
      </c>
      <c r="M211">
        <v>4</v>
      </c>
      <c r="N211">
        <v>8</v>
      </c>
      <c r="O211">
        <v>3</v>
      </c>
      <c r="P211">
        <v>17</v>
      </c>
      <c r="Q211">
        <v>5</v>
      </c>
      <c r="R211">
        <v>8</v>
      </c>
    </row>
    <row r="212" spans="1:18" x14ac:dyDescent="0.35">
      <c r="A212" t="s">
        <v>466</v>
      </c>
      <c r="B212" t="s">
        <v>248</v>
      </c>
      <c r="C212" t="s">
        <v>247</v>
      </c>
      <c r="D212">
        <v>15</v>
      </c>
      <c r="E212">
        <v>36</v>
      </c>
      <c r="F212">
        <v>219</v>
      </c>
      <c r="H212">
        <v>4</v>
      </c>
      <c r="I212">
        <v>16</v>
      </c>
      <c r="J212">
        <v>2</v>
      </c>
      <c r="K212">
        <v>3</v>
      </c>
      <c r="L212">
        <v>11</v>
      </c>
      <c r="M212">
        <v>4</v>
      </c>
      <c r="N212">
        <v>3</v>
      </c>
      <c r="O212">
        <v>6</v>
      </c>
      <c r="P212">
        <v>1</v>
      </c>
      <c r="R212">
        <v>3</v>
      </c>
    </row>
    <row r="213" spans="1:18" x14ac:dyDescent="0.35">
      <c r="A213" t="s">
        <v>466</v>
      </c>
      <c r="B213" t="s">
        <v>310</v>
      </c>
      <c r="C213" t="s">
        <v>309</v>
      </c>
      <c r="D213">
        <v>3</v>
      </c>
      <c r="E213">
        <v>20</v>
      </c>
      <c r="F213">
        <v>15</v>
      </c>
      <c r="H213">
        <v>13</v>
      </c>
      <c r="I213">
        <v>25</v>
      </c>
      <c r="L213">
        <v>2</v>
      </c>
      <c r="N213">
        <v>2</v>
      </c>
      <c r="O213">
        <v>2</v>
      </c>
      <c r="P213">
        <v>10</v>
      </c>
      <c r="Q213">
        <v>6</v>
      </c>
    </row>
    <row r="214" spans="1:18" x14ac:dyDescent="0.35">
      <c r="A214" t="s">
        <v>466</v>
      </c>
      <c r="B214" t="s">
        <v>264</v>
      </c>
      <c r="C214" t="s">
        <v>263</v>
      </c>
      <c r="D214">
        <v>11</v>
      </c>
      <c r="E214">
        <v>38</v>
      </c>
      <c r="F214">
        <v>17</v>
      </c>
      <c r="H214">
        <v>21</v>
      </c>
      <c r="I214">
        <v>1</v>
      </c>
      <c r="K214">
        <v>3</v>
      </c>
      <c r="L214">
        <v>6</v>
      </c>
      <c r="M214">
        <v>33</v>
      </c>
      <c r="N214">
        <v>6</v>
      </c>
      <c r="O214">
        <v>13</v>
      </c>
      <c r="P214">
        <v>11</v>
      </c>
      <c r="Q214">
        <v>5</v>
      </c>
      <c r="R214">
        <v>2</v>
      </c>
    </row>
    <row r="215" spans="1:18" x14ac:dyDescent="0.35">
      <c r="A215" t="s">
        <v>466</v>
      </c>
      <c r="B215" t="s">
        <v>305</v>
      </c>
      <c r="C215" t="s">
        <v>304</v>
      </c>
      <c r="D215">
        <v>36</v>
      </c>
      <c r="E215">
        <v>123</v>
      </c>
      <c r="F215">
        <v>48</v>
      </c>
      <c r="H215">
        <v>35</v>
      </c>
      <c r="I215">
        <v>28</v>
      </c>
      <c r="L215">
        <v>8</v>
      </c>
      <c r="M215">
        <v>10</v>
      </c>
      <c r="N215">
        <v>29</v>
      </c>
      <c r="O215">
        <v>15</v>
      </c>
      <c r="P215">
        <v>15</v>
      </c>
      <c r="Q215">
        <v>15</v>
      </c>
      <c r="R215">
        <v>8</v>
      </c>
    </row>
    <row r="216" spans="1:18" x14ac:dyDescent="0.35">
      <c r="A216" t="s">
        <v>321</v>
      </c>
      <c r="B216" t="s">
        <v>303</v>
      </c>
      <c r="C216" t="s">
        <v>302</v>
      </c>
      <c r="D216">
        <v>5</v>
      </c>
      <c r="E216">
        <v>53</v>
      </c>
      <c r="F216">
        <v>4</v>
      </c>
      <c r="G216">
        <v>1</v>
      </c>
      <c r="H216">
        <v>25</v>
      </c>
      <c r="I216">
        <v>8</v>
      </c>
      <c r="J216">
        <v>1</v>
      </c>
      <c r="K216">
        <v>2</v>
      </c>
      <c r="L216">
        <v>3</v>
      </c>
      <c r="M216">
        <v>17</v>
      </c>
      <c r="N216">
        <v>11</v>
      </c>
      <c r="O216">
        <v>6</v>
      </c>
      <c r="P216">
        <v>6</v>
      </c>
      <c r="Q216">
        <v>9</v>
      </c>
      <c r="R216">
        <v>3</v>
      </c>
    </row>
    <row r="217" spans="1:18" x14ac:dyDescent="0.35">
      <c r="A217" t="s">
        <v>321</v>
      </c>
      <c r="B217" t="s">
        <v>305</v>
      </c>
      <c r="C217" t="s">
        <v>304</v>
      </c>
      <c r="D217">
        <v>11</v>
      </c>
      <c r="E217">
        <v>78</v>
      </c>
      <c r="F217">
        <v>10</v>
      </c>
      <c r="G217">
        <v>2</v>
      </c>
      <c r="H217">
        <v>13</v>
      </c>
      <c r="I217">
        <v>1</v>
      </c>
      <c r="L217">
        <v>4</v>
      </c>
      <c r="M217">
        <v>4</v>
      </c>
      <c r="N217">
        <v>15</v>
      </c>
      <c r="O217">
        <v>8</v>
      </c>
      <c r="P217">
        <v>13</v>
      </c>
      <c r="Q217">
        <v>5</v>
      </c>
      <c r="R217">
        <v>1</v>
      </c>
    </row>
    <row r="218" spans="1:18" x14ac:dyDescent="0.35">
      <c r="A218" t="s">
        <v>326</v>
      </c>
      <c r="B218" t="s">
        <v>235</v>
      </c>
      <c r="C218" t="s">
        <v>234</v>
      </c>
      <c r="D218">
        <v>24</v>
      </c>
      <c r="E218">
        <v>92</v>
      </c>
      <c r="F218">
        <v>303</v>
      </c>
      <c r="G218">
        <v>10</v>
      </c>
      <c r="H218">
        <v>33</v>
      </c>
      <c r="I218">
        <v>22</v>
      </c>
      <c r="J218">
        <v>1</v>
      </c>
      <c r="K218">
        <v>1</v>
      </c>
      <c r="L218">
        <v>23</v>
      </c>
      <c r="M218">
        <v>15</v>
      </c>
      <c r="N218">
        <v>13</v>
      </c>
      <c r="O218">
        <v>11</v>
      </c>
      <c r="P218">
        <v>9</v>
      </c>
      <c r="Q218">
        <v>4</v>
      </c>
      <c r="R218">
        <v>3</v>
      </c>
    </row>
    <row r="219" spans="1:18" x14ac:dyDescent="0.35">
      <c r="A219" t="s">
        <v>326</v>
      </c>
      <c r="B219" t="s">
        <v>248</v>
      </c>
      <c r="C219" t="s">
        <v>247</v>
      </c>
      <c r="D219">
        <v>17</v>
      </c>
      <c r="E219">
        <v>36</v>
      </c>
      <c r="F219">
        <v>150</v>
      </c>
      <c r="G219">
        <v>1</v>
      </c>
      <c r="H219">
        <v>18</v>
      </c>
      <c r="I219">
        <v>1</v>
      </c>
      <c r="L219">
        <v>5</v>
      </c>
      <c r="M219">
        <v>11</v>
      </c>
      <c r="N219">
        <v>7</v>
      </c>
      <c r="P219">
        <v>2</v>
      </c>
      <c r="Q219">
        <v>2</v>
      </c>
      <c r="R219">
        <v>1</v>
      </c>
    </row>
    <row r="220" spans="1:18" x14ac:dyDescent="0.35">
      <c r="A220" t="s">
        <v>326</v>
      </c>
      <c r="B220" t="s">
        <v>271</v>
      </c>
      <c r="C220" t="s">
        <v>270</v>
      </c>
      <c r="D220">
        <v>33</v>
      </c>
      <c r="E220">
        <v>127</v>
      </c>
      <c r="F220">
        <v>704</v>
      </c>
      <c r="G220">
        <v>8</v>
      </c>
      <c r="H220">
        <v>75</v>
      </c>
      <c r="I220">
        <v>9</v>
      </c>
      <c r="J220">
        <v>11</v>
      </c>
      <c r="K220">
        <v>1</v>
      </c>
      <c r="L220">
        <v>25</v>
      </c>
      <c r="M220">
        <v>20</v>
      </c>
      <c r="N220">
        <v>38</v>
      </c>
      <c r="O220">
        <v>27</v>
      </c>
      <c r="P220">
        <v>12</v>
      </c>
      <c r="Q220">
        <v>8</v>
      </c>
      <c r="R220">
        <v>13</v>
      </c>
    </row>
    <row r="221" spans="1:18" x14ac:dyDescent="0.35">
      <c r="A221" t="s">
        <v>326</v>
      </c>
      <c r="B221" t="s">
        <v>1212</v>
      </c>
      <c r="C221" t="s">
        <v>283</v>
      </c>
      <c r="D221">
        <v>2</v>
      </c>
      <c r="E221">
        <v>15</v>
      </c>
      <c r="F221">
        <v>13</v>
      </c>
      <c r="H221">
        <v>4</v>
      </c>
    </row>
    <row r="222" spans="1:18" x14ac:dyDescent="0.35">
      <c r="A222" t="s">
        <v>326</v>
      </c>
      <c r="B222" t="s">
        <v>312</v>
      </c>
      <c r="C222" t="s">
        <v>311</v>
      </c>
      <c r="D222">
        <v>8</v>
      </c>
      <c r="E222">
        <v>41</v>
      </c>
      <c r="F222">
        <v>21</v>
      </c>
      <c r="H222">
        <v>10</v>
      </c>
      <c r="I222">
        <v>2</v>
      </c>
      <c r="L222">
        <v>6</v>
      </c>
      <c r="M222">
        <v>10</v>
      </c>
      <c r="N222">
        <v>3</v>
      </c>
      <c r="P222">
        <v>4</v>
      </c>
      <c r="Q222">
        <v>2</v>
      </c>
      <c r="R222">
        <v>4</v>
      </c>
    </row>
    <row r="223" spans="1:18" x14ac:dyDescent="0.35">
      <c r="A223" t="s">
        <v>327</v>
      </c>
      <c r="B223" t="s">
        <v>216</v>
      </c>
      <c r="C223" t="s">
        <v>215</v>
      </c>
      <c r="D223">
        <v>14</v>
      </c>
      <c r="E223">
        <v>73</v>
      </c>
      <c r="F223">
        <v>132</v>
      </c>
      <c r="G223">
        <v>1</v>
      </c>
      <c r="H223">
        <v>68</v>
      </c>
      <c r="I223">
        <v>22</v>
      </c>
      <c r="J223">
        <v>1</v>
      </c>
      <c r="L223">
        <v>5</v>
      </c>
      <c r="M223">
        <v>3</v>
      </c>
      <c r="N223">
        <v>2</v>
      </c>
      <c r="O223">
        <v>6</v>
      </c>
      <c r="P223">
        <v>1</v>
      </c>
      <c r="Q223">
        <v>10</v>
      </c>
      <c r="R223">
        <v>10</v>
      </c>
    </row>
    <row r="224" spans="1:18" x14ac:dyDescent="0.35">
      <c r="A224" t="s">
        <v>327</v>
      </c>
      <c r="B224" t="s">
        <v>264</v>
      </c>
      <c r="C224" t="s">
        <v>263</v>
      </c>
      <c r="D224">
        <v>11</v>
      </c>
      <c r="E224">
        <v>37</v>
      </c>
      <c r="F224">
        <v>20</v>
      </c>
      <c r="G224">
        <v>1</v>
      </c>
      <c r="H224">
        <v>19</v>
      </c>
      <c r="J224">
        <v>1</v>
      </c>
      <c r="K224">
        <v>1</v>
      </c>
      <c r="L224">
        <v>2</v>
      </c>
      <c r="M224">
        <v>8</v>
      </c>
      <c r="N224">
        <v>5</v>
      </c>
      <c r="O224">
        <v>6</v>
      </c>
      <c r="P224">
        <v>8</v>
      </c>
      <c r="R224">
        <v>3</v>
      </c>
    </row>
    <row r="225" spans="1:18" x14ac:dyDescent="0.35">
      <c r="A225" t="s">
        <v>327</v>
      </c>
      <c r="B225" t="s">
        <v>1214</v>
      </c>
      <c r="C225" t="s">
        <v>279</v>
      </c>
      <c r="D225">
        <v>2</v>
      </c>
      <c r="E225">
        <v>12</v>
      </c>
      <c r="F225">
        <v>18</v>
      </c>
      <c r="H225">
        <v>8</v>
      </c>
      <c r="I225">
        <v>60</v>
      </c>
      <c r="L225">
        <v>5</v>
      </c>
      <c r="M225">
        <v>7</v>
      </c>
      <c r="N225">
        <v>4</v>
      </c>
      <c r="O225">
        <v>4</v>
      </c>
      <c r="P225">
        <v>5</v>
      </c>
      <c r="Q225">
        <v>1</v>
      </c>
      <c r="R225">
        <v>6</v>
      </c>
    </row>
    <row r="226" spans="1:18" x14ac:dyDescent="0.35">
      <c r="A226" t="s">
        <v>327</v>
      </c>
      <c r="B226" t="s">
        <v>288</v>
      </c>
      <c r="C226" t="s">
        <v>287</v>
      </c>
      <c r="D226">
        <v>3</v>
      </c>
      <c r="E226">
        <v>79</v>
      </c>
      <c r="F226">
        <v>11</v>
      </c>
      <c r="H226">
        <v>30</v>
      </c>
      <c r="I226">
        <v>25</v>
      </c>
      <c r="J226">
        <v>1</v>
      </c>
      <c r="K226">
        <v>1</v>
      </c>
      <c r="L226">
        <v>10</v>
      </c>
      <c r="M226">
        <v>4</v>
      </c>
      <c r="N226">
        <v>16</v>
      </c>
      <c r="O226">
        <v>11</v>
      </c>
      <c r="P226">
        <v>37</v>
      </c>
      <c r="Q226">
        <v>10</v>
      </c>
      <c r="R226">
        <v>21</v>
      </c>
    </row>
    <row r="227" spans="1:18" x14ac:dyDescent="0.35">
      <c r="A227" t="s">
        <v>327</v>
      </c>
      <c r="B227" t="s">
        <v>290</v>
      </c>
      <c r="C227" t="s">
        <v>289</v>
      </c>
      <c r="D227">
        <v>12</v>
      </c>
      <c r="E227">
        <v>58</v>
      </c>
      <c r="F227">
        <v>16</v>
      </c>
      <c r="H227">
        <v>48</v>
      </c>
      <c r="I227">
        <v>5</v>
      </c>
      <c r="J227">
        <v>3</v>
      </c>
      <c r="K227">
        <v>1</v>
      </c>
      <c r="L227">
        <v>21</v>
      </c>
      <c r="M227">
        <v>2</v>
      </c>
      <c r="N227">
        <v>49</v>
      </c>
      <c r="O227">
        <v>11</v>
      </c>
      <c r="P227">
        <v>26</v>
      </c>
      <c r="Q227">
        <v>141</v>
      </c>
      <c r="R227">
        <v>38</v>
      </c>
    </row>
    <row r="228" spans="1:18" x14ac:dyDescent="0.35">
      <c r="A228" t="s">
        <v>327</v>
      </c>
      <c r="B228" t="s">
        <v>293</v>
      </c>
      <c r="C228" t="s">
        <v>292</v>
      </c>
      <c r="D228">
        <v>1</v>
      </c>
      <c r="E228">
        <v>8</v>
      </c>
      <c r="F228">
        <v>1</v>
      </c>
      <c r="G228">
        <v>1</v>
      </c>
      <c r="H228">
        <v>8</v>
      </c>
      <c r="I228">
        <v>4</v>
      </c>
      <c r="N228">
        <v>1</v>
      </c>
    </row>
    <row r="229" spans="1:18" x14ac:dyDescent="0.35">
      <c r="A229" t="s">
        <v>327</v>
      </c>
      <c r="B229" t="s">
        <v>312</v>
      </c>
      <c r="C229" t="s">
        <v>311</v>
      </c>
      <c r="D229">
        <v>7</v>
      </c>
      <c r="E229">
        <v>49</v>
      </c>
      <c r="F229">
        <v>38</v>
      </c>
      <c r="H229">
        <v>14</v>
      </c>
      <c r="I229">
        <v>10</v>
      </c>
      <c r="J229">
        <v>1</v>
      </c>
      <c r="K229">
        <v>1</v>
      </c>
      <c r="L229">
        <v>9</v>
      </c>
      <c r="M229">
        <v>10</v>
      </c>
      <c r="N229">
        <v>18</v>
      </c>
      <c r="O229">
        <v>15</v>
      </c>
      <c r="P229">
        <v>16</v>
      </c>
      <c r="Q229">
        <v>3</v>
      </c>
      <c r="R229">
        <v>4</v>
      </c>
    </row>
    <row r="230" spans="1:18" x14ac:dyDescent="0.35">
      <c r="A230" t="s">
        <v>466</v>
      </c>
      <c r="B230" t="s">
        <v>216</v>
      </c>
      <c r="C230" t="s">
        <v>215</v>
      </c>
      <c r="D230">
        <v>10</v>
      </c>
      <c r="E230">
        <v>76</v>
      </c>
      <c r="F230">
        <v>230</v>
      </c>
      <c r="H230">
        <v>37</v>
      </c>
      <c r="I230">
        <v>28</v>
      </c>
      <c r="L230">
        <v>3</v>
      </c>
      <c r="M230">
        <v>2</v>
      </c>
      <c r="N230">
        <v>7</v>
      </c>
      <c r="O230">
        <v>5</v>
      </c>
      <c r="P230">
        <v>3</v>
      </c>
      <c r="Q230">
        <v>3</v>
      </c>
      <c r="R230">
        <v>3</v>
      </c>
    </row>
    <row r="231" spans="1:18" x14ac:dyDescent="0.35">
      <c r="A231" t="s">
        <v>466</v>
      </c>
      <c r="B231" t="s">
        <v>288</v>
      </c>
      <c r="C231" t="s">
        <v>287</v>
      </c>
      <c r="D231">
        <v>4</v>
      </c>
      <c r="E231">
        <v>76</v>
      </c>
      <c r="G231">
        <v>2</v>
      </c>
      <c r="H231">
        <v>23</v>
      </c>
      <c r="I231">
        <v>18</v>
      </c>
      <c r="J231">
        <v>8</v>
      </c>
      <c r="L231">
        <v>11</v>
      </c>
      <c r="M231">
        <v>2</v>
      </c>
      <c r="N231">
        <v>15</v>
      </c>
      <c r="O231">
        <v>5</v>
      </c>
      <c r="P231">
        <v>4</v>
      </c>
      <c r="R231">
        <v>1</v>
      </c>
    </row>
    <row r="232" spans="1:18" x14ac:dyDescent="0.35">
      <c r="A232" t="s">
        <v>466</v>
      </c>
      <c r="B232" t="s">
        <v>1297</v>
      </c>
      <c r="C232" t="s">
        <v>292</v>
      </c>
      <c r="D232">
        <v>1</v>
      </c>
      <c r="E232">
        <v>8</v>
      </c>
      <c r="G232">
        <v>1</v>
      </c>
      <c r="H232">
        <v>16</v>
      </c>
      <c r="I232">
        <v>13</v>
      </c>
      <c r="M232">
        <v>2</v>
      </c>
      <c r="O232">
        <v>2</v>
      </c>
    </row>
    <row r="233" spans="1:18" x14ac:dyDescent="0.35">
      <c r="A233" t="s">
        <v>319</v>
      </c>
      <c r="B233" t="s">
        <v>282</v>
      </c>
      <c r="C233" t="s">
        <v>281</v>
      </c>
      <c r="D233">
        <v>3</v>
      </c>
      <c r="E233">
        <v>6</v>
      </c>
      <c r="F233">
        <v>2</v>
      </c>
      <c r="H233">
        <v>5</v>
      </c>
      <c r="I233">
        <v>12</v>
      </c>
      <c r="M233">
        <v>4</v>
      </c>
      <c r="N233">
        <v>3</v>
      </c>
      <c r="P233">
        <v>6</v>
      </c>
      <c r="R233">
        <v>1</v>
      </c>
    </row>
    <row r="234" spans="1:18" x14ac:dyDescent="0.35">
      <c r="A234" t="s">
        <v>319</v>
      </c>
      <c r="B234" t="s">
        <v>312</v>
      </c>
      <c r="C234" t="s">
        <v>311</v>
      </c>
      <c r="D234">
        <v>9</v>
      </c>
      <c r="E234">
        <v>46</v>
      </c>
      <c r="F234">
        <v>5</v>
      </c>
      <c r="H234">
        <v>1</v>
      </c>
      <c r="L234">
        <v>1</v>
      </c>
      <c r="M234">
        <v>2</v>
      </c>
      <c r="N234">
        <v>5</v>
      </c>
      <c r="O234">
        <v>2</v>
      </c>
      <c r="P234">
        <v>12</v>
      </c>
      <c r="Q234">
        <v>2</v>
      </c>
      <c r="R234">
        <v>1</v>
      </c>
    </row>
    <row r="235" spans="1:18" x14ac:dyDescent="0.35">
      <c r="A235" t="s">
        <v>321</v>
      </c>
      <c r="B235" t="s">
        <v>216</v>
      </c>
      <c r="C235" t="s">
        <v>215</v>
      </c>
      <c r="D235">
        <v>14</v>
      </c>
      <c r="E235">
        <v>61</v>
      </c>
      <c r="F235">
        <v>180</v>
      </c>
      <c r="H235">
        <v>39</v>
      </c>
      <c r="I235">
        <v>1</v>
      </c>
      <c r="L235">
        <v>3</v>
      </c>
      <c r="M235">
        <v>4</v>
      </c>
      <c r="N235">
        <v>1</v>
      </c>
      <c r="O235">
        <v>2</v>
      </c>
      <c r="P235">
        <v>7</v>
      </c>
      <c r="Q235">
        <v>1</v>
      </c>
      <c r="R235">
        <v>2</v>
      </c>
    </row>
    <row r="236" spans="1:18" x14ac:dyDescent="0.35">
      <c r="A236" t="s">
        <v>321</v>
      </c>
      <c r="B236" t="s">
        <v>221</v>
      </c>
      <c r="C236" t="s">
        <v>220</v>
      </c>
      <c r="D236">
        <v>10</v>
      </c>
      <c r="E236">
        <v>106</v>
      </c>
      <c r="F236">
        <v>20</v>
      </c>
      <c r="G236">
        <v>1</v>
      </c>
      <c r="H236">
        <v>9</v>
      </c>
      <c r="I236">
        <v>12</v>
      </c>
      <c r="J236">
        <v>1</v>
      </c>
      <c r="K236">
        <v>1</v>
      </c>
      <c r="L236">
        <v>1</v>
      </c>
      <c r="M236">
        <v>2</v>
      </c>
      <c r="N236">
        <v>3</v>
      </c>
      <c r="O236">
        <v>6</v>
      </c>
      <c r="P236">
        <v>7</v>
      </c>
      <c r="Q236">
        <v>4</v>
      </c>
      <c r="R236">
        <v>3</v>
      </c>
    </row>
    <row r="237" spans="1:18" x14ac:dyDescent="0.35">
      <c r="A237" t="s">
        <v>321</v>
      </c>
      <c r="B237" t="s">
        <v>225</v>
      </c>
      <c r="C237" t="s">
        <v>224</v>
      </c>
      <c r="D237">
        <v>6</v>
      </c>
      <c r="E237">
        <v>42</v>
      </c>
      <c r="F237">
        <v>5</v>
      </c>
      <c r="H237">
        <v>16</v>
      </c>
      <c r="I237">
        <v>4</v>
      </c>
      <c r="J237">
        <v>1</v>
      </c>
      <c r="K237">
        <v>1</v>
      </c>
      <c r="L237">
        <v>2</v>
      </c>
      <c r="M237">
        <v>19</v>
      </c>
      <c r="N237">
        <v>5</v>
      </c>
      <c r="O237">
        <v>7</v>
      </c>
      <c r="P237">
        <v>9</v>
      </c>
      <c r="Q237">
        <v>4</v>
      </c>
      <c r="R237">
        <v>3</v>
      </c>
    </row>
    <row r="238" spans="1:18" x14ac:dyDescent="0.35">
      <c r="A238" t="s">
        <v>321</v>
      </c>
      <c r="B238" t="s">
        <v>282</v>
      </c>
      <c r="C238" t="s">
        <v>281</v>
      </c>
      <c r="D238">
        <v>4</v>
      </c>
      <c r="E238">
        <v>15</v>
      </c>
      <c r="F238">
        <v>4</v>
      </c>
      <c r="H238">
        <v>6</v>
      </c>
      <c r="I238">
        <v>15</v>
      </c>
      <c r="J238">
        <v>1</v>
      </c>
      <c r="K238">
        <v>1</v>
      </c>
      <c r="L238">
        <v>1</v>
      </c>
      <c r="M238">
        <v>2</v>
      </c>
      <c r="N238">
        <v>2</v>
      </c>
      <c r="O238">
        <v>3</v>
      </c>
      <c r="P238">
        <v>4</v>
      </c>
      <c r="Q238">
        <v>1</v>
      </c>
    </row>
    <row r="239" spans="1:18" x14ac:dyDescent="0.35">
      <c r="A239" t="s">
        <v>321</v>
      </c>
      <c r="B239" t="s">
        <v>1212</v>
      </c>
      <c r="C239" t="s">
        <v>283</v>
      </c>
      <c r="H239">
        <v>4</v>
      </c>
    </row>
    <row r="240" spans="1:18" x14ac:dyDescent="0.35">
      <c r="A240" t="s">
        <v>326</v>
      </c>
      <c r="B240" t="s">
        <v>225</v>
      </c>
      <c r="C240" t="s">
        <v>224</v>
      </c>
      <c r="D240">
        <v>6</v>
      </c>
      <c r="E240">
        <v>40</v>
      </c>
      <c r="F240">
        <v>7</v>
      </c>
      <c r="H240">
        <v>5</v>
      </c>
      <c r="I240">
        <v>14</v>
      </c>
      <c r="K240">
        <v>1</v>
      </c>
      <c r="L240">
        <v>1</v>
      </c>
      <c r="M240">
        <v>17</v>
      </c>
      <c r="N240">
        <v>8</v>
      </c>
      <c r="O240">
        <v>2</v>
      </c>
      <c r="P240">
        <v>3</v>
      </c>
      <c r="Q240">
        <v>1</v>
      </c>
    </row>
    <row r="241" spans="1:18" x14ac:dyDescent="0.35">
      <c r="A241" t="s">
        <v>326</v>
      </c>
      <c r="B241" t="s">
        <v>268</v>
      </c>
      <c r="C241" t="s">
        <v>1101</v>
      </c>
      <c r="D241">
        <v>2</v>
      </c>
      <c r="E241">
        <v>77</v>
      </c>
      <c r="F241">
        <v>199</v>
      </c>
      <c r="G241">
        <v>1</v>
      </c>
      <c r="H241">
        <v>10</v>
      </c>
      <c r="I241">
        <v>9</v>
      </c>
      <c r="J241">
        <v>1</v>
      </c>
      <c r="L241">
        <v>2</v>
      </c>
      <c r="M241">
        <v>2</v>
      </c>
      <c r="O241">
        <v>6</v>
      </c>
      <c r="P241">
        <v>4</v>
      </c>
    </row>
    <row r="242" spans="1:18" x14ac:dyDescent="0.35">
      <c r="A242" t="s">
        <v>327</v>
      </c>
      <c r="B242" t="s">
        <v>248</v>
      </c>
      <c r="C242" t="s">
        <v>247</v>
      </c>
      <c r="D242">
        <v>16</v>
      </c>
      <c r="E242">
        <v>37</v>
      </c>
      <c r="F242">
        <v>197</v>
      </c>
      <c r="G242">
        <v>1</v>
      </c>
      <c r="H242">
        <v>18</v>
      </c>
      <c r="I242">
        <v>16</v>
      </c>
      <c r="J242">
        <v>1</v>
      </c>
      <c r="L242">
        <v>8</v>
      </c>
      <c r="M242">
        <v>19</v>
      </c>
      <c r="N242">
        <v>4</v>
      </c>
      <c r="O242">
        <v>4</v>
      </c>
      <c r="P242">
        <v>3</v>
      </c>
      <c r="R242">
        <v>4</v>
      </c>
    </row>
    <row r="243" spans="1:18" x14ac:dyDescent="0.35">
      <c r="A243" t="s">
        <v>466</v>
      </c>
      <c r="B243" t="s">
        <v>245</v>
      </c>
      <c r="C243" t="s">
        <v>244</v>
      </c>
      <c r="D243">
        <v>12</v>
      </c>
      <c r="E243">
        <v>91</v>
      </c>
      <c r="F243">
        <v>33</v>
      </c>
      <c r="G243">
        <v>2</v>
      </c>
      <c r="H243">
        <v>95</v>
      </c>
      <c r="I243">
        <v>320</v>
      </c>
      <c r="K243">
        <v>4</v>
      </c>
      <c r="L243">
        <v>4</v>
      </c>
      <c r="N243">
        <v>6</v>
      </c>
      <c r="O243">
        <v>5</v>
      </c>
      <c r="P243">
        <v>5</v>
      </c>
      <c r="Q243">
        <v>4</v>
      </c>
      <c r="R243">
        <v>1</v>
      </c>
    </row>
    <row r="244" spans="1:18" x14ac:dyDescent="0.35">
      <c r="A244" t="s">
        <v>466</v>
      </c>
      <c r="B244" t="s">
        <v>1210</v>
      </c>
      <c r="C244" t="s">
        <v>220</v>
      </c>
      <c r="D244">
        <v>21</v>
      </c>
      <c r="E244">
        <v>81</v>
      </c>
      <c r="F244">
        <v>28</v>
      </c>
      <c r="G244">
        <v>2</v>
      </c>
      <c r="H244">
        <v>54</v>
      </c>
      <c r="I244">
        <v>114</v>
      </c>
      <c r="J244">
        <v>1</v>
      </c>
      <c r="K244">
        <v>5</v>
      </c>
      <c r="L244">
        <v>6</v>
      </c>
      <c r="M244">
        <v>5</v>
      </c>
      <c r="N244">
        <v>5</v>
      </c>
      <c r="O244">
        <v>11</v>
      </c>
      <c r="P244">
        <v>10</v>
      </c>
      <c r="Q244">
        <v>4</v>
      </c>
      <c r="R244">
        <v>8</v>
      </c>
    </row>
    <row r="245" spans="1:18" x14ac:dyDescent="0.35">
      <c r="A245" t="s">
        <v>466</v>
      </c>
      <c r="B245" t="s">
        <v>271</v>
      </c>
      <c r="C245" t="s">
        <v>270</v>
      </c>
      <c r="D245">
        <v>42</v>
      </c>
      <c r="E245">
        <v>133</v>
      </c>
      <c r="F245">
        <v>835</v>
      </c>
      <c r="G245">
        <v>8</v>
      </c>
      <c r="H245">
        <v>96</v>
      </c>
      <c r="I245">
        <v>46</v>
      </c>
      <c r="J245">
        <v>1</v>
      </c>
      <c r="K245">
        <v>2</v>
      </c>
      <c r="L245">
        <v>18</v>
      </c>
      <c r="M245">
        <v>38</v>
      </c>
      <c r="N245">
        <v>97</v>
      </c>
      <c r="O245">
        <v>20</v>
      </c>
      <c r="P245">
        <v>29</v>
      </c>
      <c r="Q245">
        <v>13</v>
      </c>
      <c r="R245">
        <v>23</v>
      </c>
    </row>
    <row r="246" spans="1:18" x14ac:dyDescent="0.35">
      <c r="A246" t="s">
        <v>466</v>
      </c>
      <c r="B246" t="s">
        <v>290</v>
      </c>
      <c r="C246" t="s">
        <v>289</v>
      </c>
      <c r="D246">
        <v>9</v>
      </c>
      <c r="E246">
        <v>48</v>
      </c>
      <c r="F246">
        <v>10</v>
      </c>
      <c r="G246">
        <v>1</v>
      </c>
      <c r="H246">
        <v>27</v>
      </c>
      <c r="I246">
        <v>3</v>
      </c>
      <c r="L246">
        <v>17</v>
      </c>
      <c r="M246">
        <v>15</v>
      </c>
      <c r="N246">
        <v>52</v>
      </c>
      <c r="O246">
        <v>14</v>
      </c>
      <c r="P246">
        <v>21</v>
      </c>
      <c r="Q246">
        <v>103</v>
      </c>
      <c r="R246">
        <v>24</v>
      </c>
    </row>
    <row r="247" spans="1:18" x14ac:dyDescent="0.35">
      <c r="A247" t="s">
        <v>466</v>
      </c>
      <c r="B247" t="s">
        <v>268</v>
      </c>
      <c r="C247" t="s">
        <v>1101</v>
      </c>
      <c r="D247">
        <v>13</v>
      </c>
      <c r="E247">
        <v>113</v>
      </c>
      <c r="F247">
        <v>230</v>
      </c>
      <c r="H247">
        <v>31</v>
      </c>
      <c r="I247">
        <v>45</v>
      </c>
      <c r="J247">
        <v>1</v>
      </c>
      <c r="K247">
        <v>2</v>
      </c>
      <c r="L247">
        <v>6</v>
      </c>
      <c r="M247">
        <v>47</v>
      </c>
      <c r="N247">
        <v>14</v>
      </c>
      <c r="O247">
        <v>7</v>
      </c>
      <c r="P247">
        <v>25</v>
      </c>
      <c r="Q247">
        <v>2</v>
      </c>
      <c r="R247">
        <v>3</v>
      </c>
    </row>
    <row r="248" spans="1:18" x14ac:dyDescent="0.35">
      <c r="A248" t="s">
        <v>321</v>
      </c>
      <c r="B248" t="s">
        <v>274</v>
      </c>
      <c r="C248" t="s">
        <v>273</v>
      </c>
      <c r="D248">
        <v>19</v>
      </c>
      <c r="E248">
        <v>83</v>
      </c>
      <c r="F248">
        <v>27</v>
      </c>
      <c r="G248">
        <v>4</v>
      </c>
      <c r="H248">
        <v>55</v>
      </c>
      <c r="I248">
        <v>5</v>
      </c>
      <c r="K248">
        <v>1</v>
      </c>
      <c r="L248">
        <v>3</v>
      </c>
      <c r="M248">
        <v>3</v>
      </c>
      <c r="N248">
        <v>2</v>
      </c>
      <c r="O248">
        <v>3</v>
      </c>
      <c r="P248">
        <v>2</v>
      </c>
    </row>
    <row r="249" spans="1:18" x14ac:dyDescent="0.35">
      <c r="A249" t="s">
        <v>321</v>
      </c>
      <c r="B249" t="s">
        <v>1220</v>
      </c>
      <c r="C249" t="s">
        <v>287</v>
      </c>
      <c r="D249">
        <v>3</v>
      </c>
      <c r="E249">
        <v>64</v>
      </c>
      <c r="F249">
        <v>6</v>
      </c>
      <c r="H249">
        <v>19</v>
      </c>
      <c r="I249">
        <v>14</v>
      </c>
      <c r="J249">
        <v>1</v>
      </c>
      <c r="L249">
        <v>1</v>
      </c>
      <c r="M249">
        <v>2</v>
      </c>
      <c r="N249">
        <v>14</v>
      </c>
      <c r="O249">
        <v>7</v>
      </c>
      <c r="P249">
        <v>10</v>
      </c>
      <c r="Q249">
        <v>7</v>
      </c>
      <c r="R249">
        <v>5</v>
      </c>
    </row>
    <row r="250" spans="1:18" x14ac:dyDescent="0.35">
      <c r="A250" t="s">
        <v>321</v>
      </c>
      <c r="B250" t="s">
        <v>290</v>
      </c>
      <c r="C250" t="s">
        <v>289</v>
      </c>
      <c r="D250">
        <v>5</v>
      </c>
      <c r="E250">
        <v>57</v>
      </c>
      <c r="F250">
        <v>18</v>
      </c>
      <c r="G250">
        <v>1</v>
      </c>
      <c r="H250">
        <v>27</v>
      </c>
      <c r="K250">
        <v>1</v>
      </c>
      <c r="L250">
        <v>4</v>
      </c>
      <c r="M250">
        <v>4</v>
      </c>
      <c r="N250">
        <v>16</v>
      </c>
      <c r="O250">
        <v>22</v>
      </c>
      <c r="P250">
        <v>12</v>
      </c>
      <c r="Q250">
        <v>9</v>
      </c>
      <c r="R250">
        <v>9</v>
      </c>
    </row>
    <row r="251" spans="1:18" x14ac:dyDescent="0.35">
      <c r="A251" t="s">
        <v>321</v>
      </c>
      <c r="B251" t="s">
        <v>295</v>
      </c>
      <c r="C251" t="s">
        <v>294</v>
      </c>
      <c r="D251">
        <v>32</v>
      </c>
      <c r="E251">
        <v>60</v>
      </c>
      <c r="F251">
        <v>8</v>
      </c>
      <c r="G251">
        <v>2</v>
      </c>
      <c r="H251">
        <v>16</v>
      </c>
      <c r="I251">
        <v>8</v>
      </c>
      <c r="L251">
        <v>1</v>
      </c>
      <c r="M251">
        <v>3</v>
      </c>
      <c r="N251">
        <v>5</v>
      </c>
      <c r="O251">
        <v>4</v>
      </c>
      <c r="P251">
        <v>1</v>
      </c>
      <c r="Q251">
        <v>4</v>
      </c>
      <c r="R251">
        <v>2</v>
      </c>
    </row>
    <row r="252" spans="1:18" x14ac:dyDescent="0.35">
      <c r="A252" t="s">
        <v>326</v>
      </c>
      <c r="B252" t="s">
        <v>216</v>
      </c>
      <c r="C252" t="s">
        <v>215</v>
      </c>
      <c r="D252">
        <v>22</v>
      </c>
      <c r="E252">
        <v>102</v>
      </c>
      <c r="F252">
        <v>142</v>
      </c>
      <c r="G252">
        <v>1</v>
      </c>
      <c r="H252">
        <v>48</v>
      </c>
      <c r="I252">
        <v>12</v>
      </c>
      <c r="K252">
        <v>1</v>
      </c>
      <c r="L252">
        <v>4</v>
      </c>
      <c r="M252">
        <v>3</v>
      </c>
      <c r="N252">
        <v>7</v>
      </c>
      <c r="O252">
        <v>5</v>
      </c>
      <c r="P252">
        <v>5</v>
      </c>
      <c r="Q252">
        <v>3</v>
      </c>
      <c r="R252">
        <v>2</v>
      </c>
    </row>
    <row r="253" spans="1:18" x14ac:dyDescent="0.35">
      <c r="A253" t="s">
        <v>326</v>
      </c>
      <c r="B253" t="s">
        <v>245</v>
      </c>
      <c r="C253" t="s">
        <v>244</v>
      </c>
      <c r="D253">
        <v>16</v>
      </c>
      <c r="E253">
        <v>72</v>
      </c>
      <c r="F253">
        <v>40</v>
      </c>
      <c r="G253">
        <v>8</v>
      </c>
      <c r="H253">
        <v>99</v>
      </c>
      <c r="I253">
        <v>92</v>
      </c>
      <c r="K253">
        <v>1</v>
      </c>
      <c r="L253">
        <v>2</v>
      </c>
      <c r="M253">
        <v>2</v>
      </c>
      <c r="N253">
        <v>2</v>
      </c>
      <c r="O253">
        <v>12</v>
      </c>
      <c r="P253">
        <v>11</v>
      </c>
      <c r="Q253">
        <v>7</v>
      </c>
      <c r="R253">
        <v>1</v>
      </c>
    </row>
    <row r="254" spans="1:18" x14ac:dyDescent="0.35">
      <c r="A254" t="s">
        <v>326</v>
      </c>
      <c r="B254" t="s">
        <v>256</v>
      </c>
      <c r="C254" t="s">
        <v>255</v>
      </c>
      <c r="D254">
        <v>1</v>
      </c>
      <c r="E254">
        <v>27</v>
      </c>
      <c r="F254">
        <v>19</v>
      </c>
      <c r="H254">
        <v>9</v>
      </c>
      <c r="I254">
        <v>9</v>
      </c>
      <c r="K254">
        <v>1</v>
      </c>
      <c r="L254">
        <v>11</v>
      </c>
      <c r="M254">
        <v>18</v>
      </c>
      <c r="N254">
        <v>4</v>
      </c>
      <c r="O254">
        <v>12</v>
      </c>
      <c r="P254">
        <v>4</v>
      </c>
      <c r="Q254">
        <v>4</v>
      </c>
    </row>
    <row r="255" spans="1:18" x14ac:dyDescent="0.35">
      <c r="A255" t="s">
        <v>326</v>
      </c>
      <c r="B255" t="s">
        <v>260</v>
      </c>
      <c r="C255" t="s">
        <v>259</v>
      </c>
      <c r="E255">
        <v>13</v>
      </c>
      <c r="F255">
        <v>11</v>
      </c>
      <c r="H255">
        <v>10</v>
      </c>
      <c r="I255">
        <v>2</v>
      </c>
      <c r="K255">
        <v>1</v>
      </c>
      <c r="L255">
        <v>1</v>
      </c>
      <c r="M255">
        <v>5</v>
      </c>
      <c r="N255">
        <v>4</v>
      </c>
      <c r="O255">
        <v>1</v>
      </c>
      <c r="P255">
        <v>1</v>
      </c>
    </row>
    <row r="256" spans="1:18" x14ac:dyDescent="0.35">
      <c r="A256" t="s">
        <v>326</v>
      </c>
      <c r="B256" t="s">
        <v>274</v>
      </c>
      <c r="C256" t="s">
        <v>273</v>
      </c>
      <c r="D256">
        <v>18</v>
      </c>
      <c r="E256">
        <v>90</v>
      </c>
      <c r="F256">
        <v>21</v>
      </c>
      <c r="G256">
        <v>3</v>
      </c>
      <c r="H256">
        <v>87</v>
      </c>
      <c r="I256">
        <v>1</v>
      </c>
      <c r="J256">
        <v>1</v>
      </c>
      <c r="L256">
        <v>5</v>
      </c>
      <c r="N256">
        <v>3</v>
      </c>
      <c r="O256">
        <v>3</v>
      </c>
      <c r="P256">
        <v>7</v>
      </c>
      <c r="Q256">
        <v>2</v>
      </c>
      <c r="R256">
        <v>1</v>
      </c>
    </row>
    <row r="257" spans="1:18" x14ac:dyDescent="0.35">
      <c r="A257" t="s">
        <v>326</v>
      </c>
      <c r="B257" t="s">
        <v>280</v>
      </c>
      <c r="C257" t="s">
        <v>279</v>
      </c>
      <c r="D257">
        <v>2</v>
      </c>
      <c r="E257">
        <v>20</v>
      </c>
      <c r="F257">
        <v>8</v>
      </c>
      <c r="H257">
        <v>6</v>
      </c>
      <c r="I257">
        <v>1</v>
      </c>
      <c r="L257">
        <v>9</v>
      </c>
      <c r="M257">
        <v>14</v>
      </c>
      <c r="N257">
        <v>4</v>
      </c>
      <c r="O257">
        <v>1</v>
      </c>
      <c r="P257">
        <v>3</v>
      </c>
      <c r="R257">
        <v>19</v>
      </c>
    </row>
    <row r="258" spans="1:18" x14ac:dyDescent="0.35">
      <c r="A258" t="s">
        <v>326</v>
      </c>
      <c r="B258" t="s">
        <v>301</v>
      </c>
      <c r="C258" t="s">
        <v>300</v>
      </c>
      <c r="E258">
        <v>15</v>
      </c>
      <c r="F258">
        <v>8</v>
      </c>
      <c r="G258">
        <v>7</v>
      </c>
      <c r="H258">
        <v>22</v>
      </c>
      <c r="I258">
        <v>12</v>
      </c>
      <c r="O258">
        <v>1</v>
      </c>
      <c r="P258">
        <v>1</v>
      </c>
    </row>
    <row r="259" spans="1:18" x14ac:dyDescent="0.35">
      <c r="A259" t="s">
        <v>327</v>
      </c>
      <c r="B259" t="s">
        <v>260</v>
      </c>
      <c r="C259" t="s">
        <v>259</v>
      </c>
      <c r="E259">
        <v>11</v>
      </c>
      <c r="F259">
        <v>13</v>
      </c>
      <c r="H259">
        <v>8</v>
      </c>
      <c r="I259">
        <v>5</v>
      </c>
      <c r="M259">
        <v>9</v>
      </c>
      <c r="N259">
        <v>4</v>
      </c>
      <c r="O259">
        <v>4</v>
      </c>
    </row>
    <row r="260" spans="1:18" x14ac:dyDescent="0.35">
      <c r="A260" t="s">
        <v>327</v>
      </c>
      <c r="B260" t="s">
        <v>295</v>
      </c>
      <c r="C260" t="s">
        <v>294</v>
      </c>
      <c r="D260">
        <v>25</v>
      </c>
      <c r="E260">
        <v>62</v>
      </c>
      <c r="F260">
        <v>15</v>
      </c>
      <c r="H260">
        <v>63</v>
      </c>
      <c r="I260">
        <v>31</v>
      </c>
      <c r="K260">
        <v>1</v>
      </c>
      <c r="L260">
        <v>5</v>
      </c>
      <c r="M260">
        <v>3</v>
      </c>
      <c r="N260">
        <v>3</v>
      </c>
      <c r="O260">
        <v>3</v>
      </c>
      <c r="Q260">
        <v>4</v>
      </c>
      <c r="R260">
        <v>5</v>
      </c>
    </row>
    <row r="261" spans="1:18" x14ac:dyDescent="0.35">
      <c r="A261" t="s">
        <v>327</v>
      </c>
      <c r="B261" t="s">
        <v>303</v>
      </c>
      <c r="C261" t="s">
        <v>302</v>
      </c>
      <c r="D261">
        <v>9</v>
      </c>
      <c r="E261">
        <v>52</v>
      </c>
      <c r="F261">
        <v>31</v>
      </c>
      <c r="G261">
        <v>2</v>
      </c>
      <c r="H261">
        <v>49</v>
      </c>
      <c r="I261">
        <v>20</v>
      </c>
      <c r="K261">
        <v>1</v>
      </c>
      <c r="L261">
        <v>8</v>
      </c>
      <c r="M261">
        <v>8</v>
      </c>
      <c r="N261">
        <v>41</v>
      </c>
      <c r="O261">
        <v>6</v>
      </c>
      <c r="P261">
        <v>13</v>
      </c>
      <c r="Q261">
        <v>12</v>
      </c>
      <c r="R261">
        <v>5</v>
      </c>
    </row>
    <row r="262" spans="1:18" x14ac:dyDescent="0.35">
      <c r="A262" t="s">
        <v>466</v>
      </c>
      <c r="B262" t="s">
        <v>1221</v>
      </c>
      <c r="C262" t="s">
        <v>255</v>
      </c>
      <c r="D262">
        <v>1</v>
      </c>
      <c r="E262">
        <v>23</v>
      </c>
      <c r="F262">
        <v>11</v>
      </c>
      <c r="H262">
        <v>4</v>
      </c>
      <c r="I262">
        <v>1</v>
      </c>
      <c r="L262">
        <v>68</v>
      </c>
      <c r="M262">
        <v>2</v>
      </c>
      <c r="N262">
        <v>2</v>
      </c>
      <c r="O262">
        <v>7</v>
      </c>
      <c r="P262">
        <v>3</v>
      </c>
      <c r="R262">
        <v>1</v>
      </c>
    </row>
    <row r="263" spans="1:18" x14ac:dyDescent="0.35">
      <c r="A263" t="s">
        <v>466</v>
      </c>
      <c r="B263" t="s">
        <v>299</v>
      </c>
      <c r="C263" t="s">
        <v>298</v>
      </c>
      <c r="D263">
        <v>18</v>
      </c>
      <c r="E263">
        <v>32</v>
      </c>
      <c r="F263">
        <v>18</v>
      </c>
      <c r="H263">
        <v>26</v>
      </c>
      <c r="I263">
        <v>85</v>
      </c>
      <c r="L263">
        <v>4</v>
      </c>
      <c r="M263">
        <v>3</v>
      </c>
      <c r="N263">
        <v>6</v>
      </c>
      <c r="O263">
        <v>8</v>
      </c>
      <c r="P263">
        <v>5</v>
      </c>
    </row>
    <row r="264" spans="1:18" x14ac:dyDescent="0.35">
      <c r="A264" t="s">
        <v>466</v>
      </c>
      <c r="B264" t="s">
        <v>297</v>
      </c>
      <c r="C264" t="s">
        <v>296</v>
      </c>
      <c r="D264">
        <v>4</v>
      </c>
      <c r="E264">
        <v>64</v>
      </c>
      <c r="F264">
        <v>86</v>
      </c>
      <c r="H264">
        <v>24</v>
      </c>
      <c r="I264">
        <v>43</v>
      </c>
      <c r="J264">
        <v>3</v>
      </c>
      <c r="K264">
        <v>6</v>
      </c>
      <c r="L264">
        <v>2</v>
      </c>
      <c r="M264">
        <v>6</v>
      </c>
      <c r="N264">
        <v>17</v>
      </c>
      <c r="O264">
        <v>8</v>
      </c>
      <c r="P264">
        <v>7</v>
      </c>
      <c r="Q264">
        <v>8</v>
      </c>
      <c r="R264">
        <v>2</v>
      </c>
    </row>
    <row r="265" spans="1:18" x14ac:dyDescent="0.35">
      <c r="A265" t="s">
        <v>313</v>
      </c>
      <c r="B265" t="s">
        <v>303</v>
      </c>
      <c r="C265" t="s">
        <v>302</v>
      </c>
      <c r="D265">
        <v>7</v>
      </c>
      <c r="E265">
        <v>44</v>
      </c>
      <c r="F265">
        <v>31</v>
      </c>
      <c r="G265">
        <v>2</v>
      </c>
      <c r="H265">
        <v>40</v>
      </c>
      <c r="I265">
        <v>20</v>
      </c>
      <c r="J265">
        <v>2</v>
      </c>
      <c r="L265">
        <v>7</v>
      </c>
      <c r="M265">
        <v>7</v>
      </c>
      <c r="N265">
        <v>10</v>
      </c>
      <c r="O265">
        <v>10</v>
      </c>
      <c r="P265">
        <v>25</v>
      </c>
      <c r="Q265">
        <v>13</v>
      </c>
      <c r="R265">
        <v>7</v>
      </c>
    </row>
    <row r="266" spans="1:18" x14ac:dyDescent="0.35">
      <c r="A266" t="s">
        <v>319</v>
      </c>
      <c r="B266" t="s">
        <v>235</v>
      </c>
      <c r="C266" t="s">
        <v>234</v>
      </c>
      <c r="D266">
        <v>22</v>
      </c>
      <c r="E266">
        <v>90</v>
      </c>
      <c r="F266">
        <v>175</v>
      </c>
      <c r="G266">
        <v>4</v>
      </c>
      <c r="H266">
        <v>10</v>
      </c>
      <c r="I266">
        <v>11</v>
      </c>
      <c r="K266">
        <v>2</v>
      </c>
      <c r="L266">
        <v>20</v>
      </c>
      <c r="M266">
        <v>5</v>
      </c>
      <c r="N266">
        <v>8</v>
      </c>
      <c r="O266">
        <v>9</v>
      </c>
      <c r="P266">
        <v>2</v>
      </c>
      <c r="Q266">
        <v>6</v>
      </c>
    </row>
    <row r="267" spans="1:18" x14ac:dyDescent="0.35">
      <c r="A267" t="s">
        <v>319</v>
      </c>
      <c r="B267" t="s">
        <v>260</v>
      </c>
      <c r="C267" t="s">
        <v>259</v>
      </c>
      <c r="E267">
        <v>14</v>
      </c>
      <c r="F267">
        <v>1</v>
      </c>
      <c r="H267">
        <v>1</v>
      </c>
      <c r="M267">
        <v>2</v>
      </c>
      <c r="N267">
        <v>2</v>
      </c>
      <c r="R267">
        <v>1</v>
      </c>
    </row>
    <row r="268" spans="1:18" x14ac:dyDescent="0.35">
      <c r="A268" t="s">
        <v>319</v>
      </c>
      <c r="B268" t="s">
        <v>280</v>
      </c>
      <c r="C268" t="s">
        <v>279</v>
      </c>
      <c r="D268">
        <v>3</v>
      </c>
      <c r="E268">
        <v>20</v>
      </c>
      <c r="F268">
        <v>4</v>
      </c>
      <c r="L268">
        <v>4</v>
      </c>
      <c r="N268">
        <v>1</v>
      </c>
      <c r="O268">
        <v>2</v>
      </c>
      <c r="P268">
        <v>1</v>
      </c>
      <c r="R268">
        <v>2</v>
      </c>
    </row>
    <row r="269" spans="1:18" x14ac:dyDescent="0.35">
      <c r="A269" t="s">
        <v>319</v>
      </c>
      <c r="B269" t="s">
        <v>290</v>
      </c>
      <c r="C269" t="s">
        <v>317</v>
      </c>
      <c r="D269">
        <v>3</v>
      </c>
      <c r="E269">
        <v>41</v>
      </c>
      <c r="F269">
        <v>3</v>
      </c>
      <c r="G269">
        <v>1</v>
      </c>
      <c r="H269">
        <v>14</v>
      </c>
      <c r="I269">
        <v>1</v>
      </c>
      <c r="L269">
        <v>1</v>
      </c>
      <c r="M269">
        <v>2</v>
      </c>
      <c r="N269">
        <v>8</v>
      </c>
      <c r="O269">
        <v>4</v>
      </c>
      <c r="P269">
        <v>10</v>
      </c>
      <c r="Q269">
        <v>26</v>
      </c>
      <c r="R269">
        <v>3</v>
      </c>
    </row>
    <row r="270" spans="1:18" x14ac:dyDescent="0.35">
      <c r="A270" t="s">
        <v>319</v>
      </c>
      <c r="B270" t="s">
        <v>295</v>
      </c>
      <c r="C270" t="s">
        <v>494</v>
      </c>
      <c r="D270">
        <v>36</v>
      </c>
      <c r="E270">
        <v>68</v>
      </c>
      <c r="F270">
        <v>7</v>
      </c>
      <c r="G270">
        <v>9</v>
      </c>
      <c r="H270">
        <v>2</v>
      </c>
      <c r="I270">
        <v>15</v>
      </c>
      <c r="L270">
        <v>2</v>
      </c>
      <c r="M270">
        <v>2</v>
      </c>
      <c r="N270">
        <v>7</v>
      </c>
      <c r="O270">
        <v>1</v>
      </c>
      <c r="Q270">
        <v>3</v>
      </c>
    </row>
    <row r="271" spans="1:18" x14ac:dyDescent="0.35">
      <c r="A271" t="s">
        <v>319</v>
      </c>
      <c r="B271" t="s">
        <v>308</v>
      </c>
      <c r="C271" t="s">
        <v>307</v>
      </c>
      <c r="D271">
        <v>1</v>
      </c>
      <c r="E271">
        <v>49</v>
      </c>
      <c r="F271">
        <v>13</v>
      </c>
      <c r="G271">
        <v>2</v>
      </c>
      <c r="H271">
        <v>2</v>
      </c>
      <c r="I271">
        <v>2</v>
      </c>
      <c r="L271">
        <v>2</v>
      </c>
      <c r="M271">
        <v>2</v>
      </c>
      <c r="N271">
        <v>4</v>
      </c>
      <c r="O271">
        <v>1</v>
      </c>
      <c r="P271">
        <v>1</v>
      </c>
      <c r="R271">
        <v>1</v>
      </c>
    </row>
    <row r="272" spans="1:18" x14ac:dyDescent="0.35">
      <c r="A272" t="s">
        <v>319</v>
      </c>
      <c r="B272" t="s">
        <v>310</v>
      </c>
      <c r="C272" t="s">
        <v>309</v>
      </c>
      <c r="D272">
        <v>1</v>
      </c>
      <c r="E272">
        <v>8</v>
      </c>
      <c r="F272">
        <v>5</v>
      </c>
      <c r="H272">
        <v>2</v>
      </c>
      <c r="K272">
        <v>1</v>
      </c>
      <c r="L272">
        <v>1</v>
      </c>
      <c r="M272">
        <v>7</v>
      </c>
      <c r="O272">
        <v>1</v>
      </c>
      <c r="Q272">
        <v>1</v>
      </c>
      <c r="R272">
        <v>1</v>
      </c>
    </row>
    <row r="273" spans="1:18" x14ac:dyDescent="0.35">
      <c r="A273" t="s">
        <v>321</v>
      </c>
      <c r="B273" t="s">
        <v>248</v>
      </c>
      <c r="C273" t="s">
        <v>247</v>
      </c>
      <c r="D273">
        <v>11</v>
      </c>
      <c r="E273">
        <v>37</v>
      </c>
      <c r="F273">
        <v>189</v>
      </c>
      <c r="G273">
        <v>1</v>
      </c>
      <c r="H273">
        <v>8</v>
      </c>
      <c r="L273">
        <v>6</v>
      </c>
      <c r="M273">
        <v>3</v>
      </c>
      <c r="N273">
        <v>4</v>
      </c>
      <c r="O273">
        <v>3</v>
      </c>
      <c r="P273">
        <v>3</v>
      </c>
      <c r="Q273">
        <v>3</v>
      </c>
      <c r="R273">
        <v>3</v>
      </c>
    </row>
    <row r="274" spans="1:18" x14ac:dyDescent="0.35">
      <c r="A274" t="s">
        <v>321</v>
      </c>
      <c r="B274" t="s">
        <v>260</v>
      </c>
      <c r="C274" t="s">
        <v>259</v>
      </c>
      <c r="E274">
        <v>10</v>
      </c>
      <c r="F274">
        <v>4</v>
      </c>
      <c r="H274">
        <v>8</v>
      </c>
      <c r="M274">
        <v>1</v>
      </c>
    </row>
    <row r="275" spans="1:18" x14ac:dyDescent="0.35">
      <c r="A275" t="s">
        <v>321</v>
      </c>
      <c r="B275" t="s">
        <v>278</v>
      </c>
      <c r="C275" t="s">
        <v>277</v>
      </c>
      <c r="D275">
        <v>2</v>
      </c>
      <c r="E275">
        <v>28</v>
      </c>
      <c r="F275">
        <v>2</v>
      </c>
      <c r="H275">
        <v>3</v>
      </c>
      <c r="N275">
        <v>2</v>
      </c>
      <c r="O275">
        <v>2</v>
      </c>
      <c r="P275">
        <v>1</v>
      </c>
      <c r="R275">
        <v>3</v>
      </c>
    </row>
    <row r="276" spans="1:18" x14ac:dyDescent="0.35">
      <c r="A276" t="s">
        <v>321</v>
      </c>
      <c r="B276" t="s">
        <v>293</v>
      </c>
      <c r="C276" t="s">
        <v>292</v>
      </c>
      <c r="E276">
        <v>8</v>
      </c>
      <c r="G276">
        <v>2</v>
      </c>
      <c r="H276">
        <v>5</v>
      </c>
    </row>
    <row r="277" spans="1:18" x14ac:dyDescent="0.35">
      <c r="A277" t="s">
        <v>321</v>
      </c>
      <c r="B277" t="s">
        <v>308</v>
      </c>
      <c r="C277" t="s">
        <v>307</v>
      </c>
      <c r="D277">
        <v>1</v>
      </c>
      <c r="E277">
        <v>40</v>
      </c>
      <c r="F277">
        <v>86</v>
      </c>
      <c r="G277">
        <v>1</v>
      </c>
      <c r="H277">
        <v>10</v>
      </c>
      <c r="I277">
        <v>15</v>
      </c>
      <c r="K277">
        <v>1</v>
      </c>
      <c r="L277">
        <v>4</v>
      </c>
      <c r="M277">
        <v>1</v>
      </c>
      <c r="N277">
        <v>5</v>
      </c>
      <c r="O277">
        <v>2</v>
      </c>
      <c r="P277">
        <v>3</v>
      </c>
      <c r="Q277">
        <v>3</v>
      </c>
      <c r="R277">
        <v>3</v>
      </c>
    </row>
    <row r="278" spans="1:18" x14ac:dyDescent="0.35">
      <c r="A278" t="s">
        <v>326</v>
      </c>
      <c r="B278" t="s">
        <v>250</v>
      </c>
      <c r="C278" t="s">
        <v>249</v>
      </c>
      <c r="D278">
        <v>7</v>
      </c>
      <c r="E278">
        <v>51</v>
      </c>
      <c r="F278">
        <v>14</v>
      </c>
      <c r="H278">
        <v>10</v>
      </c>
      <c r="I278">
        <v>24</v>
      </c>
      <c r="L278">
        <v>4</v>
      </c>
      <c r="M278">
        <v>3</v>
      </c>
      <c r="N278">
        <v>18</v>
      </c>
      <c r="O278">
        <v>4</v>
      </c>
      <c r="P278">
        <v>13</v>
      </c>
      <c r="R278">
        <v>2</v>
      </c>
    </row>
    <row r="279" spans="1:18" x14ac:dyDescent="0.35">
      <c r="A279" t="s">
        <v>326</v>
      </c>
      <c r="B279" t="s">
        <v>254</v>
      </c>
      <c r="C279" t="s">
        <v>253</v>
      </c>
      <c r="D279">
        <v>5</v>
      </c>
      <c r="E279">
        <v>23</v>
      </c>
      <c r="F279">
        <v>12</v>
      </c>
      <c r="H279">
        <v>4</v>
      </c>
      <c r="L279">
        <v>1</v>
      </c>
      <c r="M279">
        <v>2</v>
      </c>
      <c r="N279">
        <v>4</v>
      </c>
      <c r="O279">
        <v>1</v>
      </c>
      <c r="P279">
        <v>1</v>
      </c>
    </row>
    <row r="280" spans="1:18" x14ac:dyDescent="0.35">
      <c r="A280" t="s">
        <v>326</v>
      </c>
      <c r="B280" t="s">
        <v>293</v>
      </c>
      <c r="C280" t="s">
        <v>292</v>
      </c>
      <c r="D280">
        <v>1</v>
      </c>
      <c r="E280">
        <v>5</v>
      </c>
      <c r="F280">
        <v>2</v>
      </c>
      <c r="H280">
        <v>1</v>
      </c>
    </row>
    <row r="281" spans="1:18" x14ac:dyDescent="0.35">
      <c r="A281" t="s">
        <v>326</v>
      </c>
      <c r="B281" t="s">
        <v>297</v>
      </c>
      <c r="C281" t="s">
        <v>296</v>
      </c>
      <c r="D281">
        <v>4</v>
      </c>
      <c r="E281">
        <v>65</v>
      </c>
      <c r="F281">
        <v>19</v>
      </c>
      <c r="H281">
        <v>28</v>
      </c>
      <c r="I281">
        <v>21</v>
      </c>
      <c r="L281">
        <v>4</v>
      </c>
      <c r="M281">
        <v>13</v>
      </c>
      <c r="N281">
        <v>13</v>
      </c>
      <c r="O281">
        <v>3</v>
      </c>
      <c r="P281">
        <v>8</v>
      </c>
      <c r="Q281">
        <v>12</v>
      </c>
    </row>
    <row r="282" spans="1:18" x14ac:dyDescent="0.35">
      <c r="A282" t="s">
        <v>327</v>
      </c>
      <c r="B282" t="s">
        <v>256</v>
      </c>
      <c r="C282" t="s">
        <v>255</v>
      </c>
      <c r="D282">
        <v>1</v>
      </c>
      <c r="E282">
        <v>25</v>
      </c>
      <c r="F282">
        <v>9</v>
      </c>
      <c r="H282">
        <v>20</v>
      </c>
      <c r="I282">
        <v>10</v>
      </c>
      <c r="L282">
        <v>31</v>
      </c>
      <c r="M282">
        <v>8</v>
      </c>
      <c r="N282">
        <v>3</v>
      </c>
      <c r="O282">
        <v>1</v>
      </c>
      <c r="P282">
        <v>6</v>
      </c>
      <c r="Q282">
        <v>1</v>
      </c>
      <c r="R282">
        <v>2</v>
      </c>
    </row>
    <row r="283" spans="1:18" x14ac:dyDescent="0.35">
      <c r="A283" t="s">
        <v>327</v>
      </c>
      <c r="B283" t="s">
        <v>268</v>
      </c>
      <c r="C283" t="s">
        <v>1101</v>
      </c>
      <c r="D283">
        <v>7</v>
      </c>
      <c r="E283">
        <v>113</v>
      </c>
      <c r="F283">
        <v>220</v>
      </c>
      <c r="H283">
        <v>17</v>
      </c>
      <c r="I283">
        <v>12</v>
      </c>
      <c r="L283">
        <v>1</v>
      </c>
      <c r="N283">
        <v>2</v>
      </c>
      <c r="O283">
        <v>2</v>
      </c>
      <c r="P283">
        <v>2</v>
      </c>
    </row>
    <row r="284" spans="1:18" x14ac:dyDescent="0.35">
      <c r="A284" t="s">
        <v>327</v>
      </c>
      <c r="B284" t="s">
        <v>271</v>
      </c>
      <c r="C284" t="s">
        <v>270</v>
      </c>
      <c r="D284">
        <v>13</v>
      </c>
      <c r="E284">
        <v>135</v>
      </c>
      <c r="F284">
        <v>528</v>
      </c>
      <c r="G284">
        <v>9</v>
      </c>
      <c r="H284">
        <v>104</v>
      </c>
      <c r="I284">
        <v>17</v>
      </c>
      <c r="J284">
        <v>2</v>
      </c>
      <c r="K284">
        <v>3</v>
      </c>
      <c r="L284">
        <v>24</v>
      </c>
      <c r="M284">
        <v>20</v>
      </c>
      <c r="N284">
        <v>27</v>
      </c>
      <c r="O284">
        <v>11</v>
      </c>
      <c r="P284">
        <v>3</v>
      </c>
      <c r="Q284">
        <v>8</v>
      </c>
      <c r="R284">
        <v>10</v>
      </c>
    </row>
    <row r="285" spans="1:18" x14ac:dyDescent="0.35">
      <c r="A285" t="s">
        <v>327</v>
      </c>
      <c r="B285" t="s">
        <v>274</v>
      </c>
      <c r="C285" t="s">
        <v>273</v>
      </c>
      <c r="D285">
        <v>19</v>
      </c>
      <c r="E285">
        <v>88</v>
      </c>
      <c r="F285">
        <v>37</v>
      </c>
      <c r="G285">
        <v>11</v>
      </c>
      <c r="H285">
        <v>167</v>
      </c>
      <c r="I285">
        <v>14</v>
      </c>
      <c r="L285">
        <v>3</v>
      </c>
      <c r="M285">
        <v>2</v>
      </c>
      <c r="N285">
        <v>5</v>
      </c>
      <c r="O285">
        <v>7</v>
      </c>
      <c r="P285">
        <v>4</v>
      </c>
      <c r="Q285">
        <v>2</v>
      </c>
      <c r="R285">
        <v>3</v>
      </c>
    </row>
    <row r="286" spans="1:18" x14ac:dyDescent="0.35">
      <c r="A286" t="s">
        <v>466</v>
      </c>
      <c r="B286" t="s">
        <v>274</v>
      </c>
      <c r="C286" t="s">
        <v>273</v>
      </c>
      <c r="D286">
        <v>22</v>
      </c>
      <c r="E286">
        <v>78</v>
      </c>
      <c r="F286">
        <v>88</v>
      </c>
      <c r="G286">
        <v>18</v>
      </c>
      <c r="H286">
        <v>137</v>
      </c>
      <c r="I286">
        <v>38</v>
      </c>
      <c r="L286">
        <v>4</v>
      </c>
      <c r="M286">
        <v>2</v>
      </c>
      <c r="N286">
        <v>5</v>
      </c>
      <c r="O286">
        <v>4</v>
      </c>
      <c r="P286">
        <v>4</v>
      </c>
      <c r="R286">
        <v>2</v>
      </c>
    </row>
    <row r="287" spans="1:18" x14ac:dyDescent="0.35">
      <c r="A287" t="s">
        <v>466</v>
      </c>
      <c r="B287" t="s">
        <v>1212</v>
      </c>
      <c r="C287" t="s">
        <v>283</v>
      </c>
      <c r="D287">
        <v>2</v>
      </c>
      <c r="E287">
        <v>10</v>
      </c>
      <c r="F287">
        <v>4</v>
      </c>
      <c r="G287">
        <v>1</v>
      </c>
      <c r="H287">
        <v>9</v>
      </c>
      <c r="I287">
        <v>5</v>
      </c>
      <c r="K287">
        <v>1</v>
      </c>
      <c r="O287">
        <v>2</v>
      </c>
      <c r="Q287">
        <v>1</v>
      </c>
      <c r="R287">
        <v>1</v>
      </c>
    </row>
    <row r="288" spans="1:18" x14ac:dyDescent="0.35">
      <c r="A288" t="s">
        <v>214</v>
      </c>
      <c r="B288" t="s">
        <v>308</v>
      </c>
      <c r="C288" t="s">
        <v>307</v>
      </c>
      <c r="D288">
        <v>7</v>
      </c>
      <c r="E288">
        <v>56</v>
      </c>
      <c r="F288">
        <v>37</v>
      </c>
      <c r="G288">
        <v>2</v>
      </c>
      <c r="H288">
        <v>33</v>
      </c>
      <c r="I288">
        <v>4</v>
      </c>
      <c r="K288">
        <v>1</v>
      </c>
      <c r="L288">
        <v>1</v>
      </c>
      <c r="M288">
        <v>36</v>
      </c>
      <c r="N288">
        <v>4</v>
      </c>
      <c r="O288">
        <v>4</v>
      </c>
      <c r="P288">
        <v>3</v>
      </c>
      <c r="Q288">
        <v>2</v>
      </c>
      <c r="R288">
        <v>3</v>
      </c>
    </row>
    <row r="289" spans="1:18" x14ac:dyDescent="0.35">
      <c r="A289" t="s">
        <v>313</v>
      </c>
      <c r="B289" t="s">
        <v>235</v>
      </c>
      <c r="C289" t="s">
        <v>234</v>
      </c>
      <c r="D289">
        <v>44</v>
      </c>
      <c r="E289">
        <v>107</v>
      </c>
      <c r="F289">
        <v>91</v>
      </c>
      <c r="G289">
        <v>11</v>
      </c>
      <c r="H289">
        <v>97</v>
      </c>
      <c r="I289">
        <v>84</v>
      </c>
      <c r="J289">
        <v>4</v>
      </c>
      <c r="K289">
        <v>2</v>
      </c>
      <c r="L289">
        <v>52</v>
      </c>
      <c r="M289">
        <v>28</v>
      </c>
      <c r="N289">
        <v>42</v>
      </c>
      <c r="O289">
        <v>31</v>
      </c>
      <c r="P289">
        <v>7</v>
      </c>
      <c r="Q289">
        <v>45</v>
      </c>
      <c r="R289">
        <v>3</v>
      </c>
    </row>
    <row r="290" spans="1:18" x14ac:dyDescent="0.35">
      <c r="A290" t="s">
        <v>313</v>
      </c>
      <c r="B290" t="s">
        <v>250</v>
      </c>
      <c r="C290" t="s">
        <v>249</v>
      </c>
      <c r="D290">
        <v>2</v>
      </c>
      <c r="E290">
        <v>54</v>
      </c>
      <c r="F290">
        <v>8</v>
      </c>
      <c r="H290">
        <v>13</v>
      </c>
      <c r="I290">
        <v>11</v>
      </c>
      <c r="L290">
        <v>3</v>
      </c>
      <c r="M290">
        <v>10</v>
      </c>
      <c r="N290">
        <v>6</v>
      </c>
      <c r="O290">
        <v>3</v>
      </c>
    </row>
    <row r="291" spans="1:18" x14ac:dyDescent="0.35">
      <c r="A291" t="s">
        <v>313</v>
      </c>
      <c r="B291" t="s">
        <v>256</v>
      </c>
      <c r="C291" t="s">
        <v>255</v>
      </c>
      <c r="D291">
        <v>5</v>
      </c>
      <c r="E291">
        <v>23</v>
      </c>
      <c r="F291">
        <v>12</v>
      </c>
      <c r="H291">
        <v>4</v>
      </c>
      <c r="I291">
        <v>2</v>
      </c>
      <c r="K291">
        <v>1</v>
      </c>
      <c r="L291">
        <v>10</v>
      </c>
      <c r="M291">
        <v>8</v>
      </c>
      <c r="N291">
        <v>2</v>
      </c>
      <c r="O291">
        <v>7</v>
      </c>
      <c r="P291">
        <v>1</v>
      </c>
      <c r="Q291">
        <v>1</v>
      </c>
      <c r="R291">
        <v>2</v>
      </c>
    </row>
    <row r="292" spans="1:18" x14ac:dyDescent="0.35">
      <c r="A292" t="s">
        <v>313</v>
      </c>
      <c r="B292" t="s">
        <v>264</v>
      </c>
      <c r="C292" t="s">
        <v>263</v>
      </c>
      <c r="D292">
        <v>9</v>
      </c>
      <c r="E292">
        <v>41</v>
      </c>
      <c r="F292">
        <v>4</v>
      </c>
      <c r="G292">
        <v>1</v>
      </c>
      <c r="H292">
        <v>19</v>
      </c>
      <c r="J292">
        <v>1</v>
      </c>
      <c r="K292">
        <v>5</v>
      </c>
      <c r="L292">
        <v>22</v>
      </c>
      <c r="M292">
        <v>12</v>
      </c>
      <c r="N292">
        <v>13</v>
      </c>
      <c r="O292">
        <v>14</v>
      </c>
      <c r="P292">
        <v>8</v>
      </c>
      <c r="Q292">
        <v>1</v>
      </c>
    </row>
    <row r="293" spans="1:18" x14ac:dyDescent="0.35">
      <c r="A293" t="s">
        <v>313</v>
      </c>
      <c r="B293" t="s">
        <v>268</v>
      </c>
      <c r="C293" t="s">
        <v>1101</v>
      </c>
      <c r="D293">
        <v>13</v>
      </c>
      <c r="E293">
        <v>132</v>
      </c>
      <c r="F293">
        <v>156</v>
      </c>
      <c r="G293">
        <v>1</v>
      </c>
      <c r="H293">
        <v>54</v>
      </c>
      <c r="I293">
        <v>17</v>
      </c>
      <c r="J293">
        <v>1</v>
      </c>
      <c r="L293">
        <v>7</v>
      </c>
      <c r="M293">
        <v>10</v>
      </c>
      <c r="N293">
        <v>4</v>
      </c>
      <c r="O293">
        <v>9</v>
      </c>
      <c r="P293">
        <v>7</v>
      </c>
      <c r="Q293">
        <v>2</v>
      </c>
      <c r="R293">
        <v>4</v>
      </c>
    </row>
    <row r="294" spans="1:18" x14ac:dyDescent="0.35">
      <c r="A294" t="s">
        <v>319</v>
      </c>
      <c r="B294" t="s">
        <v>221</v>
      </c>
      <c r="C294" t="s">
        <v>220</v>
      </c>
      <c r="D294">
        <v>8</v>
      </c>
      <c r="E294">
        <v>27</v>
      </c>
      <c r="F294">
        <v>6</v>
      </c>
      <c r="H294">
        <v>7</v>
      </c>
      <c r="I294">
        <v>19</v>
      </c>
      <c r="L294">
        <v>4</v>
      </c>
      <c r="M294">
        <v>1</v>
      </c>
      <c r="N294">
        <v>1</v>
      </c>
      <c r="O294">
        <v>3</v>
      </c>
      <c r="P294">
        <v>4</v>
      </c>
      <c r="R294">
        <v>1</v>
      </c>
    </row>
    <row r="295" spans="1:18" x14ac:dyDescent="0.35">
      <c r="A295" t="s">
        <v>319</v>
      </c>
      <c r="B295" t="s">
        <v>1212</v>
      </c>
      <c r="C295" t="s">
        <v>283</v>
      </c>
      <c r="D295">
        <v>2</v>
      </c>
      <c r="E295">
        <v>9</v>
      </c>
    </row>
    <row r="296" spans="1:18" x14ac:dyDescent="0.35">
      <c r="A296" t="s">
        <v>319</v>
      </c>
      <c r="B296" t="s">
        <v>301</v>
      </c>
      <c r="C296" t="s">
        <v>300</v>
      </c>
      <c r="E296">
        <v>8</v>
      </c>
      <c r="F296">
        <v>1</v>
      </c>
      <c r="H296">
        <v>1</v>
      </c>
    </row>
    <row r="297" spans="1:18" x14ac:dyDescent="0.35">
      <c r="A297" t="s">
        <v>321</v>
      </c>
      <c r="B297" t="s">
        <v>235</v>
      </c>
      <c r="C297" t="s">
        <v>234</v>
      </c>
      <c r="D297">
        <v>46</v>
      </c>
      <c r="E297">
        <v>107</v>
      </c>
      <c r="F297">
        <v>331</v>
      </c>
      <c r="G297">
        <v>2</v>
      </c>
      <c r="H297">
        <v>73</v>
      </c>
      <c r="I297">
        <v>67</v>
      </c>
      <c r="K297">
        <v>4</v>
      </c>
      <c r="L297">
        <v>26</v>
      </c>
      <c r="M297">
        <v>8</v>
      </c>
      <c r="N297">
        <v>14</v>
      </c>
      <c r="O297">
        <v>11</v>
      </c>
      <c r="P297">
        <v>2</v>
      </c>
      <c r="Q297">
        <v>16</v>
      </c>
      <c r="R297">
        <v>3</v>
      </c>
    </row>
    <row r="298" spans="1:18" x14ac:dyDescent="0.35">
      <c r="A298" t="s">
        <v>321</v>
      </c>
      <c r="B298" t="s">
        <v>310</v>
      </c>
      <c r="C298" t="s">
        <v>309</v>
      </c>
      <c r="D298">
        <v>6</v>
      </c>
      <c r="E298">
        <v>16</v>
      </c>
      <c r="F298">
        <v>17</v>
      </c>
      <c r="H298">
        <v>14</v>
      </c>
      <c r="I298">
        <v>3</v>
      </c>
      <c r="L298">
        <v>2</v>
      </c>
      <c r="M298">
        <v>3</v>
      </c>
      <c r="N298">
        <v>1</v>
      </c>
      <c r="O298">
        <v>2</v>
      </c>
      <c r="P298">
        <v>3</v>
      </c>
      <c r="Q298">
        <v>2</v>
      </c>
    </row>
    <row r="299" spans="1:18" x14ac:dyDescent="0.35">
      <c r="A299" t="s">
        <v>326</v>
      </c>
      <c r="B299" t="s">
        <v>229</v>
      </c>
      <c r="C299" t="s">
        <v>228</v>
      </c>
      <c r="D299">
        <v>7</v>
      </c>
      <c r="E299">
        <v>41</v>
      </c>
      <c r="F299">
        <v>29</v>
      </c>
      <c r="G299">
        <v>8</v>
      </c>
      <c r="H299">
        <v>125</v>
      </c>
      <c r="I299">
        <v>102</v>
      </c>
      <c r="J299">
        <v>1</v>
      </c>
      <c r="K299">
        <v>1</v>
      </c>
      <c r="L299">
        <v>8</v>
      </c>
      <c r="M299">
        <v>10</v>
      </c>
      <c r="N299">
        <v>3</v>
      </c>
      <c r="O299">
        <v>13</v>
      </c>
      <c r="P299">
        <v>3</v>
      </c>
      <c r="Q299">
        <v>9</v>
      </c>
      <c r="R299">
        <v>19</v>
      </c>
    </row>
    <row r="300" spans="1:18" x14ac:dyDescent="0.35">
      <c r="A300" t="s">
        <v>326</v>
      </c>
      <c r="B300" t="s">
        <v>264</v>
      </c>
      <c r="C300" t="s">
        <v>263</v>
      </c>
      <c r="D300">
        <v>6</v>
      </c>
      <c r="E300">
        <v>35</v>
      </c>
      <c r="F300">
        <v>3</v>
      </c>
      <c r="G300">
        <v>1</v>
      </c>
      <c r="H300">
        <v>17</v>
      </c>
      <c r="J300">
        <v>1</v>
      </c>
      <c r="K300">
        <v>1</v>
      </c>
      <c r="L300">
        <v>2</v>
      </c>
      <c r="M300">
        <v>4</v>
      </c>
      <c r="N300">
        <v>6</v>
      </c>
      <c r="O300">
        <v>3</v>
      </c>
      <c r="P300">
        <v>7</v>
      </c>
      <c r="Q300">
        <v>4</v>
      </c>
      <c r="R300">
        <v>1</v>
      </c>
    </row>
    <row r="301" spans="1:18" x14ac:dyDescent="0.35">
      <c r="A301" t="s">
        <v>327</v>
      </c>
      <c r="E301">
        <v>5</v>
      </c>
      <c r="F301">
        <v>77</v>
      </c>
      <c r="H301">
        <v>3</v>
      </c>
      <c r="I301">
        <v>49</v>
      </c>
      <c r="L301">
        <v>3</v>
      </c>
      <c r="N301">
        <v>3</v>
      </c>
      <c r="O301">
        <v>1</v>
      </c>
      <c r="P301">
        <v>1</v>
      </c>
      <c r="R301">
        <v>4</v>
      </c>
    </row>
    <row r="302" spans="1:18" x14ac:dyDescent="0.35">
      <c r="A302" t="s">
        <v>327</v>
      </c>
      <c r="B302" t="s">
        <v>1219</v>
      </c>
      <c r="C302" t="s">
        <v>281</v>
      </c>
      <c r="D302">
        <v>3</v>
      </c>
      <c r="E302">
        <v>19</v>
      </c>
      <c r="F302">
        <v>9</v>
      </c>
      <c r="H302">
        <v>28</v>
      </c>
      <c r="I302">
        <v>51</v>
      </c>
      <c r="L302">
        <v>3</v>
      </c>
      <c r="M302">
        <v>2</v>
      </c>
      <c r="N302">
        <v>4</v>
      </c>
      <c r="O302">
        <v>3</v>
      </c>
      <c r="P302">
        <v>1</v>
      </c>
      <c r="Q302">
        <v>2</v>
      </c>
    </row>
    <row r="303" spans="1:18" x14ac:dyDescent="0.35">
      <c r="A303" t="s">
        <v>327</v>
      </c>
      <c r="B303" t="s">
        <v>308</v>
      </c>
      <c r="C303" t="s">
        <v>307</v>
      </c>
      <c r="D303">
        <v>1</v>
      </c>
      <c r="E303">
        <v>34</v>
      </c>
      <c r="F303">
        <v>31</v>
      </c>
      <c r="H303">
        <v>19</v>
      </c>
      <c r="I303">
        <v>5</v>
      </c>
      <c r="L303">
        <v>1</v>
      </c>
      <c r="N303">
        <v>1</v>
      </c>
      <c r="O303">
        <v>1</v>
      </c>
      <c r="P303">
        <v>1</v>
      </c>
      <c r="R303">
        <v>1</v>
      </c>
    </row>
    <row r="304" spans="1:18" x14ac:dyDescent="0.35">
      <c r="A304" t="s">
        <v>466</v>
      </c>
      <c r="B304" t="s">
        <v>282</v>
      </c>
      <c r="C304" t="s">
        <v>281</v>
      </c>
      <c r="D304">
        <v>2</v>
      </c>
      <c r="E304">
        <v>21</v>
      </c>
      <c r="F304">
        <v>5</v>
      </c>
      <c r="H304">
        <v>18</v>
      </c>
      <c r="I304">
        <v>51</v>
      </c>
      <c r="L304">
        <v>1</v>
      </c>
      <c r="M304">
        <v>2</v>
      </c>
      <c r="N304">
        <v>6</v>
      </c>
      <c r="P304">
        <v>2</v>
      </c>
      <c r="Q304">
        <v>1</v>
      </c>
      <c r="R304">
        <v>1</v>
      </c>
    </row>
    <row r="305" spans="1:18" x14ac:dyDescent="0.35">
      <c r="A305" t="s">
        <v>466</v>
      </c>
      <c r="B305" t="s">
        <v>1218</v>
      </c>
      <c r="C305" t="s">
        <v>234</v>
      </c>
      <c r="D305">
        <v>40</v>
      </c>
      <c r="E305">
        <v>111</v>
      </c>
      <c r="F305">
        <v>294</v>
      </c>
      <c r="G305">
        <v>11</v>
      </c>
      <c r="H305">
        <v>99</v>
      </c>
      <c r="I305">
        <v>35</v>
      </c>
      <c r="J305">
        <v>4</v>
      </c>
      <c r="K305">
        <v>1</v>
      </c>
      <c r="L305">
        <v>57</v>
      </c>
      <c r="M305">
        <v>12</v>
      </c>
      <c r="N305">
        <v>11</v>
      </c>
      <c r="O305">
        <v>12</v>
      </c>
      <c r="P305">
        <v>1</v>
      </c>
      <c r="Q305">
        <v>10</v>
      </c>
      <c r="R305">
        <v>8</v>
      </c>
    </row>
    <row r="306" spans="1:18" x14ac:dyDescent="0.35">
      <c r="A306" t="s">
        <v>466</v>
      </c>
      <c r="B306" t="s">
        <v>229</v>
      </c>
      <c r="C306" t="s">
        <v>228</v>
      </c>
      <c r="D306">
        <v>3</v>
      </c>
      <c r="E306">
        <v>23</v>
      </c>
      <c r="F306">
        <v>15</v>
      </c>
      <c r="G306">
        <v>2</v>
      </c>
      <c r="H306">
        <v>54</v>
      </c>
      <c r="I306">
        <v>381</v>
      </c>
      <c r="K306">
        <v>3</v>
      </c>
      <c r="M306">
        <v>1</v>
      </c>
      <c r="N306">
        <v>4</v>
      </c>
      <c r="O306">
        <v>9</v>
      </c>
      <c r="P306">
        <v>4</v>
      </c>
      <c r="Q306">
        <v>4</v>
      </c>
      <c r="R306">
        <v>5</v>
      </c>
    </row>
    <row r="307" spans="1:18" x14ac:dyDescent="0.35">
      <c r="A307" t="s">
        <v>466</v>
      </c>
      <c r="B307" t="s">
        <v>295</v>
      </c>
      <c r="C307" t="s">
        <v>294</v>
      </c>
      <c r="D307">
        <v>4</v>
      </c>
      <c r="E307">
        <v>61</v>
      </c>
      <c r="F307">
        <v>17</v>
      </c>
      <c r="H307">
        <v>32</v>
      </c>
      <c r="I307">
        <v>60</v>
      </c>
      <c r="J307">
        <v>1</v>
      </c>
      <c r="K307">
        <v>1</v>
      </c>
      <c r="L307">
        <v>5</v>
      </c>
      <c r="M307">
        <v>4</v>
      </c>
      <c r="N307">
        <v>4</v>
      </c>
      <c r="O307">
        <v>1</v>
      </c>
      <c r="P307">
        <v>1</v>
      </c>
      <c r="Q307">
        <v>1</v>
      </c>
      <c r="R307">
        <v>1</v>
      </c>
    </row>
    <row r="308" spans="1:18" x14ac:dyDescent="0.35">
      <c r="A308" t="s">
        <v>466</v>
      </c>
      <c r="B308" t="s">
        <v>278</v>
      </c>
      <c r="C308" t="s">
        <v>277</v>
      </c>
      <c r="D308">
        <v>9</v>
      </c>
      <c r="E308">
        <v>34</v>
      </c>
      <c r="F308">
        <v>14</v>
      </c>
      <c r="H308">
        <v>6</v>
      </c>
      <c r="I308">
        <v>8</v>
      </c>
      <c r="K308">
        <v>1</v>
      </c>
      <c r="L308">
        <v>2</v>
      </c>
      <c r="N308">
        <v>1</v>
      </c>
      <c r="O308">
        <v>4</v>
      </c>
      <c r="P308">
        <v>3</v>
      </c>
      <c r="Q308">
        <v>4</v>
      </c>
      <c r="R308">
        <v>5</v>
      </c>
    </row>
    <row r="309" spans="1:18" x14ac:dyDescent="0.35">
      <c r="A309" t="s">
        <v>365</v>
      </c>
      <c r="B309" t="s">
        <v>221</v>
      </c>
      <c r="C309" t="s">
        <v>220</v>
      </c>
      <c r="D309">
        <v>11</v>
      </c>
      <c r="E309">
        <v>79</v>
      </c>
      <c r="F309">
        <v>48</v>
      </c>
      <c r="H309">
        <v>59</v>
      </c>
      <c r="I309">
        <v>28</v>
      </c>
      <c r="L309">
        <v>14</v>
      </c>
      <c r="M309">
        <v>16</v>
      </c>
      <c r="N309">
        <v>1</v>
      </c>
      <c r="O309">
        <v>1</v>
      </c>
      <c r="P309">
        <v>2</v>
      </c>
      <c r="Q309">
        <v>6</v>
      </c>
      <c r="R309">
        <v>2</v>
      </c>
    </row>
    <row r="310" spans="1:18" x14ac:dyDescent="0.35">
      <c r="A310" t="s">
        <v>365</v>
      </c>
      <c r="B310" t="s">
        <v>225</v>
      </c>
      <c r="C310" t="s">
        <v>224</v>
      </c>
      <c r="D310">
        <v>13</v>
      </c>
      <c r="E310">
        <v>38</v>
      </c>
      <c r="F310">
        <v>6</v>
      </c>
      <c r="G310">
        <v>1</v>
      </c>
      <c r="H310">
        <v>27</v>
      </c>
      <c r="I310">
        <v>9</v>
      </c>
      <c r="K310">
        <v>2</v>
      </c>
      <c r="L310">
        <v>34</v>
      </c>
      <c r="M310">
        <v>4</v>
      </c>
      <c r="N310">
        <v>5</v>
      </c>
      <c r="O310">
        <v>20</v>
      </c>
      <c r="P310">
        <v>25</v>
      </c>
      <c r="Q310">
        <v>13</v>
      </c>
      <c r="R310">
        <v>9</v>
      </c>
    </row>
    <row r="311" spans="1:18" x14ac:dyDescent="0.35">
      <c r="A311" t="s">
        <v>365</v>
      </c>
      <c r="B311" t="s">
        <v>229</v>
      </c>
      <c r="C311" t="s">
        <v>228</v>
      </c>
      <c r="D311">
        <v>5</v>
      </c>
      <c r="E311">
        <v>27</v>
      </c>
      <c r="F311">
        <v>2</v>
      </c>
      <c r="G311">
        <v>5</v>
      </c>
      <c r="H311">
        <v>101</v>
      </c>
      <c r="I311">
        <v>24</v>
      </c>
      <c r="J311">
        <v>2</v>
      </c>
      <c r="K311">
        <v>2</v>
      </c>
      <c r="L311">
        <v>9</v>
      </c>
      <c r="M311">
        <v>36</v>
      </c>
      <c r="N311">
        <v>13</v>
      </c>
      <c r="O311">
        <v>2</v>
      </c>
      <c r="P311">
        <v>3</v>
      </c>
      <c r="Q311">
        <v>4</v>
      </c>
      <c r="R311">
        <v>18</v>
      </c>
    </row>
    <row r="312" spans="1:18" x14ac:dyDescent="0.35">
      <c r="A312" t="s">
        <v>365</v>
      </c>
      <c r="B312" t="s">
        <v>295</v>
      </c>
      <c r="C312" t="s">
        <v>294</v>
      </c>
      <c r="D312">
        <v>49</v>
      </c>
      <c r="E312">
        <v>85</v>
      </c>
      <c r="F312">
        <v>32</v>
      </c>
      <c r="G312">
        <v>1</v>
      </c>
      <c r="H312">
        <v>18</v>
      </c>
      <c r="I312">
        <v>30</v>
      </c>
      <c r="K312">
        <v>1</v>
      </c>
      <c r="L312">
        <v>4</v>
      </c>
      <c r="M312">
        <v>3</v>
      </c>
      <c r="N312">
        <v>5</v>
      </c>
      <c r="O312">
        <v>4</v>
      </c>
      <c r="P312">
        <v>3</v>
      </c>
      <c r="Q312">
        <v>11</v>
      </c>
      <c r="R312">
        <v>1</v>
      </c>
    </row>
    <row r="313" spans="1:18" x14ac:dyDescent="0.35">
      <c r="A313" t="s">
        <v>365</v>
      </c>
      <c r="B313" t="s">
        <v>301</v>
      </c>
      <c r="C313" t="s">
        <v>300</v>
      </c>
      <c r="D313">
        <v>1</v>
      </c>
      <c r="E313">
        <v>14</v>
      </c>
      <c r="F313">
        <v>6</v>
      </c>
      <c r="G313">
        <v>2</v>
      </c>
      <c r="H313">
        <v>8</v>
      </c>
      <c r="Q313">
        <v>1</v>
      </c>
    </row>
    <row r="314" spans="1:18" x14ac:dyDescent="0.35">
      <c r="A314" t="s">
        <v>365</v>
      </c>
      <c r="B314" t="s">
        <v>303</v>
      </c>
      <c r="C314" t="s">
        <v>302</v>
      </c>
      <c r="D314">
        <v>3</v>
      </c>
      <c r="E314">
        <v>46</v>
      </c>
      <c r="F314">
        <v>23</v>
      </c>
      <c r="G314">
        <v>5</v>
      </c>
      <c r="H314">
        <v>39</v>
      </c>
      <c r="I314">
        <v>14</v>
      </c>
      <c r="J314">
        <v>1</v>
      </c>
      <c r="K314">
        <v>1</v>
      </c>
      <c r="L314">
        <v>16</v>
      </c>
      <c r="M314">
        <v>10</v>
      </c>
      <c r="N314">
        <v>36</v>
      </c>
      <c r="O314">
        <v>8</v>
      </c>
      <c r="P314">
        <v>20</v>
      </c>
      <c r="Q314">
        <v>15</v>
      </c>
      <c r="R314">
        <v>10</v>
      </c>
    </row>
    <row r="315" spans="1:18" x14ac:dyDescent="0.35">
      <c r="A315" t="s">
        <v>365</v>
      </c>
      <c r="B315" t="s">
        <v>312</v>
      </c>
      <c r="C315" t="s">
        <v>311</v>
      </c>
      <c r="D315">
        <v>9</v>
      </c>
      <c r="E315">
        <v>45</v>
      </c>
      <c r="F315">
        <v>13</v>
      </c>
      <c r="G315">
        <v>4</v>
      </c>
      <c r="H315">
        <v>5</v>
      </c>
      <c r="I315">
        <v>1</v>
      </c>
      <c r="K315">
        <v>16</v>
      </c>
      <c r="L315">
        <v>34</v>
      </c>
      <c r="M315">
        <v>21</v>
      </c>
      <c r="N315">
        <v>30</v>
      </c>
      <c r="O315">
        <v>15</v>
      </c>
      <c r="P315">
        <v>29</v>
      </c>
      <c r="Q315">
        <v>13</v>
      </c>
      <c r="R315">
        <v>3</v>
      </c>
    </row>
    <row r="316" spans="1:18" x14ac:dyDescent="0.35">
      <c r="A316" t="s">
        <v>366</v>
      </c>
      <c r="B316" t="s">
        <v>225</v>
      </c>
      <c r="C316" t="s">
        <v>224</v>
      </c>
      <c r="D316">
        <v>8</v>
      </c>
      <c r="E316">
        <v>36</v>
      </c>
      <c r="F316">
        <v>4</v>
      </c>
      <c r="H316">
        <v>12</v>
      </c>
      <c r="I316">
        <v>27</v>
      </c>
      <c r="L316">
        <v>39</v>
      </c>
      <c r="M316">
        <v>7</v>
      </c>
      <c r="N316">
        <v>3</v>
      </c>
      <c r="O316">
        <v>19</v>
      </c>
      <c r="P316">
        <v>8</v>
      </c>
      <c r="Q316">
        <v>8</v>
      </c>
      <c r="R316">
        <v>3</v>
      </c>
    </row>
    <row r="317" spans="1:18" x14ac:dyDescent="0.35">
      <c r="A317" t="s">
        <v>366</v>
      </c>
      <c r="B317" t="s">
        <v>245</v>
      </c>
      <c r="C317" t="s">
        <v>244</v>
      </c>
      <c r="D317">
        <v>10</v>
      </c>
      <c r="E317">
        <v>91</v>
      </c>
      <c r="F317">
        <v>27</v>
      </c>
      <c r="G317">
        <v>3</v>
      </c>
      <c r="H317">
        <v>82</v>
      </c>
      <c r="I317">
        <v>7</v>
      </c>
      <c r="J317">
        <v>1</v>
      </c>
      <c r="K317">
        <v>1</v>
      </c>
      <c r="L317">
        <v>9</v>
      </c>
      <c r="M317">
        <v>11</v>
      </c>
      <c r="N317">
        <v>10</v>
      </c>
      <c r="O317">
        <v>15</v>
      </c>
      <c r="P317">
        <v>19</v>
      </c>
      <c r="Q317">
        <v>7</v>
      </c>
      <c r="R317">
        <v>3</v>
      </c>
    </row>
    <row r="318" spans="1:18" x14ac:dyDescent="0.35">
      <c r="A318" t="s">
        <v>366</v>
      </c>
      <c r="B318" t="s">
        <v>264</v>
      </c>
      <c r="C318" t="s">
        <v>263</v>
      </c>
      <c r="D318">
        <v>10</v>
      </c>
      <c r="E318">
        <v>45</v>
      </c>
      <c r="F318">
        <v>8</v>
      </c>
      <c r="G318">
        <v>1</v>
      </c>
      <c r="H318">
        <v>18</v>
      </c>
      <c r="I318">
        <v>5</v>
      </c>
      <c r="J318">
        <v>2</v>
      </c>
      <c r="K318">
        <v>4</v>
      </c>
      <c r="L318">
        <v>17</v>
      </c>
      <c r="M318">
        <v>6</v>
      </c>
      <c r="N318">
        <v>16</v>
      </c>
      <c r="O318">
        <v>7</v>
      </c>
      <c r="P318">
        <v>10</v>
      </c>
      <c r="Q318">
        <v>8</v>
      </c>
      <c r="R318">
        <v>3</v>
      </c>
    </row>
    <row r="319" spans="1:18" x14ac:dyDescent="0.35">
      <c r="A319" t="s">
        <v>366</v>
      </c>
      <c r="B319" t="s">
        <v>295</v>
      </c>
      <c r="C319" t="s">
        <v>294</v>
      </c>
      <c r="D319">
        <v>65</v>
      </c>
      <c r="E319">
        <v>88</v>
      </c>
      <c r="F319">
        <v>38</v>
      </c>
      <c r="H319">
        <v>11</v>
      </c>
      <c r="I319">
        <v>27</v>
      </c>
      <c r="L319">
        <v>13</v>
      </c>
      <c r="M319">
        <v>2</v>
      </c>
      <c r="N319">
        <v>1</v>
      </c>
      <c r="O319">
        <v>13</v>
      </c>
      <c r="P319">
        <v>6</v>
      </c>
      <c r="Q319">
        <v>3</v>
      </c>
      <c r="R319">
        <v>3</v>
      </c>
    </row>
    <row r="320" spans="1:18" x14ac:dyDescent="0.35">
      <c r="A320" t="s">
        <v>366</v>
      </c>
      <c r="B320" t="s">
        <v>305</v>
      </c>
      <c r="C320" t="s">
        <v>304</v>
      </c>
      <c r="D320">
        <v>15</v>
      </c>
      <c r="E320">
        <v>102</v>
      </c>
      <c r="F320">
        <v>59</v>
      </c>
      <c r="H320">
        <v>25</v>
      </c>
      <c r="I320">
        <v>3</v>
      </c>
      <c r="K320">
        <v>1</v>
      </c>
      <c r="L320">
        <v>6</v>
      </c>
      <c r="M320">
        <v>3</v>
      </c>
      <c r="N320">
        <v>5</v>
      </c>
      <c r="O320">
        <v>8</v>
      </c>
      <c r="P320">
        <v>4</v>
      </c>
      <c r="Q320">
        <v>16</v>
      </c>
      <c r="R320">
        <v>3</v>
      </c>
    </row>
    <row r="321" spans="1:18" x14ac:dyDescent="0.35">
      <c r="A321" t="s">
        <v>341</v>
      </c>
      <c r="B321" t="s">
        <v>235</v>
      </c>
      <c r="C321" t="s">
        <v>234</v>
      </c>
      <c r="D321">
        <v>27</v>
      </c>
      <c r="E321">
        <v>110</v>
      </c>
      <c r="F321">
        <v>211</v>
      </c>
      <c r="G321">
        <v>30</v>
      </c>
      <c r="H321">
        <v>110</v>
      </c>
      <c r="I321">
        <v>22</v>
      </c>
      <c r="J321">
        <v>2</v>
      </c>
      <c r="K321">
        <v>5</v>
      </c>
      <c r="L321">
        <v>109</v>
      </c>
      <c r="M321">
        <v>24</v>
      </c>
      <c r="N321">
        <v>79</v>
      </c>
      <c r="O321">
        <v>27</v>
      </c>
      <c r="P321">
        <v>1</v>
      </c>
      <c r="Q321">
        <v>22</v>
      </c>
      <c r="R321">
        <v>4</v>
      </c>
    </row>
    <row r="322" spans="1:18" x14ac:dyDescent="0.35">
      <c r="A322" t="s">
        <v>341</v>
      </c>
      <c r="B322" t="s">
        <v>268</v>
      </c>
      <c r="C322" t="s">
        <v>1101</v>
      </c>
      <c r="D322">
        <v>24</v>
      </c>
      <c r="E322">
        <v>132</v>
      </c>
      <c r="F322">
        <v>202</v>
      </c>
      <c r="H322">
        <v>31</v>
      </c>
      <c r="I322">
        <v>5</v>
      </c>
      <c r="J322">
        <v>6</v>
      </c>
      <c r="K322">
        <v>2</v>
      </c>
      <c r="L322">
        <v>14</v>
      </c>
      <c r="M322">
        <v>7</v>
      </c>
      <c r="N322">
        <v>15</v>
      </c>
      <c r="O322">
        <v>17</v>
      </c>
      <c r="P322">
        <v>11</v>
      </c>
      <c r="Q322">
        <v>9</v>
      </c>
      <c r="R322">
        <v>7</v>
      </c>
    </row>
    <row r="323" spans="1:18" x14ac:dyDescent="0.35">
      <c r="A323" t="s">
        <v>341</v>
      </c>
      <c r="B323" t="s">
        <v>293</v>
      </c>
      <c r="C323" t="s">
        <v>292</v>
      </c>
      <c r="D323">
        <v>1</v>
      </c>
      <c r="E323">
        <v>9</v>
      </c>
      <c r="F323">
        <v>2</v>
      </c>
      <c r="G323">
        <v>6</v>
      </c>
      <c r="H323">
        <v>10</v>
      </c>
      <c r="I323">
        <v>1</v>
      </c>
    </row>
    <row r="324" spans="1:18" x14ac:dyDescent="0.35">
      <c r="A324" t="s">
        <v>341</v>
      </c>
      <c r="B324" t="s">
        <v>297</v>
      </c>
      <c r="C324" t="s">
        <v>296</v>
      </c>
      <c r="D324">
        <v>1</v>
      </c>
      <c r="E324">
        <v>56</v>
      </c>
      <c r="F324">
        <v>8</v>
      </c>
      <c r="H324">
        <v>22</v>
      </c>
      <c r="K324">
        <v>2</v>
      </c>
      <c r="L324">
        <v>16</v>
      </c>
      <c r="M324">
        <v>2</v>
      </c>
      <c r="N324">
        <v>25</v>
      </c>
      <c r="O324">
        <v>6</v>
      </c>
      <c r="P324">
        <v>13</v>
      </c>
      <c r="Q324">
        <v>9</v>
      </c>
      <c r="R324">
        <v>9</v>
      </c>
    </row>
    <row r="325" spans="1:18" x14ac:dyDescent="0.35">
      <c r="A325" t="s">
        <v>341</v>
      </c>
      <c r="B325" t="s">
        <v>308</v>
      </c>
      <c r="C325" t="s">
        <v>307</v>
      </c>
      <c r="D325">
        <v>16</v>
      </c>
      <c r="E325">
        <v>46</v>
      </c>
      <c r="F325">
        <v>33</v>
      </c>
      <c r="G325">
        <v>4</v>
      </c>
      <c r="H325">
        <v>22</v>
      </c>
      <c r="I325">
        <v>10</v>
      </c>
      <c r="L325">
        <v>5</v>
      </c>
      <c r="M325">
        <v>3</v>
      </c>
      <c r="N325">
        <v>6</v>
      </c>
      <c r="O325">
        <v>3</v>
      </c>
      <c r="P325">
        <v>3</v>
      </c>
      <c r="Q325">
        <v>4</v>
      </c>
      <c r="R325">
        <v>5</v>
      </c>
    </row>
    <row r="326" spans="1:18" x14ac:dyDescent="0.35">
      <c r="A326" t="s">
        <v>341</v>
      </c>
      <c r="B326" t="s">
        <v>310</v>
      </c>
      <c r="C326" t="s">
        <v>309</v>
      </c>
      <c r="D326">
        <v>4</v>
      </c>
      <c r="E326">
        <v>24</v>
      </c>
      <c r="F326">
        <v>13</v>
      </c>
      <c r="H326">
        <v>17</v>
      </c>
      <c r="I326">
        <v>6</v>
      </c>
      <c r="K326">
        <v>2</v>
      </c>
      <c r="L326">
        <v>3</v>
      </c>
      <c r="M326">
        <v>3</v>
      </c>
      <c r="N326">
        <v>8</v>
      </c>
      <c r="O326">
        <v>3</v>
      </c>
      <c r="P326">
        <v>31</v>
      </c>
      <c r="Q326">
        <v>5</v>
      </c>
      <c r="R326">
        <v>2</v>
      </c>
    </row>
    <row r="327" spans="1:18" x14ac:dyDescent="0.35">
      <c r="A327" t="s">
        <v>342</v>
      </c>
      <c r="B327" t="s">
        <v>271</v>
      </c>
      <c r="C327" t="s">
        <v>270</v>
      </c>
      <c r="D327">
        <v>41</v>
      </c>
      <c r="E327">
        <v>109</v>
      </c>
      <c r="F327">
        <v>831</v>
      </c>
      <c r="G327">
        <v>15</v>
      </c>
      <c r="H327">
        <v>81</v>
      </c>
      <c r="I327">
        <v>4</v>
      </c>
      <c r="J327">
        <v>6</v>
      </c>
      <c r="K327">
        <v>5</v>
      </c>
      <c r="L327">
        <v>25</v>
      </c>
      <c r="M327">
        <v>11</v>
      </c>
      <c r="N327">
        <v>28</v>
      </c>
      <c r="O327">
        <v>9</v>
      </c>
      <c r="P327">
        <v>5</v>
      </c>
      <c r="Q327">
        <v>14</v>
      </c>
      <c r="R327">
        <v>3</v>
      </c>
    </row>
    <row r="328" spans="1:18" x14ac:dyDescent="0.35">
      <c r="A328" t="s">
        <v>342</v>
      </c>
      <c r="B328" t="s">
        <v>305</v>
      </c>
      <c r="C328" t="s">
        <v>304</v>
      </c>
      <c r="D328">
        <v>24</v>
      </c>
      <c r="E328">
        <v>115</v>
      </c>
      <c r="F328">
        <v>74</v>
      </c>
      <c r="G328">
        <v>3</v>
      </c>
      <c r="H328">
        <v>37</v>
      </c>
      <c r="I328">
        <v>4</v>
      </c>
      <c r="J328">
        <v>2</v>
      </c>
      <c r="K328">
        <v>1</v>
      </c>
      <c r="L328">
        <v>14</v>
      </c>
      <c r="M328">
        <v>9</v>
      </c>
      <c r="N328">
        <v>14</v>
      </c>
      <c r="O328">
        <v>8</v>
      </c>
      <c r="P328">
        <v>16</v>
      </c>
      <c r="Q328">
        <v>7</v>
      </c>
      <c r="R328">
        <v>5</v>
      </c>
    </row>
    <row r="329" spans="1:18" x14ac:dyDescent="0.35">
      <c r="A329" t="s">
        <v>214</v>
      </c>
      <c r="B329" t="s">
        <v>271</v>
      </c>
      <c r="C329" t="s">
        <v>270</v>
      </c>
      <c r="D329">
        <v>68</v>
      </c>
      <c r="E329">
        <v>127</v>
      </c>
      <c r="F329">
        <v>602</v>
      </c>
      <c r="G329">
        <v>13</v>
      </c>
      <c r="H329">
        <v>102</v>
      </c>
      <c r="I329">
        <v>1</v>
      </c>
      <c r="J329">
        <v>7</v>
      </c>
      <c r="K329">
        <v>2</v>
      </c>
      <c r="L329">
        <v>51</v>
      </c>
      <c r="M329">
        <v>18</v>
      </c>
      <c r="N329">
        <v>57</v>
      </c>
      <c r="O329">
        <v>26</v>
      </c>
      <c r="P329">
        <v>10</v>
      </c>
      <c r="Q329">
        <v>24</v>
      </c>
      <c r="R329">
        <v>18</v>
      </c>
    </row>
    <row r="330" spans="1:18" x14ac:dyDescent="0.35">
      <c r="A330" t="s">
        <v>214</v>
      </c>
      <c r="B330" t="s">
        <v>1212</v>
      </c>
      <c r="C330" t="s">
        <v>283</v>
      </c>
      <c r="D330">
        <v>2</v>
      </c>
      <c r="E330">
        <v>6</v>
      </c>
      <c r="H330">
        <v>8</v>
      </c>
      <c r="L330">
        <v>1</v>
      </c>
      <c r="M330">
        <v>1</v>
      </c>
      <c r="P330">
        <v>2</v>
      </c>
      <c r="Q330">
        <v>1</v>
      </c>
    </row>
    <row r="331" spans="1:18" x14ac:dyDescent="0.35">
      <c r="A331" t="s">
        <v>214</v>
      </c>
      <c r="B331" t="s">
        <v>299</v>
      </c>
      <c r="C331" t="s">
        <v>298</v>
      </c>
      <c r="D331">
        <v>15</v>
      </c>
      <c r="E331">
        <v>36</v>
      </c>
      <c r="F331">
        <v>31</v>
      </c>
      <c r="G331">
        <v>1</v>
      </c>
      <c r="H331">
        <v>44</v>
      </c>
      <c r="I331">
        <v>23</v>
      </c>
      <c r="L331">
        <v>11</v>
      </c>
      <c r="M331">
        <v>15</v>
      </c>
      <c r="N331">
        <v>11</v>
      </c>
      <c r="O331">
        <v>16</v>
      </c>
      <c r="P331">
        <v>9</v>
      </c>
      <c r="Q331">
        <v>3</v>
      </c>
      <c r="R331">
        <v>4</v>
      </c>
    </row>
    <row r="332" spans="1:18" x14ac:dyDescent="0.35">
      <c r="A332" t="s">
        <v>214</v>
      </c>
      <c r="B332" t="s">
        <v>303</v>
      </c>
      <c r="C332" t="s">
        <v>302</v>
      </c>
      <c r="D332">
        <v>8</v>
      </c>
      <c r="E332">
        <v>56</v>
      </c>
      <c r="F332">
        <v>28</v>
      </c>
      <c r="G332">
        <v>3</v>
      </c>
      <c r="H332">
        <v>38</v>
      </c>
      <c r="I332">
        <v>7</v>
      </c>
      <c r="K332">
        <v>2</v>
      </c>
      <c r="L332">
        <v>11</v>
      </c>
      <c r="M332">
        <v>19</v>
      </c>
      <c r="N332">
        <v>13</v>
      </c>
      <c r="O332">
        <v>6</v>
      </c>
      <c r="P332">
        <v>17</v>
      </c>
      <c r="Q332">
        <v>11</v>
      </c>
      <c r="R332">
        <v>10</v>
      </c>
    </row>
    <row r="333" spans="1:18" x14ac:dyDescent="0.35">
      <c r="A333" t="s">
        <v>214</v>
      </c>
      <c r="B333" t="s">
        <v>312</v>
      </c>
      <c r="C333" t="s">
        <v>311</v>
      </c>
      <c r="D333">
        <v>11</v>
      </c>
      <c r="E333">
        <v>60</v>
      </c>
      <c r="F333">
        <v>9</v>
      </c>
      <c r="H333">
        <v>15</v>
      </c>
      <c r="I333">
        <v>1</v>
      </c>
      <c r="K333">
        <v>8</v>
      </c>
      <c r="L333">
        <v>8</v>
      </c>
      <c r="M333">
        <v>28</v>
      </c>
      <c r="N333">
        <v>19</v>
      </c>
      <c r="O333">
        <v>17</v>
      </c>
      <c r="P333">
        <v>21</v>
      </c>
      <c r="Q333">
        <v>11</v>
      </c>
      <c r="R333">
        <v>5</v>
      </c>
    </row>
    <row r="334" spans="1:18" x14ac:dyDescent="0.35">
      <c r="A334" t="s">
        <v>313</v>
      </c>
      <c r="B334" t="s">
        <v>229</v>
      </c>
      <c r="C334" t="s">
        <v>228</v>
      </c>
      <c r="D334">
        <v>7</v>
      </c>
      <c r="E334">
        <v>28</v>
      </c>
      <c r="F334">
        <v>38</v>
      </c>
      <c r="G334">
        <v>8</v>
      </c>
      <c r="H334">
        <v>107</v>
      </c>
      <c r="I334">
        <v>49</v>
      </c>
      <c r="J334">
        <v>2</v>
      </c>
      <c r="K334">
        <v>3</v>
      </c>
      <c r="L334">
        <v>5</v>
      </c>
      <c r="M334">
        <v>7</v>
      </c>
      <c r="N334">
        <v>8</v>
      </c>
      <c r="O334">
        <v>5</v>
      </c>
      <c r="P334">
        <v>7</v>
      </c>
      <c r="Q334">
        <v>6</v>
      </c>
      <c r="R334">
        <v>2</v>
      </c>
    </row>
    <row r="335" spans="1:18" x14ac:dyDescent="0.35">
      <c r="A335" t="s">
        <v>313</v>
      </c>
      <c r="B335" t="s">
        <v>271</v>
      </c>
      <c r="C335" t="s">
        <v>270</v>
      </c>
      <c r="D335">
        <v>25</v>
      </c>
      <c r="E335">
        <v>86</v>
      </c>
      <c r="F335">
        <v>646</v>
      </c>
      <c r="G335">
        <v>6</v>
      </c>
      <c r="H335">
        <v>74</v>
      </c>
      <c r="I335">
        <v>5</v>
      </c>
      <c r="J335">
        <v>4</v>
      </c>
      <c r="K335">
        <v>3</v>
      </c>
      <c r="L335">
        <v>42</v>
      </c>
      <c r="M335">
        <v>17</v>
      </c>
      <c r="N335">
        <v>58</v>
      </c>
      <c r="O335">
        <v>23</v>
      </c>
      <c r="P335">
        <v>10</v>
      </c>
      <c r="Q335">
        <v>27</v>
      </c>
      <c r="R335">
        <v>13</v>
      </c>
    </row>
    <row r="336" spans="1:18" x14ac:dyDescent="0.35">
      <c r="A336" t="s">
        <v>313</v>
      </c>
      <c r="B336" t="s">
        <v>280</v>
      </c>
      <c r="C336" t="s">
        <v>279</v>
      </c>
      <c r="D336">
        <v>3</v>
      </c>
      <c r="E336">
        <v>18</v>
      </c>
      <c r="F336">
        <v>8</v>
      </c>
      <c r="H336">
        <v>5</v>
      </c>
      <c r="I336">
        <v>1</v>
      </c>
      <c r="L336">
        <v>6</v>
      </c>
      <c r="M336">
        <v>12</v>
      </c>
      <c r="N336">
        <v>5</v>
      </c>
      <c r="O336">
        <v>8</v>
      </c>
      <c r="Q336">
        <v>4</v>
      </c>
    </row>
    <row r="337" spans="1:18" x14ac:dyDescent="0.35">
      <c r="A337" t="s">
        <v>313</v>
      </c>
      <c r="B337" t="s">
        <v>308</v>
      </c>
      <c r="C337" t="s">
        <v>307</v>
      </c>
      <c r="D337">
        <v>5</v>
      </c>
      <c r="E337">
        <v>46</v>
      </c>
      <c r="F337">
        <v>87</v>
      </c>
      <c r="G337">
        <v>3</v>
      </c>
      <c r="H337">
        <v>25</v>
      </c>
      <c r="I337">
        <v>6</v>
      </c>
      <c r="L337">
        <v>3</v>
      </c>
      <c r="M337">
        <v>10</v>
      </c>
      <c r="N337">
        <v>6</v>
      </c>
      <c r="O337">
        <v>3</v>
      </c>
      <c r="P337">
        <v>3</v>
      </c>
      <c r="Q337">
        <v>4</v>
      </c>
    </row>
    <row r="338" spans="1:18" x14ac:dyDescent="0.35">
      <c r="A338" t="s">
        <v>319</v>
      </c>
      <c r="B338" t="s">
        <v>248</v>
      </c>
      <c r="C338" t="s">
        <v>247</v>
      </c>
      <c r="D338">
        <v>14</v>
      </c>
      <c r="E338">
        <v>34</v>
      </c>
      <c r="F338">
        <v>70</v>
      </c>
      <c r="G338">
        <v>1</v>
      </c>
      <c r="H338">
        <v>16</v>
      </c>
      <c r="I338">
        <v>5</v>
      </c>
      <c r="L338">
        <v>3</v>
      </c>
      <c r="M338">
        <v>4</v>
      </c>
      <c r="N338">
        <v>2</v>
      </c>
      <c r="O338">
        <v>1</v>
      </c>
      <c r="P338">
        <v>2</v>
      </c>
      <c r="Q338">
        <v>2</v>
      </c>
      <c r="R338">
        <v>1</v>
      </c>
    </row>
    <row r="339" spans="1:18" x14ac:dyDescent="0.35">
      <c r="A339" t="s">
        <v>319</v>
      </c>
      <c r="B339" t="s">
        <v>271</v>
      </c>
      <c r="C339" t="s">
        <v>315</v>
      </c>
      <c r="D339">
        <v>8</v>
      </c>
      <c r="E339">
        <v>108</v>
      </c>
      <c r="F339">
        <v>227</v>
      </c>
      <c r="G339">
        <v>7</v>
      </c>
      <c r="H339">
        <v>31</v>
      </c>
      <c r="I339">
        <v>4</v>
      </c>
      <c r="J339">
        <v>5</v>
      </c>
      <c r="K339">
        <v>1</v>
      </c>
      <c r="L339">
        <v>10</v>
      </c>
      <c r="M339">
        <v>7</v>
      </c>
      <c r="N339">
        <v>30</v>
      </c>
      <c r="O339">
        <v>13</v>
      </c>
      <c r="P339">
        <v>8</v>
      </c>
      <c r="Q339">
        <v>6</v>
      </c>
      <c r="R339">
        <v>14</v>
      </c>
    </row>
    <row r="340" spans="1:18" x14ac:dyDescent="0.35">
      <c r="A340" t="s">
        <v>321</v>
      </c>
      <c r="B340" t="s">
        <v>241</v>
      </c>
      <c r="C340" t="s">
        <v>240</v>
      </c>
      <c r="D340">
        <v>1</v>
      </c>
      <c r="E340">
        <v>19</v>
      </c>
      <c r="F340">
        <v>5</v>
      </c>
      <c r="I340">
        <v>4</v>
      </c>
      <c r="L340">
        <v>2</v>
      </c>
      <c r="M340">
        <v>1</v>
      </c>
      <c r="N340">
        <v>5</v>
      </c>
      <c r="O340">
        <v>1</v>
      </c>
      <c r="P340">
        <v>1</v>
      </c>
      <c r="R340">
        <v>2</v>
      </c>
    </row>
    <row r="341" spans="1:18" x14ac:dyDescent="0.35">
      <c r="A341" t="s">
        <v>321</v>
      </c>
      <c r="B341" t="s">
        <v>250</v>
      </c>
      <c r="C341" t="s">
        <v>249</v>
      </c>
      <c r="D341">
        <v>2</v>
      </c>
      <c r="E341">
        <v>53</v>
      </c>
      <c r="F341">
        <v>4</v>
      </c>
      <c r="H341">
        <v>10</v>
      </c>
      <c r="I341">
        <v>8</v>
      </c>
      <c r="K341">
        <v>1</v>
      </c>
      <c r="L341">
        <v>3</v>
      </c>
      <c r="M341">
        <v>1</v>
      </c>
      <c r="N341">
        <v>5</v>
      </c>
      <c r="O341">
        <v>3</v>
      </c>
      <c r="P341">
        <v>8</v>
      </c>
      <c r="Q341">
        <v>7</v>
      </c>
      <c r="R341">
        <v>5</v>
      </c>
    </row>
    <row r="342" spans="1:18" x14ac:dyDescent="0.35">
      <c r="A342" t="s">
        <v>321</v>
      </c>
      <c r="B342" t="s">
        <v>256</v>
      </c>
      <c r="C342" t="s">
        <v>255</v>
      </c>
      <c r="D342">
        <v>2</v>
      </c>
      <c r="E342">
        <v>18</v>
      </c>
      <c r="F342">
        <v>8</v>
      </c>
      <c r="H342">
        <v>14</v>
      </c>
      <c r="I342">
        <v>10</v>
      </c>
      <c r="K342">
        <v>1</v>
      </c>
      <c r="L342">
        <v>11</v>
      </c>
      <c r="M342">
        <v>10</v>
      </c>
      <c r="N342">
        <v>1</v>
      </c>
      <c r="O342">
        <v>13</v>
      </c>
      <c r="P342">
        <v>5</v>
      </c>
      <c r="Q342">
        <v>9</v>
      </c>
      <c r="R342">
        <v>4</v>
      </c>
    </row>
    <row r="343" spans="1:18" x14ac:dyDescent="0.35">
      <c r="A343" t="s">
        <v>321</v>
      </c>
      <c r="B343" t="s">
        <v>264</v>
      </c>
      <c r="C343" t="s">
        <v>263</v>
      </c>
      <c r="D343">
        <v>8</v>
      </c>
      <c r="E343">
        <v>38</v>
      </c>
      <c r="F343">
        <v>4</v>
      </c>
      <c r="G343">
        <v>1</v>
      </c>
      <c r="H343">
        <v>17</v>
      </c>
      <c r="K343">
        <v>1</v>
      </c>
      <c r="L343">
        <v>4</v>
      </c>
      <c r="M343">
        <v>8</v>
      </c>
      <c r="N343">
        <v>7</v>
      </c>
      <c r="O343">
        <v>11</v>
      </c>
      <c r="P343">
        <v>9</v>
      </c>
      <c r="Q343">
        <v>1</v>
      </c>
      <c r="R343">
        <v>3</v>
      </c>
    </row>
    <row r="344" spans="1:18" x14ac:dyDescent="0.35">
      <c r="A344" t="s">
        <v>321</v>
      </c>
      <c r="B344" t="s">
        <v>297</v>
      </c>
      <c r="C344" t="s">
        <v>296</v>
      </c>
      <c r="D344">
        <v>2</v>
      </c>
      <c r="E344">
        <v>37</v>
      </c>
      <c r="F344">
        <v>5</v>
      </c>
      <c r="H344">
        <v>25</v>
      </c>
      <c r="I344">
        <v>6</v>
      </c>
      <c r="L344">
        <v>2</v>
      </c>
      <c r="M344">
        <v>6</v>
      </c>
      <c r="N344">
        <v>3</v>
      </c>
      <c r="O344">
        <v>2</v>
      </c>
      <c r="P344">
        <v>7</v>
      </c>
    </row>
    <row r="345" spans="1:18" x14ac:dyDescent="0.35">
      <c r="A345" t="s">
        <v>326</v>
      </c>
      <c r="B345" t="s">
        <v>221</v>
      </c>
      <c r="C345" t="s">
        <v>220</v>
      </c>
      <c r="D345">
        <v>20</v>
      </c>
      <c r="E345">
        <v>101</v>
      </c>
      <c r="F345">
        <v>28</v>
      </c>
      <c r="G345">
        <v>1</v>
      </c>
      <c r="H345">
        <v>61</v>
      </c>
      <c r="I345">
        <v>101</v>
      </c>
      <c r="J345">
        <v>1</v>
      </c>
      <c r="K345">
        <v>7</v>
      </c>
      <c r="L345">
        <v>10</v>
      </c>
      <c r="M345">
        <v>21</v>
      </c>
      <c r="N345">
        <v>21</v>
      </c>
      <c r="O345">
        <v>15</v>
      </c>
      <c r="P345">
        <v>15</v>
      </c>
      <c r="Q345">
        <v>11</v>
      </c>
      <c r="R345">
        <v>16</v>
      </c>
    </row>
    <row r="346" spans="1:18" x14ac:dyDescent="0.35">
      <c r="A346" t="s">
        <v>326</v>
      </c>
      <c r="B346" t="s">
        <v>278</v>
      </c>
      <c r="C346" t="s">
        <v>277</v>
      </c>
      <c r="D346">
        <v>4</v>
      </c>
      <c r="E346">
        <v>36</v>
      </c>
      <c r="F346">
        <v>9</v>
      </c>
      <c r="H346">
        <v>3</v>
      </c>
      <c r="I346">
        <v>5</v>
      </c>
      <c r="L346">
        <v>1</v>
      </c>
      <c r="M346">
        <v>2</v>
      </c>
      <c r="N346">
        <v>7</v>
      </c>
      <c r="O346">
        <v>5</v>
      </c>
      <c r="R346">
        <v>1</v>
      </c>
    </row>
    <row r="347" spans="1:18" x14ac:dyDescent="0.35">
      <c r="A347" t="s">
        <v>326</v>
      </c>
      <c r="B347" t="s">
        <v>282</v>
      </c>
      <c r="C347" t="s">
        <v>281</v>
      </c>
      <c r="D347">
        <v>6</v>
      </c>
      <c r="E347">
        <v>36</v>
      </c>
      <c r="F347">
        <v>10</v>
      </c>
      <c r="G347">
        <v>2</v>
      </c>
      <c r="H347">
        <v>25</v>
      </c>
      <c r="I347">
        <v>41</v>
      </c>
      <c r="L347">
        <v>2</v>
      </c>
      <c r="M347">
        <v>8</v>
      </c>
      <c r="N347">
        <v>10</v>
      </c>
      <c r="O347">
        <v>1</v>
      </c>
      <c r="P347">
        <v>8</v>
      </c>
      <c r="Q347">
        <v>2</v>
      </c>
    </row>
    <row r="348" spans="1:18" x14ac:dyDescent="0.35">
      <c r="A348" t="s">
        <v>326</v>
      </c>
      <c r="B348" t="s">
        <v>299</v>
      </c>
      <c r="C348" t="s">
        <v>298</v>
      </c>
      <c r="D348">
        <v>17</v>
      </c>
      <c r="E348">
        <v>40</v>
      </c>
      <c r="F348">
        <v>30</v>
      </c>
      <c r="H348">
        <v>12</v>
      </c>
      <c r="I348">
        <v>18</v>
      </c>
      <c r="L348">
        <v>3</v>
      </c>
      <c r="M348">
        <v>4</v>
      </c>
      <c r="N348">
        <v>9</v>
      </c>
      <c r="O348">
        <v>7</v>
      </c>
      <c r="P348">
        <v>5</v>
      </c>
      <c r="Q348">
        <v>3</v>
      </c>
      <c r="R348">
        <v>1</v>
      </c>
    </row>
    <row r="349" spans="1:18" x14ac:dyDescent="0.35">
      <c r="A349" t="s">
        <v>327</v>
      </c>
      <c r="B349" t="s">
        <v>241</v>
      </c>
      <c r="C349" t="s">
        <v>240</v>
      </c>
      <c r="E349">
        <v>22</v>
      </c>
      <c r="H349">
        <v>1</v>
      </c>
      <c r="N349">
        <v>1</v>
      </c>
      <c r="O349">
        <v>1</v>
      </c>
    </row>
    <row r="350" spans="1:18" x14ac:dyDescent="0.35">
      <c r="A350" t="s">
        <v>327</v>
      </c>
      <c r="B350" t="s">
        <v>250</v>
      </c>
      <c r="C350" t="s">
        <v>249</v>
      </c>
      <c r="D350">
        <v>8</v>
      </c>
      <c r="E350">
        <v>54</v>
      </c>
      <c r="F350">
        <v>21</v>
      </c>
      <c r="H350">
        <v>14</v>
      </c>
      <c r="I350">
        <v>31</v>
      </c>
      <c r="L350">
        <v>3</v>
      </c>
      <c r="M350">
        <v>2</v>
      </c>
      <c r="N350">
        <v>22</v>
      </c>
      <c r="O350">
        <v>1</v>
      </c>
      <c r="P350">
        <v>20</v>
      </c>
      <c r="Q350">
        <v>4</v>
      </c>
      <c r="R350">
        <v>3</v>
      </c>
    </row>
    <row r="351" spans="1:18" x14ac:dyDescent="0.35">
      <c r="A351" t="s">
        <v>327</v>
      </c>
      <c r="B351" t="s">
        <v>1217</v>
      </c>
      <c r="C351" t="s">
        <v>296</v>
      </c>
      <c r="D351">
        <v>2</v>
      </c>
      <c r="E351">
        <v>64</v>
      </c>
      <c r="F351">
        <v>22</v>
      </c>
      <c r="H351">
        <v>25</v>
      </c>
      <c r="I351">
        <v>26</v>
      </c>
      <c r="K351">
        <v>1</v>
      </c>
      <c r="L351">
        <v>6</v>
      </c>
      <c r="M351">
        <v>6</v>
      </c>
      <c r="N351">
        <v>15</v>
      </c>
      <c r="O351">
        <v>13</v>
      </c>
      <c r="P351">
        <v>6</v>
      </c>
      <c r="Q351">
        <v>8</v>
      </c>
      <c r="R351">
        <v>4</v>
      </c>
    </row>
    <row r="352" spans="1:18" x14ac:dyDescent="0.35">
      <c r="A352" t="s">
        <v>327</v>
      </c>
      <c r="B352" t="s">
        <v>310</v>
      </c>
      <c r="C352" t="s">
        <v>309</v>
      </c>
      <c r="D352">
        <v>8</v>
      </c>
      <c r="E352">
        <v>17</v>
      </c>
      <c r="F352">
        <v>18</v>
      </c>
      <c r="H352">
        <v>19</v>
      </c>
      <c r="I352">
        <v>40</v>
      </c>
      <c r="K352">
        <v>1</v>
      </c>
      <c r="L352">
        <v>1</v>
      </c>
      <c r="M352">
        <v>1</v>
      </c>
      <c r="N352">
        <v>3</v>
      </c>
      <c r="O352">
        <v>2</v>
      </c>
      <c r="P352">
        <v>14</v>
      </c>
      <c r="Q352">
        <v>3</v>
      </c>
      <c r="R352">
        <v>2</v>
      </c>
    </row>
    <row r="353" spans="1:17" x14ac:dyDescent="0.35">
      <c r="A353" t="s">
        <v>466</v>
      </c>
      <c r="B353" t="s">
        <v>308</v>
      </c>
      <c r="C353" t="s">
        <v>307</v>
      </c>
      <c r="E353">
        <v>34</v>
      </c>
      <c r="F353">
        <v>53</v>
      </c>
      <c r="G353">
        <v>3</v>
      </c>
      <c r="H353">
        <v>21</v>
      </c>
      <c r="I353">
        <v>23</v>
      </c>
      <c r="K353">
        <v>1</v>
      </c>
      <c r="L353">
        <v>2</v>
      </c>
      <c r="M353">
        <v>8</v>
      </c>
      <c r="N353">
        <v>2</v>
      </c>
      <c r="O353">
        <v>3</v>
      </c>
      <c r="P353">
        <v>4</v>
      </c>
      <c r="Q353">
        <v>4</v>
      </c>
    </row>
    <row r="354" spans="1:17" x14ac:dyDescent="0.35">
      <c r="A354" t="s">
        <v>466</v>
      </c>
      <c r="B354" t="s">
        <v>225</v>
      </c>
      <c r="C354" t="s">
        <v>224</v>
      </c>
      <c r="D354">
        <v>5</v>
      </c>
      <c r="E354">
        <v>36</v>
      </c>
      <c r="F354">
        <v>6</v>
      </c>
      <c r="H354">
        <v>7</v>
      </c>
      <c r="I354">
        <v>5</v>
      </c>
      <c r="K354">
        <v>1</v>
      </c>
      <c r="L354">
        <v>1</v>
      </c>
      <c r="M354">
        <v>4</v>
      </c>
      <c r="N354">
        <v>1</v>
      </c>
      <c r="O354">
        <v>1</v>
      </c>
      <c r="P354">
        <v>3</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theme="3" tint="0.39997558519241921"/>
  </sheetPr>
  <dimension ref="B2:J20"/>
  <sheetViews>
    <sheetView topLeftCell="D1" workbookViewId="0">
      <selection activeCell="B9" sqref="B9"/>
    </sheetView>
  </sheetViews>
  <sheetFormatPr defaultRowHeight="14.5" x14ac:dyDescent="0.35"/>
  <cols>
    <col min="1" max="1" width="22.7265625" customWidth="1"/>
    <col min="2" max="2" width="28.453125" bestFit="1" customWidth="1"/>
    <col min="3" max="3" width="13.453125" bestFit="1" customWidth="1"/>
    <col min="4" max="4" width="14.453125" bestFit="1" customWidth="1"/>
    <col min="5" max="5" width="13.453125" bestFit="1" customWidth="1"/>
    <col min="6" max="6" width="14.26953125" bestFit="1" customWidth="1"/>
    <col min="7" max="7" width="23.453125" bestFit="1" customWidth="1"/>
    <col min="8" max="8" width="24.54296875" bestFit="1" customWidth="1"/>
    <col min="9" max="9" width="22.1796875" bestFit="1" customWidth="1"/>
    <col min="10" max="10" width="23" bestFit="1" customWidth="1"/>
    <col min="11" max="11" width="1.81640625" bestFit="1" customWidth="1"/>
    <col min="12" max="12" width="1.7265625" bestFit="1" customWidth="1"/>
    <col min="13" max="13" width="2.1796875" bestFit="1" customWidth="1"/>
    <col min="14" max="14" width="1.453125" bestFit="1" customWidth="1"/>
    <col min="15" max="15" width="1.81640625" bestFit="1" customWidth="1"/>
    <col min="16" max="16" width="1.54296875" bestFit="1" customWidth="1"/>
    <col min="17" max="17" width="2.54296875" bestFit="1" customWidth="1"/>
    <col min="18" max="18" width="2.1796875" bestFit="1" customWidth="1"/>
    <col min="19" max="20" width="1.81640625" bestFit="1" customWidth="1"/>
    <col min="21" max="21" width="1.7265625" bestFit="1" customWidth="1"/>
    <col min="22" max="22" width="1.81640625" bestFit="1" customWidth="1"/>
    <col min="23" max="23" width="13.1796875" bestFit="1" customWidth="1"/>
    <col min="24" max="24" width="2.81640625" bestFit="1" customWidth="1"/>
    <col min="25" max="25" width="3.81640625" bestFit="1" customWidth="1"/>
    <col min="26" max="26" width="1.81640625" bestFit="1" customWidth="1"/>
    <col min="27" max="28" width="2.81640625" bestFit="1" customWidth="1"/>
    <col min="29" max="29" width="1.453125" bestFit="1" customWidth="1"/>
    <col min="30" max="30" width="1.81640625" bestFit="1" customWidth="1"/>
    <col min="31" max="31" width="2.81640625" bestFit="1" customWidth="1"/>
    <col min="32" max="32" width="2.54296875" bestFit="1" customWidth="1"/>
    <col min="33" max="33" width="2.1796875" bestFit="1" customWidth="1"/>
    <col min="34" max="37" width="1.81640625" bestFit="1" customWidth="1"/>
    <col min="38" max="38" width="14.26953125" bestFit="1" customWidth="1"/>
    <col min="39" max="41" width="1.81640625" bestFit="1" customWidth="1"/>
    <col min="42" max="42" width="1.7265625" bestFit="1" customWidth="1"/>
    <col min="43" max="43" width="2.1796875" bestFit="1" customWidth="1"/>
    <col min="44" max="44" width="1.453125" bestFit="1" customWidth="1"/>
    <col min="45" max="45" width="1.81640625" bestFit="1" customWidth="1"/>
    <col min="46" max="46" width="1.54296875" bestFit="1" customWidth="1"/>
    <col min="47" max="47" width="2.54296875" bestFit="1" customWidth="1"/>
    <col min="48" max="48" width="2.1796875" bestFit="1" customWidth="1"/>
    <col min="49" max="50" width="1.81640625" bestFit="1" customWidth="1"/>
    <col min="51" max="51" width="1.7265625" bestFit="1" customWidth="1"/>
    <col min="52" max="52" width="1.81640625" bestFit="1" customWidth="1"/>
    <col min="53" max="53" width="23" bestFit="1" customWidth="1"/>
    <col min="54" max="56" width="1.81640625" bestFit="1" customWidth="1"/>
    <col min="57" max="57" width="1.7265625" bestFit="1" customWidth="1"/>
    <col min="58" max="58" width="2.1796875" bestFit="1" customWidth="1"/>
    <col min="59" max="59" width="1.453125" bestFit="1" customWidth="1"/>
    <col min="60" max="60" width="1.81640625" bestFit="1" customWidth="1"/>
    <col min="61" max="61" width="1.54296875" bestFit="1" customWidth="1"/>
    <col min="62" max="62" width="2.54296875" bestFit="1" customWidth="1"/>
    <col min="63" max="63" width="2.1796875" bestFit="1" customWidth="1"/>
    <col min="64" max="65" width="1.81640625" bestFit="1" customWidth="1"/>
    <col min="66" max="66" width="1.7265625" bestFit="1" customWidth="1"/>
    <col min="67" max="67" width="1.81640625" bestFit="1" customWidth="1"/>
    <col min="68" max="68" width="24.1796875" bestFit="1" customWidth="1"/>
    <col min="69" max="71" width="1.81640625" bestFit="1" customWidth="1"/>
    <col min="72" max="72" width="1.7265625" bestFit="1" customWidth="1"/>
    <col min="73" max="73" width="2.1796875" bestFit="1" customWidth="1"/>
    <col min="74" max="74" width="1.453125" bestFit="1" customWidth="1"/>
    <col min="75" max="75" width="1.81640625" bestFit="1" customWidth="1"/>
    <col min="76" max="76" width="1.54296875" bestFit="1" customWidth="1"/>
    <col min="77" max="77" width="2.54296875" bestFit="1" customWidth="1"/>
    <col min="78" max="78" width="2.1796875" bestFit="1" customWidth="1"/>
    <col min="79" max="80" width="1.81640625" bestFit="1" customWidth="1"/>
    <col min="81" max="81" width="1.7265625" bestFit="1" customWidth="1"/>
    <col min="82" max="82" width="1.81640625" bestFit="1" customWidth="1"/>
    <col min="83" max="83" width="21.54296875" bestFit="1" customWidth="1"/>
    <col min="84" max="86" width="1.81640625" bestFit="1" customWidth="1"/>
    <col min="87" max="87" width="1.7265625" bestFit="1" customWidth="1"/>
    <col min="88" max="88" width="2.1796875" bestFit="1" customWidth="1"/>
    <col min="89" max="89" width="1.453125" bestFit="1" customWidth="1"/>
    <col min="90" max="91" width="1.81640625" bestFit="1" customWidth="1"/>
    <col min="92" max="92" width="2.54296875" bestFit="1" customWidth="1"/>
    <col min="93" max="93" width="2.1796875" bestFit="1" customWidth="1"/>
    <col min="94" max="95" width="1.81640625" bestFit="1" customWidth="1"/>
    <col min="96" max="96" width="1.7265625" bestFit="1" customWidth="1"/>
    <col min="97" max="97" width="1.81640625" bestFit="1" customWidth="1"/>
    <col min="98" max="98" width="22.7265625" bestFit="1" customWidth="1"/>
    <col min="99" max="101" width="1.81640625" bestFit="1" customWidth="1"/>
    <col min="102" max="102" width="1.7265625" bestFit="1" customWidth="1"/>
    <col min="103" max="103" width="2.1796875" bestFit="1" customWidth="1"/>
    <col min="104" max="104" width="1.453125" bestFit="1" customWidth="1"/>
    <col min="105" max="105" width="1.81640625" bestFit="1" customWidth="1"/>
    <col min="106" max="106" width="1.54296875" bestFit="1" customWidth="1"/>
    <col min="107" max="107" width="2.54296875" bestFit="1" customWidth="1"/>
    <col min="108" max="108" width="2.1796875" bestFit="1" customWidth="1"/>
    <col min="109" max="110" width="1.81640625" bestFit="1" customWidth="1"/>
    <col min="111" max="111" width="1.7265625" bestFit="1" customWidth="1"/>
    <col min="112" max="112" width="1.81640625" bestFit="1" customWidth="1"/>
    <col min="113" max="113" width="18" bestFit="1" customWidth="1"/>
    <col min="114" max="114" width="19.1796875" bestFit="1" customWidth="1"/>
    <col min="115" max="115" width="17.81640625" bestFit="1" customWidth="1"/>
    <col min="116" max="116" width="19.1796875" bestFit="1" customWidth="1"/>
    <col min="117" max="117" width="27.81640625" bestFit="1" customWidth="1"/>
    <col min="118" max="118" width="29" bestFit="1" customWidth="1"/>
    <col min="119" max="119" width="26.453125" bestFit="1" customWidth="1"/>
    <col min="120" max="120" width="27.54296875" bestFit="1" customWidth="1"/>
  </cols>
  <sheetData>
    <row r="2" spans="2:10" x14ac:dyDescent="0.35">
      <c r="B2" s="387" t="s">
        <v>606</v>
      </c>
      <c r="C2" t="s">
        <v>466</v>
      </c>
    </row>
    <row r="4" spans="2:10" x14ac:dyDescent="0.35">
      <c r="B4" s="387" t="s">
        <v>350</v>
      </c>
      <c r="C4" t="s">
        <v>1222</v>
      </c>
      <c r="D4" t="s">
        <v>1223</v>
      </c>
      <c r="E4" t="s">
        <v>1224</v>
      </c>
      <c r="F4" t="s">
        <v>1225</v>
      </c>
      <c r="G4" t="s">
        <v>1226</v>
      </c>
      <c r="H4" t="s">
        <v>1227</v>
      </c>
      <c r="I4" t="s">
        <v>1228</v>
      </c>
      <c r="J4" t="s">
        <v>1229</v>
      </c>
    </row>
    <row r="5" spans="2:10" x14ac:dyDescent="0.35">
      <c r="B5" s="388" t="s">
        <v>1150</v>
      </c>
      <c r="C5">
        <v>1598</v>
      </c>
      <c r="D5">
        <v>10148.5</v>
      </c>
      <c r="E5">
        <v>31</v>
      </c>
      <c r="F5">
        <v>437.25</v>
      </c>
      <c r="I5">
        <v>2</v>
      </c>
      <c r="J5">
        <v>29.25</v>
      </c>
    </row>
    <row r="6" spans="2:10" x14ac:dyDescent="0.35">
      <c r="B6" s="388" t="s">
        <v>1151</v>
      </c>
      <c r="C6">
        <v>219</v>
      </c>
      <c r="D6">
        <v>1302.5</v>
      </c>
      <c r="E6">
        <v>5</v>
      </c>
      <c r="F6">
        <v>162.75</v>
      </c>
      <c r="G6">
        <v>1</v>
      </c>
      <c r="H6">
        <v>81.5</v>
      </c>
    </row>
    <row r="7" spans="2:10" x14ac:dyDescent="0.35">
      <c r="B7" s="388" t="s">
        <v>1152</v>
      </c>
      <c r="C7">
        <v>21</v>
      </c>
      <c r="D7">
        <v>103.75</v>
      </c>
    </row>
    <row r="8" spans="2:10" x14ac:dyDescent="0.35">
      <c r="B8" s="388" t="s">
        <v>1153</v>
      </c>
      <c r="C8">
        <v>2324</v>
      </c>
      <c r="D8">
        <v>10097</v>
      </c>
      <c r="E8">
        <v>76</v>
      </c>
      <c r="F8">
        <v>371.25</v>
      </c>
    </row>
    <row r="9" spans="2:10" x14ac:dyDescent="0.35">
      <c r="B9" s="388" t="s">
        <v>1154</v>
      </c>
      <c r="C9">
        <v>313</v>
      </c>
      <c r="D9">
        <v>2037.75</v>
      </c>
      <c r="E9">
        <v>7</v>
      </c>
      <c r="F9">
        <v>117.25</v>
      </c>
    </row>
    <row r="10" spans="2:10" x14ac:dyDescent="0.35">
      <c r="B10" s="388" t="s">
        <v>1155</v>
      </c>
      <c r="C10">
        <v>52</v>
      </c>
      <c r="D10">
        <v>336.25</v>
      </c>
      <c r="E10">
        <v>7</v>
      </c>
      <c r="F10">
        <v>74.5</v>
      </c>
    </row>
    <row r="11" spans="2:10" x14ac:dyDescent="0.35">
      <c r="B11" s="388" t="s">
        <v>1156</v>
      </c>
      <c r="C11">
        <v>934</v>
      </c>
      <c r="D11">
        <v>6491.75</v>
      </c>
      <c r="E11">
        <v>66</v>
      </c>
      <c r="F11">
        <v>987</v>
      </c>
      <c r="G11">
        <v>1</v>
      </c>
      <c r="H11">
        <v>64.5</v>
      </c>
      <c r="I11">
        <v>1</v>
      </c>
      <c r="J11">
        <v>19.75</v>
      </c>
    </row>
    <row r="12" spans="2:10" x14ac:dyDescent="0.35">
      <c r="B12" s="388" t="s">
        <v>1157</v>
      </c>
      <c r="C12">
        <v>289</v>
      </c>
      <c r="D12">
        <v>1658</v>
      </c>
      <c r="E12">
        <v>24</v>
      </c>
      <c r="F12">
        <v>270.75</v>
      </c>
    </row>
    <row r="13" spans="2:10" x14ac:dyDescent="0.35">
      <c r="B13" s="388" t="s">
        <v>1158</v>
      </c>
      <c r="C13">
        <v>212</v>
      </c>
      <c r="D13">
        <v>1052.25</v>
      </c>
    </row>
    <row r="14" spans="2:10" x14ac:dyDescent="0.35">
      <c r="B14" s="388" t="s">
        <v>1159</v>
      </c>
      <c r="C14">
        <v>203</v>
      </c>
      <c r="D14">
        <v>1192.5</v>
      </c>
      <c r="E14">
        <v>6</v>
      </c>
      <c r="F14">
        <v>132.5</v>
      </c>
    </row>
    <row r="15" spans="2:10" x14ac:dyDescent="0.35">
      <c r="B15" s="388" t="s">
        <v>1160</v>
      </c>
      <c r="C15">
        <v>1506</v>
      </c>
      <c r="D15">
        <v>8422</v>
      </c>
      <c r="E15">
        <v>66</v>
      </c>
      <c r="F15">
        <v>744.25</v>
      </c>
    </row>
    <row r="16" spans="2:10" x14ac:dyDescent="0.35">
      <c r="B16" s="388" t="s">
        <v>1161</v>
      </c>
      <c r="C16">
        <v>127</v>
      </c>
      <c r="D16">
        <v>712.5</v>
      </c>
      <c r="E16">
        <v>2</v>
      </c>
      <c r="F16">
        <v>16.75</v>
      </c>
    </row>
    <row r="17" spans="2:10" x14ac:dyDescent="0.35">
      <c r="B17" s="388" t="s">
        <v>1162</v>
      </c>
      <c r="C17">
        <v>36</v>
      </c>
      <c r="D17">
        <v>212</v>
      </c>
      <c r="E17">
        <v>1</v>
      </c>
      <c r="F17">
        <v>18</v>
      </c>
    </row>
    <row r="18" spans="2:10" x14ac:dyDescent="0.35">
      <c r="B18" s="388" t="s">
        <v>1163</v>
      </c>
      <c r="C18">
        <v>291</v>
      </c>
      <c r="D18">
        <v>1795.5</v>
      </c>
      <c r="E18">
        <v>3</v>
      </c>
      <c r="F18">
        <v>32.75</v>
      </c>
    </row>
    <row r="19" spans="2:10" x14ac:dyDescent="0.35">
      <c r="B19" s="388" t="s">
        <v>1164</v>
      </c>
      <c r="C19">
        <v>336</v>
      </c>
      <c r="D19">
        <v>2007.25</v>
      </c>
      <c r="E19">
        <v>13</v>
      </c>
      <c r="F19">
        <v>80</v>
      </c>
      <c r="I19">
        <v>3</v>
      </c>
      <c r="J19">
        <v>36.5</v>
      </c>
    </row>
    <row r="20" spans="2:10" x14ac:dyDescent="0.35">
      <c r="B20" s="388" t="s">
        <v>357</v>
      </c>
      <c r="C20">
        <v>8461</v>
      </c>
      <c r="D20">
        <v>47569.5</v>
      </c>
      <c r="E20">
        <v>307</v>
      </c>
      <c r="F20">
        <v>3445</v>
      </c>
      <c r="G20">
        <v>2</v>
      </c>
      <c r="H20">
        <v>146</v>
      </c>
      <c r="I20">
        <v>6</v>
      </c>
      <c r="J20">
        <v>85.5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theme="3" tint="0.39997558519241921"/>
  </sheetPr>
  <dimension ref="B4:L169"/>
  <sheetViews>
    <sheetView topLeftCell="B5" workbookViewId="0">
      <selection activeCell="B4" sqref="B4:L169"/>
    </sheetView>
  </sheetViews>
  <sheetFormatPr defaultRowHeight="14.5" x14ac:dyDescent="0.35"/>
  <cols>
    <col min="1" max="2" width="7.453125" bestFit="1" customWidth="1"/>
    <col min="3" max="3" width="7.1796875" bestFit="1" customWidth="1"/>
    <col min="4" max="4" width="28.453125" bestFit="1" customWidth="1"/>
    <col min="5" max="5" width="9.453125" bestFit="1" customWidth="1"/>
    <col min="6" max="6" width="10.453125" bestFit="1" customWidth="1"/>
    <col min="7" max="7" width="9.26953125" bestFit="1" customWidth="1"/>
    <col min="8" max="8" width="10.1796875" bestFit="1" customWidth="1"/>
    <col min="9" max="9" width="19.453125" bestFit="1" customWidth="1"/>
    <col min="10" max="10" width="20.26953125" bestFit="1" customWidth="1"/>
    <col min="11" max="11" width="17.81640625" bestFit="1" customWidth="1"/>
    <col min="12" max="12" width="18.81640625" bestFit="1" customWidth="1"/>
  </cols>
  <sheetData>
    <row r="4" spans="2:12" x14ac:dyDescent="0.35">
      <c r="B4" t="s">
        <v>606</v>
      </c>
      <c r="C4" t="s">
        <v>1165</v>
      </c>
      <c r="D4" t="s">
        <v>1230</v>
      </c>
      <c r="E4" t="s">
        <v>1231</v>
      </c>
      <c r="F4" t="s">
        <v>1232</v>
      </c>
      <c r="G4" t="s">
        <v>1233</v>
      </c>
      <c r="H4" t="s">
        <v>1234</v>
      </c>
      <c r="I4" t="s">
        <v>1235</v>
      </c>
      <c r="J4" t="s">
        <v>1236</v>
      </c>
      <c r="K4" t="s">
        <v>1237</v>
      </c>
      <c r="L4" t="s">
        <v>1238</v>
      </c>
    </row>
    <row r="5" spans="2:12" x14ac:dyDescent="0.35">
      <c r="B5" t="s">
        <v>365</v>
      </c>
      <c r="C5" t="s">
        <v>1180</v>
      </c>
      <c r="D5" t="s">
        <v>1155</v>
      </c>
      <c r="E5">
        <v>127</v>
      </c>
      <c r="F5">
        <v>588.75</v>
      </c>
      <c r="G5">
        <v>11</v>
      </c>
      <c r="H5">
        <v>66.25</v>
      </c>
      <c r="K5">
        <v>1</v>
      </c>
      <c r="L5">
        <v>5.5</v>
      </c>
    </row>
    <row r="6" spans="2:12" x14ac:dyDescent="0.35">
      <c r="B6" t="s">
        <v>365</v>
      </c>
      <c r="C6" t="s">
        <v>1173</v>
      </c>
      <c r="D6" t="s">
        <v>1162</v>
      </c>
      <c r="E6">
        <v>67</v>
      </c>
      <c r="F6">
        <v>370.5</v>
      </c>
      <c r="G6">
        <v>1</v>
      </c>
      <c r="H6">
        <v>7.25</v>
      </c>
    </row>
    <row r="7" spans="2:12" x14ac:dyDescent="0.35">
      <c r="B7" t="s">
        <v>366</v>
      </c>
      <c r="C7" t="s">
        <v>1180</v>
      </c>
      <c r="D7" t="s">
        <v>1155</v>
      </c>
      <c r="E7">
        <v>109</v>
      </c>
      <c r="F7">
        <v>654.75</v>
      </c>
      <c r="G7">
        <v>10</v>
      </c>
      <c r="H7">
        <v>118.75</v>
      </c>
      <c r="I7">
        <v>1</v>
      </c>
      <c r="J7">
        <v>26.5</v>
      </c>
    </row>
    <row r="8" spans="2:12" x14ac:dyDescent="0.35">
      <c r="B8" t="s">
        <v>366</v>
      </c>
      <c r="C8" t="s">
        <v>1182</v>
      </c>
      <c r="D8" t="s">
        <v>1163</v>
      </c>
      <c r="E8">
        <v>216</v>
      </c>
      <c r="F8">
        <v>1257</v>
      </c>
      <c r="G8">
        <v>12</v>
      </c>
      <c r="H8">
        <v>100</v>
      </c>
      <c r="K8">
        <v>1</v>
      </c>
      <c r="L8">
        <v>2.5</v>
      </c>
    </row>
    <row r="9" spans="2:12" x14ac:dyDescent="0.35">
      <c r="B9" t="s">
        <v>341</v>
      </c>
      <c r="C9" t="s">
        <v>1171</v>
      </c>
      <c r="D9" t="s">
        <v>1150</v>
      </c>
      <c r="E9">
        <v>1660</v>
      </c>
      <c r="F9">
        <v>9324.75</v>
      </c>
      <c r="G9">
        <v>59</v>
      </c>
      <c r="H9">
        <v>711.5</v>
      </c>
    </row>
    <row r="10" spans="2:12" x14ac:dyDescent="0.35">
      <c r="B10" t="s">
        <v>341</v>
      </c>
      <c r="C10" t="s">
        <v>1177</v>
      </c>
      <c r="D10" t="s">
        <v>1153</v>
      </c>
      <c r="E10">
        <v>2531</v>
      </c>
      <c r="F10">
        <v>8986</v>
      </c>
      <c r="G10">
        <v>119</v>
      </c>
      <c r="H10">
        <v>614</v>
      </c>
      <c r="I10">
        <v>9</v>
      </c>
      <c r="J10">
        <v>69.25</v>
      </c>
      <c r="K10">
        <v>4</v>
      </c>
      <c r="L10">
        <v>22.25</v>
      </c>
    </row>
    <row r="11" spans="2:12" x14ac:dyDescent="0.35">
      <c r="B11" t="s">
        <v>341</v>
      </c>
      <c r="C11" t="s">
        <v>1174</v>
      </c>
      <c r="D11" t="s">
        <v>1164</v>
      </c>
      <c r="E11">
        <v>497</v>
      </c>
      <c r="F11">
        <v>2570.75</v>
      </c>
      <c r="G11">
        <v>26</v>
      </c>
      <c r="H11">
        <v>227.75</v>
      </c>
      <c r="K11">
        <v>2</v>
      </c>
      <c r="L11">
        <v>13.5</v>
      </c>
    </row>
    <row r="12" spans="2:12" x14ac:dyDescent="0.35">
      <c r="B12" t="s">
        <v>342</v>
      </c>
      <c r="C12" t="s">
        <v>1177</v>
      </c>
      <c r="D12" t="s">
        <v>1153</v>
      </c>
      <c r="E12">
        <v>1986</v>
      </c>
      <c r="F12">
        <v>7167.75</v>
      </c>
      <c r="G12">
        <v>91</v>
      </c>
      <c r="H12">
        <v>794.5</v>
      </c>
      <c r="I12">
        <v>2</v>
      </c>
      <c r="J12">
        <v>51.75</v>
      </c>
      <c r="K12">
        <v>4</v>
      </c>
      <c r="L12">
        <v>16.25</v>
      </c>
    </row>
    <row r="13" spans="2:12" x14ac:dyDescent="0.35">
      <c r="B13" t="s">
        <v>342</v>
      </c>
      <c r="C13" t="s">
        <v>1168</v>
      </c>
      <c r="D13" t="s">
        <v>1161</v>
      </c>
      <c r="E13">
        <v>107</v>
      </c>
      <c r="F13">
        <v>536.5</v>
      </c>
      <c r="G13">
        <v>6</v>
      </c>
      <c r="H13">
        <v>39</v>
      </c>
    </row>
    <row r="14" spans="2:12" x14ac:dyDescent="0.35">
      <c r="B14" t="s">
        <v>214</v>
      </c>
      <c r="C14" t="s">
        <v>1177</v>
      </c>
      <c r="D14" t="s">
        <v>1153</v>
      </c>
      <c r="E14">
        <v>1804</v>
      </c>
      <c r="F14">
        <v>6780</v>
      </c>
      <c r="G14">
        <v>58</v>
      </c>
      <c r="H14">
        <v>572.5</v>
      </c>
      <c r="I14">
        <v>5</v>
      </c>
      <c r="J14">
        <v>167.25</v>
      </c>
      <c r="K14">
        <v>12</v>
      </c>
      <c r="L14">
        <v>181.25</v>
      </c>
    </row>
    <row r="15" spans="2:12" x14ac:dyDescent="0.35">
      <c r="B15" t="s">
        <v>214</v>
      </c>
      <c r="C15" t="s">
        <v>1174</v>
      </c>
      <c r="D15" t="s">
        <v>1164</v>
      </c>
      <c r="E15">
        <v>366</v>
      </c>
      <c r="F15">
        <v>1827.5</v>
      </c>
      <c r="G15">
        <v>16</v>
      </c>
      <c r="H15">
        <v>156.5</v>
      </c>
      <c r="I15">
        <v>3</v>
      </c>
      <c r="J15">
        <v>45.25</v>
      </c>
      <c r="K15">
        <v>3</v>
      </c>
      <c r="L15">
        <v>16</v>
      </c>
    </row>
    <row r="16" spans="2:12" x14ac:dyDescent="0.35">
      <c r="B16" t="s">
        <v>214</v>
      </c>
      <c r="C16" t="s">
        <v>1169</v>
      </c>
      <c r="D16" t="s">
        <v>1151</v>
      </c>
      <c r="E16">
        <v>261</v>
      </c>
      <c r="F16">
        <v>1459.5</v>
      </c>
      <c r="G16">
        <v>6</v>
      </c>
      <c r="H16">
        <v>50.75</v>
      </c>
    </row>
    <row r="17" spans="2:12" x14ac:dyDescent="0.35">
      <c r="B17" t="s">
        <v>313</v>
      </c>
      <c r="C17" t="s">
        <v>1171</v>
      </c>
      <c r="D17" t="s">
        <v>1150</v>
      </c>
      <c r="E17">
        <v>1451</v>
      </c>
      <c r="G17">
        <v>35</v>
      </c>
    </row>
    <row r="18" spans="2:12" x14ac:dyDescent="0.35">
      <c r="B18" t="s">
        <v>319</v>
      </c>
      <c r="C18" t="s">
        <v>1181</v>
      </c>
      <c r="D18" t="s">
        <v>1157</v>
      </c>
      <c r="E18">
        <v>67</v>
      </c>
      <c r="F18">
        <v>372.75</v>
      </c>
      <c r="G18">
        <v>6</v>
      </c>
      <c r="H18">
        <v>50</v>
      </c>
      <c r="K18">
        <v>1</v>
      </c>
    </row>
    <row r="19" spans="2:12" x14ac:dyDescent="0.35">
      <c r="B19" t="s">
        <v>327</v>
      </c>
      <c r="C19" t="s">
        <v>1181</v>
      </c>
      <c r="D19" t="s">
        <v>1157</v>
      </c>
      <c r="E19">
        <v>183</v>
      </c>
      <c r="F19">
        <v>1112.5</v>
      </c>
      <c r="G19">
        <v>22</v>
      </c>
      <c r="H19">
        <v>249</v>
      </c>
      <c r="K19">
        <v>2</v>
      </c>
      <c r="L19">
        <v>7.25</v>
      </c>
    </row>
    <row r="20" spans="2:12" x14ac:dyDescent="0.35">
      <c r="B20" t="s">
        <v>327</v>
      </c>
      <c r="C20" t="s">
        <v>1182</v>
      </c>
      <c r="D20" t="s">
        <v>1163</v>
      </c>
      <c r="E20">
        <v>157</v>
      </c>
      <c r="F20">
        <v>1092.5</v>
      </c>
      <c r="G20">
        <v>2</v>
      </c>
      <c r="H20">
        <v>21.25</v>
      </c>
    </row>
    <row r="21" spans="2:12" x14ac:dyDescent="0.35">
      <c r="B21" t="s">
        <v>466</v>
      </c>
      <c r="C21" t="s">
        <v>1179</v>
      </c>
      <c r="D21" t="s">
        <v>1160</v>
      </c>
      <c r="E21">
        <v>1506</v>
      </c>
      <c r="F21">
        <v>8422</v>
      </c>
      <c r="G21">
        <v>66</v>
      </c>
      <c r="H21">
        <v>744.25</v>
      </c>
    </row>
    <row r="22" spans="2:12" x14ac:dyDescent="0.35">
      <c r="B22" t="s">
        <v>466</v>
      </c>
      <c r="C22" t="s">
        <v>1182</v>
      </c>
      <c r="D22" t="s">
        <v>1163</v>
      </c>
      <c r="E22">
        <v>291</v>
      </c>
      <c r="F22">
        <v>1795.5</v>
      </c>
      <c r="G22">
        <v>3</v>
      </c>
      <c r="H22">
        <v>32.75</v>
      </c>
    </row>
    <row r="23" spans="2:12" x14ac:dyDescent="0.35">
      <c r="B23" t="s">
        <v>366</v>
      </c>
      <c r="C23" t="s">
        <v>1174</v>
      </c>
      <c r="D23" t="s">
        <v>1164</v>
      </c>
      <c r="E23">
        <v>598</v>
      </c>
      <c r="F23">
        <v>3214.5</v>
      </c>
      <c r="G23">
        <v>41</v>
      </c>
      <c r="H23">
        <v>283</v>
      </c>
      <c r="K23">
        <v>1</v>
      </c>
      <c r="L23">
        <v>11.5</v>
      </c>
    </row>
    <row r="24" spans="2:12" x14ac:dyDescent="0.35">
      <c r="B24" t="s">
        <v>342</v>
      </c>
      <c r="C24" t="s">
        <v>1180</v>
      </c>
      <c r="D24" t="s">
        <v>1155</v>
      </c>
      <c r="E24">
        <v>94</v>
      </c>
      <c r="F24">
        <v>573.5</v>
      </c>
      <c r="G24">
        <v>10</v>
      </c>
      <c r="H24">
        <v>114.75</v>
      </c>
      <c r="K24">
        <v>1</v>
      </c>
      <c r="L24">
        <v>2</v>
      </c>
    </row>
    <row r="25" spans="2:12" x14ac:dyDescent="0.35">
      <c r="B25" t="s">
        <v>342</v>
      </c>
      <c r="C25" t="s">
        <v>1175</v>
      </c>
      <c r="D25" t="s">
        <v>1152</v>
      </c>
      <c r="E25">
        <v>34</v>
      </c>
      <c r="F25">
        <v>183</v>
      </c>
      <c r="G25">
        <v>3</v>
      </c>
      <c r="H25">
        <v>56.5</v>
      </c>
    </row>
    <row r="26" spans="2:12" x14ac:dyDescent="0.35">
      <c r="B26" t="s">
        <v>342</v>
      </c>
      <c r="C26" t="s">
        <v>1169</v>
      </c>
      <c r="D26" t="s">
        <v>1151</v>
      </c>
      <c r="E26">
        <v>222</v>
      </c>
      <c r="F26">
        <v>1205.75</v>
      </c>
      <c r="G26">
        <v>6</v>
      </c>
      <c r="H26">
        <v>53.25</v>
      </c>
    </row>
    <row r="27" spans="2:12" x14ac:dyDescent="0.35">
      <c r="B27" t="s">
        <v>214</v>
      </c>
      <c r="C27" t="s">
        <v>1179</v>
      </c>
      <c r="D27" t="s">
        <v>1160</v>
      </c>
      <c r="E27">
        <v>301</v>
      </c>
      <c r="F27">
        <v>1377.25</v>
      </c>
      <c r="G27">
        <v>22</v>
      </c>
      <c r="H27">
        <v>192.75</v>
      </c>
    </row>
    <row r="28" spans="2:12" x14ac:dyDescent="0.35">
      <c r="B28" t="s">
        <v>313</v>
      </c>
      <c r="C28" t="s">
        <v>1177</v>
      </c>
      <c r="D28" t="s">
        <v>1153</v>
      </c>
      <c r="E28">
        <v>1738</v>
      </c>
      <c r="G28">
        <v>213</v>
      </c>
      <c r="I28">
        <v>1</v>
      </c>
      <c r="K28">
        <v>5</v>
      </c>
    </row>
    <row r="29" spans="2:12" x14ac:dyDescent="0.35">
      <c r="B29" t="s">
        <v>319</v>
      </c>
      <c r="C29" t="s">
        <v>1176</v>
      </c>
      <c r="D29" t="s">
        <v>1154</v>
      </c>
      <c r="E29">
        <v>212</v>
      </c>
      <c r="F29">
        <v>1131.5</v>
      </c>
      <c r="G29">
        <v>8</v>
      </c>
      <c r="H29">
        <v>173</v>
      </c>
    </row>
    <row r="30" spans="2:12" x14ac:dyDescent="0.35">
      <c r="B30" t="s">
        <v>319</v>
      </c>
      <c r="C30" t="s">
        <v>1171</v>
      </c>
      <c r="D30" t="s">
        <v>1150</v>
      </c>
      <c r="E30">
        <v>1326</v>
      </c>
      <c r="F30">
        <v>7506.25</v>
      </c>
      <c r="G30">
        <v>16</v>
      </c>
      <c r="H30">
        <v>203.5</v>
      </c>
    </row>
    <row r="31" spans="2:12" x14ac:dyDescent="0.35">
      <c r="B31" t="s">
        <v>321</v>
      </c>
      <c r="C31" t="s">
        <v>1180</v>
      </c>
      <c r="D31" t="s">
        <v>1155</v>
      </c>
      <c r="E31">
        <v>23</v>
      </c>
      <c r="F31">
        <v>170.25</v>
      </c>
      <c r="G31">
        <v>1</v>
      </c>
      <c r="H31">
        <v>12.25</v>
      </c>
    </row>
    <row r="32" spans="2:12" x14ac:dyDescent="0.35">
      <c r="B32" t="s">
        <v>321</v>
      </c>
      <c r="C32" t="s">
        <v>1173</v>
      </c>
      <c r="D32" t="s">
        <v>1162</v>
      </c>
      <c r="E32">
        <v>21</v>
      </c>
      <c r="F32">
        <v>163</v>
      </c>
    </row>
    <row r="33" spans="2:12" x14ac:dyDescent="0.35">
      <c r="B33" t="s">
        <v>321</v>
      </c>
      <c r="C33" t="s">
        <v>1168</v>
      </c>
      <c r="D33" t="s">
        <v>1161</v>
      </c>
      <c r="E33">
        <v>100</v>
      </c>
      <c r="F33">
        <v>607.25</v>
      </c>
    </row>
    <row r="34" spans="2:12" x14ac:dyDescent="0.35">
      <c r="B34" t="s">
        <v>326</v>
      </c>
      <c r="C34" t="s">
        <v>1175</v>
      </c>
      <c r="D34" t="s">
        <v>1152</v>
      </c>
      <c r="E34">
        <v>23</v>
      </c>
      <c r="F34">
        <v>126.75</v>
      </c>
      <c r="G34">
        <v>2</v>
      </c>
      <c r="H34">
        <v>12.75</v>
      </c>
    </row>
    <row r="35" spans="2:12" x14ac:dyDescent="0.35">
      <c r="B35" t="s">
        <v>326</v>
      </c>
      <c r="C35" t="s">
        <v>1168</v>
      </c>
      <c r="D35" t="s">
        <v>1161</v>
      </c>
      <c r="E35">
        <v>101</v>
      </c>
      <c r="F35">
        <v>621</v>
      </c>
      <c r="G35">
        <v>3</v>
      </c>
      <c r="H35">
        <v>33.25</v>
      </c>
    </row>
    <row r="36" spans="2:12" x14ac:dyDescent="0.35">
      <c r="B36" t="s">
        <v>327</v>
      </c>
      <c r="C36" t="s">
        <v>1170</v>
      </c>
      <c r="D36" t="s">
        <v>1156</v>
      </c>
      <c r="E36">
        <v>1020</v>
      </c>
      <c r="F36">
        <v>6979.5</v>
      </c>
      <c r="G36">
        <v>90</v>
      </c>
      <c r="H36">
        <v>1630.75</v>
      </c>
      <c r="I36">
        <v>2</v>
      </c>
      <c r="J36">
        <v>140.25</v>
      </c>
      <c r="K36">
        <v>4</v>
      </c>
      <c r="L36">
        <v>143.75</v>
      </c>
    </row>
    <row r="37" spans="2:12" x14ac:dyDescent="0.35">
      <c r="B37" t="s">
        <v>327</v>
      </c>
      <c r="C37" t="s">
        <v>1173</v>
      </c>
      <c r="D37" t="s">
        <v>1162</v>
      </c>
      <c r="E37">
        <v>25</v>
      </c>
      <c r="F37">
        <v>143.25</v>
      </c>
    </row>
    <row r="38" spans="2:12" x14ac:dyDescent="0.35">
      <c r="B38" t="s">
        <v>327</v>
      </c>
      <c r="C38" t="s">
        <v>1174</v>
      </c>
      <c r="D38" t="s">
        <v>1164</v>
      </c>
      <c r="E38">
        <v>293</v>
      </c>
      <c r="F38">
        <v>1643.5</v>
      </c>
      <c r="G38">
        <v>8</v>
      </c>
      <c r="H38">
        <v>109</v>
      </c>
      <c r="I38">
        <v>1</v>
      </c>
      <c r="J38">
        <v>25</v>
      </c>
      <c r="K38">
        <v>2</v>
      </c>
    </row>
    <row r="39" spans="2:12" x14ac:dyDescent="0.35">
      <c r="B39" t="s">
        <v>327</v>
      </c>
      <c r="C39" t="s">
        <v>1172</v>
      </c>
      <c r="D39" t="s">
        <v>1159</v>
      </c>
      <c r="E39">
        <v>170</v>
      </c>
      <c r="F39">
        <v>1127.25</v>
      </c>
      <c r="G39">
        <v>2</v>
      </c>
      <c r="H39">
        <v>37.25</v>
      </c>
      <c r="K39">
        <v>1</v>
      </c>
    </row>
    <row r="40" spans="2:12" x14ac:dyDescent="0.35">
      <c r="B40" t="s">
        <v>327</v>
      </c>
      <c r="C40" t="s">
        <v>1169</v>
      </c>
      <c r="D40" t="s">
        <v>1151</v>
      </c>
      <c r="E40">
        <v>220</v>
      </c>
      <c r="F40">
        <v>1402</v>
      </c>
      <c r="G40">
        <v>2</v>
      </c>
      <c r="H40">
        <v>19.25</v>
      </c>
    </row>
    <row r="41" spans="2:12" x14ac:dyDescent="0.35">
      <c r="B41" t="s">
        <v>466</v>
      </c>
      <c r="C41" t="s">
        <v>1172</v>
      </c>
      <c r="D41" t="s">
        <v>1159</v>
      </c>
      <c r="E41">
        <v>203</v>
      </c>
      <c r="F41">
        <v>1192.5</v>
      </c>
      <c r="G41">
        <v>6</v>
      </c>
      <c r="H41">
        <v>132.5</v>
      </c>
    </row>
    <row r="42" spans="2:12" x14ac:dyDescent="0.35">
      <c r="B42" t="s">
        <v>365</v>
      </c>
      <c r="C42" t="s">
        <v>1172</v>
      </c>
      <c r="D42" t="s">
        <v>1159</v>
      </c>
      <c r="E42">
        <v>343</v>
      </c>
      <c r="F42">
        <v>1793.75</v>
      </c>
      <c r="G42">
        <v>13</v>
      </c>
      <c r="H42">
        <v>95</v>
      </c>
      <c r="K42">
        <v>1</v>
      </c>
      <c r="L42">
        <v>12.5</v>
      </c>
    </row>
    <row r="43" spans="2:12" x14ac:dyDescent="0.35">
      <c r="B43" t="s">
        <v>366</v>
      </c>
      <c r="C43" t="s">
        <v>1171</v>
      </c>
      <c r="D43" t="s">
        <v>1150</v>
      </c>
      <c r="E43">
        <v>1667</v>
      </c>
      <c r="F43">
        <v>9716.25</v>
      </c>
      <c r="G43">
        <v>93</v>
      </c>
      <c r="H43">
        <v>978.75</v>
      </c>
      <c r="I43">
        <v>3</v>
      </c>
      <c r="J43">
        <v>76.25</v>
      </c>
    </row>
    <row r="44" spans="2:12" x14ac:dyDescent="0.35">
      <c r="B44" t="s">
        <v>366</v>
      </c>
      <c r="C44" t="s">
        <v>1168</v>
      </c>
      <c r="D44" t="s">
        <v>1161</v>
      </c>
      <c r="E44">
        <v>190</v>
      </c>
      <c r="F44">
        <v>988.5</v>
      </c>
      <c r="G44">
        <v>8</v>
      </c>
      <c r="H44">
        <v>62.25</v>
      </c>
      <c r="K44">
        <v>1</v>
      </c>
      <c r="L44">
        <v>5.5</v>
      </c>
    </row>
    <row r="45" spans="2:12" x14ac:dyDescent="0.35">
      <c r="B45" t="s">
        <v>341</v>
      </c>
      <c r="C45" t="s">
        <v>1180</v>
      </c>
      <c r="D45" t="s">
        <v>1155</v>
      </c>
      <c r="E45">
        <v>119</v>
      </c>
      <c r="F45">
        <v>607</v>
      </c>
      <c r="G45">
        <v>9</v>
      </c>
      <c r="H45">
        <v>83.5</v>
      </c>
      <c r="I45">
        <v>1</v>
      </c>
      <c r="J45">
        <v>6.75</v>
      </c>
    </row>
    <row r="46" spans="2:12" x14ac:dyDescent="0.35">
      <c r="B46" t="s">
        <v>341</v>
      </c>
      <c r="C46" t="s">
        <v>1170</v>
      </c>
      <c r="D46" t="s">
        <v>1156</v>
      </c>
      <c r="E46">
        <v>990</v>
      </c>
      <c r="F46">
        <v>5995.25</v>
      </c>
      <c r="G46">
        <v>148</v>
      </c>
      <c r="H46">
        <v>1626.25</v>
      </c>
      <c r="I46">
        <v>8</v>
      </c>
      <c r="J46">
        <v>268.5</v>
      </c>
      <c r="K46">
        <v>3</v>
      </c>
      <c r="L46">
        <v>20.75</v>
      </c>
    </row>
    <row r="47" spans="2:12" x14ac:dyDescent="0.35">
      <c r="B47" t="s">
        <v>342</v>
      </c>
      <c r="C47" t="s">
        <v>1171</v>
      </c>
      <c r="D47" t="s">
        <v>1150</v>
      </c>
      <c r="E47">
        <v>1599</v>
      </c>
      <c r="F47">
        <v>8671.5</v>
      </c>
      <c r="G47">
        <v>54</v>
      </c>
      <c r="H47">
        <v>593.75</v>
      </c>
    </row>
    <row r="48" spans="2:12" x14ac:dyDescent="0.35">
      <c r="B48" t="s">
        <v>214</v>
      </c>
      <c r="C48" t="s">
        <v>1176</v>
      </c>
      <c r="D48" t="s">
        <v>1154</v>
      </c>
      <c r="E48">
        <v>449</v>
      </c>
      <c r="F48">
        <v>2244.5</v>
      </c>
      <c r="G48">
        <v>22</v>
      </c>
      <c r="H48">
        <v>166.5</v>
      </c>
    </row>
    <row r="49" spans="2:12" x14ac:dyDescent="0.35">
      <c r="B49" t="s">
        <v>214</v>
      </c>
      <c r="C49" t="s">
        <v>1170</v>
      </c>
      <c r="D49" t="s">
        <v>1156</v>
      </c>
      <c r="E49">
        <v>921</v>
      </c>
      <c r="F49">
        <v>5130.75</v>
      </c>
      <c r="G49">
        <v>109</v>
      </c>
      <c r="H49">
        <v>1313.75</v>
      </c>
      <c r="I49">
        <v>5</v>
      </c>
      <c r="J49">
        <v>154</v>
      </c>
      <c r="K49">
        <v>4</v>
      </c>
      <c r="L49">
        <v>34</v>
      </c>
    </row>
    <row r="50" spans="2:12" x14ac:dyDescent="0.35">
      <c r="B50" t="s">
        <v>214</v>
      </c>
      <c r="C50" t="s">
        <v>1178</v>
      </c>
      <c r="D50" t="s">
        <v>1158</v>
      </c>
      <c r="E50">
        <v>263</v>
      </c>
      <c r="F50">
        <v>1314</v>
      </c>
      <c r="G50">
        <v>4</v>
      </c>
      <c r="H50">
        <v>38</v>
      </c>
    </row>
    <row r="51" spans="2:12" x14ac:dyDescent="0.35">
      <c r="B51" t="s">
        <v>313</v>
      </c>
      <c r="C51" t="s">
        <v>1170</v>
      </c>
      <c r="D51" t="s">
        <v>1156</v>
      </c>
      <c r="E51">
        <v>1017</v>
      </c>
      <c r="G51">
        <v>64</v>
      </c>
    </row>
    <row r="52" spans="2:12" x14ac:dyDescent="0.35">
      <c r="B52" t="s">
        <v>313</v>
      </c>
      <c r="C52" t="s">
        <v>1179</v>
      </c>
      <c r="D52" t="s">
        <v>1160</v>
      </c>
      <c r="E52">
        <v>458</v>
      </c>
      <c r="G52">
        <v>12</v>
      </c>
      <c r="K52">
        <v>2</v>
      </c>
    </row>
    <row r="53" spans="2:12" x14ac:dyDescent="0.35">
      <c r="B53" t="s">
        <v>313</v>
      </c>
      <c r="C53" t="s">
        <v>1181</v>
      </c>
      <c r="D53" t="s">
        <v>1157</v>
      </c>
      <c r="E53">
        <v>259</v>
      </c>
      <c r="G53">
        <v>30</v>
      </c>
      <c r="K53">
        <v>1</v>
      </c>
    </row>
    <row r="54" spans="2:12" x14ac:dyDescent="0.35">
      <c r="B54" t="s">
        <v>319</v>
      </c>
      <c r="C54" t="s">
        <v>1180</v>
      </c>
      <c r="D54" t="s">
        <v>1155</v>
      </c>
      <c r="E54">
        <v>34</v>
      </c>
      <c r="F54">
        <v>117</v>
      </c>
      <c r="G54">
        <v>3</v>
      </c>
      <c r="H54">
        <v>48.75</v>
      </c>
    </row>
    <row r="55" spans="2:12" x14ac:dyDescent="0.35">
      <c r="B55" t="s">
        <v>319</v>
      </c>
      <c r="C55" t="s">
        <v>1179</v>
      </c>
      <c r="D55" t="s">
        <v>1160</v>
      </c>
      <c r="E55">
        <v>109</v>
      </c>
      <c r="F55">
        <v>561.5</v>
      </c>
      <c r="G55">
        <v>6</v>
      </c>
      <c r="H55">
        <v>63.5</v>
      </c>
      <c r="I55">
        <v>1</v>
      </c>
      <c r="J55">
        <v>27.5</v>
      </c>
    </row>
    <row r="56" spans="2:12" x14ac:dyDescent="0.35">
      <c r="B56" t="s">
        <v>319</v>
      </c>
      <c r="C56" t="s">
        <v>1174</v>
      </c>
      <c r="D56" t="s">
        <v>1164</v>
      </c>
      <c r="E56">
        <v>119</v>
      </c>
      <c r="F56">
        <v>667.5</v>
      </c>
      <c r="G56">
        <v>6</v>
      </c>
      <c r="H56">
        <v>56.25</v>
      </c>
      <c r="K56">
        <v>1</v>
      </c>
      <c r="L56">
        <v>4</v>
      </c>
    </row>
    <row r="57" spans="2:12" x14ac:dyDescent="0.35">
      <c r="B57" t="s">
        <v>319</v>
      </c>
      <c r="C57" t="s">
        <v>1172</v>
      </c>
      <c r="D57" t="s">
        <v>1159</v>
      </c>
      <c r="E57">
        <v>59</v>
      </c>
      <c r="F57">
        <v>366.5</v>
      </c>
      <c r="G57">
        <v>3</v>
      </c>
      <c r="H57">
        <v>27.25</v>
      </c>
    </row>
    <row r="58" spans="2:12" x14ac:dyDescent="0.35">
      <c r="B58" t="s">
        <v>319</v>
      </c>
      <c r="C58" t="s">
        <v>1178</v>
      </c>
      <c r="D58" t="s">
        <v>1158</v>
      </c>
      <c r="E58">
        <v>62</v>
      </c>
      <c r="F58">
        <v>288.25</v>
      </c>
    </row>
    <row r="59" spans="2:12" x14ac:dyDescent="0.35">
      <c r="B59" t="s">
        <v>321</v>
      </c>
      <c r="C59" t="s">
        <v>1171</v>
      </c>
      <c r="D59" t="s">
        <v>1150</v>
      </c>
      <c r="E59">
        <v>1392</v>
      </c>
      <c r="F59">
        <v>9003</v>
      </c>
      <c r="G59">
        <v>17</v>
      </c>
      <c r="H59">
        <v>258.5</v>
      </c>
      <c r="I59">
        <v>1</v>
      </c>
      <c r="J59">
        <v>41</v>
      </c>
    </row>
    <row r="60" spans="2:12" x14ac:dyDescent="0.35">
      <c r="B60" t="s">
        <v>321</v>
      </c>
      <c r="C60" t="s">
        <v>1170</v>
      </c>
      <c r="D60" t="s">
        <v>1156</v>
      </c>
      <c r="E60">
        <v>588</v>
      </c>
      <c r="F60">
        <v>4421</v>
      </c>
      <c r="G60">
        <v>68</v>
      </c>
      <c r="H60">
        <v>848.75</v>
      </c>
      <c r="I60">
        <v>1</v>
      </c>
      <c r="J60">
        <v>29.75</v>
      </c>
      <c r="K60">
        <v>2</v>
      </c>
      <c r="L60">
        <v>11.5</v>
      </c>
    </row>
    <row r="61" spans="2:12" x14ac:dyDescent="0.35">
      <c r="B61" t="s">
        <v>321</v>
      </c>
      <c r="C61" t="s">
        <v>1178</v>
      </c>
      <c r="D61" t="s">
        <v>1158</v>
      </c>
      <c r="E61">
        <v>108</v>
      </c>
      <c r="F61">
        <v>655.75</v>
      </c>
      <c r="G61">
        <v>2</v>
      </c>
      <c r="H61">
        <v>27.75</v>
      </c>
    </row>
    <row r="62" spans="2:12" x14ac:dyDescent="0.35">
      <c r="B62" t="s">
        <v>326</v>
      </c>
      <c r="C62" t="s">
        <v>1179</v>
      </c>
      <c r="D62" t="s">
        <v>1160</v>
      </c>
      <c r="E62">
        <v>532</v>
      </c>
      <c r="F62">
        <v>2943.25</v>
      </c>
      <c r="G62">
        <v>15</v>
      </c>
      <c r="H62">
        <v>142.75</v>
      </c>
      <c r="I62">
        <v>1</v>
      </c>
      <c r="J62">
        <v>22.25</v>
      </c>
    </row>
    <row r="63" spans="2:12" x14ac:dyDescent="0.35">
      <c r="B63" t="s">
        <v>326</v>
      </c>
      <c r="C63" t="s">
        <v>1173</v>
      </c>
      <c r="D63" t="s">
        <v>1162</v>
      </c>
      <c r="E63">
        <v>20</v>
      </c>
      <c r="F63">
        <v>140</v>
      </c>
    </row>
    <row r="64" spans="2:12" x14ac:dyDescent="0.35">
      <c r="B64" t="s">
        <v>326</v>
      </c>
      <c r="C64" t="s">
        <v>1169</v>
      </c>
      <c r="D64" t="s">
        <v>1151</v>
      </c>
      <c r="E64">
        <v>167</v>
      </c>
      <c r="F64">
        <v>1148.75</v>
      </c>
      <c r="G64">
        <v>5</v>
      </c>
      <c r="H64">
        <v>46</v>
      </c>
    </row>
    <row r="65" spans="2:12" x14ac:dyDescent="0.35">
      <c r="B65" t="s">
        <v>327</v>
      </c>
      <c r="C65" t="s">
        <v>1177</v>
      </c>
      <c r="D65" t="s">
        <v>1153</v>
      </c>
      <c r="E65">
        <v>1765</v>
      </c>
      <c r="F65">
        <v>7900.75</v>
      </c>
      <c r="G65">
        <v>62</v>
      </c>
      <c r="H65">
        <v>473.5</v>
      </c>
      <c r="I65">
        <v>1</v>
      </c>
      <c r="J65">
        <v>30.25</v>
      </c>
      <c r="K65">
        <v>1</v>
      </c>
      <c r="L65">
        <v>4</v>
      </c>
    </row>
    <row r="66" spans="2:12" x14ac:dyDescent="0.35">
      <c r="B66" t="s">
        <v>466</v>
      </c>
      <c r="C66" t="s">
        <v>1176</v>
      </c>
      <c r="D66" t="s">
        <v>1154</v>
      </c>
      <c r="E66">
        <v>313</v>
      </c>
      <c r="F66">
        <v>2037.75</v>
      </c>
      <c r="G66">
        <v>7</v>
      </c>
      <c r="H66">
        <v>117.25</v>
      </c>
    </row>
    <row r="67" spans="2:12" x14ac:dyDescent="0.35">
      <c r="B67" t="s">
        <v>466</v>
      </c>
      <c r="C67" t="s">
        <v>1174</v>
      </c>
      <c r="D67" t="s">
        <v>1164</v>
      </c>
      <c r="E67">
        <v>336</v>
      </c>
      <c r="F67">
        <v>2007.25</v>
      </c>
      <c r="G67">
        <v>13</v>
      </c>
      <c r="H67">
        <v>80</v>
      </c>
      <c r="K67">
        <v>3</v>
      </c>
      <c r="L67">
        <v>36.5</v>
      </c>
    </row>
    <row r="68" spans="2:12" x14ac:dyDescent="0.35">
      <c r="B68" t="s">
        <v>365</v>
      </c>
      <c r="C68" t="s">
        <v>1182</v>
      </c>
      <c r="D68" t="s">
        <v>1163</v>
      </c>
      <c r="E68">
        <v>257</v>
      </c>
      <c r="F68">
        <v>1527</v>
      </c>
      <c r="G68">
        <v>3</v>
      </c>
      <c r="H68">
        <v>23.5</v>
      </c>
    </row>
    <row r="69" spans="2:12" x14ac:dyDescent="0.35">
      <c r="B69" t="s">
        <v>366</v>
      </c>
      <c r="C69" t="s">
        <v>1179</v>
      </c>
      <c r="D69" t="s">
        <v>1160</v>
      </c>
      <c r="E69">
        <v>317</v>
      </c>
      <c r="F69">
        <v>1475</v>
      </c>
      <c r="G69">
        <v>34</v>
      </c>
      <c r="H69">
        <v>285.75</v>
      </c>
    </row>
    <row r="70" spans="2:12" x14ac:dyDescent="0.35">
      <c r="B70" t="s">
        <v>366</v>
      </c>
      <c r="C70" t="s">
        <v>1181</v>
      </c>
      <c r="D70" t="s">
        <v>1157</v>
      </c>
      <c r="E70">
        <v>437</v>
      </c>
      <c r="F70">
        <v>2243.5</v>
      </c>
      <c r="G70">
        <v>57</v>
      </c>
      <c r="H70">
        <v>475.25</v>
      </c>
      <c r="I70">
        <v>2</v>
      </c>
      <c r="J70">
        <v>26.25</v>
      </c>
    </row>
    <row r="71" spans="2:12" x14ac:dyDescent="0.35">
      <c r="B71" t="s">
        <v>366</v>
      </c>
      <c r="C71" t="s">
        <v>1169</v>
      </c>
      <c r="D71" t="s">
        <v>1151</v>
      </c>
      <c r="E71">
        <v>476</v>
      </c>
      <c r="F71">
        <v>2044.25</v>
      </c>
      <c r="G71">
        <v>9</v>
      </c>
      <c r="H71">
        <v>74.75</v>
      </c>
    </row>
    <row r="72" spans="2:12" x14ac:dyDescent="0.35">
      <c r="B72" t="s">
        <v>341</v>
      </c>
      <c r="C72" t="s">
        <v>1168</v>
      </c>
      <c r="D72" t="s">
        <v>1161</v>
      </c>
      <c r="E72">
        <v>233</v>
      </c>
      <c r="F72">
        <v>1339.75</v>
      </c>
      <c r="G72">
        <v>10</v>
      </c>
      <c r="H72">
        <v>90.5</v>
      </c>
    </row>
    <row r="73" spans="2:12" x14ac:dyDescent="0.35">
      <c r="B73" t="s">
        <v>342</v>
      </c>
      <c r="C73" t="s">
        <v>1176</v>
      </c>
      <c r="D73" t="s">
        <v>1154</v>
      </c>
      <c r="E73">
        <v>342</v>
      </c>
      <c r="F73">
        <v>1662</v>
      </c>
      <c r="G73">
        <v>25</v>
      </c>
      <c r="H73">
        <v>274.25</v>
      </c>
    </row>
    <row r="74" spans="2:12" x14ac:dyDescent="0.35">
      <c r="B74" t="s">
        <v>342</v>
      </c>
      <c r="C74" t="s">
        <v>1170</v>
      </c>
      <c r="D74" t="s">
        <v>1156</v>
      </c>
      <c r="E74">
        <v>1018</v>
      </c>
      <c r="F74">
        <v>5856.5</v>
      </c>
      <c r="G74">
        <v>149</v>
      </c>
      <c r="H74">
        <v>1800.5</v>
      </c>
      <c r="I74">
        <v>9</v>
      </c>
      <c r="J74">
        <v>378.75</v>
      </c>
      <c r="K74">
        <v>6</v>
      </c>
      <c r="L74">
        <v>72.5</v>
      </c>
    </row>
    <row r="75" spans="2:12" x14ac:dyDescent="0.35">
      <c r="B75" t="s">
        <v>342</v>
      </c>
      <c r="C75" t="s">
        <v>1173</v>
      </c>
      <c r="D75" t="s">
        <v>1162</v>
      </c>
      <c r="E75">
        <v>55</v>
      </c>
      <c r="F75">
        <v>288</v>
      </c>
      <c r="G75">
        <v>4</v>
      </c>
      <c r="H75">
        <v>35.75</v>
      </c>
    </row>
    <row r="76" spans="2:12" x14ac:dyDescent="0.35">
      <c r="B76" t="s">
        <v>214</v>
      </c>
      <c r="C76" t="s">
        <v>1175</v>
      </c>
      <c r="D76" t="s">
        <v>1152</v>
      </c>
      <c r="E76">
        <v>30</v>
      </c>
      <c r="F76">
        <v>199.75</v>
      </c>
      <c r="G76">
        <v>1</v>
      </c>
      <c r="H76">
        <v>11.25</v>
      </c>
    </row>
    <row r="77" spans="2:12" x14ac:dyDescent="0.35">
      <c r="B77" t="s">
        <v>214</v>
      </c>
      <c r="C77" t="s">
        <v>1181</v>
      </c>
      <c r="D77" t="s">
        <v>1157</v>
      </c>
      <c r="E77">
        <v>329</v>
      </c>
      <c r="F77">
        <v>1704</v>
      </c>
      <c r="G77">
        <v>45</v>
      </c>
      <c r="H77">
        <v>386.75</v>
      </c>
      <c r="I77">
        <v>5</v>
      </c>
      <c r="J77">
        <v>80</v>
      </c>
    </row>
    <row r="78" spans="2:12" x14ac:dyDescent="0.35">
      <c r="B78" t="s">
        <v>214</v>
      </c>
      <c r="C78" t="s">
        <v>1182</v>
      </c>
      <c r="D78" t="s">
        <v>1163</v>
      </c>
      <c r="E78">
        <v>457</v>
      </c>
      <c r="F78">
        <v>2188.5</v>
      </c>
      <c r="G78">
        <v>13</v>
      </c>
      <c r="H78">
        <v>156.75</v>
      </c>
    </row>
    <row r="79" spans="2:12" x14ac:dyDescent="0.35">
      <c r="B79" t="s">
        <v>214</v>
      </c>
      <c r="C79" t="s">
        <v>1168</v>
      </c>
      <c r="D79" t="s">
        <v>1161</v>
      </c>
      <c r="E79">
        <v>179</v>
      </c>
      <c r="F79">
        <v>949</v>
      </c>
      <c r="G79">
        <v>10</v>
      </c>
      <c r="H79">
        <v>68.5</v>
      </c>
      <c r="I79">
        <v>1</v>
      </c>
    </row>
    <row r="80" spans="2:12" x14ac:dyDescent="0.35">
      <c r="B80" t="s">
        <v>313</v>
      </c>
      <c r="C80" t="s">
        <v>1180</v>
      </c>
      <c r="D80" t="s">
        <v>1155</v>
      </c>
      <c r="E80">
        <v>70</v>
      </c>
      <c r="G80">
        <v>1</v>
      </c>
    </row>
    <row r="81" spans="2:12" x14ac:dyDescent="0.35">
      <c r="B81" t="s">
        <v>313</v>
      </c>
      <c r="C81" t="s">
        <v>1173</v>
      </c>
      <c r="D81" t="s">
        <v>1162</v>
      </c>
      <c r="E81">
        <v>38</v>
      </c>
      <c r="G81">
        <v>1</v>
      </c>
    </row>
    <row r="82" spans="2:12" x14ac:dyDescent="0.35">
      <c r="B82" t="s">
        <v>313</v>
      </c>
      <c r="C82" t="s">
        <v>1172</v>
      </c>
      <c r="D82" t="s">
        <v>1159</v>
      </c>
      <c r="E82">
        <v>275</v>
      </c>
      <c r="G82">
        <v>4</v>
      </c>
      <c r="K82">
        <v>2</v>
      </c>
    </row>
    <row r="83" spans="2:12" x14ac:dyDescent="0.35">
      <c r="B83" t="s">
        <v>313</v>
      </c>
      <c r="C83" t="s">
        <v>1169</v>
      </c>
      <c r="D83" t="s">
        <v>1151</v>
      </c>
      <c r="E83">
        <v>234</v>
      </c>
      <c r="G83">
        <v>7</v>
      </c>
      <c r="K83">
        <v>1</v>
      </c>
    </row>
    <row r="84" spans="2:12" x14ac:dyDescent="0.35">
      <c r="B84" t="s">
        <v>319</v>
      </c>
      <c r="C84" t="s">
        <v>1177</v>
      </c>
      <c r="D84" t="s">
        <v>1153</v>
      </c>
      <c r="E84">
        <v>774</v>
      </c>
      <c r="F84">
        <v>2858.25</v>
      </c>
      <c r="G84">
        <v>35</v>
      </c>
      <c r="H84">
        <v>369.5</v>
      </c>
      <c r="I84">
        <v>1</v>
      </c>
      <c r="J84">
        <v>41.25</v>
      </c>
    </row>
    <row r="85" spans="2:12" x14ac:dyDescent="0.35">
      <c r="B85" t="s">
        <v>319</v>
      </c>
      <c r="C85" t="s">
        <v>1169</v>
      </c>
      <c r="D85" t="s">
        <v>1151</v>
      </c>
      <c r="E85">
        <v>82</v>
      </c>
      <c r="F85">
        <v>493.75</v>
      </c>
      <c r="G85">
        <v>2</v>
      </c>
      <c r="H85">
        <v>11.25</v>
      </c>
    </row>
    <row r="86" spans="2:12" x14ac:dyDescent="0.35">
      <c r="B86" t="s">
        <v>319</v>
      </c>
      <c r="C86" t="s">
        <v>1168</v>
      </c>
      <c r="D86" t="s">
        <v>1161</v>
      </c>
      <c r="E86">
        <v>48</v>
      </c>
      <c r="F86">
        <v>270.5</v>
      </c>
      <c r="G86">
        <v>2</v>
      </c>
      <c r="H86">
        <v>19.25</v>
      </c>
      <c r="K86">
        <v>1</v>
      </c>
      <c r="L86">
        <v>20</v>
      </c>
    </row>
    <row r="87" spans="2:12" x14ac:dyDescent="0.35">
      <c r="B87" t="s">
        <v>321</v>
      </c>
      <c r="C87" t="s">
        <v>1177</v>
      </c>
      <c r="D87" t="s">
        <v>1153</v>
      </c>
      <c r="E87">
        <v>1932</v>
      </c>
      <c r="F87">
        <v>7836.5</v>
      </c>
      <c r="G87">
        <v>52</v>
      </c>
      <c r="H87">
        <v>332.25</v>
      </c>
      <c r="I87">
        <v>2</v>
      </c>
      <c r="J87">
        <v>34.25</v>
      </c>
      <c r="K87">
        <v>2</v>
      </c>
      <c r="L87">
        <v>4.25</v>
      </c>
    </row>
    <row r="88" spans="2:12" x14ac:dyDescent="0.35">
      <c r="B88" t="s">
        <v>321</v>
      </c>
      <c r="C88" t="s">
        <v>1181</v>
      </c>
      <c r="D88" t="s">
        <v>1157</v>
      </c>
      <c r="E88">
        <v>120</v>
      </c>
      <c r="F88">
        <v>699.5</v>
      </c>
      <c r="G88">
        <v>12</v>
      </c>
      <c r="H88">
        <v>115.5</v>
      </c>
      <c r="K88">
        <v>1</v>
      </c>
      <c r="L88">
        <v>7.25</v>
      </c>
    </row>
    <row r="89" spans="2:12" x14ac:dyDescent="0.35">
      <c r="B89" t="s">
        <v>327</v>
      </c>
      <c r="C89" t="s">
        <v>1179</v>
      </c>
      <c r="D89" t="s">
        <v>1160</v>
      </c>
      <c r="E89">
        <v>1212</v>
      </c>
      <c r="F89">
        <v>6995.25</v>
      </c>
      <c r="G89">
        <v>44</v>
      </c>
      <c r="H89">
        <v>503</v>
      </c>
      <c r="I89">
        <v>1</v>
      </c>
      <c r="J89">
        <v>19.25</v>
      </c>
      <c r="K89">
        <v>1</v>
      </c>
      <c r="L89">
        <v>78</v>
      </c>
    </row>
    <row r="90" spans="2:12" x14ac:dyDescent="0.35">
      <c r="B90" t="s">
        <v>327</v>
      </c>
      <c r="C90" t="s">
        <v>1178</v>
      </c>
      <c r="D90" t="s">
        <v>1158</v>
      </c>
      <c r="E90">
        <v>249</v>
      </c>
      <c r="F90">
        <v>1198</v>
      </c>
    </row>
    <row r="91" spans="2:12" x14ac:dyDescent="0.35">
      <c r="B91" t="s">
        <v>466</v>
      </c>
      <c r="C91" t="s">
        <v>1175</v>
      </c>
      <c r="D91" t="s">
        <v>1152</v>
      </c>
      <c r="E91">
        <v>21</v>
      </c>
      <c r="F91">
        <v>103.75</v>
      </c>
    </row>
    <row r="92" spans="2:12" x14ac:dyDescent="0.35">
      <c r="B92" t="s">
        <v>466</v>
      </c>
      <c r="C92" t="s">
        <v>1168</v>
      </c>
      <c r="D92" t="s">
        <v>1161</v>
      </c>
      <c r="E92">
        <v>127</v>
      </c>
      <c r="F92">
        <v>712.5</v>
      </c>
      <c r="G92">
        <v>2</v>
      </c>
      <c r="H92">
        <v>16.75</v>
      </c>
    </row>
    <row r="93" spans="2:12" x14ac:dyDescent="0.35">
      <c r="B93" t="s">
        <v>365</v>
      </c>
      <c r="C93" t="s">
        <v>1171</v>
      </c>
      <c r="D93" t="s">
        <v>1150</v>
      </c>
      <c r="E93">
        <v>1456</v>
      </c>
      <c r="F93">
        <v>8821.25</v>
      </c>
      <c r="G93">
        <v>50</v>
      </c>
      <c r="H93">
        <v>482.25</v>
      </c>
      <c r="I93">
        <v>1</v>
      </c>
      <c r="J93">
        <v>31</v>
      </c>
    </row>
    <row r="94" spans="2:12" x14ac:dyDescent="0.35">
      <c r="B94" t="s">
        <v>365</v>
      </c>
      <c r="C94" t="s">
        <v>1177</v>
      </c>
      <c r="D94" t="s">
        <v>1153</v>
      </c>
      <c r="E94">
        <v>1871</v>
      </c>
      <c r="F94">
        <v>7024.75</v>
      </c>
      <c r="G94">
        <v>76</v>
      </c>
      <c r="H94">
        <v>361.75</v>
      </c>
      <c r="I94">
        <v>2</v>
      </c>
      <c r="J94">
        <v>19.25</v>
      </c>
      <c r="K94">
        <v>1</v>
      </c>
      <c r="L94">
        <v>7.5</v>
      </c>
    </row>
    <row r="95" spans="2:12" x14ac:dyDescent="0.35">
      <c r="B95" t="s">
        <v>365</v>
      </c>
      <c r="C95" t="s">
        <v>1175</v>
      </c>
      <c r="D95" t="s">
        <v>1152</v>
      </c>
      <c r="E95">
        <v>27</v>
      </c>
      <c r="F95">
        <v>201</v>
      </c>
      <c r="G95">
        <v>1</v>
      </c>
      <c r="H95">
        <v>4.75</v>
      </c>
    </row>
    <row r="96" spans="2:12" x14ac:dyDescent="0.35">
      <c r="B96" t="s">
        <v>365</v>
      </c>
      <c r="C96" t="s">
        <v>1181</v>
      </c>
      <c r="D96" t="s">
        <v>1157</v>
      </c>
      <c r="E96">
        <v>553</v>
      </c>
      <c r="F96">
        <v>2713</v>
      </c>
      <c r="G96">
        <v>43</v>
      </c>
      <c r="H96">
        <v>383.25</v>
      </c>
    </row>
    <row r="97" spans="2:12" x14ac:dyDescent="0.35">
      <c r="B97" t="s">
        <v>365</v>
      </c>
      <c r="C97" t="s">
        <v>1178</v>
      </c>
      <c r="D97" t="s">
        <v>1158</v>
      </c>
      <c r="E97">
        <v>333</v>
      </c>
      <c r="F97">
        <v>1754.75</v>
      </c>
      <c r="G97">
        <v>11</v>
      </c>
      <c r="H97">
        <v>75</v>
      </c>
      <c r="I97">
        <v>1</v>
      </c>
      <c r="J97">
        <v>5.5</v>
      </c>
    </row>
    <row r="98" spans="2:12" x14ac:dyDescent="0.35">
      <c r="B98" t="s">
        <v>365</v>
      </c>
      <c r="C98" t="s">
        <v>1168</v>
      </c>
      <c r="D98" t="s">
        <v>1161</v>
      </c>
      <c r="E98">
        <v>164</v>
      </c>
      <c r="F98">
        <v>872.25</v>
      </c>
      <c r="G98">
        <v>10</v>
      </c>
      <c r="H98">
        <v>110.25</v>
      </c>
    </row>
    <row r="99" spans="2:12" x14ac:dyDescent="0.35">
      <c r="B99" t="s">
        <v>341</v>
      </c>
      <c r="C99" t="s">
        <v>1176</v>
      </c>
      <c r="D99" t="s">
        <v>1154</v>
      </c>
      <c r="E99">
        <v>359</v>
      </c>
      <c r="F99">
        <v>1911.75</v>
      </c>
      <c r="G99">
        <v>37</v>
      </c>
      <c r="H99">
        <v>370.75</v>
      </c>
    </row>
    <row r="100" spans="2:12" x14ac:dyDescent="0.35">
      <c r="B100" t="s">
        <v>341</v>
      </c>
      <c r="C100" t="s">
        <v>1182</v>
      </c>
      <c r="D100" t="s">
        <v>1163</v>
      </c>
      <c r="E100">
        <v>350</v>
      </c>
      <c r="F100">
        <v>2174</v>
      </c>
      <c r="G100">
        <v>13</v>
      </c>
      <c r="H100">
        <v>160.75</v>
      </c>
    </row>
    <row r="101" spans="2:12" x14ac:dyDescent="0.35">
      <c r="B101" t="s">
        <v>342</v>
      </c>
      <c r="C101" t="s">
        <v>1172</v>
      </c>
      <c r="D101" t="s">
        <v>1159</v>
      </c>
      <c r="E101">
        <v>225</v>
      </c>
      <c r="F101">
        <v>1105.5</v>
      </c>
      <c r="G101">
        <v>15</v>
      </c>
      <c r="H101">
        <v>122.25</v>
      </c>
    </row>
    <row r="102" spans="2:12" x14ac:dyDescent="0.35">
      <c r="B102" t="s">
        <v>214</v>
      </c>
      <c r="C102" t="s">
        <v>1171</v>
      </c>
      <c r="D102" t="s">
        <v>1150</v>
      </c>
      <c r="E102">
        <v>1731</v>
      </c>
      <c r="F102">
        <v>9112.75</v>
      </c>
      <c r="G102">
        <v>44</v>
      </c>
      <c r="H102">
        <v>463.25</v>
      </c>
      <c r="I102">
        <v>1</v>
      </c>
      <c r="J102">
        <v>33.25</v>
      </c>
    </row>
    <row r="103" spans="2:12" x14ac:dyDescent="0.35">
      <c r="B103" t="s">
        <v>214</v>
      </c>
      <c r="C103" t="s">
        <v>1173</v>
      </c>
      <c r="D103" t="s">
        <v>1162</v>
      </c>
      <c r="E103">
        <v>59</v>
      </c>
      <c r="F103">
        <v>321.75</v>
      </c>
      <c r="G103">
        <v>1</v>
      </c>
      <c r="H103">
        <v>14</v>
      </c>
    </row>
    <row r="104" spans="2:12" x14ac:dyDescent="0.35">
      <c r="B104" t="s">
        <v>313</v>
      </c>
      <c r="C104" t="s">
        <v>1182</v>
      </c>
      <c r="D104" t="s">
        <v>1163</v>
      </c>
      <c r="E104">
        <v>266</v>
      </c>
      <c r="G104">
        <v>5</v>
      </c>
    </row>
    <row r="105" spans="2:12" x14ac:dyDescent="0.35">
      <c r="B105" t="s">
        <v>319</v>
      </c>
      <c r="C105" t="s">
        <v>1182</v>
      </c>
      <c r="D105" t="s">
        <v>1163</v>
      </c>
      <c r="E105">
        <v>66</v>
      </c>
      <c r="F105">
        <v>355.25</v>
      </c>
      <c r="G105">
        <v>1</v>
      </c>
      <c r="H105">
        <v>31.25</v>
      </c>
    </row>
    <row r="106" spans="2:12" x14ac:dyDescent="0.35">
      <c r="B106" t="s">
        <v>326</v>
      </c>
      <c r="C106" t="s">
        <v>1176</v>
      </c>
      <c r="D106" t="s">
        <v>1154</v>
      </c>
      <c r="E106">
        <v>287</v>
      </c>
      <c r="F106">
        <v>1929.75</v>
      </c>
      <c r="G106">
        <v>1</v>
      </c>
      <c r="H106">
        <v>17.25</v>
      </c>
    </row>
    <row r="107" spans="2:12" x14ac:dyDescent="0.35">
      <c r="B107" t="s">
        <v>326</v>
      </c>
      <c r="C107" t="s">
        <v>1174</v>
      </c>
      <c r="D107" t="s">
        <v>1164</v>
      </c>
      <c r="E107">
        <v>330</v>
      </c>
      <c r="F107">
        <v>2329</v>
      </c>
      <c r="G107">
        <v>12</v>
      </c>
      <c r="H107">
        <v>158.75</v>
      </c>
    </row>
    <row r="108" spans="2:12" x14ac:dyDescent="0.35">
      <c r="B108" t="s">
        <v>466</v>
      </c>
      <c r="C108" t="s">
        <v>1171</v>
      </c>
      <c r="D108" t="s">
        <v>1150</v>
      </c>
      <c r="E108">
        <v>1598</v>
      </c>
      <c r="F108">
        <v>10148.5</v>
      </c>
      <c r="G108">
        <v>31</v>
      </c>
      <c r="H108">
        <v>437.25</v>
      </c>
      <c r="K108">
        <v>2</v>
      </c>
      <c r="L108">
        <v>29.25</v>
      </c>
    </row>
    <row r="109" spans="2:12" x14ac:dyDescent="0.35">
      <c r="B109" t="s">
        <v>466</v>
      </c>
      <c r="C109" t="s">
        <v>1177</v>
      </c>
      <c r="D109" t="s">
        <v>1153</v>
      </c>
      <c r="E109">
        <v>2324</v>
      </c>
      <c r="F109">
        <v>10097</v>
      </c>
      <c r="G109">
        <v>76</v>
      </c>
      <c r="H109">
        <v>371.25</v>
      </c>
    </row>
    <row r="110" spans="2:12" x14ac:dyDescent="0.35">
      <c r="B110" t="s">
        <v>466</v>
      </c>
      <c r="C110" t="s">
        <v>1181</v>
      </c>
      <c r="D110" t="s">
        <v>1157</v>
      </c>
      <c r="E110">
        <v>289</v>
      </c>
      <c r="F110">
        <v>1658</v>
      </c>
      <c r="G110">
        <v>24</v>
      </c>
      <c r="H110">
        <v>270.75</v>
      </c>
    </row>
    <row r="111" spans="2:12" x14ac:dyDescent="0.35">
      <c r="B111" t="s">
        <v>365</v>
      </c>
      <c r="C111" t="s">
        <v>1170</v>
      </c>
      <c r="D111" t="s">
        <v>1156</v>
      </c>
      <c r="E111">
        <v>1022</v>
      </c>
      <c r="F111">
        <v>6361.5</v>
      </c>
      <c r="G111">
        <v>87</v>
      </c>
      <c r="H111">
        <v>868.25</v>
      </c>
      <c r="I111">
        <v>6</v>
      </c>
      <c r="J111">
        <v>150.5</v>
      </c>
    </row>
    <row r="112" spans="2:12" x14ac:dyDescent="0.35">
      <c r="B112" t="s">
        <v>366</v>
      </c>
      <c r="C112" t="s">
        <v>1177</v>
      </c>
      <c r="D112" t="s">
        <v>1153</v>
      </c>
      <c r="E112">
        <v>2916</v>
      </c>
      <c r="F112">
        <v>10285.25</v>
      </c>
      <c r="G112">
        <v>146</v>
      </c>
      <c r="H112">
        <v>902.5</v>
      </c>
      <c r="I112">
        <v>2</v>
      </c>
      <c r="J112">
        <v>14.5</v>
      </c>
      <c r="K112">
        <v>1</v>
      </c>
      <c r="L112">
        <v>3.75</v>
      </c>
    </row>
    <row r="113" spans="2:12" x14ac:dyDescent="0.35">
      <c r="B113" t="s">
        <v>366</v>
      </c>
      <c r="C113" t="s">
        <v>1173</v>
      </c>
      <c r="D113" t="s">
        <v>1162</v>
      </c>
      <c r="E113">
        <v>48</v>
      </c>
      <c r="F113">
        <v>249.5</v>
      </c>
      <c r="G113">
        <v>1</v>
      </c>
      <c r="H113">
        <v>20.25</v>
      </c>
    </row>
    <row r="114" spans="2:12" x14ac:dyDescent="0.35">
      <c r="B114" t="s">
        <v>341</v>
      </c>
      <c r="C114" t="s">
        <v>1173</v>
      </c>
      <c r="D114" t="s">
        <v>1162</v>
      </c>
      <c r="E114">
        <v>63</v>
      </c>
      <c r="F114">
        <v>340.5</v>
      </c>
      <c r="G114">
        <v>3</v>
      </c>
      <c r="H114">
        <v>33.25</v>
      </c>
    </row>
    <row r="115" spans="2:12" x14ac:dyDescent="0.35">
      <c r="B115" t="s">
        <v>342</v>
      </c>
      <c r="C115" t="s">
        <v>1182</v>
      </c>
      <c r="D115" t="s">
        <v>1163</v>
      </c>
      <c r="E115">
        <v>255</v>
      </c>
      <c r="F115">
        <v>1437.75</v>
      </c>
      <c r="G115">
        <v>13</v>
      </c>
      <c r="H115">
        <v>146.5</v>
      </c>
    </row>
    <row r="116" spans="2:12" x14ac:dyDescent="0.35">
      <c r="B116" t="s">
        <v>214</v>
      </c>
      <c r="C116" t="s">
        <v>1180</v>
      </c>
      <c r="D116" t="s">
        <v>1155</v>
      </c>
      <c r="E116">
        <v>85</v>
      </c>
      <c r="F116">
        <v>435.5</v>
      </c>
      <c r="G116">
        <v>3</v>
      </c>
      <c r="H116">
        <v>61.25</v>
      </c>
      <c r="I116">
        <v>1</v>
      </c>
      <c r="J116">
        <v>38.25</v>
      </c>
    </row>
    <row r="117" spans="2:12" x14ac:dyDescent="0.35">
      <c r="B117" t="s">
        <v>313</v>
      </c>
      <c r="C117" t="s">
        <v>1168</v>
      </c>
      <c r="D117" t="s">
        <v>1161</v>
      </c>
      <c r="E117">
        <v>115</v>
      </c>
      <c r="G117">
        <v>2</v>
      </c>
    </row>
    <row r="118" spans="2:12" x14ac:dyDescent="0.35">
      <c r="B118" t="s">
        <v>319</v>
      </c>
      <c r="C118" t="s">
        <v>1170</v>
      </c>
      <c r="D118" t="s">
        <v>1156</v>
      </c>
      <c r="E118">
        <v>206</v>
      </c>
      <c r="F118">
        <v>1195.25</v>
      </c>
      <c r="G118">
        <v>24</v>
      </c>
      <c r="H118">
        <v>285.25</v>
      </c>
      <c r="I118">
        <v>1</v>
      </c>
      <c r="J118">
        <v>54.5</v>
      </c>
    </row>
    <row r="119" spans="2:12" x14ac:dyDescent="0.35">
      <c r="B119" t="s">
        <v>321</v>
      </c>
      <c r="C119" t="s">
        <v>1169</v>
      </c>
      <c r="D119" t="s">
        <v>1151</v>
      </c>
      <c r="E119">
        <v>165</v>
      </c>
      <c r="F119">
        <v>1100.75</v>
      </c>
      <c r="G119">
        <v>1</v>
      </c>
      <c r="H119">
        <v>4</v>
      </c>
      <c r="K119">
        <v>1</v>
      </c>
      <c r="L119">
        <v>8</v>
      </c>
    </row>
    <row r="120" spans="2:12" x14ac:dyDescent="0.35">
      <c r="B120" t="s">
        <v>327</v>
      </c>
      <c r="C120" t="s">
        <v>1171</v>
      </c>
      <c r="D120" t="s">
        <v>1150</v>
      </c>
      <c r="E120">
        <v>1578</v>
      </c>
      <c r="F120">
        <v>9945.75</v>
      </c>
      <c r="G120">
        <v>32</v>
      </c>
      <c r="H120">
        <v>384.25</v>
      </c>
      <c r="K120">
        <v>1</v>
      </c>
      <c r="L120">
        <v>57.25</v>
      </c>
    </row>
    <row r="121" spans="2:12" x14ac:dyDescent="0.35">
      <c r="B121" t="s">
        <v>327</v>
      </c>
      <c r="C121" t="s">
        <v>1175</v>
      </c>
      <c r="D121" t="s">
        <v>1152</v>
      </c>
      <c r="E121">
        <v>11</v>
      </c>
      <c r="F121">
        <v>69</v>
      </c>
    </row>
    <row r="122" spans="2:12" x14ac:dyDescent="0.35">
      <c r="B122" t="s">
        <v>466</v>
      </c>
      <c r="C122" t="s">
        <v>1180</v>
      </c>
      <c r="D122" t="s">
        <v>1155</v>
      </c>
      <c r="E122">
        <v>52</v>
      </c>
      <c r="F122">
        <v>336.25</v>
      </c>
      <c r="G122">
        <v>7</v>
      </c>
      <c r="H122">
        <v>74.5</v>
      </c>
    </row>
    <row r="123" spans="2:12" x14ac:dyDescent="0.35">
      <c r="B123" t="s">
        <v>466</v>
      </c>
      <c r="C123" t="s">
        <v>1173</v>
      </c>
      <c r="D123" t="s">
        <v>1162</v>
      </c>
      <c r="E123">
        <v>36</v>
      </c>
      <c r="F123">
        <v>212</v>
      </c>
      <c r="G123">
        <v>1</v>
      </c>
      <c r="H123">
        <v>18</v>
      </c>
    </row>
    <row r="124" spans="2:12" x14ac:dyDescent="0.35">
      <c r="B124" t="s">
        <v>466</v>
      </c>
      <c r="C124" t="s">
        <v>1169</v>
      </c>
      <c r="D124" t="s">
        <v>1151</v>
      </c>
      <c r="E124">
        <v>219</v>
      </c>
      <c r="F124">
        <v>1302.5</v>
      </c>
      <c r="G124">
        <v>5</v>
      </c>
      <c r="H124">
        <v>162.75</v>
      </c>
      <c r="I124">
        <v>1</v>
      </c>
      <c r="J124">
        <v>81.5</v>
      </c>
    </row>
    <row r="125" spans="2:12" x14ac:dyDescent="0.35">
      <c r="B125" t="s">
        <v>466</v>
      </c>
      <c r="C125" t="s">
        <v>1178</v>
      </c>
      <c r="D125" t="s">
        <v>1158</v>
      </c>
      <c r="E125">
        <v>212</v>
      </c>
      <c r="F125">
        <v>1052.25</v>
      </c>
    </row>
    <row r="126" spans="2:12" x14ac:dyDescent="0.35">
      <c r="B126" t="s">
        <v>365</v>
      </c>
      <c r="C126" t="s">
        <v>1174</v>
      </c>
      <c r="D126" t="s">
        <v>1164</v>
      </c>
      <c r="E126">
        <v>644</v>
      </c>
      <c r="F126">
        <v>3222.75</v>
      </c>
      <c r="G126">
        <v>39</v>
      </c>
      <c r="H126">
        <v>284.75</v>
      </c>
    </row>
    <row r="127" spans="2:12" x14ac:dyDescent="0.35">
      <c r="B127" t="s">
        <v>365</v>
      </c>
      <c r="C127" t="s">
        <v>1169</v>
      </c>
      <c r="D127" t="s">
        <v>1151</v>
      </c>
      <c r="E127">
        <v>388</v>
      </c>
      <c r="F127">
        <v>2008.75</v>
      </c>
      <c r="G127">
        <v>24</v>
      </c>
      <c r="H127">
        <v>214.75</v>
      </c>
    </row>
    <row r="128" spans="2:12" x14ac:dyDescent="0.35">
      <c r="B128" t="s">
        <v>366</v>
      </c>
      <c r="C128" t="s">
        <v>1176</v>
      </c>
      <c r="D128" t="s">
        <v>1154</v>
      </c>
      <c r="E128">
        <v>409</v>
      </c>
      <c r="F128">
        <v>2440</v>
      </c>
      <c r="G128">
        <v>42</v>
      </c>
      <c r="H128">
        <v>504.75</v>
      </c>
      <c r="I128">
        <v>1</v>
      </c>
      <c r="J128">
        <v>32</v>
      </c>
    </row>
    <row r="129" spans="2:12" x14ac:dyDescent="0.35">
      <c r="B129" t="s">
        <v>366</v>
      </c>
      <c r="C129" t="s">
        <v>1170</v>
      </c>
      <c r="D129" t="s">
        <v>1156</v>
      </c>
      <c r="E129">
        <v>1100</v>
      </c>
      <c r="F129">
        <v>6862.25</v>
      </c>
      <c r="G129">
        <v>163</v>
      </c>
      <c r="H129">
        <v>2008.25</v>
      </c>
      <c r="I129">
        <v>14</v>
      </c>
      <c r="J129">
        <v>436.5</v>
      </c>
    </row>
    <row r="130" spans="2:12" x14ac:dyDescent="0.35">
      <c r="B130" t="s">
        <v>366</v>
      </c>
      <c r="C130" t="s">
        <v>1172</v>
      </c>
      <c r="D130" t="s">
        <v>1159</v>
      </c>
      <c r="E130">
        <v>303</v>
      </c>
      <c r="F130">
        <v>1550.75</v>
      </c>
      <c r="G130">
        <v>17</v>
      </c>
      <c r="H130">
        <v>153</v>
      </c>
    </row>
    <row r="131" spans="2:12" x14ac:dyDescent="0.35">
      <c r="B131" t="s">
        <v>366</v>
      </c>
      <c r="C131" t="s">
        <v>1178</v>
      </c>
      <c r="D131" t="s">
        <v>1158</v>
      </c>
      <c r="E131">
        <v>364</v>
      </c>
      <c r="F131">
        <v>1734.75</v>
      </c>
      <c r="G131">
        <v>15</v>
      </c>
      <c r="H131">
        <v>95.75</v>
      </c>
    </row>
    <row r="132" spans="2:12" x14ac:dyDescent="0.35">
      <c r="B132" t="s">
        <v>341</v>
      </c>
      <c r="C132" t="s">
        <v>1172</v>
      </c>
      <c r="D132" t="s">
        <v>1159</v>
      </c>
      <c r="E132">
        <v>221</v>
      </c>
      <c r="F132">
        <v>1244.75</v>
      </c>
      <c r="G132">
        <v>14</v>
      </c>
      <c r="H132">
        <v>103.25</v>
      </c>
    </row>
    <row r="133" spans="2:12" x14ac:dyDescent="0.35">
      <c r="B133" t="s">
        <v>341</v>
      </c>
      <c r="C133" t="s">
        <v>1169</v>
      </c>
      <c r="D133" t="s">
        <v>1151</v>
      </c>
      <c r="E133">
        <v>319</v>
      </c>
      <c r="F133">
        <v>1744</v>
      </c>
      <c r="G133">
        <v>10</v>
      </c>
      <c r="H133">
        <v>102.75</v>
      </c>
    </row>
    <row r="134" spans="2:12" x14ac:dyDescent="0.35">
      <c r="B134" t="s">
        <v>342</v>
      </c>
      <c r="C134" t="s">
        <v>1174</v>
      </c>
      <c r="D134" t="s">
        <v>1164</v>
      </c>
      <c r="E134">
        <v>344</v>
      </c>
      <c r="F134">
        <v>1674.75</v>
      </c>
      <c r="G134">
        <v>18</v>
      </c>
      <c r="H134">
        <v>138.25</v>
      </c>
      <c r="I134">
        <v>1</v>
      </c>
      <c r="J134">
        <v>3</v>
      </c>
      <c r="K134">
        <v>2</v>
      </c>
      <c r="L134">
        <v>12.5</v>
      </c>
    </row>
    <row r="135" spans="2:12" x14ac:dyDescent="0.35">
      <c r="B135" t="s">
        <v>342</v>
      </c>
      <c r="C135" t="s">
        <v>1178</v>
      </c>
      <c r="D135" t="s">
        <v>1158</v>
      </c>
      <c r="E135">
        <v>217</v>
      </c>
      <c r="F135">
        <v>1101.5</v>
      </c>
      <c r="G135">
        <v>3</v>
      </c>
      <c r="H135">
        <v>26</v>
      </c>
    </row>
    <row r="136" spans="2:12" x14ac:dyDescent="0.35">
      <c r="B136" t="s">
        <v>313</v>
      </c>
      <c r="C136" t="s">
        <v>1174</v>
      </c>
      <c r="D136" t="s">
        <v>1164</v>
      </c>
      <c r="E136">
        <v>350</v>
      </c>
      <c r="G136">
        <v>8</v>
      </c>
      <c r="K136">
        <v>1</v>
      </c>
    </row>
    <row r="137" spans="2:12" x14ac:dyDescent="0.35">
      <c r="B137" t="s">
        <v>313</v>
      </c>
      <c r="C137" t="s">
        <v>1178</v>
      </c>
      <c r="D137" t="s">
        <v>1158</v>
      </c>
      <c r="E137">
        <v>283</v>
      </c>
      <c r="G137">
        <v>2</v>
      </c>
    </row>
    <row r="138" spans="2:12" x14ac:dyDescent="0.35">
      <c r="B138" t="s">
        <v>319</v>
      </c>
      <c r="C138" t="s">
        <v>1175</v>
      </c>
      <c r="D138" t="s">
        <v>1152</v>
      </c>
      <c r="E138">
        <v>10</v>
      </c>
      <c r="F138">
        <v>66.5</v>
      </c>
    </row>
    <row r="139" spans="2:12" x14ac:dyDescent="0.35">
      <c r="B139" t="s">
        <v>321</v>
      </c>
      <c r="C139" t="s">
        <v>1179</v>
      </c>
      <c r="D139" t="s">
        <v>1160</v>
      </c>
      <c r="E139">
        <v>272</v>
      </c>
      <c r="F139">
        <v>1519.25</v>
      </c>
      <c r="G139">
        <v>18</v>
      </c>
      <c r="H139">
        <v>254.75</v>
      </c>
      <c r="I139">
        <v>1</v>
      </c>
      <c r="J139">
        <v>65</v>
      </c>
    </row>
    <row r="140" spans="2:12" x14ac:dyDescent="0.35">
      <c r="B140" t="s">
        <v>321</v>
      </c>
      <c r="C140" t="s">
        <v>1175</v>
      </c>
      <c r="D140" t="s">
        <v>1152</v>
      </c>
      <c r="E140">
        <v>10</v>
      </c>
      <c r="F140">
        <v>95.25</v>
      </c>
    </row>
    <row r="141" spans="2:12" x14ac:dyDescent="0.35">
      <c r="B141" t="s">
        <v>321</v>
      </c>
      <c r="C141" t="s">
        <v>1174</v>
      </c>
      <c r="D141" t="s">
        <v>1164</v>
      </c>
      <c r="E141">
        <v>187</v>
      </c>
      <c r="F141">
        <v>1090.5</v>
      </c>
      <c r="G141">
        <v>6</v>
      </c>
      <c r="H141">
        <v>51</v>
      </c>
      <c r="K141">
        <v>2</v>
      </c>
      <c r="L141">
        <v>18</v>
      </c>
    </row>
    <row r="142" spans="2:12" x14ac:dyDescent="0.35">
      <c r="B142" t="s">
        <v>321</v>
      </c>
      <c r="C142" t="s">
        <v>1172</v>
      </c>
      <c r="D142" t="s">
        <v>1159</v>
      </c>
      <c r="E142">
        <v>172</v>
      </c>
      <c r="F142">
        <v>1113</v>
      </c>
      <c r="G142">
        <v>4</v>
      </c>
      <c r="H142">
        <v>36.25</v>
      </c>
    </row>
    <row r="143" spans="2:12" x14ac:dyDescent="0.35">
      <c r="B143" t="s">
        <v>326</v>
      </c>
      <c r="C143" t="s">
        <v>1171</v>
      </c>
      <c r="D143" t="s">
        <v>1150</v>
      </c>
      <c r="E143">
        <v>1575</v>
      </c>
      <c r="F143">
        <v>10482</v>
      </c>
      <c r="G143">
        <v>31</v>
      </c>
      <c r="H143">
        <v>586.75</v>
      </c>
    </row>
    <row r="144" spans="2:12" x14ac:dyDescent="0.35">
      <c r="B144" t="s">
        <v>326</v>
      </c>
      <c r="C144" t="s">
        <v>1177</v>
      </c>
      <c r="D144" t="s">
        <v>1153</v>
      </c>
      <c r="E144">
        <v>1859</v>
      </c>
      <c r="F144">
        <v>8252.5</v>
      </c>
      <c r="G144">
        <v>99</v>
      </c>
      <c r="H144">
        <v>781.75</v>
      </c>
    </row>
    <row r="145" spans="2:12" x14ac:dyDescent="0.35">
      <c r="B145" t="s">
        <v>326</v>
      </c>
      <c r="C145" t="s">
        <v>1170</v>
      </c>
      <c r="D145" t="s">
        <v>1156</v>
      </c>
      <c r="E145">
        <v>814</v>
      </c>
      <c r="F145">
        <v>5823.75</v>
      </c>
      <c r="G145">
        <v>84</v>
      </c>
      <c r="H145">
        <v>1269.5</v>
      </c>
      <c r="I145">
        <v>1</v>
      </c>
      <c r="J145">
        <v>76</v>
      </c>
      <c r="K145">
        <v>3</v>
      </c>
      <c r="L145">
        <v>31.5</v>
      </c>
    </row>
    <row r="146" spans="2:12" x14ac:dyDescent="0.35">
      <c r="B146" t="s">
        <v>326</v>
      </c>
      <c r="C146" t="s">
        <v>1182</v>
      </c>
      <c r="D146" t="s">
        <v>1163</v>
      </c>
      <c r="E146">
        <v>217</v>
      </c>
      <c r="F146">
        <v>1482.5</v>
      </c>
      <c r="G146">
        <v>2</v>
      </c>
      <c r="H146">
        <v>25.75</v>
      </c>
    </row>
    <row r="147" spans="2:12" x14ac:dyDescent="0.35">
      <c r="B147" t="s">
        <v>326</v>
      </c>
      <c r="C147" t="s">
        <v>1172</v>
      </c>
      <c r="D147" t="s">
        <v>1159</v>
      </c>
      <c r="E147">
        <v>162</v>
      </c>
      <c r="F147">
        <v>1142.5</v>
      </c>
      <c r="G147">
        <v>6</v>
      </c>
      <c r="H147">
        <v>56.5</v>
      </c>
    </row>
    <row r="148" spans="2:12" x14ac:dyDescent="0.35">
      <c r="B148" t="s">
        <v>326</v>
      </c>
      <c r="C148" t="s">
        <v>1178</v>
      </c>
      <c r="D148" t="s">
        <v>1158</v>
      </c>
      <c r="E148">
        <v>109</v>
      </c>
      <c r="F148">
        <v>656.75</v>
      </c>
      <c r="G148">
        <v>1</v>
      </c>
      <c r="H148">
        <v>4.75</v>
      </c>
      <c r="K148">
        <v>1</v>
      </c>
      <c r="L148">
        <v>18</v>
      </c>
    </row>
    <row r="149" spans="2:12" x14ac:dyDescent="0.35">
      <c r="B149" t="s">
        <v>327</v>
      </c>
      <c r="C149" t="s">
        <v>1180</v>
      </c>
      <c r="D149" t="s">
        <v>1155</v>
      </c>
      <c r="E149">
        <v>48</v>
      </c>
      <c r="F149">
        <v>313.25</v>
      </c>
      <c r="G149">
        <v>3</v>
      </c>
      <c r="H149">
        <v>27.75</v>
      </c>
    </row>
    <row r="150" spans="2:12" x14ac:dyDescent="0.35">
      <c r="B150" t="s">
        <v>365</v>
      </c>
      <c r="C150" t="s">
        <v>1176</v>
      </c>
      <c r="D150" t="s">
        <v>1154</v>
      </c>
      <c r="E150">
        <v>330</v>
      </c>
      <c r="F150">
        <v>2088.25</v>
      </c>
      <c r="G150">
        <v>4</v>
      </c>
      <c r="H150">
        <v>37.5</v>
      </c>
    </row>
    <row r="151" spans="2:12" x14ac:dyDescent="0.35">
      <c r="B151" t="s">
        <v>365</v>
      </c>
      <c r="C151" t="s">
        <v>1179</v>
      </c>
      <c r="D151" t="s">
        <v>1160</v>
      </c>
      <c r="E151">
        <v>234</v>
      </c>
      <c r="F151">
        <v>1136.75</v>
      </c>
      <c r="G151">
        <v>17</v>
      </c>
      <c r="H151">
        <v>120</v>
      </c>
    </row>
    <row r="152" spans="2:12" x14ac:dyDescent="0.35">
      <c r="B152" t="s">
        <v>366</v>
      </c>
      <c r="C152" t="s">
        <v>1175</v>
      </c>
      <c r="D152" t="s">
        <v>1152</v>
      </c>
      <c r="E152">
        <v>35</v>
      </c>
      <c r="F152">
        <v>248.75</v>
      </c>
      <c r="G152">
        <v>1</v>
      </c>
      <c r="H152">
        <v>6.5</v>
      </c>
    </row>
    <row r="153" spans="2:12" x14ac:dyDescent="0.35">
      <c r="B153" t="s">
        <v>341</v>
      </c>
      <c r="C153" t="s">
        <v>1179</v>
      </c>
      <c r="D153" t="s">
        <v>1160</v>
      </c>
      <c r="E153">
        <v>338</v>
      </c>
      <c r="F153">
        <v>1664</v>
      </c>
      <c r="G153">
        <v>33</v>
      </c>
      <c r="H153">
        <v>287.5</v>
      </c>
      <c r="I153">
        <v>2</v>
      </c>
      <c r="J153">
        <v>39</v>
      </c>
      <c r="K153">
        <v>2</v>
      </c>
      <c r="L153">
        <v>7.25</v>
      </c>
    </row>
    <row r="154" spans="2:12" x14ac:dyDescent="0.35">
      <c r="B154" t="s">
        <v>341</v>
      </c>
      <c r="C154" t="s">
        <v>1175</v>
      </c>
      <c r="D154" t="s">
        <v>1152</v>
      </c>
      <c r="E154">
        <v>20</v>
      </c>
      <c r="F154">
        <v>104.5</v>
      </c>
      <c r="G154">
        <v>1</v>
      </c>
      <c r="H154">
        <v>11.5</v>
      </c>
    </row>
    <row r="155" spans="2:12" x14ac:dyDescent="0.35">
      <c r="B155" t="s">
        <v>341</v>
      </c>
      <c r="C155" t="s">
        <v>1181</v>
      </c>
      <c r="D155" t="s">
        <v>1157</v>
      </c>
      <c r="E155">
        <v>421</v>
      </c>
      <c r="F155">
        <v>2155.5</v>
      </c>
      <c r="G155">
        <v>61</v>
      </c>
      <c r="H155">
        <v>470.25</v>
      </c>
      <c r="I155">
        <v>1</v>
      </c>
      <c r="J155">
        <v>11.75</v>
      </c>
      <c r="K155">
        <v>1</v>
      </c>
      <c r="L155">
        <v>8.5</v>
      </c>
    </row>
    <row r="156" spans="2:12" x14ac:dyDescent="0.35">
      <c r="B156" t="s">
        <v>341</v>
      </c>
      <c r="C156" t="s">
        <v>1178</v>
      </c>
      <c r="D156" t="s">
        <v>1158</v>
      </c>
      <c r="E156">
        <v>264</v>
      </c>
      <c r="F156">
        <v>1213.5</v>
      </c>
      <c r="G156">
        <v>11</v>
      </c>
      <c r="H156">
        <v>97.25</v>
      </c>
    </row>
    <row r="157" spans="2:12" x14ac:dyDescent="0.35">
      <c r="B157" t="s">
        <v>342</v>
      </c>
      <c r="C157" t="s">
        <v>1179</v>
      </c>
      <c r="D157" t="s">
        <v>1160</v>
      </c>
      <c r="E157">
        <v>375</v>
      </c>
      <c r="F157">
        <v>1755</v>
      </c>
      <c r="G157">
        <v>33</v>
      </c>
      <c r="H157">
        <v>257.25</v>
      </c>
      <c r="K157">
        <v>1</v>
      </c>
      <c r="L157">
        <v>7.5</v>
      </c>
    </row>
    <row r="158" spans="2:12" x14ac:dyDescent="0.35">
      <c r="B158" t="s">
        <v>342</v>
      </c>
      <c r="C158" t="s">
        <v>1181</v>
      </c>
      <c r="D158" t="s">
        <v>1157</v>
      </c>
      <c r="E158">
        <v>294</v>
      </c>
      <c r="F158">
        <v>1469.5</v>
      </c>
      <c r="G158">
        <v>38</v>
      </c>
      <c r="H158">
        <v>329.5</v>
      </c>
      <c r="I158">
        <v>3</v>
      </c>
      <c r="J158">
        <v>32</v>
      </c>
      <c r="K158">
        <v>3</v>
      </c>
      <c r="L158">
        <v>17.75</v>
      </c>
    </row>
    <row r="159" spans="2:12" x14ac:dyDescent="0.35">
      <c r="B159" t="s">
        <v>214</v>
      </c>
      <c r="C159" t="s">
        <v>1172</v>
      </c>
      <c r="D159" t="s">
        <v>1159</v>
      </c>
      <c r="E159">
        <v>273</v>
      </c>
      <c r="F159">
        <v>1407.5</v>
      </c>
      <c r="G159">
        <v>10</v>
      </c>
      <c r="H159">
        <v>106.75</v>
      </c>
      <c r="K159">
        <v>1</v>
      </c>
      <c r="L159">
        <v>6.25</v>
      </c>
    </row>
    <row r="160" spans="2:12" x14ac:dyDescent="0.35">
      <c r="B160" t="s">
        <v>313</v>
      </c>
      <c r="C160" t="s">
        <v>1176</v>
      </c>
      <c r="D160" t="s">
        <v>1154</v>
      </c>
      <c r="E160">
        <v>294</v>
      </c>
      <c r="G160">
        <v>4</v>
      </c>
    </row>
    <row r="161" spans="2:12" x14ac:dyDescent="0.35">
      <c r="B161" t="s">
        <v>313</v>
      </c>
      <c r="C161" t="s">
        <v>1175</v>
      </c>
      <c r="D161" t="s">
        <v>1152</v>
      </c>
      <c r="E161">
        <v>25</v>
      </c>
    </row>
    <row r="162" spans="2:12" x14ac:dyDescent="0.35">
      <c r="B162" t="s">
        <v>319</v>
      </c>
      <c r="C162" t="s">
        <v>1173</v>
      </c>
      <c r="D162" t="s">
        <v>1162</v>
      </c>
      <c r="E162">
        <v>6</v>
      </c>
      <c r="F162">
        <v>28</v>
      </c>
    </row>
    <row r="163" spans="2:12" x14ac:dyDescent="0.35">
      <c r="B163" t="s">
        <v>321</v>
      </c>
      <c r="C163" t="s">
        <v>1176</v>
      </c>
      <c r="D163" t="s">
        <v>1154</v>
      </c>
      <c r="E163">
        <v>234</v>
      </c>
      <c r="F163">
        <v>1455.75</v>
      </c>
      <c r="G163">
        <v>4</v>
      </c>
      <c r="H163">
        <v>97</v>
      </c>
    </row>
    <row r="164" spans="2:12" x14ac:dyDescent="0.35">
      <c r="B164" t="s">
        <v>321</v>
      </c>
      <c r="C164" t="s">
        <v>1182</v>
      </c>
      <c r="D164" t="s">
        <v>1163</v>
      </c>
      <c r="E164">
        <v>178</v>
      </c>
      <c r="F164">
        <v>1167.5</v>
      </c>
      <c r="G164">
        <v>1</v>
      </c>
      <c r="H164">
        <v>13.75</v>
      </c>
    </row>
    <row r="165" spans="2:12" x14ac:dyDescent="0.35">
      <c r="B165" t="s">
        <v>326</v>
      </c>
      <c r="C165" t="s">
        <v>1180</v>
      </c>
      <c r="D165" t="s">
        <v>1155</v>
      </c>
      <c r="E165">
        <v>57</v>
      </c>
      <c r="F165">
        <v>325.5</v>
      </c>
      <c r="G165">
        <v>3</v>
      </c>
      <c r="H165">
        <v>37.25</v>
      </c>
    </row>
    <row r="166" spans="2:12" x14ac:dyDescent="0.35">
      <c r="B166" t="s">
        <v>326</v>
      </c>
      <c r="C166" t="s">
        <v>1181</v>
      </c>
      <c r="D166" t="s">
        <v>1157</v>
      </c>
      <c r="E166">
        <v>179</v>
      </c>
      <c r="F166">
        <v>1122.5</v>
      </c>
      <c r="G166">
        <v>16</v>
      </c>
      <c r="H166">
        <v>212</v>
      </c>
      <c r="K166">
        <v>1</v>
      </c>
      <c r="L166">
        <v>3</v>
      </c>
    </row>
    <row r="167" spans="2:12" x14ac:dyDescent="0.35">
      <c r="B167" t="s">
        <v>327</v>
      </c>
      <c r="C167" t="s">
        <v>1176</v>
      </c>
      <c r="D167" t="s">
        <v>1154</v>
      </c>
      <c r="E167">
        <v>267</v>
      </c>
      <c r="F167">
        <v>1896.25</v>
      </c>
      <c r="G167">
        <v>20</v>
      </c>
      <c r="H167">
        <v>278.25</v>
      </c>
    </row>
    <row r="168" spans="2:12" x14ac:dyDescent="0.35">
      <c r="B168" t="s">
        <v>327</v>
      </c>
      <c r="C168" t="s">
        <v>1168</v>
      </c>
      <c r="D168" t="s">
        <v>1161</v>
      </c>
      <c r="E168">
        <v>164</v>
      </c>
      <c r="F168">
        <v>1001.5</v>
      </c>
      <c r="G168">
        <v>5</v>
      </c>
      <c r="H168">
        <v>97.75</v>
      </c>
    </row>
    <row r="169" spans="2:12" x14ac:dyDescent="0.35">
      <c r="B169" t="s">
        <v>466</v>
      </c>
      <c r="C169" t="s">
        <v>1170</v>
      </c>
      <c r="D169" t="s">
        <v>1156</v>
      </c>
      <c r="E169">
        <v>934</v>
      </c>
      <c r="F169">
        <v>6491.75</v>
      </c>
      <c r="G169">
        <v>66</v>
      </c>
      <c r="H169">
        <v>987</v>
      </c>
      <c r="I169">
        <v>1</v>
      </c>
      <c r="J169">
        <v>64.5</v>
      </c>
      <c r="K169">
        <v>1</v>
      </c>
      <c r="L169">
        <v>19.75</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B436-799D-4FDF-9301-4FC34C4AA5DE}">
  <sheetPr>
    <tabColor theme="3" tint="0.39997558519241921"/>
  </sheetPr>
  <dimension ref="B4:J20"/>
  <sheetViews>
    <sheetView topLeftCell="B1" workbookViewId="0">
      <selection activeCell="B4" sqref="B4:J20"/>
    </sheetView>
  </sheetViews>
  <sheetFormatPr defaultRowHeight="14.5" x14ac:dyDescent="0.35"/>
  <cols>
    <col min="2" max="2" width="7.453125" bestFit="1" customWidth="1"/>
    <col min="3" max="3" width="9.453125" bestFit="1" customWidth="1"/>
    <col min="4" max="4" width="10.453125" bestFit="1" customWidth="1"/>
    <col min="5" max="5" width="9.26953125" bestFit="1" customWidth="1"/>
    <col min="6" max="6" width="10.1796875" bestFit="1" customWidth="1"/>
    <col min="7" max="7" width="19.453125" bestFit="1" customWidth="1"/>
    <col min="8" max="8" width="20.26953125" bestFit="1" customWidth="1"/>
    <col min="9" max="9" width="17.81640625" bestFit="1" customWidth="1"/>
    <col min="10" max="10" width="18.81640625" bestFit="1" customWidth="1"/>
  </cols>
  <sheetData>
    <row r="4" spans="2:10" x14ac:dyDescent="0.35">
      <c r="B4" t="s">
        <v>606</v>
      </c>
      <c r="C4" t="s">
        <v>1231</v>
      </c>
      <c r="D4" t="s">
        <v>1232</v>
      </c>
      <c r="E4" t="s">
        <v>1233</v>
      </c>
      <c r="F4" t="s">
        <v>1234</v>
      </c>
      <c r="G4" t="s">
        <v>1235</v>
      </c>
      <c r="H4" t="s">
        <v>1236</v>
      </c>
      <c r="I4" t="s">
        <v>1237</v>
      </c>
      <c r="J4" t="s">
        <v>1238</v>
      </c>
    </row>
    <row r="5" spans="2:10" x14ac:dyDescent="0.35">
      <c r="B5" t="s">
        <v>1167</v>
      </c>
      <c r="C5">
        <v>3797</v>
      </c>
      <c r="D5">
        <v>14034</v>
      </c>
      <c r="E5">
        <v>2264</v>
      </c>
      <c r="F5">
        <v>10793</v>
      </c>
      <c r="G5">
        <v>58</v>
      </c>
      <c r="H5">
        <v>300</v>
      </c>
      <c r="I5">
        <v>20</v>
      </c>
      <c r="J5">
        <v>127</v>
      </c>
    </row>
    <row r="6" spans="2:10" x14ac:dyDescent="0.35">
      <c r="B6" t="s">
        <v>508</v>
      </c>
      <c r="C6">
        <v>4947</v>
      </c>
      <c r="D6">
        <v>29138</v>
      </c>
      <c r="E6">
        <v>1797</v>
      </c>
      <c r="F6">
        <v>11747</v>
      </c>
      <c r="G6">
        <v>55</v>
      </c>
      <c r="H6">
        <v>453</v>
      </c>
      <c r="I6">
        <v>13</v>
      </c>
      <c r="J6">
        <v>94</v>
      </c>
    </row>
    <row r="7" spans="2:10" x14ac:dyDescent="0.35">
      <c r="B7" t="s">
        <v>362</v>
      </c>
      <c r="C7">
        <v>6829</v>
      </c>
      <c r="D7">
        <v>42023</v>
      </c>
      <c r="E7">
        <v>726</v>
      </c>
      <c r="F7">
        <v>7946</v>
      </c>
      <c r="G7">
        <v>40</v>
      </c>
      <c r="H7">
        <v>267</v>
      </c>
      <c r="I7">
        <v>26</v>
      </c>
      <c r="J7">
        <v>144</v>
      </c>
    </row>
    <row r="8" spans="2:10" x14ac:dyDescent="0.35">
      <c r="B8" t="s">
        <v>363</v>
      </c>
      <c r="C8">
        <v>7230</v>
      </c>
      <c r="D8">
        <v>34986</v>
      </c>
      <c r="E8">
        <v>764</v>
      </c>
      <c r="F8">
        <v>5742</v>
      </c>
      <c r="G8">
        <v>43</v>
      </c>
      <c r="H8">
        <v>251</v>
      </c>
      <c r="I8">
        <v>22</v>
      </c>
      <c r="J8">
        <v>100</v>
      </c>
    </row>
    <row r="9" spans="2:10" x14ac:dyDescent="0.35">
      <c r="B9" t="s">
        <v>364</v>
      </c>
      <c r="C9">
        <v>0</v>
      </c>
      <c r="D9">
        <v>0</v>
      </c>
      <c r="E9">
        <v>0</v>
      </c>
      <c r="F9">
        <v>0</v>
      </c>
      <c r="G9">
        <v>0</v>
      </c>
      <c r="H9">
        <v>0</v>
      </c>
      <c r="I9">
        <v>0</v>
      </c>
      <c r="J9">
        <v>0</v>
      </c>
    </row>
    <row r="10" spans="2:10" x14ac:dyDescent="0.35">
      <c r="B10" t="s">
        <v>365</v>
      </c>
      <c r="C10">
        <v>7816</v>
      </c>
      <c r="D10">
        <v>40485</v>
      </c>
      <c r="E10">
        <v>390</v>
      </c>
      <c r="F10">
        <v>3134.5</v>
      </c>
      <c r="G10">
        <v>10</v>
      </c>
      <c r="H10">
        <v>206.25</v>
      </c>
      <c r="I10">
        <v>3</v>
      </c>
      <c r="J10">
        <v>25.5</v>
      </c>
    </row>
    <row r="11" spans="2:10" x14ac:dyDescent="0.35">
      <c r="B11" t="s">
        <v>366</v>
      </c>
      <c r="C11">
        <v>9185</v>
      </c>
      <c r="D11">
        <v>44965</v>
      </c>
      <c r="E11">
        <v>649</v>
      </c>
      <c r="F11">
        <v>6069.5</v>
      </c>
      <c r="G11">
        <v>23</v>
      </c>
      <c r="H11">
        <v>612</v>
      </c>
      <c r="I11">
        <v>4</v>
      </c>
      <c r="J11">
        <v>23.25</v>
      </c>
    </row>
    <row r="12" spans="2:10" x14ac:dyDescent="0.35">
      <c r="B12" t="s">
        <v>341</v>
      </c>
      <c r="C12">
        <v>8385</v>
      </c>
      <c r="D12">
        <v>41376</v>
      </c>
      <c r="E12">
        <v>554</v>
      </c>
      <c r="F12">
        <v>4990.75</v>
      </c>
      <c r="G12">
        <v>21</v>
      </c>
      <c r="H12">
        <v>395.25</v>
      </c>
      <c r="I12">
        <v>12</v>
      </c>
      <c r="J12">
        <v>72.25</v>
      </c>
    </row>
    <row r="13" spans="2:10" x14ac:dyDescent="0.35">
      <c r="B13" t="s">
        <v>342</v>
      </c>
      <c r="C13">
        <v>7167</v>
      </c>
      <c r="D13">
        <v>34688.5</v>
      </c>
      <c r="E13">
        <v>468</v>
      </c>
      <c r="F13">
        <v>4782</v>
      </c>
      <c r="G13">
        <v>15</v>
      </c>
      <c r="H13">
        <v>465.5</v>
      </c>
      <c r="I13">
        <v>17</v>
      </c>
      <c r="J13">
        <v>128.5</v>
      </c>
    </row>
    <row r="14" spans="2:10" x14ac:dyDescent="0.35">
      <c r="B14" t="s">
        <v>214</v>
      </c>
      <c r="C14">
        <v>7508</v>
      </c>
      <c r="D14">
        <v>36452.25</v>
      </c>
      <c r="E14">
        <v>364</v>
      </c>
      <c r="F14">
        <v>3759.25</v>
      </c>
      <c r="G14">
        <v>22</v>
      </c>
      <c r="H14">
        <v>521.75</v>
      </c>
      <c r="I14">
        <v>20</v>
      </c>
      <c r="J14">
        <v>237.5</v>
      </c>
    </row>
    <row r="15" spans="2:10" x14ac:dyDescent="0.35">
      <c r="B15" t="s">
        <v>313</v>
      </c>
      <c r="C15">
        <v>6873</v>
      </c>
      <c r="D15">
        <v>31221</v>
      </c>
      <c r="E15">
        <v>388</v>
      </c>
      <c r="F15">
        <v>2309</v>
      </c>
      <c r="G15">
        <v>1</v>
      </c>
      <c r="H15">
        <v>11.5</v>
      </c>
      <c r="I15">
        <v>12</v>
      </c>
      <c r="J15">
        <v>36</v>
      </c>
    </row>
    <row r="16" spans="2:10" x14ac:dyDescent="0.35">
      <c r="B16" t="s">
        <v>319</v>
      </c>
      <c r="C16">
        <v>3200</v>
      </c>
      <c r="D16">
        <v>16371</v>
      </c>
      <c r="E16">
        <v>119</v>
      </c>
      <c r="F16">
        <v>1407.5</v>
      </c>
      <c r="G16">
        <v>3</v>
      </c>
      <c r="H16">
        <v>123</v>
      </c>
      <c r="I16">
        <v>3</v>
      </c>
      <c r="J16">
        <v>24</v>
      </c>
    </row>
    <row r="17" spans="2:10" x14ac:dyDescent="0.35">
      <c r="B17" t="s">
        <v>321</v>
      </c>
      <c r="C17">
        <v>5502</v>
      </c>
      <c r="D17">
        <v>31098.25</v>
      </c>
      <c r="E17">
        <v>186</v>
      </c>
      <c r="F17">
        <v>2051.75</v>
      </c>
      <c r="G17">
        <v>5</v>
      </c>
      <c r="H17">
        <v>170</v>
      </c>
      <c r="I17">
        <v>8</v>
      </c>
      <c r="J17">
        <v>49</v>
      </c>
    </row>
    <row r="18" spans="2:10" x14ac:dyDescent="0.35">
      <c r="B18" t="s">
        <v>326</v>
      </c>
      <c r="C18">
        <v>6432</v>
      </c>
      <c r="D18">
        <v>38526.5</v>
      </c>
      <c r="E18">
        <v>280</v>
      </c>
      <c r="F18">
        <v>3385</v>
      </c>
      <c r="G18">
        <v>2</v>
      </c>
      <c r="H18">
        <v>98.25</v>
      </c>
      <c r="I18">
        <v>5</v>
      </c>
      <c r="J18">
        <v>52.5</v>
      </c>
    </row>
    <row r="19" spans="2:10" x14ac:dyDescent="0.35">
      <c r="B19" t="s">
        <v>327</v>
      </c>
      <c r="C19">
        <v>7362</v>
      </c>
      <c r="D19">
        <v>42820.25</v>
      </c>
      <c r="E19">
        <v>292</v>
      </c>
      <c r="F19">
        <v>3831</v>
      </c>
      <c r="G19">
        <v>5</v>
      </c>
      <c r="H19">
        <v>214.75</v>
      </c>
      <c r="I19">
        <v>12</v>
      </c>
      <c r="J19">
        <v>290.25</v>
      </c>
    </row>
    <row r="20" spans="2:10" x14ac:dyDescent="0.35">
      <c r="B20" t="s">
        <v>466</v>
      </c>
      <c r="C20">
        <v>8461</v>
      </c>
      <c r="D20">
        <v>47569.5</v>
      </c>
      <c r="E20">
        <v>307</v>
      </c>
      <c r="F20">
        <v>3445</v>
      </c>
      <c r="G20">
        <v>2</v>
      </c>
      <c r="H20">
        <v>146</v>
      </c>
      <c r="I20">
        <v>6</v>
      </c>
      <c r="J20">
        <v>85.5</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8C3E-81A5-4D00-9092-22ACC7141332}">
  <sheetPr>
    <tabColor theme="3" tint="0.39997558519241921"/>
  </sheetPr>
  <dimension ref="B4:J21"/>
  <sheetViews>
    <sheetView topLeftCell="E1" workbookViewId="0">
      <selection activeCell="B4" sqref="B4"/>
    </sheetView>
  </sheetViews>
  <sheetFormatPr defaultRowHeight="14.5" x14ac:dyDescent="0.35"/>
  <cols>
    <col min="2" max="2" width="12.54296875" bestFit="1" customWidth="1"/>
    <col min="3" max="3" width="13.453125" bestFit="1" customWidth="1"/>
    <col min="4" max="4" width="14.453125" bestFit="1" customWidth="1"/>
    <col min="5" max="5" width="13.453125" bestFit="1" customWidth="1"/>
    <col min="6" max="6" width="14.26953125" bestFit="1" customWidth="1"/>
    <col min="7" max="7" width="23.453125" bestFit="1" customWidth="1"/>
    <col min="8" max="8" width="24.54296875" bestFit="1" customWidth="1"/>
    <col min="9" max="9" width="22.1796875" bestFit="1" customWidth="1"/>
    <col min="10" max="10" width="23" bestFit="1" customWidth="1"/>
  </cols>
  <sheetData>
    <row r="4" spans="2:10" x14ac:dyDescent="0.35">
      <c r="B4" s="387" t="s">
        <v>350</v>
      </c>
      <c r="C4" t="s">
        <v>1222</v>
      </c>
      <c r="D4" t="s">
        <v>1223</v>
      </c>
      <c r="E4" t="s">
        <v>1224</v>
      </c>
      <c r="F4" t="s">
        <v>1225</v>
      </c>
      <c r="G4" t="s">
        <v>1226</v>
      </c>
      <c r="H4" t="s">
        <v>1227</v>
      </c>
      <c r="I4" t="s">
        <v>1228</v>
      </c>
      <c r="J4" t="s">
        <v>1229</v>
      </c>
    </row>
    <row r="5" spans="2:10" x14ac:dyDescent="0.35">
      <c r="B5" s="388" t="s">
        <v>1167</v>
      </c>
      <c r="C5">
        <v>3797</v>
      </c>
      <c r="D5">
        <v>14034</v>
      </c>
      <c r="E5">
        <v>2264</v>
      </c>
      <c r="F5">
        <v>10793</v>
      </c>
      <c r="G5">
        <v>58</v>
      </c>
      <c r="H5">
        <v>300</v>
      </c>
      <c r="I5">
        <v>20</v>
      </c>
      <c r="J5">
        <v>127</v>
      </c>
    </row>
    <row r="6" spans="2:10" x14ac:dyDescent="0.35">
      <c r="B6" s="388" t="s">
        <v>508</v>
      </c>
      <c r="C6">
        <v>4947</v>
      </c>
      <c r="D6">
        <v>29138</v>
      </c>
      <c r="E6">
        <v>1797</v>
      </c>
      <c r="F6">
        <v>11747</v>
      </c>
      <c r="G6">
        <v>55</v>
      </c>
      <c r="H6">
        <v>453</v>
      </c>
      <c r="I6">
        <v>13</v>
      </c>
      <c r="J6">
        <v>94</v>
      </c>
    </row>
    <row r="7" spans="2:10" x14ac:dyDescent="0.35">
      <c r="B7" s="388" t="s">
        <v>362</v>
      </c>
      <c r="C7">
        <v>6829</v>
      </c>
      <c r="D7">
        <v>42023</v>
      </c>
      <c r="E7">
        <v>726</v>
      </c>
      <c r="F7">
        <v>7946</v>
      </c>
      <c r="G7">
        <v>40</v>
      </c>
      <c r="H7">
        <v>267</v>
      </c>
      <c r="I7">
        <v>26</v>
      </c>
      <c r="J7">
        <v>144</v>
      </c>
    </row>
    <row r="8" spans="2:10" x14ac:dyDescent="0.35">
      <c r="B8" s="388" t="s">
        <v>363</v>
      </c>
      <c r="C8">
        <v>7230</v>
      </c>
      <c r="D8">
        <v>34986</v>
      </c>
      <c r="E8">
        <v>764</v>
      </c>
      <c r="F8">
        <v>5742</v>
      </c>
      <c r="G8">
        <v>43</v>
      </c>
      <c r="H8">
        <v>251</v>
      </c>
      <c r="I8">
        <v>22</v>
      </c>
      <c r="J8">
        <v>100</v>
      </c>
    </row>
    <row r="9" spans="2:10" x14ac:dyDescent="0.35">
      <c r="B9" s="388" t="s">
        <v>364</v>
      </c>
      <c r="C9">
        <v>0</v>
      </c>
      <c r="D9">
        <v>0</v>
      </c>
      <c r="E9">
        <v>0</v>
      </c>
      <c r="F9">
        <v>0</v>
      </c>
      <c r="G9">
        <v>0</v>
      </c>
      <c r="H9">
        <v>0</v>
      </c>
      <c r="I9">
        <v>0</v>
      </c>
      <c r="J9">
        <v>0</v>
      </c>
    </row>
    <row r="10" spans="2:10" x14ac:dyDescent="0.35">
      <c r="B10" s="388" t="s">
        <v>365</v>
      </c>
      <c r="C10">
        <v>7816</v>
      </c>
      <c r="D10">
        <v>40485</v>
      </c>
      <c r="E10">
        <v>390</v>
      </c>
      <c r="F10">
        <v>3134.5</v>
      </c>
      <c r="G10">
        <v>10</v>
      </c>
      <c r="H10">
        <v>206.25</v>
      </c>
      <c r="I10">
        <v>3</v>
      </c>
      <c r="J10">
        <v>25.5</v>
      </c>
    </row>
    <row r="11" spans="2:10" x14ac:dyDescent="0.35">
      <c r="B11" s="388" t="s">
        <v>366</v>
      </c>
      <c r="C11">
        <v>9185</v>
      </c>
      <c r="D11">
        <v>44965</v>
      </c>
      <c r="E11">
        <v>649</v>
      </c>
      <c r="F11">
        <v>6069.5</v>
      </c>
      <c r="G11">
        <v>23</v>
      </c>
      <c r="H11">
        <v>612</v>
      </c>
      <c r="I11">
        <v>4</v>
      </c>
      <c r="J11">
        <v>23.25</v>
      </c>
    </row>
    <row r="12" spans="2:10" x14ac:dyDescent="0.35">
      <c r="B12" s="388" t="s">
        <v>341</v>
      </c>
      <c r="C12">
        <v>8385</v>
      </c>
      <c r="D12">
        <v>41376</v>
      </c>
      <c r="E12">
        <v>554</v>
      </c>
      <c r="F12">
        <v>4990.75</v>
      </c>
      <c r="G12">
        <v>21</v>
      </c>
      <c r="H12">
        <v>395.25</v>
      </c>
      <c r="I12">
        <v>12</v>
      </c>
      <c r="J12">
        <v>72.25</v>
      </c>
    </row>
    <row r="13" spans="2:10" x14ac:dyDescent="0.35">
      <c r="B13" s="388" t="s">
        <v>342</v>
      </c>
      <c r="C13">
        <v>7167</v>
      </c>
      <c r="D13">
        <v>34688.5</v>
      </c>
      <c r="E13">
        <v>468</v>
      </c>
      <c r="F13">
        <v>4782</v>
      </c>
      <c r="G13">
        <v>15</v>
      </c>
      <c r="H13">
        <v>465.5</v>
      </c>
      <c r="I13">
        <v>17</v>
      </c>
      <c r="J13">
        <v>128.5</v>
      </c>
    </row>
    <row r="14" spans="2:10" x14ac:dyDescent="0.35">
      <c r="B14" s="388" t="s">
        <v>214</v>
      </c>
      <c r="C14">
        <v>7508</v>
      </c>
      <c r="D14">
        <v>36452.25</v>
      </c>
      <c r="E14">
        <v>364</v>
      </c>
      <c r="F14">
        <v>3759.25</v>
      </c>
      <c r="G14">
        <v>22</v>
      </c>
      <c r="H14">
        <v>521.75</v>
      </c>
      <c r="I14">
        <v>20</v>
      </c>
      <c r="J14">
        <v>237.5</v>
      </c>
    </row>
    <row r="15" spans="2:10" x14ac:dyDescent="0.35">
      <c r="B15" s="388" t="s">
        <v>313</v>
      </c>
      <c r="C15">
        <v>6873</v>
      </c>
      <c r="D15">
        <v>31221</v>
      </c>
      <c r="E15">
        <v>388</v>
      </c>
      <c r="F15">
        <v>2309</v>
      </c>
      <c r="G15">
        <v>1</v>
      </c>
      <c r="H15">
        <v>11.5</v>
      </c>
      <c r="I15">
        <v>12</v>
      </c>
      <c r="J15">
        <v>36</v>
      </c>
    </row>
    <row r="16" spans="2:10" x14ac:dyDescent="0.35">
      <c r="B16" s="388" t="s">
        <v>319</v>
      </c>
      <c r="C16">
        <v>3200</v>
      </c>
      <c r="D16">
        <v>16371</v>
      </c>
      <c r="E16">
        <v>119</v>
      </c>
      <c r="F16">
        <v>1407.5</v>
      </c>
      <c r="G16">
        <v>3</v>
      </c>
      <c r="H16">
        <v>123</v>
      </c>
      <c r="I16">
        <v>3</v>
      </c>
      <c r="J16">
        <v>24</v>
      </c>
    </row>
    <row r="17" spans="2:10" x14ac:dyDescent="0.35">
      <c r="B17" s="388" t="s">
        <v>321</v>
      </c>
      <c r="C17">
        <v>5502</v>
      </c>
      <c r="D17">
        <v>31098.25</v>
      </c>
      <c r="E17">
        <v>186</v>
      </c>
      <c r="F17">
        <v>2051.75</v>
      </c>
      <c r="G17">
        <v>5</v>
      </c>
      <c r="H17">
        <v>170</v>
      </c>
      <c r="I17">
        <v>8</v>
      </c>
      <c r="J17">
        <v>49</v>
      </c>
    </row>
    <row r="18" spans="2:10" x14ac:dyDescent="0.35">
      <c r="B18" s="388" t="s">
        <v>326</v>
      </c>
      <c r="C18">
        <v>6432</v>
      </c>
      <c r="D18">
        <v>38526.5</v>
      </c>
      <c r="E18">
        <v>280</v>
      </c>
      <c r="F18">
        <v>3385</v>
      </c>
      <c r="G18">
        <v>2</v>
      </c>
      <c r="H18">
        <v>98.25</v>
      </c>
      <c r="I18">
        <v>5</v>
      </c>
      <c r="J18">
        <v>52.5</v>
      </c>
    </row>
    <row r="19" spans="2:10" x14ac:dyDescent="0.35">
      <c r="B19" s="388" t="s">
        <v>327</v>
      </c>
      <c r="C19">
        <v>7362</v>
      </c>
      <c r="D19">
        <v>42820.25</v>
      </c>
      <c r="E19">
        <v>292</v>
      </c>
      <c r="F19">
        <v>3831</v>
      </c>
      <c r="G19">
        <v>5</v>
      </c>
      <c r="H19">
        <v>214.75</v>
      </c>
      <c r="I19">
        <v>12</v>
      </c>
      <c r="J19">
        <v>290.25</v>
      </c>
    </row>
    <row r="20" spans="2:10" x14ac:dyDescent="0.35">
      <c r="B20" s="388" t="s">
        <v>466</v>
      </c>
      <c r="C20">
        <v>8461</v>
      </c>
      <c r="D20">
        <v>47569.5</v>
      </c>
      <c r="E20">
        <v>307</v>
      </c>
      <c r="F20">
        <v>3445</v>
      </c>
      <c r="G20">
        <v>2</v>
      </c>
      <c r="H20">
        <v>146</v>
      </c>
      <c r="I20">
        <v>6</v>
      </c>
      <c r="J20">
        <v>85.5</v>
      </c>
    </row>
    <row r="21" spans="2:10" x14ac:dyDescent="0.35">
      <c r="B21" s="388" t="s">
        <v>357</v>
      </c>
      <c r="C21">
        <v>100694</v>
      </c>
      <c r="D21">
        <v>525754.25</v>
      </c>
      <c r="E21">
        <v>9548</v>
      </c>
      <c r="F21">
        <v>75393.25</v>
      </c>
      <c r="G21">
        <v>305</v>
      </c>
      <c r="H21">
        <v>4235.25</v>
      </c>
      <c r="I21">
        <v>183</v>
      </c>
      <c r="J21">
        <v>1489.25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011" t="s">
        <v>333</v>
      </c>
      <c r="B1" s="1011"/>
      <c r="C1" s="1011"/>
    </row>
    <row r="2" spans="1:8" ht="15.5" x14ac:dyDescent="0.35">
      <c r="A2" s="499" t="s">
        <v>201</v>
      </c>
      <c r="B2" s="441"/>
      <c r="C2" s="441"/>
    </row>
    <row r="4" spans="1:8" ht="15.5" x14ac:dyDescent="0.35">
      <c r="A4" s="1012" t="s">
        <v>452</v>
      </c>
      <c r="B4" s="1012"/>
      <c r="C4" s="1012"/>
      <c r="D4" s="1012"/>
      <c r="E4" s="1012"/>
      <c r="F4" s="1012"/>
      <c r="G4" s="1012"/>
      <c r="H4" s="1012"/>
    </row>
    <row r="5" spans="1:8" x14ac:dyDescent="0.35">
      <c r="A5" s="561" t="s">
        <v>451</v>
      </c>
    </row>
    <row r="6" spans="1:8" x14ac:dyDescent="0.35">
      <c r="A6" s="561" t="s">
        <v>46</v>
      </c>
    </row>
  </sheetData>
  <sheetProtection algorithmName="SHA-512" hashValue="krbQ/JTGyY6EW350dp66pFYvtFZH22DoAzm/OylbuPHGQtJLTzg653w8JgAbkQCLzXBkbw7ROIOejruK15AqFA==" saltValue="jdfqE6bcTjNWDBRdRitppA==" spinCount="100000" sheet="1" scenarios="1" formatCells="0" sort="0" autoFilter="0" pivotTables="0"/>
  <mergeCells count="2">
    <mergeCell ref="A1:C1"/>
    <mergeCell ref="A4:H4"/>
  </mergeCells>
  <hyperlinks>
    <hyperlink ref="A2" location="'Table of Contents'!A1" display="Back to Table of Contents" xr:uid="{00000000-0004-0000-1100-000000000000}"/>
  </hyperlink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34">
    <tabColor theme="3" tint="0.39997558519241921"/>
    <pageSetUpPr fitToPage="1"/>
  </sheetPr>
  <dimension ref="A1:S63"/>
  <sheetViews>
    <sheetView showGridLines="0" zoomScaleNormal="100" workbookViewId="0">
      <pane ySplit="2" topLeftCell="A3" activePane="bottomLeft" state="frozen"/>
      <selection pane="bottomLeft"/>
    </sheetView>
  </sheetViews>
  <sheetFormatPr defaultRowHeight="14.5" x14ac:dyDescent="0.35"/>
  <cols>
    <col min="1" max="1" width="22.54296875" customWidth="1"/>
    <col min="2" max="2" width="9.1796875" bestFit="1" customWidth="1"/>
    <col min="3" max="3" width="10.26953125" bestFit="1" customWidth="1"/>
    <col min="4" max="4" width="9" bestFit="1" customWidth="1"/>
    <col min="5" max="5" width="10.1796875" bestFit="1" customWidth="1"/>
    <col min="6" max="6" width="8.453125" bestFit="1" customWidth="1"/>
    <col min="7" max="7" width="9.1796875" bestFit="1" customWidth="1"/>
    <col min="8" max="8" width="18.81640625" bestFit="1" customWidth="1"/>
    <col min="9" max="9" width="20.1796875" bestFit="1" customWidth="1"/>
    <col min="10" max="10" width="17.453125" bestFit="1" customWidth="1"/>
    <col min="11" max="11" width="18.54296875" bestFit="1" customWidth="1"/>
    <col min="12" max="12" width="12.26953125" customWidth="1"/>
    <col min="13" max="13" width="10.81640625" customWidth="1"/>
    <col min="14" max="14" width="14.7265625" customWidth="1"/>
    <col min="15" max="16" width="13.81640625" customWidth="1"/>
    <col min="17" max="17" width="12.81640625" customWidth="1"/>
    <col min="18" max="18" width="13" customWidth="1"/>
  </cols>
  <sheetData>
    <row r="1" spans="1:17" ht="15.5" x14ac:dyDescent="0.35">
      <c r="A1" s="514" t="s">
        <v>1127</v>
      </c>
    </row>
    <row r="2" spans="1:17" x14ac:dyDescent="0.35">
      <c r="A2" s="499" t="s">
        <v>201</v>
      </c>
    </row>
    <row r="3" spans="1:17" x14ac:dyDescent="0.35">
      <c r="A3" s="25"/>
    </row>
    <row r="4" spans="1:17" ht="15.75" customHeight="1" x14ac:dyDescent="0.35">
      <c r="A4" s="1039" t="s">
        <v>1239</v>
      </c>
      <c r="B4" s="1039"/>
      <c r="C4" s="1039"/>
      <c r="D4" s="1039"/>
      <c r="E4" s="1039"/>
      <c r="F4" s="1039"/>
      <c r="G4" s="1039"/>
      <c r="H4" s="1039"/>
      <c r="I4" s="1039"/>
      <c r="J4" s="1039"/>
      <c r="K4" s="1039"/>
      <c r="L4" s="1039"/>
      <c r="M4" s="1039"/>
      <c r="N4" s="1039"/>
      <c r="O4" s="1039"/>
      <c r="P4" s="1039"/>
      <c r="Q4" s="1039"/>
    </row>
    <row r="5" spans="1:17" ht="15.5" x14ac:dyDescent="0.35">
      <c r="A5" t="s">
        <v>202</v>
      </c>
      <c r="B5" t="s">
        <v>188</v>
      </c>
      <c r="C5" s="500"/>
      <c r="D5" s="500"/>
      <c r="E5" s="500"/>
      <c r="F5" s="500"/>
      <c r="G5" s="500"/>
      <c r="H5" s="500"/>
      <c r="I5" s="500"/>
      <c r="J5" s="500"/>
      <c r="K5" s="500"/>
      <c r="L5" s="500"/>
      <c r="M5" s="500"/>
    </row>
    <row r="6" spans="1:17" ht="15.5" x14ac:dyDescent="0.35">
      <c r="A6" t="s">
        <v>203</v>
      </c>
      <c r="B6" t="s">
        <v>204</v>
      </c>
      <c r="C6" s="500"/>
      <c r="D6" s="500"/>
      <c r="E6" s="500"/>
      <c r="F6" s="500"/>
      <c r="G6" s="500"/>
      <c r="H6" s="500"/>
      <c r="I6" s="500"/>
      <c r="J6" s="500"/>
      <c r="K6" s="500"/>
      <c r="L6" s="500"/>
      <c r="M6" s="500"/>
    </row>
    <row r="7" spans="1:17" ht="15.5" x14ac:dyDescent="0.35">
      <c r="A7" t="s">
        <v>205</v>
      </c>
      <c r="B7" t="s">
        <v>206</v>
      </c>
      <c r="C7" s="500"/>
      <c r="D7" s="500"/>
      <c r="E7" s="500"/>
      <c r="F7" s="500"/>
      <c r="G7" s="500"/>
      <c r="H7" s="500"/>
      <c r="I7" s="500"/>
      <c r="J7" s="500"/>
      <c r="K7" s="500"/>
      <c r="L7" s="500"/>
      <c r="M7" s="500"/>
      <c r="N7" s="25"/>
      <c r="O7" s="25"/>
      <c r="P7" s="25"/>
      <c r="Q7" s="25"/>
    </row>
    <row r="9" spans="1:17" ht="37.5" customHeight="1" x14ac:dyDescent="0.35">
      <c r="B9" s="1061" t="s">
        <v>1240</v>
      </c>
      <c r="C9" s="1061"/>
      <c r="D9" s="1061" t="s">
        <v>1241</v>
      </c>
      <c r="E9" s="1061"/>
      <c r="F9" s="1061" t="s">
        <v>1193</v>
      </c>
      <c r="G9" s="1061"/>
      <c r="H9" s="1061" t="s">
        <v>1242</v>
      </c>
      <c r="I9" s="1061"/>
      <c r="J9" s="1061" t="s">
        <v>1243</v>
      </c>
      <c r="K9" s="1061"/>
      <c r="M9" s="547"/>
      <c r="N9" s="1062" t="s">
        <v>1244</v>
      </c>
      <c r="O9" s="1062"/>
      <c r="P9" s="1062"/>
    </row>
    <row r="10" spans="1:17" ht="39.5" x14ac:dyDescent="0.35">
      <c r="A10" s="965" t="s">
        <v>207</v>
      </c>
      <c r="B10" s="965" t="s">
        <v>346</v>
      </c>
      <c r="C10" s="965" t="s">
        <v>1245</v>
      </c>
      <c r="D10" s="965" t="s">
        <v>346</v>
      </c>
      <c r="E10" s="965" t="s">
        <v>1245</v>
      </c>
      <c r="F10" s="965" t="s">
        <v>346</v>
      </c>
      <c r="G10" s="965" t="s">
        <v>1245</v>
      </c>
      <c r="H10" s="965" t="s">
        <v>346</v>
      </c>
      <c r="I10" s="965" t="s">
        <v>1245</v>
      </c>
      <c r="J10" s="965" t="s">
        <v>346</v>
      </c>
      <c r="K10" s="965" t="s">
        <v>1245</v>
      </c>
      <c r="L10" s="815" t="s">
        <v>1246</v>
      </c>
      <c r="M10" s="542" t="s">
        <v>1240</v>
      </c>
      <c r="N10" s="321" t="s">
        <v>1241</v>
      </c>
      <c r="O10" s="321" t="s">
        <v>1247</v>
      </c>
      <c r="P10" s="801" t="s">
        <v>1248</v>
      </c>
    </row>
    <row r="11" spans="1:17" x14ac:dyDescent="0.35">
      <c r="A11" s="967" t="s">
        <v>1167</v>
      </c>
      <c r="B11" s="369">
        <f>GETPIVOTDATA("Sum of A_Tally",AuditsOutcomePivot!$B$4,"FisYr",A11)</f>
        <v>3797</v>
      </c>
      <c r="C11" s="369">
        <f>GETPIVOTDATA("Sum of A_Hours",AuditsOutcomePivot!$B$4,"FisYr",A11)</f>
        <v>14034</v>
      </c>
      <c r="D11" s="369">
        <f>GETPIVOTDATA("Sum of B_Tally",AuditsOutcomePivot!$B$4,"FisYr",A11)</f>
        <v>2264</v>
      </c>
      <c r="E11" s="369">
        <f>GETPIVOTDATA("Sum of B_Hours",AuditsOutcomePivot!$B$4,"FisYr",A11)</f>
        <v>10793</v>
      </c>
      <c r="F11" s="369">
        <f>B11+D11</f>
        <v>6061</v>
      </c>
      <c r="G11" s="369">
        <f>C11+E11</f>
        <v>24827</v>
      </c>
      <c r="H11" s="369">
        <f>GETPIVOTDATA("Sum of Enforcement_Tally",AuditsOutcomePivot!$B$4,"FisYr",A11)</f>
        <v>58</v>
      </c>
      <c r="I11" s="369">
        <f>GETPIVOTDATA("Sum of Enforcement_Hours",AuditsOutcomePivot!$B$4,"FisYr",A11)</f>
        <v>300</v>
      </c>
      <c r="J11" s="369">
        <f>GETPIVOTDATA("Sum of Prohibition_Tally",AuditsOutcomePivot!$B$4,"FisYr",A11)</f>
        <v>20</v>
      </c>
      <c r="K11" s="973">
        <f>GETPIVOTDATA("Sum of Prohibition_Hours",AuditsOutcomePivot!$B$4,"FisYr",A11)</f>
        <v>127</v>
      </c>
      <c r="L11" s="816">
        <f>B11/F11*100</f>
        <v>62.646427982181166</v>
      </c>
      <c r="M11" s="609">
        <f>C11/B11</f>
        <v>3.6960758493547536</v>
      </c>
      <c r="N11" s="814">
        <f>E11/D11</f>
        <v>4.7672261484098941</v>
      </c>
      <c r="O11" s="814">
        <f>I11/H11</f>
        <v>5.1724137931034484</v>
      </c>
      <c r="P11" s="802">
        <f>K11/J11</f>
        <v>6.35</v>
      </c>
    </row>
    <row r="12" spans="1:17" x14ac:dyDescent="0.35">
      <c r="A12" s="967" t="s">
        <v>508</v>
      </c>
      <c r="B12" s="369">
        <f>GETPIVOTDATA("Sum of A_Tally",AuditsOutcomePivot!$B$4,"FisYr",A12)</f>
        <v>4947</v>
      </c>
      <c r="C12" s="369">
        <f>GETPIVOTDATA("Sum of A_Hours",AuditsOutcomePivot!$B$4,"FisYr",A12)</f>
        <v>29138</v>
      </c>
      <c r="D12" s="369">
        <f>GETPIVOTDATA("Sum of B_Tally",AuditsOutcomePivot!$B$4,"FisYr",A12)</f>
        <v>1797</v>
      </c>
      <c r="E12" s="369">
        <f>GETPIVOTDATA("Sum of B_Hours",AuditsOutcomePivot!$B$4,"FisYr",A12)</f>
        <v>11747</v>
      </c>
      <c r="F12" s="369">
        <f t="shared" ref="F12:F26" si="0">B12+D12</f>
        <v>6744</v>
      </c>
      <c r="G12" s="369">
        <f t="shared" ref="G12:G26" si="1">C12+E12</f>
        <v>40885</v>
      </c>
      <c r="H12" s="369">
        <f>GETPIVOTDATA("Sum of Enforcement_Tally",AuditsOutcomePivot!$B$4,"FisYr",A12)</f>
        <v>55</v>
      </c>
      <c r="I12" s="369">
        <f>GETPIVOTDATA("Sum of Enforcement_Hours",AuditsOutcomePivot!$B$4,"FisYr",A12)</f>
        <v>453</v>
      </c>
      <c r="J12" s="369">
        <f>GETPIVOTDATA("Sum of Prohibition_Tally",AuditsOutcomePivot!$B$4,"FisYr",A12)</f>
        <v>13</v>
      </c>
      <c r="K12" s="974">
        <f>GETPIVOTDATA("Sum of Prohibition_Hours",AuditsOutcomePivot!$B$4,"FisYr",A12)</f>
        <v>94</v>
      </c>
      <c r="L12" s="816">
        <f t="shared" ref="L12:L26" si="2">B12/F12*100</f>
        <v>73.354092526690394</v>
      </c>
      <c r="M12" s="609">
        <f t="shared" ref="M12:M26" si="3">C12/B12</f>
        <v>5.8900343642611688</v>
      </c>
      <c r="N12" s="814">
        <f t="shared" ref="N12:N26" si="4">E12/D12</f>
        <v>6.5370061213132997</v>
      </c>
      <c r="O12" s="814">
        <f t="shared" ref="O12:O26" si="5">I12/H12</f>
        <v>8.2363636363636363</v>
      </c>
      <c r="P12" s="803">
        <f t="shared" ref="P12:P26" si="6">K12/J12</f>
        <v>7.2307692307692308</v>
      </c>
    </row>
    <row r="13" spans="1:17" x14ac:dyDescent="0.35">
      <c r="A13" s="967" t="s">
        <v>362</v>
      </c>
      <c r="B13" s="369">
        <f>GETPIVOTDATA("Sum of A_Tally",AuditsOutcomePivot!$B$4,"FisYr",A13)</f>
        <v>6829</v>
      </c>
      <c r="C13" s="369">
        <f>GETPIVOTDATA("Sum of A_Hours",AuditsOutcomePivot!$B$4,"FisYr",A13)</f>
        <v>42023</v>
      </c>
      <c r="D13" s="369">
        <f>GETPIVOTDATA("Sum of B_Tally",AuditsOutcomePivot!$B$4,"FisYr",A13)</f>
        <v>726</v>
      </c>
      <c r="E13" s="369">
        <f>GETPIVOTDATA("Sum of B_Hours",AuditsOutcomePivot!$B$4,"FisYr",A13)</f>
        <v>7946</v>
      </c>
      <c r="F13" s="369">
        <f t="shared" si="0"/>
        <v>7555</v>
      </c>
      <c r="G13" s="369">
        <f t="shared" si="1"/>
        <v>49969</v>
      </c>
      <c r="H13" s="369">
        <f>GETPIVOTDATA("Sum of Enforcement_Tally",AuditsOutcomePivot!$B$4,"FisYr",A13)</f>
        <v>40</v>
      </c>
      <c r="I13" s="369">
        <f>GETPIVOTDATA("Sum of Enforcement_Hours",AuditsOutcomePivot!$B$4,"FisYr",A13)</f>
        <v>267</v>
      </c>
      <c r="J13" s="369">
        <f>GETPIVOTDATA("Sum of Prohibition_Tally",AuditsOutcomePivot!$B$4,"FisYr",A13)</f>
        <v>26</v>
      </c>
      <c r="K13" s="974">
        <f>GETPIVOTDATA("Sum of Prohibition_Hours",AuditsOutcomePivot!$B$4,"FisYr",A13)</f>
        <v>144</v>
      </c>
      <c r="L13" s="816">
        <f t="shared" si="2"/>
        <v>90.390469887491733</v>
      </c>
      <c r="M13" s="609">
        <f t="shared" si="3"/>
        <v>6.1536096060916678</v>
      </c>
      <c r="N13" s="814">
        <f t="shared" si="4"/>
        <v>10.944903581267218</v>
      </c>
      <c r="O13" s="814">
        <f t="shared" si="5"/>
        <v>6.6749999999999998</v>
      </c>
      <c r="P13" s="803">
        <f t="shared" si="6"/>
        <v>5.5384615384615383</v>
      </c>
    </row>
    <row r="14" spans="1:17" x14ac:dyDescent="0.35">
      <c r="A14" s="813" t="s">
        <v>363</v>
      </c>
      <c r="B14" s="369">
        <f>GETPIVOTDATA("Sum of A_Tally",AuditsOutcomePivot!$B$4,"FisYr",A14)</f>
        <v>7230</v>
      </c>
      <c r="C14" s="369">
        <f>GETPIVOTDATA("Sum of A_Hours",AuditsOutcomePivot!$B$4,"FisYr",A14)</f>
        <v>34986</v>
      </c>
      <c r="D14" s="369">
        <f>GETPIVOTDATA("Sum of B_Tally",AuditsOutcomePivot!$B$4,"FisYr",A14)</f>
        <v>764</v>
      </c>
      <c r="E14" s="369">
        <f>GETPIVOTDATA("Sum of B_Hours",AuditsOutcomePivot!$B$4,"FisYr",A14)</f>
        <v>5742</v>
      </c>
      <c r="F14" s="369">
        <f t="shared" si="0"/>
        <v>7994</v>
      </c>
      <c r="G14" s="369">
        <f t="shared" si="1"/>
        <v>40728</v>
      </c>
      <c r="H14" s="369">
        <f>GETPIVOTDATA("Sum of Enforcement_Tally",AuditsOutcomePivot!$B$4,"FisYr",A14)</f>
        <v>43</v>
      </c>
      <c r="I14" s="369">
        <f>GETPIVOTDATA("Sum of Enforcement_Hours",AuditsOutcomePivot!$B$4,"FisYr",A14)</f>
        <v>251</v>
      </c>
      <c r="J14" s="369">
        <f>GETPIVOTDATA("Sum of Prohibition_Tally",AuditsOutcomePivot!$B$4,"FisYr",A14)</f>
        <v>22</v>
      </c>
      <c r="K14" s="974">
        <f>GETPIVOTDATA("Sum of Prohibition_Hours",AuditsOutcomePivot!$B$4,"FisYr",A14)</f>
        <v>100</v>
      </c>
      <c r="L14" s="816">
        <f t="shared" si="2"/>
        <v>90.442832124093059</v>
      </c>
      <c r="M14" s="609">
        <f t="shared" si="3"/>
        <v>4.839004149377593</v>
      </c>
      <c r="N14" s="814">
        <f t="shared" si="4"/>
        <v>7.5157068062827221</v>
      </c>
      <c r="O14" s="814">
        <f t="shared" si="5"/>
        <v>5.8372093023255811</v>
      </c>
      <c r="P14" s="803">
        <f t="shared" si="6"/>
        <v>4.5454545454545459</v>
      </c>
    </row>
    <row r="15" spans="1:17" x14ac:dyDescent="0.35">
      <c r="A15" s="967" t="s">
        <v>364</v>
      </c>
      <c r="B15" s="369">
        <f>GETPIVOTDATA("Sum of A_Tally",AuditsOutcomePivot!$B$4,"FisYr",A15)</f>
        <v>0</v>
      </c>
      <c r="C15" s="369">
        <f>GETPIVOTDATA("Sum of A_Hours",AuditsOutcomePivot!$B$4,"FisYr",A15)</f>
        <v>0</v>
      </c>
      <c r="D15" s="369">
        <f>GETPIVOTDATA("Sum of B_Tally",AuditsOutcomePivot!$B$4,"FisYr",A15)</f>
        <v>0</v>
      </c>
      <c r="E15" s="369">
        <f>GETPIVOTDATA("Sum of B_Hours",AuditsOutcomePivot!$B$4,"FisYr",A15)</f>
        <v>0</v>
      </c>
      <c r="F15" s="369">
        <f t="shared" si="0"/>
        <v>0</v>
      </c>
      <c r="G15" s="369">
        <f t="shared" si="1"/>
        <v>0</v>
      </c>
      <c r="H15" s="369">
        <f>GETPIVOTDATA("Sum of Enforcement_Tally",AuditsOutcomePivot!$B$4,"FisYr",A15)</f>
        <v>0</v>
      </c>
      <c r="I15" s="369">
        <f>GETPIVOTDATA("Sum of Enforcement_Hours",AuditsOutcomePivot!$B$4,"FisYr",A15)</f>
        <v>0</v>
      </c>
      <c r="J15" s="369">
        <f>GETPIVOTDATA("Sum of Prohibition_Tally",AuditsOutcomePivot!$B$4,"FisYr",A15)</f>
        <v>0</v>
      </c>
      <c r="K15" s="974">
        <f>GETPIVOTDATA("Sum of Prohibition_Hours",AuditsOutcomePivot!$B$4,"FisYr",A15)</f>
        <v>0</v>
      </c>
      <c r="L15" s="816" t="s">
        <v>624</v>
      </c>
      <c r="M15" s="969" t="s">
        <v>624</v>
      </c>
      <c r="N15" s="970" t="s">
        <v>624</v>
      </c>
      <c r="O15" s="970" t="s">
        <v>624</v>
      </c>
      <c r="P15" s="971" t="s">
        <v>624</v>
      </c>
    </row>
    <row r="16" spans="1:17" x14ac:dyDescent="0.35">
      <c r="A16" s="967" t="s">
        <v>365</v>
      </c>
      <c r="B16" s="369">
        <f>GETPIVOTDATA("Sum of A_Tally",AuditsOutcomePivot!$B$4,"FisYr",A16)</f>
        <v>7816</v>
      </c>
      <c r="C16" s="369">
        <f>GETPIVOTDATA("Sum of A_Hours",AuditsOutcomePivot!$B$4,"FisYr",A16)</f>
        <v>40485</v>
      </c>
      <c r="D16" s="369">
        <f>GETPIVOTDATA("Sum of B_Tally",AuditsOutcomePivot!$B$4,"FisYr",A16)</f>
        <v>390</v>
      </c>
      <c r="E16" s="369">
        <f>GETPIVOTDATA("Sum of B_Hours",AuditsOutcomePivot!$B$4,"FisYr",A16)</f>
        <v>3134.5</v>
      </c>
      <c r="F16" s="369">
        <f t="shared" si="0"/>
        <v>8206</v>
      </c>
      <c r="G16" s="369">
        <f t="shared" si="1"/>
        <v>43619.5</v>
      </c>
      <c r="H16" s="369">
        <f>GETPIVOTDATA("Sum of Enforcement_Tally",AuditsOutcomePivot!$B$4,"FisYr",A16)</f>
        <v>10</v>
      </c>
      <c r="I16" s="369">
        <f>GETPIVOTDATA("Sum of Enforcement_Hours",AuditsOutcomePivot!$B$4,"FisYr",A16)</f>
        <v>206.25</v>
      </c>
      <c r="J16" s="369">
        <f>GETPIVOTDATA("Sum of Prohibition_Tally",AuditsOutcomePivot!$B$4,"FisYr",A16)</f>
        <v>3</v>
      </c>
      <c r="K16" s="974">
        <f>GETPIVOTDATA("Sum of Prohibition_Hours",AuditsOutcomePivot!$B$4,"FisYr",A16)</f>
        <v>25.5</v>
      </c>
      <c r="L16" s="816">
        <f t="shared" si="2"/>
        <v>95.247379965878622</v>
      </c>
      <c r="M16" s="609">
        <f t="shared" si="3"/>
        <v>5.1797594677584442</v>
      </c>
      <c r="N16" s="814">
        <f t="shared" si="4"/>
        <v>8.0371794871794879</v>
      </c>
      <c r="O16" s="814">
        <f t="shared" si="5"/>
        <v>20.625</v>
      </c>
      <c r="P16" s="803">
        <f t="shared" si="6"/>
        <v>8.5</v>
      </c>
    </row>
    <row r="17" spans="1:18" x14ac:dyDescent="0.35">
      <c r="A17" s="967" t="s">
        <v>366</v>
      </c>
      <c r="B17" s="369">
        <f>GETPIVOTDATA("Sum of A_Tally",AuditsOutcomePivot!$B$4,"FisYr",A17)</f>
        <v>9185</v>
      </c>
      <c r="C17" s="369">
        <f>GETPIVOTDATA("Sum of A_Hours",AuditsOutcomePivot!$B$4,"FisYr",A17)</f>
        <v>44965</v>
      </c>
      <c r="D17" s="369">
        <f>GETPIVOTDATA("Sum of B_Tally",AuditsOutcomePivot!$B$4,"FisYr",A17)</f>
        <v>649</v>
      </c>
      <c r="E17" s="369">
        <f>GETPIVOTDATA("Sum of B_Hours",AuditsOutcomePivot!$B$4,"FisYr",A17)</f>
        <v>6069.5</v>
      </c>
      <c r="F17" s="369">
        <f t="shared" si="0"/>
        <v>9834</v>
      </c>
      <c r="G17" s="369">
        <f t="shared" si="1"/>
        <v>51034.5</v>
      </c>
      <c r="H17" s="369">
        <f>GETPIVOTDATA("Sum of Enforcement_Tally",AuditsOutcomePivot!$B$4,"FisYr",A17)</f>
        <v>23</v>
      </c>
      <c r="I17" s="369">
        <f>GETPIVOTDATA("Sum of Enforcement_Hours",AuditsOutcomePivot!$B$4,"FisYr",A17)</f>
        <v>612</v>
      </c>
      <c r="J17" s="369">
        <f>GETPIVOTDATA("Sum of Prohibition_Tally",AuditsOutcomePivot!$B$4,"FisYr",A17)</f>
        <v>4</v>
      </c>
      <c r="K17" s="974">
        <f>GETPIVOTDATA("Sum of Prohibition_Hours",AuditsOutcomePivot!$B$4,"FisYr",A17)</f>
        <v>23.25</v>
      </c>
      <c r="L17" s="816">
        <f t="shared" si="2"/>
        <v>93.400447427293059</v>
      </c>
      <c r="M17" s="609">
        <f t="shared" si="3"/>
        <v>4.895481763745237</v>
      </c>
      <c r="N17" s="814">
        <f t="shared" si="4"/>
        <v>9.352080123266564</v>
      </c>
      <c r="O17" s="814">
        <f t="shared" si="5"/>
        <v>26.608695652173914</v>
      </c>
      <c r="P17" s="803">
        <f t="shared" si="6"/>
        <v>5.8125</v>
      </c>
    </row>
    <row r="18" spans="1:18" x14ac:dyDescent="0.35">
      <c r="A18" s="967" t="s">
        <v>341</v>
      </c>
      <c r="B18" s="369">
        <f>GETPIVOTDATA("Sum of A_Tally",AuditsOutcomePivot!$B$4,"FisYr",A18)</f>
        <v>8385</v>
      </c>
      <c r="C18" s="369">
        <f>GETPIVOTDATA("Sum of A_Hours",AuditsOutcomePivot!$B$4,"FisYr",A18)</f>
        <v>41376</v>
      </c>
      <c r="D18" s="369">
        <f>GETPIVOTDATA("Sum of B_Tally",AuditsOutcomePivot!$B$4,"FisYr",A18)</f>
        <v>554</v>
      </c>
      <c r="E18" s="369">
        <f>GETPIVOTDATA("Sum of B_Hours",AuditsOutcomePivot!$B$4,"FisYr",A18)</f>
        <v>4990.75</v>
      </c>
      <c r="F18" s="369">
        <f t="shared" si="0"/>
        <v>8939</v>
      </c>
      <c r="G18" s="369">
        <f t="shared" si="1"/>
        <v>46366.75</v>
      </c>
      <c r="H18" s="369">
        <f>GETPIVOTDATA("Sum of Enforcement_Tally",AuditsOutcomePivot!$B$4,"FisYr",A18)</f>
        <v>21</v>
      </c>
      <c r="I18" s="369">
        <f>GETPIVOTDATA("Sum of Enforcement_Hours",AuditsOutcomePivot!$B$4,"FisYr",A18)</f>
        <v>395.25</v>
      </c>
      <c r="J18" s="369">
        <f>GETPIVOTDATA("Sum of Prohibition_Tally",AuditsOutcomePivot!$B$4,"FisYr",A18)</f>
        <v>12</v>
      </c>
      <c r="K18" s="974">
        <f>GETPIVOTDATA("Sum of Prohibition_Hours",AuditsOutcomePivot!$B$4,"FisYr",A18)</f>
        <v>72.25</v>
      </c>
      <c r="L18" s="816">
        <f t="shared" si="2"/>
        <v>93.802438751538205</v>
      </c>
      <c r="M18" s="609">
        <f t="shared" si="3"/>
        <v>4.9345259391771021</v>
      </c>
      <c r="N18" s="814">
        <f t="shared" si="4"/>
        <v>9.0085740072202167</v>
      </c>
      <c r="O18" s="814">
        <f t="shared" si="5"/>
        <v>18.821428571428573</v>
      </c>
      <c r="P18" s="803">
        <f t="shared" si="6"/>
        <v>6.020833333333333</v>
      </c>
    </row>
    <row r="19" spans="1:18" x14ac:dyDescent="0.35">
      <c r="A19" s="967" t="s">
        <v>342</v>
      </c>
      <c r="B19" s="369">
        <f>GETPIVOTDATA("Sum of A_Tally",AuditsOutcomePivot!$B$4,"FisYr",A19)</f>
        <v>7167</v>
      </c>
      <c r="C19" s="369">
        <f>GETPIVOTDATA("Sum of A_Hours",AuditsOutcomePivot!$B$4,"FisYr",A19)</f>
        <v>34688.5</v>
      </c>
      <c r="D19" s="369">
        <f>GETPIVOTDATA("Sum of B_Tally",AuditsOutcomePivot!$B$4,"FisYr",A19)</f>
        <v>468</v>
      </c>
      <c r="E19" s="369">
        <f>GETPIVOTDATA("Sum of B_Hours",AuditsOutcomePivot!$B$4,"FisYr",A19)</f>
        <v>4782</v>
      </c>
      <c r="F19" s="369">
        <f t="shared" si="0"/>
        <v>7635</v>
      </c>
      <c r="G19" s="369">
        <f t="shared" si="1"/>
        <v>39470.5</v>
      </c>
      <c r="H19" s="369">
        <f>GETPIVOTDATA("Sum of Enforcement_Tally",AuditsOutcomePivot!$B$4,"FisYr",A19)</f>
        <v>15</v>
      </c>
      <c r="I19" s="369">
        <f>GETPIVOTDATA("Sum of Enforcement_Hours",AuditsOutcomePivot!$B$4,"FisYr",A19)</f>
        <v>465.5</v>
      </c>
      <c r="J19" s="369">
        <f>GETPIVOTDATA("Sum of Prohibition_Tally",AuditsOutcomePivot!$B$4,"FisYr",A19)</f>
        <v>17</v>
      </c>
      <c r="K19" s="974">
        <f>GETPIVOTDATA("Sum of Prohibition_Hours",AuditsOutcomePivot!$B$4,"FisYr",A19)</f>
        <v>128.5</v>
      </c>
      <c r="L19" s="816">
        <f t="shared" si="2"/>
        <v>93.870333988212181</v>
      </c>
      <c r="M19" s="609">
        <f t="shared" si="3"/>
        <v>4.8400306962466866</v>
      </c>
      <c r="N19" s="814">
        <f t="shared" si="4"/>
        <v>10.217948717948717</v>
      </c>
      <c r="O19" s="814">
        <f t="shared" si="5"/>
        <v>31.033333333333335</v>
      </c>
      <c r="P19" s="803">
        <f t="shared" si="6"/>
        <v>7.5588235294117645</v>
      </c>
    </row>
    <row r="20" spans="1:18" x14ac:dyDescent="0.35">
      <c r="A20" s="967" t="s">
        <v>214</v>
      </c>
      <c r="B20" s="369">
        <f>GETPIVOTDATA("Sum of A_Tally",AuditsOutcomePivot!$B$4,"FisYr",A20)</f>
        <v>7508</v>
      </c>
      <c r="C20" s="369">
        <f>GETPIVOTDATA("Sum of A_Hours",AuditsOutcomePivot!$B$4,"FisYr",A20)</f>
        <v>36452.25</v>
      </c>
      <c r="D20" s="369">
        <f>GETPIVOTDATA("Sum of B_Tally",AuditsOutcomePivot!$B$4,"FisYr",A20)</f>
        <v>364</v>
      </c>
      <c r="E20" s="369">
        <f>GETPIVOTDATA("Sum of B_Hours",AuditsOutcomePivot!$B$4,"FisYr",A20)</f>
        <v>3759.25</v>
      </c>
      <c r="F20" s="369">
        <f t="shared" si="0"/>
        <v>7872</v>
      </c>
      <c r="G20" s="369">
        <f t="shared" si="1"/>
        <v>40211.5</v>
      </c>
      <c r="H20" s="369">
        <f>GETPIVOTDATA("Sum of Enforcement_Tally",AuditsOutcomePivot!$B$4,"FisYr",A20)</f>
        <v>22</v>
      </c>
      <c r="I20" s="369">
        <f>GETPIVOTDATA("Sum of Enforcement_Hours",AuditsOutcomePivot!$B$4,"FisYr",A20)</f>
        <v>521.75</v>
      </c>
      <c r="J20" s="369">
        <f>GETPIVOTDATA("Sum of Prohibition_Tally",AuditsOutcomePivot!$B$4,"FisYr",A20)</f>
        <v>20</v>
      </c>
      <c r="K20" s="974">
        <f>GETPIVOTDATA("Sum of Prohibition_Hours",AuditsOutcomePivot!$B$4,"FisYr",A20)</f>
        <v>237.5</v>
      </c>
      <c r="L20" s="816">
        <f t="shared" si="2"/>
        <v>95.376016260162601</v>
      </c>
      <c r="M20" s="609">
        <f t="shared" si="3"/>
        <v>4.8551212040490146</v>
      </c>
      <c r="N20" s="814">
        <f t="shared" si="4"/>
        <v>10.327609890109891</v>
      </c>
      <c r="O20" s="814">
        <f t="shared" si="5"/>
        <v>23.71590909090909</v>
      </c>
      <c r="P20" s="803">
        <f t="shared" si="6"/>
        <v>11.875</v>
      </c>
    </row>
    <row r="21" spans="1:18" x14ac:dyDescent="0.35">
      <c r="A21" s="967" t="s">
        <v>313</v>
      </c>
      <c r="B21" s="369">
        <f>GETPIVOTDATA("Sum of A_Tally",AuditsOutcomePivot!$B$4,"FisYr",A21)</f>
        <v>6873</v>
      </c>
      <c r="C21" s="369">
        <f>GETPIVOTDATA("Sum of A_Hours",AuditsOutcomePivot!$B$4,"FisYr",A21)</f>
        <v>31221</v>
      </c>
      <c r="D21" s="369">
        <f>GETPIVOTDATA("Sum of B_Tally",AuditsOutcomePivot!$B$4,"FisYr",A21)</f>
        <v>388</v>
      </c>
      <c r="E21" s="369">
        <f>GETPIVOTDATA("Sum of B_Hours",AuditsOutcomePivot!$B$4,"FisYr",A21)</f>
        <v>2309</v>
      </c>
      <c r="F21" s="369">
        <f t="shared" si="0"/>
        <v>7261</v>
      </c>
      <c r="G21" s="369">
        <f t="shared" si="1"/>
        <v>33530</v>
      </c>
      <c r="H21" s="369">
        <f>GETPIVOTDATA("Sum of Enforcement_Tally",AuditsOutcomePivot!$B$4,"FisYr",A21)</f>
        <v>1</v>
      </c>
      <c r="I21" s="369">
        <f>GETPIVOTDATA("Sum of Enforcement_Hours",AuditsOutcomePivot!$B$4,"FisYr",A21)</f>
        <v>11.5</v>
      </c>
      <c r="J21" s="369">
        <f>GETPIVOTDATA("Sum of Prohibition_Tally",AuditsOutcomePivot!$B$4,"FisYr",A21)</f>
        <v>12</v>
      </c>
      <c r="K21" s="974">
        <f>GETPIVOTDATA("Sum of Prohibition_Hours",AuditsOutcomePivot!$B$4,"FisYr",A21)</f>
        <v>36</v>
      </c>
      <c r="L21" s="816">
        <f t="shared" si="2"/>
        <v>94.656383418261953</v>
      </c>
      <c r="M21" s="609">
        <f t="shared" si="3"/>
        <v>4.542557835006547</v>
      </c>
      <c r="N21" s="814">
        <f t="shared" si="4"/>
        <v>5.9510309278350517</v>
      </c>
      <c r="O21" s="814">
        <f t="shared" si="5"/>
        <v>11.5</v>
      </c>
      <c r="P21" s="803">
        <f t="shared" si="6"/>
        <v>3</v>
      </c>
    </row>
    <row r="22" spans="1:18" x14ac:dyDescent="0.35">
      <c r="A22" s="967" t="s">
        <v>319</v>
      </c>
      <c r="B22" s="369">
        <f>GETPIVOTDATA("Sum of A_Tally",AuditsOutcomePivot!$B$4,"FisYr",A22)</f>
        <v>3200</v>
      </c>
      <c r="C22" s="369">
        <f>GETPIVOTDATA("Sum of A_Hours",AuditsOutcomePivot!$B$4,"FisYr",A22)</f>
        <v>16371</v>
      </c>
      <c r="D22" s="369">
        <f>GETPIVOTDATA("Sum of B_Tally",AuditsOutcomePivot!$B$4,"FisYr",A22)</f>
        <v>119</v>
      </c>
      <c r="E22" s="369">
        <f>GETPIVOTDATA("Sum of B_Hours",AuditsOutcomePivot!$B$4,"FisYr",A22)</f>
        <v>1407.5</v>
      </c>
      <c r="F22" s="369">
        <f t="shared" si="0"/>
        <v>3319</v>
      </c>
      <c r="G22" s="369">
        <f t="shared" si="1"/>
        <v>17778.5</v>
      </c>
      <c r="H22" s="369">
        <f>GETPIVOTDATA("Sum of Enforcement_Tally",AuditsOutcomePivot!$B$4,"FisYr",A22)</f>
        <v>3</v>
      </c>
      <c r="I22" s="369">
        <f>GETPIVOTDATA("Sum of Enforcement_Hours",AuditsOutcomePivot!$B$4,"FisYr",A22)</f>
        <v>123</v>
      </c>
      <c r="J22" s="369">
        <f>GETPIVOTDATA("Sum of Prohibition_Tally",AuditsOutcomePivot!$B$4,"FisYr",A22)</f>
        <v>3</v>
      </c>
      <c r="K22" s="974">
        <f>GETPIVOTDATA("Sum of Prohibition_Hours",AuditsOutcomePivot!$B$4,"FisYr",A22)</f>
        <v>24</v>
      </c>
      <c r="L22" s="816">
        <f t="shared" si="2"/>
        <v>96.414582705634217</v>
      </c>
      <c r="M22" s="609">
        <f t="shared" si="3"/>
        <v>5.1159375000000002</v>
      </c>
      <c r="N22" s="814">
        <f t="shared" si="4"/>
        <v>11.827731092436975</v>
      </c>
      <c r="O22" s="814">
        <f t="shared" si="5"/>
        <v>41</v>
      </c>
      <c r="P22" s="803">
        <f t="shared" si="6"/>
        <v>8</v>
      </c>
    </row>
    <row r="23" spans="1:18" x14ac:dyDescent="0.35">
      <c r="A23" s="967" t="s">
        <v>321</v>
      </c>
      <c r="B23" s="369">
        <f>GETPIVOTDATA("Sum of A_Tally",AuditsOutcomePivot!$B$4,"FisYr",A23)</f>
        <v>5502</v>
      </c>
      <c r="C23" s="369">
        <f>GETPIVOTDATA("Sum of A_Hours",AuditsOutcomePivot!$B$4,"FisYr",A23)</f>
        <v>31098.25</v>
      </c>
      <c r="D23" s="369">
        <f>GETPIVOTDATA("Sum of B_Tally",AuditsOutcomePivot!$B$4,"FisYr",A23)</f>
        <v>186</v>
      </c>
      <c r="E23" s="369">
        <f>GETPIVOTDATA("Sum of B_Hours",AuditsOutcomePivot!$B$4,"FisYr",A23)</f>
        <v>2051.75</v>
      </c>
      <c r="F23" s="369">
        <f t="shared" si="0"/>
        <v>5688</v>
      </c>
      <c r="G23" s="369">
        <f t="shared" si="1"/>
        <v>33150</v>
      </c>
      <c r="H23" s="369">
        <f>GETPIVOTDATA("Sum of Enforcement_Tally",AuditsOutcomePivot!$B$4,"FisYr",A23)</f>
        <v>5</v>
      </c>
      <c r="I23" s="369">
        <f>GETPIVOTDATA("Sum of Enforcement_Hours",AuditsOutcomePivot!$B$4,"FisYr",A23)</f>
        <v>170</v>
      </c>
      <c r="J23" s="369">
        <f>GETPIVOTDATA("Sum of Prohibition_Tally",AuditsOutcomePivot!$B$4,"FisYr",A23)</f>
        <v>8</v>
      </c>
      <c r="K23" s="974">
        <f>GETPIVOTDATA("Sum of Prohibition_Hours",AuditsOutcomePivot!$B$4,"FisYr",A23)</f>
        <v>49</v>
      </c>
      <c r="L23" s="816">
        <f t="shared" si="2"/>
        <v>96.729957805907176</v>
      </c>
      <c r="M23" s="609">
        <f t="shared" si="3"/>
        <v>5.6521719374772807</v>
      </c>
      <c r="N23" s="814">
        <f t="shared" si="4"/>
        <v>11.030913978494624</v>
      </c>
      <c r="O23" s="814">
        <f t="shared" si="5"/>
        <v>34</v>
      </c>
      <c r="P23" s="803">
        <f t="shared" si="6"/>
        <v>6.125</v>
      </c>
    </row>
    <row r="24" spans="1:18" x14ac:dyDescent="0.35">
      <c r="A24" s="967" t="s">
        <v>326</v>
      </c>
      <c r="B24" s="369">
        <f>GETPIVOTDATA("Sum of A_Tally",AuditsOutcomePivot!$B$4,"FisYr",A24)</f>
        <v>6432</v>
      </c>
      <c r="C24" s="369">
        <f>GETPIVOTDATA("Sum of A_Hours",AuditsOutcomePivot!$B$4,"FisYr",A24)</f>
        <v>38526.5</v>
      </c>
      <c r="D24" s="369">
        <f>GETPIVOTDATA("Sum of B_Tally",AuditsOutcomePivot!$B$4,"FisYr",A24)</f>
        <v>280</v>
      </c>
      <c r="E24" s="369">
        <f>GETPIVOTDATA("Sum of B_Hours",AuditsOutcomePivot!$B$4,"FisYr",A24)</f>
        <v>3385</v>
      </c>
      <c r="F24" s="369">
        <f t="shared" si="0"/>
        <v>6712</v>
      </c>
      <c r="G24" s="369">
        <f t="shared" si="1"/>
        <v>41911.5</v>
      </c>
      <c r="H24" s="369">
        <f>GETPIVOTDATA("Sum of Enforcement_Tally",AuditsOutcomePivot!$B$4,"FisYr",A24)</f>
        <v>2</v>
      </c>
      <c r="I24" s="369">
        <f>GETPIVOTDATA("Sum of Enforcement_Hours",AuditsOutcomePivot!$B$4,"FisYr",A24)</f>
        <v>98.25</v>
      </c>
      <c r="J24" s="369">
        <f>GETPIVOTDATA("Sum of Prohibition_Tally",AuditsOutcomePivot!$B$4,"FisYr",A24)</f>
        <v>5</v>
      </c>
      <c r="K24" s="974">
        <f>GETPIVOTDATA("Sum of Prohibition_Hours",AuditsOutcomePivot!$B$4,"FisYr",A24)</f>
        <v>52.5</v>
      </c>
      <c r="L24" s="816">
        <f t="shared" si="2"/>
        <v>95.828367103694873</v>
      </c>
      <c r="M24" s="609">
        <f t="shared" si="3"/>
        <v>5.9898165422885574</v>
      </c>
      <c r="N24" s="814">
        <f t="shared" si="4"/>
        <v>12.089285714285714</v>
      </c>
      <c r="O24" s="814">
        <f t="shared" si="5"/>
        <v>49.125</v>
      </c>
      <c r="P24" s="803">
        <f t="shared" si="6"/>
        <v>10.5</v>
      </c>
    </row>
    <row r="25" spans="1:18" x14ac:dyDescent="0.35">
      <c r="A25" s="967" t="s">
        <v>327</v>
      </c>
      <c r="B25" s="369">
        <f>GETPIVOTDATA("Sum of A_Tally",AuditsOutcomePivot!$B$4,"FisYr",A25)</f>
        <v>7362</v>
      </c>
      <c r="C25" s="369">
        <f>GETPIVOTDATA("Sum of A_Hours",AuditsOutcomePivot!$B$4,"FisYr",A25)</f>
        <v>42820.25</v>
      </c>
      <c r="D25" s="369">
        <f>GETPIVOTDATA("Sum of B_Tally",AuditsOutcomePivot!$B$4,"FisYr",A25)</f>
        <v>292</v>
      </c>
      <c r="E25" s="369">
        <f>GETPIVOTDATA("Sum of B_Hours",AuditsOutcomePivot!$B$4,"FisYr",A25)</f>
        <v>3831</v>
      </c>
      <c r="F25" s="369">
        <f t="shared" si="0"/>
        <v>7654</v>
      </c>
      <c r="G25" s="369">
        <f t="shared" si="1"/>
        <v>46651.25</v>
      </c>
      <c r="H25" s="369">
        <f>GETPIVOTDATA("Sum of Enforcement_Tally",AuditsOutcomePivot!$B$4,"FisYr",A25)</f>
        <v>5</v>
      </c>
      <c r="I25" s="369">
        <f>GETPIVOTDATA("Sum of Enforcement_Hours",AuditsOutcomePivot!$B$4,"FisYr",A25)</f>
        <v>214.75</v>
      </c>
      <c r="J25" s="369">
        <f>GETPIVOTDATA("Sum of Prohibition_Tally",AuditsOutcomePivot!$B$4,"FisYr",A25)</f>
        <v>12</v>
      </c>
      <c r="K25" s="974">
        <f>GETPIVOTDATA("Sum of Prohibition_Hours",AuditsOutcomePivot!$B$4,"FisYr",A25)</f>
        <v>290.25</v>
      </c>
      <c r="L25" s="816">
        <f t="shared" si="2"/>
        <v>96.185001306506408</v>
      </c>
      <c r="M25" s="609">
        <f t="shared" si="3"/>
        <v>5.8163882097256181</v>
      </c>
      <c r="N25" s="814">
        <f t="shared" si="4"/>
        <v>13.11986301369863</v>
      </c>
      <c r="O25" s="814">
        <f t="shared" si="5"/>
        <v>42.95</v>
      </c>
      <c r="P25" s="803">
        <f t="shared" si="6"/>
        <v>24.1875</v>
      </c>
      <c r="Q25" s="246"/>
      <c r="R25" s="246"/>
    </row>
    <row r="26" spans="1:18" x14ac:dyDescent="0.35">
      <c r="A26" s="972" t="s">
        <v>466</v>
      </c>
      <c r="B26" s="975">
        <f>GETPIVOTDATA("Sum of A_Tally",AuditsOutcomePivot!$B$4,"FisYr",A26)</f>
        <v>8461</v>
      </c>
      <c r="C26" s="975">
        <f>GETPIVOTDATA("Sum of A_Hours",AuditsOutcomePivot!$B$4,"FisYr",A26)</f>
        <v>47569.5</v>
      </c>
      <c r="D26" s="975">
        <f>GETPIVOTDATA("Sum of B_Tally",AuditsOutcomePivot!$B$4,"FisYr",A26)</f>
        <v>307</v>
      </c>
      <c r="E26" s="975">
        <f>GETPIVOTDATA("Sum of B_Hours",AuditsOutcomePivot!$B$4,"FisYr",A26)</f>
        <v>3445</v>
      </c>
      <c r="F26" s="975">
        <f t="shared" si="0"/>
        <v>8768</v>
      </c>
      <c r="G26" s="975">
        <f t="shared" si="1"/>
        <v>51014.5</v>
      </c>
      <c r="H26" s="975">
        <f>GETPIVOTDATA("Sum of Enforcement_Tally",AuditsOutcomePivot!$B$4,"FisYr",A26)</f>
        <v>2</v>
      </c>
      <c r="I26" s="975">
        <f>GETPIVOTDATA("Sum of Enforcement_Hours",AuditsOutcomePivot!$B$4,"FisYr",A26)</f>
        <v>146</v>
      </c>
      <c r="J26" s="975">
        <f>GETPIVOTDATA("Sum of Prohibition_Tally",AuditsOutcomePivot!$B$4,"FisYr",A26)</f>
        <v>6</v>
      </c>
      <c r="K26" s="976">
        <f>GETPIVOTDATA("Sum of Prohibition_Hours",AuditsOutcomePivot!$B$4,"FisYr",A26)</f>
        <v>85.5</v>
      </c>
      <c r="L26" s="968">
        <f t="shared" si="2"/>
        <v>96.498631386861305</v>
      </c>
      <c r="M26" s="780">
        <f t="shared" si="3"/>
        <v>5.6222077768585272</v>
      </c>
      <c r="N26" s="781">
        <f t="shared" si="4"/>
        <v>11.221498371335505</v>
      </c>
      <c r="O26" s="781">
        <f t="shared" si="5"/>
        <v>73</v>
      </c>
      <c r="P26" s="804">
        <f t="shared" si="6"/>
        <v>14.25</v>
      </c>
      <c r="Q26" s="15"/>
    </row>
    <row r="27" spans="1:18" x14ac:dyDescent="0.35">
      <c r="A27" s="250"/>
      <c r="B27" s="68"/>
      <c r="C27" s="966"/>
      <c r="D27" s="15"/>
      <c r="E27" s="15"/>
      <c r="F27" s="15"/>
      <c r="G27" s="15"/>
      <c r="H27" s="15"/>
      <c r="I27" s="966"/>
      <c r="J27" s="15"/>
      <c r="K27" s="15"/>
      <c r="L27" s="15"/>
      <c r="M27" s="15"/>
      <c r="N27" s="15"/>
      <c r="O27" s="15"/>
      <c r="P27" s="15"/>
      <c r="Q27" s="15"/>
    </row>
    <row r="28" spans="1:18" x14ac:dyDescent="0.35">
      <c r="A28" s="336" t="s">
        <v>329</v>
      </c>
      <c r="B28" s="15"/>
      <c r="C28" s="15"/>
      <c r="D28" s="15"/>
      <c r="E28" s="15"/>
      <c r="F28" s="15"/>
      <c r="G28" s="15"/>
      <c r="H28" s="277"/>
      <c r="I28" s="277"/>
      <c r="J28" s="15"/>
      <c r="K28" s="15"/>
      <c r="L28" s="571"/>
      <c r="M28" s="571"/>
      <c r="N28" s="571"/>
      <c r="O28" s="571"/>
      <c r="P28" s="571"/>
      <c r="Q28" s="15"/>
    </row>
    <row r="29" spans="1:18" x14ac:dyDescent="0.35">
      <c r="A29" s="818" t="s">
        <v>1249</v>
      </c>
      <c r="B29" s="15"/>
      <c r="C29" s="15"/>
      <c r="D29" s="15"/>
      <c r="E29" s="15"/>
      <c r="F29" s="15"/>
      <c r="G29" s="15"/>
      <c r="H29" s="277"/>
      <c r="I29" s="277"/>
      <c r="J29" s="15"/>
      <c r="K29" s="15"/>
      <c r="L29" s="15"/>
      <c r="M29" s="15"/>
      <c r="N29" s="15"/>
      <c r="O29" s="15"/>
      <c r="P29" s="15"/>
      <c r="Q29" s="15"/>
    </row>
    <row r="30" spans="1:18" x14ac:dyDescent="0.35">
      <c r="A30" s="818" t="s">
        <v>1250</v>
      </c>
      <c r="B30" s="15"/>
      <c r="C30" s="15"/>
      <c r="D30" s="15"/>
      <c r="E30" s="15"/>
      <c r="F30" s="15"/>
      <c r="G30" s="15"/>
      <c r="H30" s="15"/>
      <c r="I30" s="15"/>
      <c r="J30" s="15"/>
      <c r="K30" s="15"/>
      <c r="L30" s="15"/>
      <c r="M30" s="15"/>
      <c r="N30" s="15"/>
      <c r="O30" s="15"/>
      <c r="P30" s="15"/>
      <c r="Q30" s="571"/>
      <c r="R30" s="571"/>
    </row>
    <row r="31" spans="1:18" ht="46" customHeight="1" x14ac:dyDescent="0.35">
      <c r="A31" s="1064" t="s">
        <v>1251</v>
      </c>
      <c r="B31" s="1064"/>
      <c r="C31" s="1064"/>
      <c r="D31" s="1064"/>
      <c r="E31" s="1064"/>
      <c r="F31" s="1064"/>
      <c r="G31" s="1064"/>
      <c r="H31" s="1064"/>
      <c r="I31" s="1064"/>
      <c r="J31" s="571"/>
      <c r="K31" s="571"/>
      <c r="L31" s="15"/>
      <c r="M31" s="15"/>
      <c r="N31" s="15"/>
      <c r="O31" s="15"/>
      <c r="P31" s="15"/>
      <c r="Q31" s="15"/>
    </row>
    <row r="32" spans="1:18" ht="15.5" x14ac:dyDescent="0.35">
      <c r="A32" s="338" t="s">
        <v>1252</v>
      </c>
      <c r="B32" s="15"/>
      <c r="C32" s="15"/>
      <c r="D32" s="15"/>
      <c r="E32" s="15"/>
      <c r="F32" s="15"/>
      <c r="G32" s="15"/>
      <c r="H32" s="15"/>
      <c r="I32" s="15"/>
      <c r="J32" s="15"/>
      <c r="K32" s="15"/>
      <c r="L32" s="421"/>
      <c r="M32" s="421"/>
      <c r="N32" s="421"/>
      <c r="O32" s="421"/>
      <c r="P32" s="421"/>
      <c r="Q32" s="15"/>
    </row>
    <row r="33" spans="1:17" ht="15.5" x14ac:dyDescent="0.35">
      <c r="A33" s="338"/>
      <c r="B33" s="15"/>
      <c r="C33" s="15"/>
      <c r="D33" s="15"/>
      <c r="E33" s="15"/>
      <c r="F33" s="15"/>
      <c r="G33" s="15"/>
      <c r="H33" s="15"/>
      <c r="I33" s="15"/>
      <c r="J33" s="15"/>
      <c r="K33" s="15"/>
      <c r="L33" s="500"/>
      <c r="M33" s="500"/>
      <c r="Q33" s="15"/>
    </row>
    <row r="34" spans="1:17" ht="15.5" x14ac:dyDescent="0.35">
      <c r="A34" s="15"/>
      <c r="B34" s="15"/>
      <c r="C34" s="15"/>
      <c r="D34" s="15"/>
      <c r="E34" s="15"/>
      <c r="F34" s="15"/>
      <c r="G34" s="15"/>
      <c r="H34" s="15"/>
      <c r="I34" s="15"/>
      <c r="J34" s="15"/>
      <c r="K34" s="15"/>
      <c r="L34" s="500"/>
      <c r="M34" s="500"/>
      <c r="Q34" s="421"/>
    </row>
    <row r="35" spans="1:17" ht="15.5" x14ac:dyDescent="0.35">
      <c r="A35" s="421" t="s">
        <v>1253</v>
      </c>
      <c r="B35" s="421"/>
      <c r="C35" s="421"/>
      <c r="D35" s="421"/>
      <c r="E35" s="421"/>
      <c r="F35" s="421"/>
      <c r="G35" s="421"/>
      <c r="H35" s="421"/>
      <c r="I35" s="421"/>
      <c r="J35" s="421"/>
      <c r="K35" s="421"/>
      <c r="L35" s="500"/>
      <c r="M35" s="500"/>
      <c r="N35" s="25"/>
      <c r="O35" s="25"/>
      <c r="P35" s="25"/>
    </row>
    <row r="36" spans="1:17" ht="15.5" x14ac:dyDescent="0.35">
      <c r="A36" t="s">
        <v>202</v>
      </c>
      <c r="B36" t="s">
        <v>189</v>
      </c>
      <c r="C36" s="500"/>
      <c r="D36" s="500"/>
      <c r="E36" s="500"/>
      <c r="F36" s="500"/>
      <c r="G36" s="500"/>
      <c r="H36" s="500"/>
      <c r="I36" s="500"/>
      <c r="J36" s="500"/>
      <c r="K36" s="500"/>
      <c r="L36" s="421"/>
      <c r="M36" s="421"/>
      <c r="N36" s="421"/>
      <c r="O36" s="421"/>
      <c r="P36" s="421"/>
    </row>
    <row r="37" spans="1:17" ht="15.5" x14ac:dyDescent="0.35">
      <c r="A37" t="s">
        <v>203</v>
      </c>
      <c r="B37" t="s">
        <v>204</v>
      </c>
      <c r="C37" s="500"/>
      <c r="D37" s="500"/>
      <c r="E37" s="500"/>
      <c r="F37" s="500"/>
      <c r="G37" s="500"/>
      <c r="H37" s="500"/>
      <c r="I37" s="500"/>
      <c r="J37" s="500"/>
      <c r="K37" s="500"/>
      <c r="L37" s="421"/>
      <c r="M37" s="421"/>
      <c r="N37" s="421"/>
      <c r="O37" s="421"/>
      <c r="P37" s="421"/>
      <c r="Q37" s="25"/>
    </row>
    <row r="38" spans="1:17" ht="15.5" x14ac:dyDescent="0.35">
      <c r="A38" t="s">
        <v>205</v>
      </c>
      <c r="B38" t="s">
        <v>206</v>
      </c>
      <c r="C38" s="500"/>
      <c r="D38" s="500"/>
      <c r="E38" s="500"/>
      <c r="F38" s="500"/>
      <c r="G38" s="500"/>
      <c r="H38" s="500"/>
      <c r="I38" s="500"/>
      <c r="J38" s="500"/>
      <c r="K38" s="500"/>
    </row>
    <row r="39" spans="1:17" ht="29.15" customHeight="1" x14ac:dyDescent="0.35">
      <c r="A39" s="421"/>
      <c r="B39" s="421"/>
      <c r="C39" s="421"/>
      <c r="D39" s="421"/>
      <c r="E39" s="421"/>
      <c r="F39" s="421"/>
      <c r="G39" s="421"/>
      <c r="H39" s="421"/>
      <c r="I39" s="421"/>
      <c r="J39" s="421"/>
      <c r="K39" s="421"/>
    </row>
    <row r="40" spans="1:17" x14ac:dyDescent="0.35">
      <c r="A40" s="12"/>
      <c r="B40" s="1061" t="s">
        <v>1240</v>
      </c>
      <c r="C40" s="1061"/>
      <c r="D40" s="1061" t="s">
        <v>1241</v>
      </c>
      <c r="E40" s="1061"/>
      <c r="F40" s="1063" t="s">
        <v>1193</v>
      </c>
      <c r="G40" s="1063"/>
      <c r="H40" s="1065" t="s">
        <v>1242</v>
      </c>
      <c r="I40" s="1063"/>
      <c r="J40" s="1063" t="s">
        <v>1243</v>
      </c>
      <c r="K40" s="1063"/>
      <c r="O40" s="583" t="s">
        <v>1254</v>
      </c>
    </row>
    <row r="41" spans="1:17" ht="46.5" customHeight="1" x14ac:dyDescent="0.35">
      <c r="A41" s="247" t="s">
        <v>1230</v>
      </c>
      <c r="B41" s="248" t="s">
        <v>346</v>
      </c>
      <c r="C41" s="248" t="s">
        <v>1245</v>
      </c>
      <c r="D41" s="248" t="s">
        <v>346</v>
      </c>
      <c r="E41" s="248" t="s">
        <v>1245</v>
      </c>
      <c r="F41" s="249" t="s">
        <v>183</v>
      </c>
      <c r="G41" s="3" t="s">
        <v>1245</v>
      </c>
      <c r="H41" s="545" t="s">
        <v>346</v>
      </c>
      <c r="I41" s="248" t="s">
        <v>1245</v>
      </c>
      <c r="J41" s="248" t="s">
        <v>346</v>
      </c>
      <c r="K41" s="248" t="s">
        <v>1245</v>
      </c>
      <c r="L41" s="882" t="s">
        <v>1255</v>
      </c>
      <c r="M41" s="542" t="s">
        <v>1240</v>
      </c>
      <c r="N41" s="321" t="s">
        <v>1241</v>
      </c>
      <c r="O41" s="321" t="s">
        <v>1247</v>
      </c>
      <c r="P41" s="321" t="s">
        <v>1248</v>
      </c>
      <c r="Q41" s="398"/>
    </row>
    <row r="42" spans="1:17" x14ac:dyDescent="0.35">
      <c r="A42" s="250" t="s">
        <v>1154</v>
      </c>
      <c r="B42" s="244">
        <f>GETPIVOTDATA("Sum of A_Tally",auditsoutcomepremisespivot!$B$4,"Type of Premises",A42)</f>
        <v>313</v>
      </c>
      <c r="C42" s="244">
        <f>GETPIVOTDATA("Sum of A_Hours",auditsoutcomepremisespivot!$B$4,"Type of Premises",A42)</f>
        <v>2037.75</v>
      </c>
      <c r="D42" s="244">
        <f>GETPIVOTDATA("Sum of B_Tally",auditsoutcomepremisespivot!$B$4,"Type of Premises",A42)</f>
        <v>7</v>
      </c>
      <c r="E42" s="244">
        <f>GETPIVOTDATA("Sum of B_Hours",auditsoutcomepremisespivot!$B$4,"Type of Premises",A42)</f>
        <v>117.25</v>
      </c>
      <c r="F42" s="245">
        <f t="shared" ref="F42:F56" si="7">B42+D42</f>
        <v>320</v>
      </c>
      <c r="G42" s="978">
        <f t="shared" ref="G42:G56" si="8">E42+C42</f>
        <v>2155</v>
      </c>
      <c r="H42" s="977">
        <f>GETPIVOTDATA("Sum of Enforcement_Tally",auditsoutcomepremisespivot!$B$4,"Type of Premises",A42)</f>
        <v>0</v>
      </c>
      <c r="I42" s="244">
        <f>GETPIVOTDATA("Sum of Enforcement_Hours",auditsoutcomepremisespivot!$B$4,"Type of Premises",A42)</f>
        <v>0</v>
      </c>
      <c r="J42" s="244">
        <f>GETPIVOTDATA("Sum of Prohibition_Tally",auditsoutcomepremisespivot!$B$4,"Type of Premises",A42)</f>
        <v>0</v>
      </c>
      <c r="K42" s="244">
        <f>GETPIVOTDATA("Sum of Prohibition_Hours",auditsoutcomepremisespivot!$B$4,"Type of Premises",A42)</f>
        <v>0</v>
      </c>
      <c r="L42" s="543">
        <f>B42/F42%</f>
        <v>97.8125</v>
      </c>
      <c r="M42" s="885">
        <f>C42/B42</f>
        <v>6.51038338658147</v>
      </c>
      <c r="N42" s="886">
        <f>E42/D42</f>
        <v>16.75</v>
      </c>
      <c r="O42" s="886">
        <f>IF(H42=0, 0, I42/H42)</f>
        <v>0</v>
      </c>
      <c r="P42" s="886">
        <f>IF(K42=0, 0, K42/J42)</f>
        <v>0</v>
      </c>
      <c r="Q42" s="398"/>
    </row>
    <row r="43" spans="1:17" x14ac:dyDescent="0.35">
      <c r="A43" s="250" t="s">
        <v>1150</v>
      </c>
      <c r="B43" s="244">
        <f>GETPIVOTDATA("Sum of A_Tally",auditsoutcomepremisespivot!$B$4,"Type of Premises",A43)</f>
        <v>1598</v>
      </c>
      <c r="C43" s="244">
        <f>GETPIVOTDATA("Sum of A_Hours",auditsoutcomepremisespivot!$B$4,"Type of Premises",A43)</f>
        <v>10148.5</v>
      </c>
      <c r="D43" s="244">
        <f>GETPIVOTDATA("Sum of B_Tally",auditsoutcomepremisespivot!$B$4,"Type of Premises",A43)</f>
        <v>31</v>
      </c>
      <c r="E43" s="244">
        <f>GETPIVOTDATA("Sum of B_Hours",auditsoutcomepremisespivot!$B$4,"Type of Premises",A43)</f>
        <v>437.25</v>
      </c>
      <c r="F43" s="245">
        <f t="shared" si="7"/>
        <v>1629</v>
      </c>
      <c r="G43" s="979">
        <f t="shared" si="8"/>
        <v>10585.75</v>
      </c>
      <c r="H43" s="244">
        <f>GETPIVOTDATA("Sum of Enforcement_Tally",auditsoutcomepremisespivot!$B$4,"Type of Premises",A43)</f>
        <v>0</v>
      </c>
      <c r="I43" s="244">
        <f>GETPIVOTDATA("Sum of Enforcement_Hours",auditsoutcomepremisespivot!$B$4,"Type of Premises",A43)</f>
        <v>0</v>
      </c>
      <c r="J43" s="244">
        <f>GETPIVOTDATA("Sum of Prohibition_Tally",auditsoutcomepremisespivot!$B$4,"Type of Premises",A43)</f>
        <v>2</v>
      </c>
      <c r="K43" s="244">
        <f>GETPIVOTDATA("Sum of Prohibition_Hours",auditsoutcomepremisespivot!$B$4,"Type of Premises",A43)</f>
        <v>29.25</v>
      </c>
      <c r="L43" s="543">
        <f t="shared" ref="L43:L56" si="9">B43/F43%</f>
        <v>98.096992019643963</v>
      </c>
      <c r="M43" s="885">
        <f t="shared" ref="M43:M57" si="10">C43/B43</f>
        <v>6.3507509386733414</v>
      </c>
      <c r="N43" s="886">
        <f t="shared" ref="N43:N57" si="11">E43/D43</f>
        <v>14.10483870967742</v>
      </c>
      <c r="O43" s="886">
        <f t="shared" ref="O43:O57" si="12">IF(H43=0, 0, I43/H43)</f>
        <v>0</v>
      </c>
      <c r="P43" s="886">
        <f t="shared" ref="P43:P57" si="13">IF(K43=0, 0, K43/J43)</f>
        <v>14.625</v>
      </c>
      <c r="Q43" s="398"/>
    </row>
    <row r="44" spans="1:17" x14ac:dyDescent="0.35">
      <c r="A44" s="250" t="s">
        <v>1153</v>
      </c>
      <c r="B44" s="244">
        <f>GETPIVOTDATA("Sum of A_Tally",auditsoutcomepremisespivot!$B$4,"Type of Premises",A44)</f>
        <v>2324</v>
      </c>
      <c r="C44" s="244">
        <f>GETPIVOTDATA("Sum of A_Hours",auditsoutcomepremisespivot!$B$4,"Type of Premises",A44)</f>
        <v>10097</v>
      </c>
      <c r="D44" s="244">
        <f>GETPIVOTDATA("Sum of B_Tally",auditsoutcomepremisespivot!$B$4,"Type of Premises",A44)</f>
        <v>76</v>
      </c>
      <c r="E44" s="244">
        <f>GETPIVOTDATA("Sum of B_Hours",auditsoutcomepremisespivot!$B$4,"Type of Premises",A44)</f>
        <v>371.25</v>
      </c>
      <c r="F44" s="245">
        <f t="shared" si="7"/>
        <v>2400</v>
      </c>
      <c r="G44" s="979">
        <f t="shared" si="8"/>
        <v>10468.25</v>
      </c>
      <c r="H44" s="244">
        <f>GETPIVOTDATA("Sum of Enforcement_Tally",auditsoutcomepremisespivot!$B$4,"Type of Premises",A44)</f>
        <v>0</v>
      </c>
      <c r="I44" s="244">
        <f>GETPIVOTDATA("Sum of Enforcement_Hours",auditsoutcomepremisespivot!$B$4,"Type of Premises",A44)</f>
        <v>0</v>
      </c>
      <c r="J44" s="244">
        <f>GETPIVOTDATA("Sum of Prohibition_Tally",auditsoutcomepremisespivot!$B$4,"Type of Premises",A44)</f>
        <v>0</v>
      </c>
      <c r="K44" s="244">
        <f>GETPIVOTDATA("Sum of Prohibition_Hours",auditsoutcomepremisespivot!$B$4,"Type of Premises",A44)</f>
        <v>0</v>
      </c>
      <c r="L44" s="543">
        <f t="shared" si="9"/>
        <v>96.833333333333329</v>
      </c>
      <c r="M44" s="885">
        <f t="shared" si="10"/>
        <v>4.3446643717728053</v>
      </c>
      <c r="N44" s="886">
        <f t="shared" si="11"/>
        <v>4.8848684210526319</v>
      </c>
      <c r="O44" s="886">
        <f t="shared" si="12"/>
        <v>0</v>
      </c>
      <c r="P44" s="886">
        <f t="shared" si="13"/>
        <v>0</v>
      </c>
      <c r="Q44" s="398"/>
    </row>
    <row r="45" spans="1:17" x14ac:dyDescent="0.35">
      <c r="A45" s="250" t="s">
        <v>1155</v>
      </c>
      <c r="B45" s="244">
        <f>GETPIVOTDATA("Sum of A_Tally",auditsoutcomepremisespivot!$B$4,"Type of Premises",A45)</f>
        <v>52</v>
      </c>
      <c r="C45" s="244">
        <f>GETPIVOTDATA("Sum of A_Hours",auditsoutcomepremisespivot!$B$4,"Type of Premises",A45)</f>
        <v>336.25</v>
      </c>
      <c r="D45" s="244">
        <f>GETPIVOTDATA("Sum of B_Tally",auditsoutcomepremisespivot!$B$4,"Type of Premises",A45)</f>
        <v>7</v>
      </c>
      <c r="E45" s="244">
        <f>GETPIVOTDATA("Sum of B_Hours",auditsoutcomepremisespivot!$B$4,"Type of Premises",A45)</f>
        <v>74.5</v>
      </c>
      <c r="F45" s="245">
        <f t="shared" si="7"/>
        <v>59</v>
      </c>
      <c r="G45" s="979">
        <f t="shared" si="8"/>
        <v>410.75</v>
      </c>
      <c r="H45" s="244">
        <f>GETPIVOTDATA("Sum of Enforcement_Tally",auditsoutcomepremisespivot!$B$4,"Type of Premises",A45)</f>
        <v>0</v>
      </c>
      <c r="I45" s="244">
        <f>GETPIVOTDATA("Sum of Enforcement_Hours",auditsoutcomepremisespivot!$B$4,"Type of Premises",A45)</f>
        <v>0</v>
      </c>
      <c r="J45" s="244">
        <f>GETPIVOTDATA("Sum of Prohibition_Tally",auditsoutcomepremisespivot!$B$4,"Type of Premises",A45)</f>
        <v>0</v>
      </c>
      <c r="K45" s="244">
        <f>GETPIVOTDATA("Sum of Prohibition_Hours",auditsoutcomepremisespivot!$B$4,"Type of Premises",A45)</f>
        <v>0</v>
      </c>
      <c r="L45" s="543">
        <f t="shared" si="9"/>
        <v>88.13559322033899</v>
      </c>
      <c r="M45" s="885">
        <f t="shared" si="10"/>
        <v>6.4663461538461542</v>
      </c>
      <c r="N45" s="886">
        <f t="shared" si="11"/>
        <v>10.642857142857142</v>
      </c>
      <c r="O45" s="886">
        <f t="shared" si="12"/>
        <v>0</v>
      </c>
      <c r="P45" s="886">
        <f t="shared" si="13"/>
        <v>0</v>
      </c>
      <c r="Q45" s="398"/>
    </row>
    <row r="46" spans="1:17" x14ac:dyDescent="0.35">
      <c r="A46" s="250" t="s">
        <v>1156</v>
      </c>
      <c r="B46" s="244">
        <f>GETPIVOTDATA("Sum of A_Tally",auditsoutcomepremisespivot!$B$4,"Type of Premises",A46)</f>
        <v>934</v>
      </c>
      <c r="C46" s="244">
        <f>GETPIVOTDATA("Sum of A_Hours",auditsoutcomepremisespivot!$B$4,"Type of Premises",A46)</f>
        <v>6491.75</v>
      </c>
      <c r="D46" s="244">
        <f>GETPIVOTDATA("Sum of B_Tally",auditsoutcomepremisespivot!$B$4,"Type of Premises",A46)</f>
        <v>66</v>
      </c>
      <c r="E46" s="244">
        <f>GETPIVOTDATA("Sum of B_Hours",auditsoutcomepremisespivot!$B$4,"Type of Premises",A46)</f>
        <v>987</v>
      </c>
      <c r="F46" s="245">
        <f t="shared" si="7"/>
        <v>1000</v>
      </c>
      <c r="G46" s="979">
        <f t="shared" si="8"/>
        <v>7478.75</v>
      </c>
      <c r="H46" s="244">
        <f>GETPIVOTDATA("Sum of Enforcement_Tally",auditsoutcomepremisespivot!$B$4,"Type of Premises",A46)</f>
        <v>1</v>
      </c>
      <c r="I46" s="244">
        <f>GETPIVOTDATA("Sum of Enforcement_Hours",auditsoutcomepremisespivot!$B$4,"Type of Premises",A46)</f>
        <v>64.5</v>
      </c>
      <c r="J46" s="244">
        <f>GETPIVOTDATA("Sum of Prohibition_Tally",auditsoutcomepremisespivot!$B$4,"Type of Premises",A46)</f>
        <v>1</v>
      </c>
      <c r="K46" s="244">
        <f>GETPIVOTDATA("Sum of Prohibition_Hours",auditsoutcomepremisespivot!$B$4,"Type of Premises",A46)</f>
        <v>19.75</v>
      </c>
      <c r="L46" s="543">
        <f t="shared" si="9"/>
        <v>93.4</v>
      </c>
      <c r="M46" s="885">
        <f t="shared" si="10"/>
        <v>6.9504817987152032</v>
      </c>
      <c r="N46" s="886">
        <f t="shared" si="11"/>
        <v>14.954545454545455</v>
      </c>
      <c r="O46" s="886">
        <f t="shared" si="12"/>
        <v>64.5</v>
      </c>
      <c r="P46" s="886">
        <f t="shared" si="13"/>
        <v>19.75</v>
      </c>
      <c r="Q46" s="398"/>
    </row>
    <row r="47" spans="1:17" x14ac:dyDescent="0.35">
      <c r="A47" s="250" t="s">
        <v>1160</v>
      </c>
      <c r="B47" s="244">
        <f>GETPIVOTDATA("Sum of A_Tally",auditsoutcomepremisespivot!$B$4,"Type of Premises",A47)</f>
        <v>1506</v>
      </c>
      <c r="C47" s="244">
        <f>GETPIVOTDATA("Sum of A_Hours",auditsoutcomepremisespivot!$B$4,"Type of Premises",A47)</f>
        <v>8422</v>
      </c>
      <c r="D47" s="244">
        <f>GETPIVOTDATA("Sum of B_Tally",auditsoutcomepremisespivot!$B$4,"Type of Premises",A47)</f>
        <v>66</v>
      </c>
      <c r="E47" s="244">
        <f>GETPIVOTDATA("Sum of B_Hours",auditsoutcomepremisespivot!$B$4,"Type of Premises",A47)</f>
        <v>744.25</v>
      </c>
      <c r="F47" s="245">
        <f t="shared" si="7"/>
        <v>1572</v>
      </c>
      <c r="G47" s="979">
        <f t="shared" si="8"/>
        <v>9166.25</v>
      </c>
      <c r="H47" s="244">
        <f>GETPIVOTDATA("Sum of Enforcement_Tally",auditsoutcomepremisespivot!$B$4,"Type of Premises",A47)</f>
        <v>0</v>
      </c>
      <c r="I47" s="244">
        <f>GETPIVOTDATA("Sum of Enforcement_Hours",auditsoutcomepremisespivot!$B$4,"Type of Premises",A47)</f>
        <v>0</v>
      </c>
      <c r="J47" s="244">
        <f>GETPIVOTDATA("Sum of Prohibition_Tally",auditsoutcomepremisespivot!$B$4,"Type of Premises",A47)</f>
        <v>0</v>
      </c>
      <c r="K47" s="244">
        <f>GETPIVOTDATA("Sum of Prohibition_Hours",auditsoutcomepremisespivot!$B$4,"Type of Premises",A47)</f>
        <v>0</v>
      </c>
      <c r="L47" s="543">
        <f t="shared" si="9"/>
        <v>95.801526717557252</v>
      </c>
      <c r="M47" s="885">
        <f t="shared" si="10"/>
        <v>5.5922974767596285</v>
      </c>
      <c r="N47" s="886">
        <f t="shared" si="11"/>
        <v>11.276515151515152</v>
      </c>
      <c r="O47" s="886">
        <f t="shared" si="12"/>
        <v>0</v>
      </c>
      <c r="P47" s="886">
        <f t="shared" si="13"/>
        <v>0</v>
      </c>
      <c r="Q47" s="398"/>
    </row>
    <row r="48" spans="1:17" x14ac:dyDescent="0.35">
      <c r="A48" s="250" t="s">
        <v>1152</v>
      </c>
      <c r="B48" s="244">
        <f>GETPIVOTDATA("Sum of A_Tally",auditsoutcomepremisespivot!$B$4,"Type of Premises",A48)</f>
        <v>21</v>
      </c>
      <c r="C48" s="244">
        <f>GETPIVOTDATA("Sum of A_Hours",auditsoutcomepremisespivot!$B$4,"Type of Premises",A48)</f>
        <v>103.75</v>
      </c>
      <c r="D48" s="244">
        <f>GETPIVOTDATA("Sum of B_Tally",auditsoutcomepremisespivot!$B$4,"Type of Premises",A48)</f>
        <v>0</v>
      </c>
      <c r="E48" s="244">
        <f>GETPIVOTDATA("Sum of B_Hours",auditsoutcomepremisespivot!$B$4,"Type of Premises",A48)</f>
        <v>0</v>
      </c>
      <c r="F48" s="245">
        <f t="shared" si="7"/>
        <v>21</v>
      </c>
      <c r="G48" s="979">
        <f t="shared" si="8"/>
        <v>103.75</v>
      </c>
      <c r="H48" s="244">
        <f>GETPIVOTDATA("Sum of Enforcement_Tally",auditsoutcomepremisespivot!$B$4,"Type of Premises",A48)</f>
        <v>0</v>
      </c>
      <c r="I48" s="244">
        <f>GETPIVOTDATA("Sum of Enforcement_Hours",auditsoutcomepremisespivot!$B$4,"Type of Premises",A48)</f>
        <v>0</v>
      </c>
      <c r="J48" s="244">
        <f>GETPIVOTDATA("Sum of Prohibition_Tally",auditsoutcomepremisespivot!$B$4,"Type of Premises",A48)</f>
        <v>0</v>
      </c>
      <c r="K48" s="244">
        <f>GETPIVOTDATA("Sum of Prohibition_Hours",auditsoutcomepremisespivot!$B$4,"Type of Premises",A48)</f>
        <v>0</v>
      </c>
      <c r="L48" s="543">
        <f t="shared" si="9"/>
        <v>100</v>
      </c>
      <c r="M48" s="885">
        <f t="shared" si="10"/>
        <v>4.9404761904761907</v>
      </c>
      <c r="N48" s="886" t="str">
        <f>IFERROR("-",E48/D48)</f>
        <v>-</v>
      </c>
      <c r="O48" s="886">
        <f t="shared" si="12"/>
        <v>0</v>
      </c>
      <c r="P48" s="886">
        <f t="shared" si="13"/>
        <v>0</v>
      </c>
      <c r="Q48" s="398"/>
    </row>
    <row r="49" spans="1:19" x14ac:dyDescent="0.35">
      <c r="A49" s="250" t="s">
        <v>1162</v>
      </c>
      <c r="B49" s="244">
        <f>GETPIVOTDATA("Sum of A_Tally",auditsoutcomepremisespivot!$B$4,"Type of Premises",A49)</f>
        <v>36</v>
      </c>
      <c r="C49" s="244">
        <f>GETPIVOTDATA("Sum of A_Hours",auditsoutcomepremisespivot!$B$4,"Type of Premises",A49)</f>
        <v>212</v>
      </c>
      <c r="D49" s="244">
        <f>GETPIVOTDATA("Sum of B_Tally",auditsoutcomepremisespivot!$B$4,"Type of Premises",A49)</f>
        <v>1</v>
      </c>
      <c r="E49" s="244">
        <f>GETPIVOTDATA("Sum of B_Hours",auditsoutcomepremisespivot!$B$4,"Type of Premises",A49)</f>
        <v>18</v>
      </c>
      <c r="F49" s="245">
        <f t="shared" si="7"/>
        <v>37</v>
      </c>
      <c r="G49" s="979">
        <f t="shared" si="8"/>
        <v>230</v>
      </c>
      <c r="H49" s="244">
        <f>GETPIVOTDATA("Sum of Enforcement_Tally",auditsoutcomepremisespivot!$B$4,"Type of Premises",A49)</f>
        <v>0</v>
      </c>
      <c r="I49" s="244">
        <f>GETPIVOTDATA("Sum of Enforcement_Hours",auditsoutcomepremisespivot!$B$4,"Type of Premises",A49)</f>
        <v>0</v>
      </c>
      <c r="J49" s="244">
        <f>GETPIVOTDATA("Sum of Prohibition_Tally",auditsoutcomepremisespivot!$B$4,"Type of Premises",A49)</f>
        <v>0</v>
      </c>
      <c r="K49" s="244">
        <f>GETPIVOTDATA("Sum of Prohibition_Hours",auditsoutcomepremisespivot!$B$4,"Type of Premises",A49)</f>
        <v>0</v>
      </c>
      <c r="L49" s="543">
        <f t="shared" si="9"/>
        <v>97.297297297297305</v>
      </c>
      <c r="M49" s="885">
        <f t="shared" si="10"/>
        <v>5.8888888888888893</v>
      </c>
      <c r="N49" s="886" t="str">
        <f>IFERROR("-",E49/D49)</f>
        <v>-</v>
      </c>
      <c r="O49" s="886">
        <f t="shared" si="12"/>
        <v>0</v>
      </c>
      <c r="P49" s="886">
        <f t="shared" si="13"/>
        <v>0</v>
      </c>
      <c r="Q49" s="398"/>
    </row>
    <row r="50" spans="1:19" x14ac:dyDescent="0.35">
      <c r="A50" s="250" t="s">
        <v>1157</v>
      </c>
      <c r="B50" s="244">
        <f>GETPIVOTDATA("Sum of A_Tally",auditsoutcomepremisespivot!$B$4,"Type of Premises",A50)</f>
        <v>289</v>
      </c>
      <c r="C50" s="244">
        <f>GETPIVOTDATA("Sum of A_Hours",auditsoutcomepremisespivot!$B$4,"Type of Premises",A50)</f>
        <v>1658</v>
      </c>
      <c r="D50" s="244">
        <f>GETPIVOTDATA("Sum of B_Tally",auditsoutcomepremisespivot!$B$4,"Type of Premises",A50)</f>
        <v>24</v>
      </c>
      <c r="E50" s="244">
        <f>GETPIVOTDATA("Sum of B_Hours",auditsoutcomepremisespivot!$B$4,"Type of Premises",A50)</f>
        <v>270.75</v>
      </c>
      <c r="F50" s="245">
        <f t="shared" si="7"/>
        <v>313</v>
      </c>
      <c r="G50" s="979">
        <f t="shared" si="8"/>
        <v>1928.75</v>
      </c>
      <c r="H50" s="244">
        <f>GETPIVOTDATA("Sum of Enforcement_Tally",auditsoutcomepremisespivot!$B$4,"Type of Premises",A50)</f>
        <v>0</v>
      </c>
      <c r="I50" s="244">
        <f>GETPIVOTDATA("Sum of Enforcement_Hours",auditsoutcomepremisespivot!$B$4,"Type of Premises",A50)</f>
        <v>0</v>
      </c>
      <c r="J50" s="244">
        <f>GETPIVOTDATA("Sum of Prohibition_Tally",auditsoutcomepremisespivot!$B$4,"Type of Premises",A50)</f>
        <v>0</v>
      </c>
      <c r="K50" s="244">
        <f>GETPIVOTDATA("Sum of Prohibition_Hours",auditsoutcomepremisespivot!$B$4,"Type of Premises",A50)</f>
        <v>0</v>
      </c>
      <c r="L50" s="543">
        <f t="shared" si="9"/>
        <v>92.332268370607025</v>
      </c>
      <c r="M50" s="885">
        <f t="shared" si="10"/>
        <v>5.7370242214532876</v>
      </c>
      <c r="N50" s="886">
        <f t="shared" si="11"/>
        <v>11.28125</v>
      </c>
      <c r="O50" s="886">
        <f t="shared" si="12"/>
        <v>0</v>
      </c>
      <c r="P50" s="886">
        <f t="shared" si="13"/>
        <v>0</v>
      </c>
      <c r="Q50" s="398"/>
    </row>
    <row r="51" spans="1:19" x14ac:dyDescent="0.35">
      <c r="A51" s="250" t="s">
        <v>1163</v>
      </c>
      <c r="B51" s="244">
        <f>GETPIVOTDATA("Sum of A_Tally",auditsoutcomepremisespivot!$B$4,"Type of Premises",A51)</f>
        <v>291</v>
      </c>
      <c r="C51" s="244">
        <f>GETPIVOTDATA("Sum of A_Hours",auditsoutcomepremisespivot!$B$4,"Type of Premises",A51)</f>
        <v>1795.5</v>
      </c>
      <c r="D51" s="244">
        <f>GETPIVOTDATA("Sum of B_Tally",auditsoutcomepremisespivot!$B$4,"Type of Premises",A51)</f>
        <v>3</v>
      </c>
      <c r="E51" s="244">
        <f>GETPIVOTDATA("Sum of B_Hours",auditsoutcomepremisespivot!$B$4,"Type of Premises",A51)</f>
        <v>32.75</v>
      </c>
      <c r="F51" s="245">
        <f t="shared" si="7"/>
        <v>294</v>
      </c>
      <c r="G51" s="979">
        <f t="shared" si="8"/>
        <v>1828.25</v>
      </c>
      <c r="H51" s="244">
        <f>GETPIVOTDATA("Sum of Enforcement_Tally",auditsoutcomepremisespivot!$B$4,"Type of Premises",A51)</f>
        <v>0</v>
      </c>
      <c r="I51" s="244">
        <f>GETPIVOTDATA("Sum of Enforcement_Hours",auditsoutcomepremisespivot!$B$4,"Type of Premises",A51)</f>
        <v>0</v>
      </c>
      <c r="J51" s="244">
        <f>GETPIVOTDATA("Sum of Prohibition_Tally",auditsoutcomepremisespivot!$B$4,"Type of Premises",A51)</f>
        <v>0</v>
      </c>
      <c r="K51" s="244">
        <f>GETPIVOTDATA("Sum of Prohibition_Hours",auditsoutcomepremisespivot!$B$4,"Type of Premises",A51)</f>
        <v>0</v>
      </c>
      <c r="L51" s="543">
        <f t="shared" si="9"/>
        <v>98.979591836734699</v>
      </c>
      <c r="M51" s="885">
        <f t="shared" si="10"/>
        <v>6.1701030927835054</v>
      </c>
      <c r="N51" s="886">
        <f t="shared" si="11"/>
        <v>10.916666666666666</v>
      </c>
      <c r="O51" s="886">
        <f t="shared" si="12"/>
        <v>0</v>
      </c>
      <c r="P51" s="886">
        <f t="shared" si="13"/>
        <v>0</v>
      </c>
      <c r="Q51" s="398"/>
    </row>
    <row r="52" spans="1:19" x14ac:dyDescent="0.35">
      <c r="A52" s="250" t="s">
        <v>1164</v>
      </c>
      <c r="B52" s="244">
        <f>GETPIVOTDATA("Sum of A_Tally",auditsoutcomepremisespivot!$B$4,"Type of Premises",A52)</f>
        <v>336</v>
      </c>
      <c r="C52" s="244">
        <f>GETPIVOTDATA("Sum of A_Hours",auditsoutcomepremisespivot!$B$4,"Type of Premises",A52)</f>
        <v>2007.25</v>
      </c>
      <c r="D52" s="244">
        <f>GETPIVOTDATA("Sum of B_Tally",auditsoutcomepremisespivot!$B$4,"Type of Premises",A52)</f>
        <v>13</v>
      </c>
      <c r="E52" s="244">
        <f>GETPIVOTDATA("Sum of B_Hours",auditsoutcomepremisespivot!$B$4,"Type of Premises",A52)</f>
        <v>80</v>
      </c>
      <c r="F52" s="245">
        <f t="shared" si="7"/>
        <v>349</v>
      </c>
      <c r="G52" s="979">
        <f t="shared" si="8"/>
        <v>2087.25</v>
      </c>
      <c r="H52" s="244">
        <f>GETPIVOTDATA("Sum of Enforcement_Tally",auditsoutcomepremisespivot!$B$4,"Type of Premises",A52)</f>
        <v>0</v>
      </c>
      <c r="I52" s="244">
        <f>GETPIVOTDATA("Sum of Enforcement_Hours",auditsoutcomepremisespivot!$B$4,"Type of Premises",A52)</f>
        <v>0</v>
      </c>
      <c r="J52" s="244">
        <f>GETPIVOTDATA("Sum of Prohibition_Tally",auditsoutcomepremisespivot!$B$4,"Type of Premises",A52)</f>
        <v>3</v>
      </c>
      <c r="K52" s="244">
        <f>GETPIVOTDATA("Sum of Prohibition_Hours",auditsoutcomepremisespivot!$B$4,"Type of Premises",A52)</f>
        <v>36.5</v>
      </c>
      <c r="L52" s="543">
        <f t="shared" si="9"/>
        <v>96.275071633237815</v>
      </c>
      <c r="M52" s="885">
        <f t="shared" si="10"/>
        <v>5.973958333333333</v>
      </c>
      <c r="N52" s="886">
        <f t="shared" si="11"/>
        <v>6.1538461538461542</v>
      </c>
      <c r="O52" s="886">
        <f t="shared" si="12"/>
        <v>0</v>
      </c>
      <c r="P52" s="886">
        <f t="shared" si="13"/>
        <v>12.166666666666666</v>
      </c>
      <c r="Q52" s="398"/>
    </row>
    <row r="53" spans="1:19" x14ac:dyDescent="0.35">
      <c r="A53" s="250" t="s">
        <v>1159</v>
      </c>
      <c r="B53" s="244">
        <f>GETPIVOTDATA("Sum of A_Tally",auditsoutcomepremisespivot!$B$4,"Type of Premises",A53)</f>
        <v>203</v>
      </c>
      <c r="C53" s="244">
        <f>GETPIVOTDATA("Sum of A_Hours",auditsoutcomepremisespivot!$B$4,"Type of Premises",A53)</f>
        <v>1192.5</v>
      </c>
      <c r="D53" s="244">
        <f>GETPIVOTDATA("Sum of B_Tally",auditsoutcomepremisespivot!$B$4,"Type of Premises",A53)</f>
        <v>6</v>
      </c>
      <c r="E53" s="244">
        <f>GETPIVOTDATA("Sum of B_Hours",auditsoutcomepremisespivot!$B$4,"Type of Premises",A53)</f>
        <v>132.5</v>
      </c>
      <c r="F53" s="245">
        <f t="shared" si="7"/>
        <v>209</v>
      </c>
      <c r="G53" s="979">
        <f t="shared" si="8"/>
        <v>1325</v>
      </c>
      <c r="H53" s="244">
        <f>GETPIVOTDATA("Sum of Enforcement_Tally",auditsoutcomepremisespivot!$B$4,"Type of Premises",A53)</f>
        <v>0</v>
      </c>
      <c r="I53" s="244">
        <f>GETPIVOTDATA("Sum of Enforcement_Hours",auditsoutcomepremisespivot!$B$4,"Type of Premises",A53)</f>
        <v>0</v>
      </c>
      <c r="J53" s="244">
        <f>GETPIVOTDATA("Sum of Prohibition_Tally",auditsoutcomepremisespivot!$B$4,"Type of Premises",A53)</f>
        <v>0</v>
      </c>
      <c r="K53" s="244">
        <f>GETPIVOTDATA("Sum of Prohibition_Hours",auditsoutcomepremisespivot!$B$4,"Type of Premises",A53)</f>
        <v>0</v>
      </c>
      <c r="L53" s="543">
        <f t="shared" si="9"/>
        <v>97.129186602870817</v>
      </c>
      <c r="M53" s="885">
        <f t="shared" si="10"/>
        <v>5.874384236453202</v>
      </c>
      <c r="N53" s="886">
        <f t="shared" si="11"/>
        <v>22.083333333333332</v>
      </c>
      <c r="O53" s="886">
        <f t="shared" si="12"/>
        <v>0</v>
      </c>
      <c r="P53" s="886">
        <f t="shared" si="13"/>
        <v>0</v>
      </c>
      <c r="Q53" s="398"/>
    </row>
    <row r="54" spans="1:19" x14ac:dyDescent="0.35">
      <c r="A54" s="12" t="s">
        <v>1151</v>
      </c>
      <c r="B54" s="244">
        <f>GETPIVOTDATA("Sum of A_Tally",auditsoutcomepremisespivot!$B$4,"Type of Premises",A54)</f>
        <v>219</v>
      </c>
      <c r="C54" s="244">
        <f>GETPIVOTDATA("Sum of A_Hours",auditsoutcomepremisespivot!$B$4,"Type of Premises",A54)</f>
        <v>1302.5</v>
      </c>
      <c r="D54" s="244">
        <f>GETPIVOTDATA("Sum of B_Tally",auditsoutcomepremisespivot!$B$4,"Type of Premises",A54)</f>
        <v>5</v>
      </c>
      <c r="E54" s="244">
        <f>GETPIVOTDATA("Sum of B_Hours",auditsoutcomepremisespivot!$B$4,"Type of Premises",A54)</f>
        <v>162.75</v>
      </c>
      <c r="F54" s="245">
        <f t="shared" si="7"/>
        <v>224</v>
      </c>
      <c r="G54" s="979">
        <f t="shared" si="8"/>
        <v>1465.25</v>
      </c>
      <c r="H54" s="244">
        <f>GETPIVOTDATA("Sum of Enforcement_Tally",auditsoutcomepremisespivot!$B$4,"Type of Premises",A54)</f>
        <v>1</v>
      </c>
      <c r="I54" s="244">
        <f>GETPIVOTDATA("Sum of Enforcement_Hours",auditsoutcomepremisespivot!$B$4,"Type of Premises",A54)</f>
        <v>81.5</v>
      </c>
      <c r="J54" s="244">
        <f>GETPIVOTDATA("Sum of Prohibition_Tally",auditsoutcomepremisespivot!$B$4,"Type of Premises",A54)</f>
        <v>0</v>
      </c>
      <c r="K54" s="244">
        <f>GETPIVOTDATA("Sum of Prohibition_Hours",auditsoutcomepremisespivot!$B$4,"Type of Premises",A54)</f>
        <v>0</v>
      </c>
      <c r="L54" s="543">
        <f t="shared" si="9"/>
        <v>97.767857142857139</v>
      </c>
      <c r="M54" s="885">
        <f t="shared" si="10"/>
        <v>5.9474885844748862</v>
      </c>
      <c r="N54" s="886">
        <f t="shared" si="11"/>
        <v>32.549999999999997</v>
      </c>
      <c r="O54" s="886">
        <f t="shared" si="12"/>
        <v>81.5</v>
      </c>
      <c r="P54" s="886">
        <f t="shared" si="13"/>
        <v>0</v>
      </c>
      <c r="Q54" s="398"/>
    </row>
    <row r="55" spans="1:19" x14ac:dyDescent="0.35">
      <c r="A55" s="250" t="s">
        <v>1158</v>
      </c>
      <c r="B55" s="244">
        <f>GETPIVOTDATA("Sum of A_Tally",auditsoutcomepremisespivot!$B$4,"Type of Premises",A55)</f>
        <v>212</v>
      </c>
      <c r="C55" s="244">
        <f>GETPIVOTDATA("Sum of A_Hours",auditsoutcomepremisespivot!$B$4,"Type of Premises",A55)</f>
        <v>1052.25</v>
      </c>
      <c r="D55" s="244">
        <f>GETPIVOTDATA("Sum of B_Tally",auditsoutcomepremisespivot!$B$4,"Type of Premises",A55)</f>
        <v>0</v>
      </c>
      <c r="E55" s="244">
        <f>GETPIVOTDATA("Sum of B_Hours",auditsoutcomepremisespivot!$B$4,"Type of Premises",A55)</f>
        <v>0</v>
      </c>
      <c r="F55" s="245">
        <f t="shared" si="7"/>
        <v>212</v>
      </c>
      <c r="G55" s="980">
        <f t="shared" si="8"/>
        <v>1052.25</v>
      </c>
      <c r="H55" s="244">
        <f>GETPIVOTDATA("Sum of Enforcement_Tally",auditsoutcomepremisespivot!$B$4,"Type of Premises",A55)</f>
        <v>0</v>
      </c>
      <c r="I55" s="244">
        <f>GETPIVOTDATA("Sum of Enforcement_Hours",auditsoutcomepremisespivot!$B$4,"Type of Premises",A55)</f>
        <v>0</v>
      </c>
      <c r="J55" s="244">
        <f>GETPIVOTDATA("Sum of Prohibition_Tally",auditsoutcomepremisespivot!$B$4,"Type of Premises",A55)</f>
        <v>0</v>
      </c>
      <c r="K55" s="244">
        <f>GETPIVOTDATA("Sum of Prohibition_Hours",auditsoutcomepremisespivot!$B$4,"Type of Premises",A55)</f>
        <v>0</v>
      </c>
      <c r="L55" s="543">
        <f t="shared" si="9"/>
        <v>100</v>
      </c>
      <c r="M55" s="885">
        <f t="shared" si="10"/>
        <v>4.9634433962264151</v>
      </c>
      <c r="N55" s="886" t="str">
        <f>IFERROR("-",E55/D55)</f>
        <v>-</v>
      </c>
      <c r="O55" s="886">
        <f t="shared" si="12"/>
        <v>0</v>
      </c>
      <c r="P55" s="886">
        <f t="shared" si="13"/>
        <v>0</v>
      </c>
      <c r="S55" s="398"/>
    </row>
    <row r="56" spans="1:19" x14ac:dyDescent="0.35">
      <c r="A56" s="250" t="s">
        <v>1192</v>
      </c>
      <c r="B56" s="244">
        <f>GETPIVOTDATA("Sum of A_Tally",auditsoutcomepremisespivot!$B$4,"Type of Premises",A56)</f>
        <v>127</v>
      </c>
      <c r="C56" s="244">
        <f>GETPIVOTDATA("Sum of A_Hours",auditsoutcomepremisespivot!$B$4,"Type of Premises",A56)</f>
        <v>712.5</v>
      </c>
      <c r="D56" s="244">
        <f>GETPIVOTDATA("Sum of B_Tally",auditsoutcomepremisespivot!$B$4,"Type of Premises",A56)</f>
        <v>2</v>
      </c>
      <c r="E56" s="244">
        <f>GETPIVOTDATA("Sum of B_Hours",auditsoutcomepremisespivot!$B$4,"Type of Premises",A56)</f>
        <v>16.75</v>
      </c>
      <c r="F56" s="245">
        <f t="shared" si="7"/>
        <v>129</v>
      </c>
      <c r="G56" s="981">
        <f t="shared" si="8"/>
        <v>729.25</v>
      </c>
      <c r="H56" s="244">
        <f>GETPIVOTDATA("Sum of Enforcement_Tally",auditsoutcomepremisespivot!$B$4,"Type of Premises",A56)</f>
        <v>0</v>
      </c>
      <c r="I56" s="244">
        <f>GETPIVOTDATA("Sum of Enforcement_Hours",auditsoutcomepremisespivot!$B$4,"Type of Premises",A56)</f>
        <v>0</v>
      </c>
      <c r="J56" s="244">
        <f>GETPIVOTDATA("Sum of Prohibition_Tally",auditsoutcomepremisespivot!$B$4,"Type of Premises",A56)</f>
        <v>0</v>
      </c>
      <c r="K56" s="244">
        <f>GETPIVOTDATA("Sum of Prohibition_Hours",auditsoutcomepremisespivot!$B$4,"Type of Premises",A56)</f>
        <v>0</v>
      </c>
      <c r="L56" s="543">
        <f t="shared" si="9"/>
        <v>98.449612403100772</v>
      </c>
      <c r="M56" s="885">
        <f t="shared" si="10"/>
        <v>5.6102362204724407</v>
      </c>
      <c r="N56" s="886" t="str">
        <f>IFERROR("-",E56/D56)</f>
        <v>-</v>
      </c>
      <c r="O56" s="886">
        <f t="shared" si="12"/>
        <v>0</v>
      </c>
      <c r="P56" s="886">
        <f t="shared" si="13"/>
        <v>0</v>
      </c>
    </row>
    <row r="57" spans="1:19" ht="15" thickBot="1" x14ac:dyDescent="0.4">
      <c r="A57" s="33" t="s">
        <v>348</v>
      </c>
      <c r="B57" s="251">
        <f>SUM(B42:B56)</f>
        <v>8461</v>
      </c>
      <c r="C57" s="251">
        <f>SUM(C42:C56)</f>
        <v>47569.5</v>
      </c>
      <c r="D57" s="251">
        <f t="shared" ref="D57:E57" si="14">SUM(D42:D56)</f>
        <v>307</v>
      </c>
      <c r="E57" s="251">
        <f t="shared" si="14"/>
        <v>3445</v>
      </c>
      <c r="F57" s="251">
        <f>SUM(F42:F56)</f>
        <v>8768</v>
      </c>
      <c r="G57" s="251">
        <f>SUM(G42:G56)</f>
        <v>51014.5</v>
      </c>
      <c r="H57" s="546">
        <f t="shared" ref="H57:K57" si="15">SUM(H42:H56)</f>
        <v>2</v>
      </c>
      <c r="I57" s="251">
        <f t="shared" si="15"/>
        <v>146</v>
      </c>
      <c r="J57" s="251">
        <f t="shared" si="15"/>
        <v>6</v>
      </c>
      <c r="K57" s="251">
        <f t="shared" si="15"/>
        <v>85.5</v>
      </c>
      <c r="L57" s="544">
        <f>B57/F57%</f>
        <v>96.498631386861305</v>
      </c>
      <c r="M57" s="883">
        <f t="shared" si="10"/>
        <v>5.6222077768585272</v>
      </c>
      <c r="N57" s="884">
        <f t="shared" si="11"/>
        <v>11.221498371335505</v>
      </c>
      <c r="O57" s="884">
        <f t="shared" si="12"/>
        <v>73</v>
      </c>
      <c r="P57" s="884">
        <f t="shared" si="13"/>
        <v>14.25</v>
      </c>
      <c r="Q57" s="255"/>
    </row>
    <row r="58" spans="1:19" ht="18" customHeight="1" x14ac:dyDescent="0.35">
      <c r="A58" s="29"/>
      <c r="B58" s="252"/>
      <c r="C58" s="252"/>
      <c r="D58" s="252"/>
      <c r="E58" s="252"/>
      <c r="F58" s="252"/>
      <c r="G58" s="252"/>
      <c r="H58" s="252"/>
      <c r="I58" s="253"/>
      <c r="J58" s="252"/>
      <c r="K58" s="254"/>
      <c r="L58" s="15"/>
      <c r="M58" s="15"/>
      <c r="N58" s="15"/>
      <c r="O58" s="15"/>
      <c r="P58" s="15"/>
      <c r="Q58" s="15"/>
    </row>
    <row r="59" spans="1:19" x14ac:dyDescent="0.35">
      <c r="A59" s="336" t="s">
        <v>329</v>
      </c>
      <c r="B59" s="15"/>
      <c r="C59" s="15"/>
      <c r="D59" s="15"/>
      <c r="E59" s="15"/>
      <c r="F59" s="15"/>
      <c r="G59" s="15"/>
      <c r="H59" s="277"/>
      <c r="I59" s="277"/>
      <c r="J59" s="15"/>
      <c r="K59" s="15"/>
      <c r="L59" s="571"/>
      <c r="M59" s="571"/>
      <c r="N59" s="571"/>
      <c r="O59" s="571"/>
      <c r="P59" s="571"/>
      <c r="Q59" s="15"/>
    </row>
    <row r="60" spans="1:19" x14ac:dyDescent="0.35">
      <c r="A60" s="338" t="s">
        <v>1249</v>
      </c>
      <c r="B60" s="15"/>
      <c r="C60" s="15"/>
      <c r="D60" s="15"/>
      <c r="E60" s="15"/>
      <c r="F60" s="15"/>
      <c r="G60" s="15"/>
      <c r="H60" s="277"/>
      <c r="I60" s="277"/>
      <c r="J60" s="15"/>
      <c r="K60" s="15"/>
      <c r="L60" s="15"/>
      <c r="M60" s="15"/>
      <c r="N60" s="15"/>
      <c r="O60" s="15"/>
      <c r="P60" s="15"/>
      <c r="Q60" s="571"/>
      <c r="R60" s="571"/>
    </row>
    <row r="61" spans="1:19" ht="47.15" customHeight="1" x14ac:dyDescent="0.35">
      <c r="A61" s="1020" t="s">
        <v>1256</v>
      </c>
      <c r="B61" s="1020"/>
      <c r="C61" s="1020"/>
      <c r="D61" s="1020"/>
      <c r="E61" s="1020"/>
      <c r="F61" s="1020"/>
      <c r="G61" s="1020"/>
      <c r="H61" s="1020"/>
      <c r="I61" s="571"/>
      <c r="J61" s="571"/>
      <c r="K61" s="571"/>
      <c r="Q61" s="15"/>
    </row>
    <row r="62" spans="1:19" x14ac:dyDescent="0.35">
      <c r="A62" s="338" t="s">
        <v>1252</v>
      </c>
      <c r="B62" s="15"/>
      <c r="C62" s="15"/>
      <c r="D62" s="15"/>
      <c r="E62" s="15"/>
      <c r="F62" s="15"/>
      <c r="G62" s="15"/>
      <c r="H62" s="15"/>
      <c r="I62" s="15"/>
      <c r="J62" s="15"/>
      <c r="K62" s="15"/>
    </row>
    <row r="63" spans="1:19" x14ac:dyDescent="0.35">
      <c r="A63" s="338"/>
    </row>
  </sheetData>
  <sheetProtection algorithmName="SHA-512" hashValue="5hgpf2jHCYX/VFEXhTa/VsVfRompxVtq2VoLYEWICYke5ETS+0xwmr979umdCY3MiROjn47A2MK5vKzlnQ149w==" saltValue="GcoyjxOTegiTiqkILOUeLQ==" spinCount="100000" sheet="1" scenarios="1" formatCells="0" sort="0" autoFilter="0" pivotTables="0"/>
  <mergeCells count="14">
    <mergeCell ref="A61:H61"/>
    <mergeCell ref="B40:C40"/>
    <mergeCell ref="F40:G40"/>
    <mergeCell ref="A31:I31"/>
    <mergeCell ref="J40:K40"/>
    <mergeCell ref="H40:I40"/>
    <mergeCell ref="D40:E40"/>
    <mergeCell ref="F9:G9"/>
    <mergeCell ref="A4:Q4"/>
    <mergeCell ref="B9:C9"/>
    <mergeCell ref="D9:E9"/>
    <mergeCell ref="H9:I9"/>
    <mergeCell ref="J9:K9"/>
    <mergeCell ref="N9:P9"/>
  </mergeCells>
  <hyperlinks>
    <hyperlink ref="A2" location="'Table of Contents'!A1" display="Back to Table of Contents" xr:uid="{00000000-0004-0000-A800-000000000000}"/>
  </hyperlinks>
  <pageMargins left="0.70866141732283472" right="0.70866141732283472" top="0.74803149606299213" bottom="0.74803149606299213" header="0.31496062992125984" footer="0.31496062992125984"/>
  <pageSetup paperSize="9" scale="62" orientation="landscape" r:id="rId1"/>
  <drawing r:id="rId2"/>
  <extLst>
    <ext xmlns:x14="http://schemas.microsoft.com/office/spreadsheetml/2009/9/main" uri="{A8765BA9-456A-4dab-B4F3-ACF838C121DE}">
      <x14:slicerList>
        <x14:slicer r:id="rId3"/>
      </x14:slicerList>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theme="3" tint="0.39997558519241921"/>
  </sheetPr>
  <dimension ref="A1:I36"/>
  <sheetViews>
    <sheetView workbookViewId="0">
      <selection activeCell="C12" sqref="C12"/>
    </sheetView>
  </sheetViews>
  <sheetFormatPr defaultRowHeight="14.5" x14ac:dyDescent="0.35"/>
  <cols>
    <col min="1" max="1" width="20.81640625" bestFit="1" customWidth="1"/>
    <col min="2" max="2" width="13.453125" bestFit="1" customWidth="1"/>
    <col min="3" max="3" width="14.453125" bestFit="1" customWidth="1"/>
    <col min="4" max="4" width="13.36328125" bestFit="1" customWidth="1"/>
    <col min="5" max="5" width="14.26953125" bestFit="1" customWidth="1"/>
    <col min="6" max="6" width="23.453125" bestFit="1" customWidth="1"/>
    <col min="7" max="7" width="24.54296875" bestFit="1" customWidth="1"/>
    <col min="8" max="8" width="22.08984375" bestFit="1" customWidth="1"/>
    <col min="9" max="9" width="23" bestFit="1" customWidth="1"/>
  </cols>
  <sheetData>
    <row r="1" spans="1:9" x14ac:dyDescent="0.35">
      <c r="A1" s="387" t="s">
        <v>207</v>
      </c>
      <c r="B1" t="s">
        <v>466</v>
      </c>
    </row>
    <row r="3" spans="1:9" x14ac:dyDescent="0.35">
      <c r="A3" s="387" t="s">
        <v>350</v>
      </c>
      <c r="B3" t="s">
        <v>1222</v>
      </c>
      <c r="C3" t="s">
        <v>1223</v>
      </c>
      <c r="D3" t="s">
        <v>1224</v>
      </c>
      <c r="E3" t="s">
        <v>1225</v>
      </c>
      <c r="F3" t="s">
        <v>1226</v>
      </c>
      <c r="G3" t="s">
        <v>1227</v>
      </c>
      <c r="H3" t="s">
        <v>1228</v>
      </c>
      <c r="I3" t="s">
        <v>1229</v>
      </c>
    </row>
    <row r="4" spans="1:9" x14ac:dyDescent="0.35">
      <c r="A4" s="388" t="s">
        <v>216</v>
      </c>
      <c r="B4">
        <v>404</v>
      </c>
      <c r="C4">
        <v>2431</v>
      </c>
      <c r="D4">
        <v>3</v>
      </c>
      <c r="E4">
        <v>100.75</v>
      </c>
      <c r="F4">
        <v>1</v>
      </c>
      <c r="G4">
        <v>81.5</v>
      </c>
    </row>
    <row r="5" spans="1:9" x14ac:dyDescent="0.35">
      <c r="A5" s="388" t="s">
        <v>221</v>
      </c>
      <c r="B5">
        <v>336</v>
      </c>
      <c r="C5">
        <v>2281.25</v>
      </c>
      <c r="D5">
        <v>19</v>
      </c>
      <c r="E5">
        <v>284.75</v>
      </c>
      <c r="H5">
        <v>1</v>
      </c>
      <c r="I5">
        <v>18.5</v>
      </c>
    </row>
    <row r="6" spans="1:9" x14ac:dyDescent="0.35">
      <c r="A6" s="388" t="s">
        <v>225</v>
      </c>
      <c r="B6">
        <v>69</v>
      </c>
      <c r="C6">
        <v>380.75</v>
      </c>
      <c r="D6">
        <v>1</v>
      </c>
      <c r="E6">
        <v>6.75</v>
      </c>
    </row>
    <row r="7" spans="1:9" x14ac:dyDescent="0.35">
      <c r="A7" s="388" t="s">
        <v>229</v>
      </c>
      <c r="B7">
        <v>485</v>
      </c>
      <c r="C7">
        <v>2805</v>
      </c>
      <c r="D7">
        <v>23</v>
      </c>
      <c r="E7">
        <v>267.5</v>
      </c>
      <c r="H7">
        <v>1</v>
      </c>
      <c r="I7">
        <v>19.75</v>
      </c>
    </row>
    <row r="8" spans="1:9" x14ac:dyDescent="0.35">
      <c r="A8" s="388" t="s">
        <v>235</v>
      </c>
      <c r="B8">
        <v>655</v>
      </c>
      <c r="C8">
        <v>3002.5</v>
      </c>
      <c r="D8">
        <v>51</v>
      </c>
      <c r="E8">
        <v>430.75</v>
      </c>
    </row>
    <row r="9" spans="1:9" x14ac:dyDescent="0.35">
      <c r="A9" s="388" t="s">
        <v>241</v>
      </c>
      <c r="B9">
        <v>51</v>
      </c>
      <c r="C9">
        <v>340.5</v>
      </c>
      <c r="D9">
        <v>2</v>
      </c>
      <c r="E9">
        <v>12.75</v>
      </c>
    </row>
    <row r="10" spans="1:9" x14ac:dyDescent="0.35">
      <c r="A10" s="388" t="s">
        <v>245</v>
      </c>
      <c r="B10">
        <v>572</v>
      </c>
      <c r="C10">
        <v>3808.25</v>
      </c>
      <c r="D10">
        <v>10</v>
      </c>
      <c r="E10">
        <v>84</v>
      </c>
    </row>
    <row r="11" spans="1:9" x14ac:dyDescent="0.35">
      <c r="A11" s="388" t="s">
        <v>248</v>
      </c>
      <c r="B11">
        <v>316</v>
      </c>
      <c r="C11">
        <v>1340.5</v>
      </c>
      <c r="D11">
        <v>7</v>
      </c>
      <c r="E11">
        <v>75</v>
      </c>
    </row>
    <row r="12" spans="1:9" x14ac:dyDescent="0.35">
      <c r="A12" s="388" t="s">
        <v>250</v>
      </c>
      <c r="B12">
        <v>171</v>
      </c>
      <c r="C12">
        <v>795.5</v>
      </c>
      <c r="D12">
        <v>7</v>
      </c>
      <c r="E12">
        <v>148</v>
      </c>
    </row>
    <row r="13" spans="1:9" x14ac:dyDescent="0.35">
      <c r="A13" s="388" t="s">
        <v>254</v>
      </c>
      <c r="B13">
        <v>71</v>
      </c>
      <c r="C13">
        <v>426.25</v>
      </c>
      <c r="D13">
        <v>4</v>
      </c>
      <c r="E13">
        <v>38.75</v>
      </c>
    </row>
    <row r="14" spans="1:9" x14ac:dyDescent="0.35">
      <c r="A14" s="388" t="s">
        <v>256</v>
      </c>
      <c r="B14">
        <v>122</v>
      </c>
      <c r="C14">
        <v>650.25</v>
      </c>
      <c r="D14">
        <v>1</v>
      </c>
      <c r="E14">
        <v>5.75</v>
      </c>
    </row>
    <row r="15" spans="1:9" x14ac:dyDescent="0.35">
      <c r="A15" s="388" t="s">
        <v>260</v>
      </c>
      <c r="B15">
        <v>46</v>
      </c>
      <c r="C15">
        <v>232.75</v>
      </c>
    </row>
    <row r="16" spans="1:9" x14ac:dyDescent="0.35">
      <c r="A16" s="388" t="s">
        <v>264</v>
      </c>
      <c r="B16">
        <v>167</v>
      </c>
      <c r="C16">
        <v>880.25</v>
      </c>
    </row>
    <row r="17" spans="1:9" x14ac:dyDescent="0.35">
      <c r="A17" s="388" t="s">
        <v>268</v>
      </c>
      <c r="B17">
        <v>529</v>
      </c>
      <c r="C17">
        <v>3427.25</v>
      </c>
      <c r="D17">
        <v>10</v>
      </c>
      <c r="E17">
        <v>73.75</v>
      </c>
    </row>
    <row r="18" spans="1:9" x14ac:dyDescent="0.35">
      <c r="A18" s="388" t="s">
        <v>271</v>
      </c>
      <c r="B18">
        <v>1331</v>
      </c>
      <c r="C18">
        <v>5962.5</v>
      </c>
      <c r="D18">
        <v>70</v>
      </c>
      <c r="E18">
        <v>441.25</v>
      </c>
      <c r="H18">
        <v>1</v>
      </c>
      <c r="I18">
        <v>5.5</v>
      </c>
    </row>
    <row r="19" spans="1:9" x14ac:dyDescent="0.35">
      <c r="A19" s="388" t="s">
        <v>274</v>
      </c>
      <c r="B19">
        <v>379</v>
      </c>
      <c r="C19">
        <v>2709.25</v>
      </c>
      <c r="D19">
        <v>23</v>
      </c>
      <c r="E19">
        <v>379.25</v>
      </c>
      <c r="F19">
        <v>1</v>
      </c>
      <c r="G19">
        <v>64.5</v>
      </c>
    </row>
    <row r="20" spans="1:9" x14ac:dyDescent="0.35">
      <c r="A20" s="388" t="s">
        <v>278</v>
      </c>
      <c r="B20">
        <v>88</v>
      </c>
      <c r="C20">
        <v>454</v>
      </c>
      <c r="D20">
        <v>3</v>
      </c>
      <c r="E20">
        <v>32</v>
      </c>
    </row>
    <row r="21" spans="1:9" x14ac:dyDescent="0.35">
      <c r="A21" s="388" t="s">
        <v>280</v>
      </c>
      <c r="B21">
        <v>147</v>
      </c>
      <c r="C21">
        <v>852.25</v>
      </c>
      <c r="D21">
        <v>6</v>
      </c>
      <c r="E21">
        <v>36</v>
      </c>
    </row>
    <row r="22" spans="1:9" x14ac:dyDescent="0.35">
      <c r="A22" s="388" t="s">
        <v>282</v>
      </c>
      <c r="B22">
        <v>99</v>
      </c>
      <c r="C22">
        <v>742.75</v>
      </c>
      <c r="D22">
        <v>11</v>
      </c>
      <c r="E22">
        <v>240.25</v>
      </c>
    </row>
    <row r="23" spans="1:9" x14ac:dyDescent="0.35">
      <c r="A23" s="388" t="s">
        <v>284</v>
      </c>
      <c r="B23">
        <v>35</v>
      </c>
      <c r="C23">
        <v>226.75</v>
      </c>
      <c r="D23">
        <v>1</v>
      </c>
      <c r="E23">
        <v>14.75</v>
      </c>
    </row>
    <row r="24" spans="1:9" x14ac:dyDescent="0.35">
      <c r="A24" s="388" t="s">
        <v>288</v>
      </c>
      <c r="B24">
        <v>159</v>
      </c>
      <c r="C24">
        <v>988.75</v>
      </c>
      <c r="D24">
        <v>10</v>
      </c>
      <c r="E24">
        <v>237.5</v>
      </c>
    </row>
    <row r="25" spans="1:9" x14ac:dyDescent="0.35">
      <c r="A25" s="388" t="s">
        <v>290</v>
      </c>
      <c r="B25">
        <v>336</v>
      </c>
      <c r="C25">
        <v>1735</v>
      </c>
      <c r="D25">
        <v>8</v>
      </c>
      <c r="E25">
        <v>44</v>
      </c>
      <c r="H25">
        <v>1</v>
      </c>
      <c r="I25">
        <v>31</v>
      </c>
    </row>
    <row r="26" spans="1:9" x14ac:dyDescent="0.35">
      <c r="A26" s="388" t="s">
        <v>293</v>
      </c>
      <c r="B26">
        <v>42</v>
      </c>
      <c r="C26">
        <v>233.5</v>
      </c>
      <c r="D26">
        <v>1</v>
      </c>
      <c r="E26">
        <v>9</v>
      </c>
    </row>
    <row r="27" spans="1:9" x14ac:dyDescent="0.35">
      <c r="A27" s="388" t="s">
        <v>295</v>
      </c>
      <c r="B27">
        <v>187</v>
      </c>
      <c r="C27">
        <v>1193.5</v>
      </c>
      <c r="D27">
        <v>6</v>
      </c>
      <c r="E27">
        <v>70</v>
      </c>
    </row>
    <row r="28" spans="1:9" x14ac:dyDescent="0.35">
      <c r="A28" s="388" t="s">
        <v>297</v>
      </c>
      <c r="B28">
        <v>278</v>
      </c>
      <c r="C28">
        <v>1165.75</v>
      </c>
      <c r="D28">
        <v>2</v>
      </c>
      <c r="E28">
        <v>11.25</v>
      </c>
      <c r="H28">
        <v>1</v>
      </c>
      <c r="I28">
        <v>0</v>
      </c>
    </row>
    <row r="29" spans="1:9" x14ac:dyDescent="0.35">
      <c r="A29" s="388" t="s">
        <v>299</v>
      </c>
      <c r="B29">
        <v>197</v>
      </c>
      <c r="C29">
        <v>1006</v>
      </c>
      <c r="D29">
        <v>8</v>
      </c>
      <c r="E29">
        <v>72</v>
      </c>
    </row>
    <row r="30" spans="1:9" x14ac:dyDescent="0.35">
      <c r="A30" s="388" t="s">
        <v>301</v>
      </c>
      <c r="B30">
        <v>62</v>
      </c>
      <c r="C30">
        <v>373.5</v>
      </c>
      <c r="D30">
        <v>1</v>
      </c>
      <c r="E30">
        <v>28</v>
      </c>
    </row>
    <row r="31" spans="1:9" x14ac:dyDescent="0.35">
      <c r="A31" s="388" t="s">
        <v>303</v>
      </c>
      <c r="B31">
        <v>277</v>
      </c>
      <c r="C31">
        <v>1628</v>
      </c>
      <c r="D31">
        <v>3</v>
      </c>
      <c r="E31">
        <v>34.5</v>
      </c>
      <c r="H31">
        <v>1</v>
      </c>
      <c r="I31">
        <v>10.75</v>
      </c>
    </row>
    <row r="32" spans="1:9" x14ac:dyDescent="0.35">
      <c r="A32" s="388" t="s">
        <v>305</v>
      </c>
      <c r="B32">
        <v>360</v>
      </c>
      <c r="C32">
        <v>2761</v>
      </c>
      <c r="D32">
        <v>10</v>
      </c>
      <c r="E32">
        <v>219.75</v>
      </c>
    </row>
    <row r="33" spans="1:9" x14ac:dyDescent="0.35">
      <c r="A33" s="388" t="s">
        <v>308</v>
      </c>
      <c r="B33">
        <v>156</v>
      </c>
      <c r="C33">
        <v>987.75</v>
      </c>
      <c r="D33">
        <v>2</v>
      </c>
      <c r="E33">
        <v>21.5</v>
      </c>
    </row>
    <row r="34" spans="1:9" x14ac:dyDescent="0.35">
      <c r="A34" s="388" t="s">
        <v>310</v>
      </c>
      <c r="B34">
        <v>94</v>
      </c>
      <c r="C34">
        <v>563.75</v>
      </c>
      <c r="D34">
        <v>4</v>
      </c>
      <c r="E34">
        <v>25.5</v>
      </c>
    </row>
    <row r="35" spans="1:9" x14ac:dyDescent="0.35">
      <c r="A35" s="388" t="s">
        <v>312</v>
      </c>
      <c r="B35">
        <v>240</v>
      </c>
      <c r="C35">
        <v>1183.5</v>
      </c>
    </row>
    <row r="36" spans="1:9" x14ac:dyDescent="0.35">
      <c r="A36" s="388" t="s">
        <v>357</v>
      </c>
      <c r="B36">
        <v>8461</v>
      </c>
      <c r="C36">
        <v>47569.5</v>
      </c>
      <c r="D36">
        <v>307</v>
      </c>
      <c r="E36">
        <v>3445</v>
      </c>
      <c r="F36">
        <v>2</v>
      </c>
      <c r="G36">
        <v>146</v>
      </c>
      <c r="H36">
        <v>6</v>
      </c>
      <c r="I36">
        <v>85.5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3" tint="0.39997558519241921"/>
  </sheetPr>
  <dimension ref="A1:K353"/>
  <sheetViews>
    <sheetView topLeftCell="A157" workbookViewId="0">
      <selection activeCell="C167" sqref="C167"/>
    </sheetView>
  </sheetViews>
  <sheetFormatPr defaultRowHeight="14.5" x14ac:dyDescent="0.35"/>
  <cols>
    <col min="1" max="1" width="7.453125" bestFit="1" customWidth="1"/>
    <col min="2" max="2" width="20.81640625" bestFit="1" customWidth="1"/>
    <col min="3" max="3" width="10.90625" bestFit="1" customWidth="1"/>
    <col min="4" max="4" width="9.36328125" bestFit="1" customWidth="1"/>
    <col min="5" max="5" width="10.36328125" bestFit="1" customWidth="1"/>
    <col min="6" max="6" width="9.26953125" bestFit="1" customWidth="1"/>
    <col min="7" max="7" width="10.1796875" bestFit="1" customWidth="1"/>
    <col min="8" max="8" width="19.36328125" bestFit="1" customWidth="1"/>
    <col min="9" max="9" width="20.26953125" bestFit="1" customWidth="1"/>
    <col min="10" max="10" width="17.81640625" bestFit="1" customWidth="1"/>
    <col min="11" max="11" width="18.90625" bestFit="1" customWidth="1"/>
  </cols>
  <sheetData>
    <row r="1" spans="1:11" x14ac:dyDescent="0.35">
      <c r="A1" t="s">
        <v>606</v>
      </c>
      <c r="B1" t="s">
        <v>925</v>
      </c>
      <c r="C1" t="s">
        <v>1091</v>
      </c>
      <c r="D1" t="s">
        <v>1231</v>
      </c>
      <c r="E1" t="s">
        <v>1232</v>
      </c>
      <c r="F1" t="s">
        <v>1233</v>
      </c>
      <c r="G1" t="s">
        <v>1234</v>
      </c>
      <c r="H1" t="s">
        <v>1235</v>
      </c>
      <c r="I1" t="s">
        <v>1236</v>
      </c>
      <c r="J1" t="s">
        <v>1237</v>
      </c>
      <c r="K1" t="s">
        <v>1238</v>
      </c>
    </row>
    <row r="2" spans="1:11" x14ac:dyDescent="0.35">
      <c r="A2" t="s">
        <v>365</v>
      </c>
      <c r="B2" t="s">
        <v>260</v>
      </c>
      <c r="C2" t="s">
        <v>259</v>
      </c>
      <c r="D2">
        <v>111</v>
      </c>
      <c r="E2">
        <v>761.5</v>
      </c>
      <c r="F2">
        <v>8</v>
      </c>
      <c r="G2">
        <v>133</v>
      </c>
    </row>
    <row r="3" spans="1:11" x14ac:dyDescent="0.35">
      <c r="A3" t="s">
        <v>365</v>
      </c>
      <c r="B3" t="s">
        <v>274</v>
      </c>
      <c r="C3" t="s">
        <v>273</v>
      </c>
      <c r="D3">
        <v>259</v>
      </c>
      <c r="E3">
        <v>1846.75</v>
      </c>
      <c r="F3">
        <v>17</v>
      </c>
      <c r="G3">
        <v>253.25</v>
      </c>
      <c r="H3">
        <v>5</v>
      </c>
      <c r="I3">
        <v>112.5</v>
      </c>
    </row>
    <row r="4" spans="1:11" x14ac:dyDescent="0.35">
      <c r="A4" t="s">
        <v>365</v>
      </c>
      <c r="B4" t="s">
        <v>278</v>
      </c>
      <c r="C4" t="s">
        <v>277</v>
      </c>
      <c r="D4">
        <v>142</v>
      </c>
      <c r="E4">
        <v>600.5</v>
      </c>
      <c r="F4">
        <v>5</v>
      </c>
      <c r="G4">
        <v>37.75</v>
      </c>
    </row>
    <row r="5" spans="1:11" x14ac:dyDescent="0.35">
      <c r="A5" t="s">
        <v>365</v>
      </c>
      <c r="B5" t="s">
        <v>288</v>
      </c>
      <c r="C5" t="s">
        <v>287</v>
      </c>
      <c r="D5">
        <v>105</v>
      </c>
      <c r="E5">
        <v>505.5</v>
      </c>
      <c r="F5">
        <v>4</v>
      </c>
      <c r="G5">
        <v>31</v>
      </c>
    </row>
    <row r="6" spans="1:11" x14ac:dyDescent="0.35">
      <c r="A6" t="s">
        <v>365</v>
      </c>
      <c r="B6" t="s">
        <v>305</v>
      </c>
      <c r="C6" t="s">
        <v>304</v>
      </c>
      <c r="D6">
        <v>278</v>
      </c>
      <c r="E6">
        <v>2462.25</v>
      </c>
      <c r="F6">
        <v>8</v>
      </c>
      <c r="G6">
        <v>133.5</v>
      </c>
    </row>
    <row r="7" spans="1:11" x14ac:dyDescent="0.35">
      <c r="A7" t="s">
        <v>366</v>
      </c>
      <c r="B7" t="s">
        <v>254</v>
      </c>
      <c r="C7" t="s">
        <v>253</v>
      </c>
      <c r="D7">
        <v>93</v>
      </c>
      <c r="E7">
        <v>607.5</v>
      </c>
      <c r="F7">
        <v>2</v>
      </c>
      <c r="G7">
        <v>26.25</v>
      </c>
    </row>
    <row r="8" spans="1:11" x14ac:dyDescent="0.35">
      <c r="A8" t="s">
        <v>366</v>
      </c>
      <c r="B8" t="s">
        <v>282</v>
      </c>
      <c r="C8" t="s">
        <v>281</v>
      </c>
      <c r="D8">
        <v>175</v>
      </c>
      <c r="E8">
        <v>986.75</v>
      </c>
      <c r="F8">
        <v>18</v>
      </c>
      <c r="G8">
        <v>256.25</v>
      </c>
      <c r="H8">
        <v>2</v>
      </c>
      <c r="I8">
        <v>23</v>
      </c>
    </row>
    <row r="9" spans="1:11" x14ac:dyDescent="0.35">
      <c r="A9" t="s">
        <v>366</v>
      </c>
      <c r="B9" t="s">
        <v>288</v>
      </c>
      <c r="C9" t="s">
        <v>287</v>
      </c>
      <c r="D9">
        <v>226</v>
      </c>
      <c r="E9">
        <v>1330.25</v>
      </c>
      <c r="F9">
        <v>37</v>
      </c>
      <c r="G9">
        <v>348.75</v>
      </c>
    </row>
    <row r="10" spans="1:11" x14ac:dyDescent="0.35">
      <c r="A10" t="s">
        <v>366</v>
      </c>
      <c r="B10" t="s">
        <v>297</v>
      </c>
      <c r="C10" t="s">
        <v>296</v>
      </c>
      <c r="D10">
        <v>238</v>
      </c>
      <c r="E10">
        <v>1268.75</v>
      </c>
    </row>
    <row r="11" spans="1:11" x14ac:dyDescent="0.35">
      <c r="A11" t="s">
        <v>366</v>
      </c>
      <c r="B11" t="s">
        <v>303</v>
      </c>
      <c r="C11" t="s">
        <v>302</v>
      </c>
      <c r="D11">
        <v>274</v>
      </c>
      <c r="E11">
        <v>1590.25</v>
      </c>
      <c r="F11">
        <v>14</v>
      </c>
      <c r="G11">
        <v>122.25</v>
      </c>
      <c r="H11">
        <v>1</v>
      </c>
      <c r="I11">
        <v>18.25</v>
      </c>
    </row>
    <row r="12" spans="1:11" x14ac:dyDescent="0.35">
      <c r="A12" t="s">
        <v>341</v>
      </c>
      <c r="B12" t="s">
        <v>241</v>
      </c>
      <c r="C12" t="s">
        <v>240</v>
      </c>
      <c r="D12">
        <v>65</v>
      </c>
      <c r="E12">
        <v>226.75</v>
      </c>
      <c r="F12">
        <v>3</v>
      </c>
      <c r="G12">
        <v>16</v>
      </c>
    </row>
    <row r="13" spans="1:11" x14ac:dyDescent="0.35">
      <c r="A13" t="s">
        <v>341</v>
      </c>
      <c r="B13" t="s">
        <v>301</v>
      </c>
      <c r="C13" t="s">
        <v>300</v>
      </c>
      <c r="D13">
        <v>14</v>
      </c>
      <c r="E13">
        <v>67</v>
      </c>
      <c r="F13">
        <v>2</v>
      </c>
      <c r="G13">
        <v>22</v>
      </c>
      <c r="J13">
        <v>3</v>
      </c>
      <c r="K13">
        <v>24</v>
      </c>
    </row>
    <row r="14" spans="1:11" x14ac:dyDescent="0.35">
      <c r="A14" t="s">
        <v>342</v>
      </c>
      <c r="B14" t="s">
        <v>225</v>
      </c>
      <c r="C14" t="s">
        <v>224</v>
      </c>
      <c r="D14">
        <v>99</v>
      </c>
      <c r="E14">
        <v>422.25</v>
      </c>
      <c r="F14">
        <v>20</v>
      </c>
      <c r="G14">
        <v>92.5</v>
      </c>
      <c r="H14">
        <v>2</v>
      </c>
      <c r="I14">
        <v>11</v>
      </c>
      <c r="J14">
        <v>1</v>
      </c>
      <c r="K14">
        <v>7.5</v>
      </c>
    </row>
    <row r="15" spans="1:11" x14ac:dyDescent="0.35">
      <c r="A15" t="s">
        <v>342</v>
      </c>
      <c r="B15" t="s">
        <v>229</v>
      </c>
      <c r="C15" t="s">
        <v>228</v>
      </c>
      <c r="D15">
        <v>171</v>
      </c>
      <c r="E15">
        <v>1143.75</v>
      </c>
      <c r="F15">
        <v>14</v>
      </c>
      <c r="G15">
        <v>157.75</v>
      </c>
      <c r="H15">
        <v>1</v>
      </c>
      <c r="I15">
        <v>14.5</v>
      </c>
    </row>
    <row r="16" spans="1:11" x14ac:dyDescent="0.35">
      <c r="A16" t="s">
        <v>342</v>
      </c>
      <c r="B16" t="s">
        <v>250</v>
      </c>
      <c r="C16" t="s">
        <v>249</v>
      </c>
      <c r="D16">
        <v>155</v>
      </c>
      <c r="E16">
        <v>975</v>
      </c>
      <c r="F16">
        <v>10</v>
      </c>
      <c r="G16">
        <v>143</v>
      </c>
      <c r="H16">
        <v>1</v>
      </c>
      <c r="I16">
        <v>51.75</v>
      </c>
    </row>
    <row r="17" spans="1:11" x14ac:dyDescent="0.35">
      <c r="A17" t="s">
        <v>342</v>
      </c>
      <c r="B17" t="s">
        <v>260</v>
      </c>
      <c r="C17" t="s">
        <v>259</v>
      </c>
      <c r="D17">
        <v>27</v>
      </c>
      <c r="E17">
        <v>236.5</v>
      </c>
      <c r="F17">
        <v>3</v>
      </c>
      <c r="G17">
        <v>49.75</v>
      </c>
    </row>
    <row r="18" spans="1:11" x14ac:dyDescent="0.35">
      <c r="A18" t="s">
        <v>342</v>
      </c>
      <c r="B18" t="s">
        <v>271</v>
      </c>
      <c r="C18" t="s">
        <v>270</v>
      </c>
      <c r="D18">
        <v>1125</v>
      </c>
      <c r="E18">
        <v>4472.75</v>
      </c>
      <c r="F18">
        <v>62</v>
      </c>
      <c r="G18">
        <v>403</v>
      </c>
    </row>
    <row r="19" spans="1:11" x14ac:dyDescent="0.35">
      <c r="A19" t="s">
        <v>342</v>
      </c>
      <c r="B19" t="s">
        <v>288</v>
      </c>
      <c r="C19" t="s">
        <v>287</v>
      </c>
      <c r="D19">
        <v>94</v>
      </c>
      <c r="E19">
        <v>542.75</v>
      </c>
      <c r="F19">
        <v>8</v>
      </c>
      <c r="G19">
        <v>85.75</v>
      </c>
    </row>
    <row r="20" spans="1:11" x14ac:dyDescent="0.35">
      <c r="A20" t="s">
        <v>342</v>
      </c>
      <c r="B20" t="s">
        <v>299</v>
      </c>
      <c r="C20" t="s">
        <v>298</v>
      </c>
      <c r="D20">
        <v>218</v>
      </c>
      <c r="E20">
        <v>1084.25</v>
      </c>
      <c r="F20">
        <v>13</v>
      </c>
      <c r="G20">
        <v>97.75</v>
      </c>
    </row>
    <row r="21" spans="1:11" x14ac:dyDescent="0.35">
      <c r="A21" t="s">
        <v>342</v>
      </c>
      <c r="B21" t="s">
        <v>308</v>
      </c>
      <c r="C21" t="s">
        <v>307</v>
      </c>
      <c r="D21">
        <v>203</v>
      </c>
      <c r="E21">
        <v>910.5</v>
      </c>
      <c r="F21">
        <v>21</v>
      </c>
      <c r="G21">
        <v>135.5</v>
      </c>
      <c r="J21">
        <v>1</v>
      </c>
      <c r="K21">
        <v>5.5</v>
      </c>
    </row>
    <row r="22" spans="1:11" x14ac:dyDescent="0.35">
      <c r="A22" t="s">
        <v>214</v>
      </c>
      <c r="B22" t="s">
        <v>216</v>
      </c>
      <c r="C22" t="s">
        <v>215</v>
      </c>
      <c r="D22">
        <v>349</v>
      </c>
      <c r="E22">
        <v>2090</v>
      </c>
      <c r="F22">
        <v>15</v>
      </c>
      <c r="G22">
        <v>161</v>
      </c>
      <c r="J22">
        <v>2</v>
      </c>
      <c r="K22">
        <v>4.5</v>
      </c>
    </row>
    <row r="23" spans="1:11" x14ac:dyDescent="0.35">
      <c r="A23" t="s">
        <v>214</v>
      </c>
      <c r="B23" t="s">
        <v>271</v>
      </c>
      <c r="C23" t="s">
        <v>270</v>
      </c>
      <c r="D23">
        <v>1067</v>
      </c>
      <c r="E23">
        <v>4671</v>
      </c>
      <c r="F23">
        <v>59</v>
      </c>
      <c r="G23">
        <v>525.75</v>
      </c>
      <c r="H23">
        <v>3</v>
      </c>
      <c r="I23">
        <v>49.25</v>
      </c>
    </row>
    <row r="24" spans="1:11" x14ac:dyDescent="0.35">
      <c r="A24" t="s">
        <v>214</v>
      </c>
      <c r="B24" t="s">
        <v>282</v>
      </c>
      <c r="C24" t="s">
        <v>281</v>
      </c>
      <c r="D24">
        <v>124</v>
      </c>
      <c r="E24">
        <v>579.75</v>
      </c>
      <c r="F24">
        <v>6</v>
      </c>
      <c r="G24">
        <v>75.25</v>
      </c>
      <c r="J24">
        <v>1</v>
      </c>
    </row>
    <row r="25" spans="1:11" x14ac:dyDescent="0.35">
      <c r="A25" t="s">
        <v>214</v>
      </c>
      <c r="B25" t="s">
        <v>284</v>
      </c>
      <c r="C25" t="s">
        <v>283</v>
      </c>
      <c r="D25">
        <v>21</v>
      </c>
      <c r="E25">
        <v>73.5</v>
      </c>
    </row>
    <row r="26" spans="1:11" x14ac:dyDescent="0.35">
      <c r="A26" t="s">
        <v>214</v>
      </c>
      <c r="B26" t="s">
        <v>288</v>
      </c>
      <c r="C26" t="s">
        <v>287</v>
      </c>
      <c r="D26">
        <v>239</v>
      </c>
      <c r="E26">
        <v>1222.25</v>
      </c>
      <c r="F26">
        <v>5</v>
      </c>
      <c r="G26">
        <v>47</v>
      </c>
    </row>
    <row r="27" spans="1:11" x14ac:dyDescent="0.35">
      <c r="A27" t="s">
        <v>214</v>
      </c>
      <c r="B27" t="s">
        <v>297</v>
      </c>
      <c r="C27" t="s">
        <v>296</v>
      </c>
      <c r="D27">
        <v>163</v>
      </c>
      <c r="E27">
        <v>836</v>
      </c>
      <c r="F27">
        <v>6</v>
      </c>
      <c r="G27">
        <v>94</v>
      </c>
    </row>
    <row r="28" spans="1:11" x14ac:dyDescent="0.35">
      <c r="A28" t="s">
        <v>313</v>
      </c>
      <c r="B28" t="s">
        <v>256</v>
      </c>
      <c r="C28" t="s">
        <v>255</v>
      </c>
      <c r="D28">
        <v>76</v>
      </c>
      <c r="F28">
        <v>2</v>
      </c>
    </row>
    <row r="29" spans="1:11" x14ac:dyDescent="0.35">
      <c r="A29" t="s">
        <v>313</v>
      </c>
      <c r="B29" t="s">
        <v>264</v>
      </c>
      <c r="C29" t="s">
        <v>263</v>
      </c>
      <c r="D29">
        <v>143</v>
      </c>
      <c r="F29">
        <v>7</v>
      </c>
    </row>
    <row r="30" spans="1:11" x14ac:dyDescent="0.35">
      <c r="A30" t="s">
        <v>313</v>
      </c>
      <c r="B30" t="s">
        <v>299</v>
      </c>
      <c r="C30" t="s">
        <v>298</v>
      </c>
      <c r="D30">
        <v>99</v>
      </c>
      <c r="F30">
        <v>5</v>
      </c>
    </row>
    <row r="31" spans="1:11" x14ac:dyDescent="0.35">
      <c r="A31" t="s">
        <v>313</v>
      </c>
      <c r="B31" t="s">
        <v>305</v>
      </c>
      <c r="C31" t="s">
        <v>304</v>
      </c>
      <c r="D31">
        <v>154</v>
      </c>
      <c r="F31">
        <v>5</v>
      </c>
    </row>
    <row r="32" spans="1:11" x14ac:dyDescent="0.35">
      <c r="A32" t="s">
        <v>319</v>
      </c>
      <c r="B32" t="s">
        <v>229</v>
      </c>
      <c r="C32" t="s">
        <v>228</v>
      </c>
      <c r="D32">
        <v>106</v>
      </c>
      <c r="E32">
        <v>628</v>
      </c>
      <c r="F32">
        <v>14</v>
      </c>
      <c r="G32">
        <v>237</v>
      </c>
    </row>
    <row r="33" spans="1:11" x14ac:dyDescent="0.35">
      <c r="A33" t="s">
        <v>319</v>
      </c>
      <c r="B33" t="s">
        <v>248</v>
      </c>
      <c r="C33" t="s">
        <v>247</v>
      </c>
      <c r="D33">
        <v>149</v>
      </c>
      <c r="E33">
        <v>745.25</v>
      </c>
      <c r="F33">
        <v>6</v>
      </c>
      <c r="G33">
        <v>76.75</v>
      </c>
      <c r="H33">
        <v>1</v>
      </c>
      <c r="I33">
        <v>27.5</v>
      </c>
    </row>
    <row r="34" spans="1:11" x14ac:dyDescent="0.35">
      <c r="A34" t="s">
        <v>319</v>
      </c>
      <c r="B34" t="s">
        <v>282</v>
      </c>
      <c r="C34" t="s">
        <v>281</v>
      </c>
      <c r="D34">
        <v>41</v>
      </c>
      <c r="E34">
        <v>252.75</v>
      </c>
      <c r="F34">
        <v>1</v>
      </c>
      <c r="G34">
        <v>5.5</v>
      </c>
      <c r="J34">
        <v>1</v>
      </c>
    </row>
    <row r="35" spans="1:11" x14ac:dyDescent="0.35">
      <c r="A35" t="s">
        <v>319</v>
      </c>
      <c r="B35" t="s">
        <v>297</v>
      </c>
      <c r="C35" t="s">
        <v>296</v>
      </c>
      <c r="D35">
        <v>73</v>
      </c>
      <c r="E35">
        <v>355.75</v>
      </c>
      <c r="F35">
        <v>7</v>
      </c>
      <c r="G35">
        <v>62.75</v>
      </c>
    </row>
    <row r="36" spans="1:11" x14ac:dyDescent="0.35">
      <c r="A36" t="s">
        <v>321</v>
      </c>
      <c r="B36" t="s">
        <v>248</v>
      </c>
      <c r="C36" t="s">
        <v>247</v>
      </c>
      <c r="D36">
        <v>267</v>
      </c>
      <c r="E36">
        <v>1285.25</v>
      </c>
      <c r="F36">
        <v>4</v>
      </c>
      <c r="G36">
        <v>39.25</v>
      </c>
      <c r="J36">
        <v>1</v>
      </c>
      <c r="K36">
        <v>7.5</v>
      </c>
    </row>
    <row r="37" spans="1:11" x14ac:dyDescent="0.35">
      <c r="A37" t="s">
        <v>321</v>
      </c>
      <c r="B37" t="s">
        <v>271</v>
      </c>
      <c r="C37" t="s">
        <v>270</v>
      </c>
      <c r="D37">
        <v>1003</v>
      </c>
      <c r="E37">
        <v>4540</v>
      </c>
      <c r="F37">
        <v>42</v>
      </c>
      <c r="G37">
        <v>236</v>
      </c>
      <c r="H37">
        <v>1</v>
      </c>
      <c r="I37">
        <v>22.75</v>
      </c>
      <c r="J37">
        <v>1</v>
      </c>
      <c r="K37">
        <v>8</v>
      </c>
    </row>
    <row r="38" spans="1:11" x14ac:dyDescent="0.35">
      <c r="A38" t="s">
        <v>321</v>
      </c>
      <c r="B38" t="s">
        <v>299</v>
      </c>
      <c r="C38" t="s">
        <v>298</v>
      </c>
      <c r="D38">
        <v>97</v>
      </c>
      <c r="E38">
        <v>537.5</v>
      </c>
      <c r="F38">
        <v>4</v>
      </c>
      <c r="G38">
        <v>43.5</v>
      </c>
    </row>
    <row r="39" spans="1:11" x14ac:dyDescent="0.35">
      <c r="A39" t="s">
        <v>326</v>
      </c>
      <c r="B39" t="s">
        <v>225</v>
      </c>
      <c r="C39" t="s">
        <v>224</v>
      </c>
      <c r="D39">
        <v>104</v>
      </c>
      <c r="E39">
        <v>594</v>
      </c>
      <c r="F39">
        <v>1</v>
      </c>
      <c r="G39">
        <v>3.25</v>
      </c>
    </row>
    <row r="40" spans="1:11" x14ac:dyDescent="0.35">
      <c r="A40" t="s">
        <v>326</v>
      </c>
      <c r="B40" t="s">
        <v>241</v>
      </c>
      <c r="C40" t="s">
        <v>240</v>
      </c>
      <c r="D40">
        <v>26</v>
      </c>
      <c r="E40">
        <v>147.75</v>
      </c>
      <c r="F40">
        <v>1</v>
      </c>
      <c r="G40">
        <v>8.25</v>
      </c>
    </row>
    <row r="41" spans="1:11" x14ac:dyDescent="0.35">
      <c r="A41" t="s">
        <v>326</v>
      </c>
      <c r="B41" t="s">
        <v>245</v>
      </c>
      <c r="C41" t="s">
        <v>244</v>
      </c>
      <c r="D41">
        <v>361</v>
      </c>
      <c r="E41">
        <v>2301</v>
      </c>
      <c r="F41">
        <v>4</v>
      </c>
      <c r="G41">
        <v>41.75</v>
      </c>
    </row>
    <row r="42" spans="1:11" x14ac:dyDescent="0.35">
      <c r="A42" t="s">
        <v>326</v>
      </c>
      <c r="B42" t="s">
        <v>264</v>
      </c>
      <c r="C42" t="s">
        <v>263</v>
      </c>
      <c r="D42">
        <v>88</v>
      </c>
      <c r="E42">
        <v>450</v>
      </c>
      <c r="F42">
        <v>3</v>
      </c>
      <c r="G42">
        <v>17</v>
      </c>
    </row>
    <row r="43" spans="1:11" x14ac:dyDescent="0.35">
      <c r="A43" t="s">
        <v>326</v>
      </c>
      <c r="B43" t="s">
        <v>293</v>
      </c>
      <c r="C43" t="s">
        <v>292</v>
      </c>
      <c r="D43">
        <v>8</v>
      </c>
      <c r="E43">
        <v>46.5</v>
      </c>
      <c r="F43">
        <v>1</v>
      </c>
      <c r="G43">
        <v>12.75</v>
      </c>
    </row>
    <row r="44" spans="1:11" x14ac:dyDescent="0.35">
      <c r="A44" t="s">
        <v>326</v>
      </c>
      <c r="B44" t="s">
        <v>301</v>
      </c>
      <c r="C44" t="s">
        <v>300</v>
      </c>
      <c r="D44">
        <v>64</v>
      </c>
      <c r="E44">
        <v>447.25</v>
      </c>
      <c r="F44">
        <v>2</v>
      </c>
      <c r="G44">
        <v>2.25</v>
      </c>
    </row>
    <row r="45" spans="1:11" x14ac:dyDescent="0.35">
      <c r="A45" t="s">
        <v>326</v>
      </c>
      <c r="B45" t="s">
        <v>305</v>
      </c>
      <c r="C45" t="s">
        <v>304</v>
      </c>
      <c r="D45">
        <v>223</v>
      </c>
      <c r="E45">
        <v>1791.75</v>
      </c>
      <c r="F45">
        <v>15</v>
      </c>
      <c r="G45">
        <v>195.5</v>
      </c>
    </row>
    <row r="46" spans="1:11" x14ac:dyDescent="0.35">
      <c r="A46" t="s">
        <v>327</v>
      </c>
      <c r="B46" t="s">
        <v>293</v>
      </c>
      <c r="C46" t="s">
        <v>292</v>
      </c>
      <c r="D46">
        <v>23</v>
      </c>
      <c r="E46">
        <v>129.75</v>
      </c>
      <c r="F46">
        <v>1</v>
      </c>
      <c r="G46">
        <v>11.75</v>
      </c>
    </row>
    <row r="47" spans="1:11" x14ac:dyDescent="0.35">
      <c r="A47" t="s">
        <v>365</v>
      </c>
      <c r="B47" t="s">
        <v>221</v>
      </c>
      <c r="C47" t="s">
        <v>220</v>
      </c>
      <c r="D47">
        <v>252</v>
      </c>
      <c r="E47">
        <v>1725.5</v>
      </c>
      <c r="F47">
        <v>15</v>
      </c>
      <c r="G47">
        <v>162</v>
      </c>
      <c r="H47">
        <v>1</v>
      </c>
      <c r="I47">
        <v>38</v>
      </c>
      <c r="J47">
        <v>1</v>
      </c>
      <c r="K47">
        <v>7.5</v>
      </c>
    </row>
    <row r="48" spans="1:11" x14ac:dyDescent="0.35">
      <c r="A48" t="s">
        <v>366</v>
      </c>
      <c r="B48" t="s">
        <v>229</v>
      </c>
      <c r="C48" t="s">
        <v>228</v>
      </c>
      <c r="D48">
        <v>328</v>
      </c>
      <c r="E48">
        <v>2625.5</v>
      </c>
      <c r="F48">
        <v>13</v>
      </c>
      <c r="G48">
        <v>134</v>
      </c>
      <c r="H48">
        <v>3</v>
      </c>
      <c r="I48">
        <v>51.25</v>
      </c>
    </row>
    <row r="49" spans="1:11" x14ac:dyDescent="0.35">
      <c r="A49" t="s">
        <v>366</v>
      </c>
      <c r="B49" t="s">
        <v>235</v>
      </c>
      <c r="C49" t="s">
        <v>234</v>
      </c>
      <c r="D49">
        <v>790</v>
      </c>
      <c r="E49">
        <v>2779.75</v>
      </c>
      <c r="F49">
        <v>67</v>
      </c>
      <c r="G49">
        <v>415</v>
      </c>
      <c r="H49">
        <v>1</v>
      </c>
      <c r="I49">
        <v>32</v>
      </c>
    </row>
    <row r="50" spans="1:11" x14ac:dyDescent="0.35">
      <c r="A50" t="s">
        <v>366</v>
      </c>
      <c r="B50" t="s">
        <v>268</v>
      </c>
      <c r="C50" t="s">
        <v>1101</v>
      </c>
      <c r="D50">
        <v>600</v>
      </c>
      <c r="E50">
        <v>2456.75</v>
      </c>
      <c r="F50">
        <v>18</v>
      </c>
      <c r="G50">
        <v>153.75</v>
      </c>
      <c r="H50">
        <v>1</v>
      </c>
      <c r="I50">
        <v>24.75</v>
      </c>
    </row>
    <row r="51" spans="1:11" x14ac:dyDescent="0.35">
      <c r="A51" t="s">
        <v>366</v>
      </c>
      <c r="B51" t="s">
        <v>290</v>
      </c>
      <c r="C51" t="s">
        <v>289</v>
      </c>
      <c r="D51">
        <v>539</v>
      </c>
      <c r="E51">
        <v>3321.5</v>
      </c>
      <c r="F51">
        <v>15</v>
      </c>
      <c r="G51">
        <v>152.25</v>
      </c>
    </row>
    <row r="52" spans="1:11" x14ac:dyDescent="0.35">
      <c r="A52" t="s">
        <v>366</v>
      </c>
      <c r="B52" t="s">
        <v>295</v>
      </c>
      <c r="C52" t="s">
        <v>294</v>
      </c>
      <c r="D52">
        <v>269</v>
      </c>
      <c r="E52">
        <v>1484.5</v>
      </c>
      <c r="F52">
        <v>1</v>
      </c>
      <c r="G52">
        <v>12</v>
      </c>
    </row>
    <row r="53" spans="1:11" x14ac:dyDescent="0.35">
      <c r="A53" t="s">
        <v>366</v>
      </c>
      <c r="B53" t="s">
        <v>312</v>
      </c>
      <c r="C53" t="s">
        <v>311</v>
      </c>
      <c r="D53">
        <v>161</v>
      </c>
      <c r="E53">
        <v>715.25</v>
      </c>
      <c r="F53">
        <v>15</v>
      </c>
      <c r="G53">
        <v>129.25</v>
      </c>
    </row>
    <row r="54" spans="1:11" x14ac:dyDescent="0.35">
      <c r="A54" t="s">
        <v>341</v>
      </c>
      <c r="B54" t="s">
        <v>245</v>
      </c>
      <c r="C54" t="s">
        <v>244</v>
      </c>
      <c r="D54">
        <v>307</v>
      </c>
      <c r="E54">
        <v>1238</v>
      </c>
      <c r="F54">
        <v>56</v>
      </c>
      <c r="G54">
        <v>490.5</v>
      </c>
      <c r="J54">
        <v>1</v>
      </c>
      <c r="K54">
        <v>10.5</v>
      </c>
    </row>
    <row r="55" spans="1:11" x14ac:dyDescent="0.35">
      <c r="A55" t="s">
        <v>341</v>
      </c>
      <c r="B55" t="s">
        <v>264</v>
      </c>
      <c r="C55" t="s">
        <v>263</v>
      </c>
      <c r="D55">
        <v>152</v>
      </c>
      <c r="E55">
        <v>799.75</v>
      </c>
      <c r="F55">
        <v>8</v>
      </c>
      <c r="G55">
        <v>89.25</v>
      </c>
    </row>
    <row r="56" spans="1:11" x14ac:dyDescent="0.35">
      <c r="A56" t="s">
        <v>341</v>
      </c>
      <c r="B56" t="s">
        <v>274</v>
      </c>
      <c r="C56" t="s">
        <v>273</v>
      </c>
      <c r="D56">
        <v>241</v>
      </c>
      <c r="E56">
        <v>1483.75</v>
      </c>
      <c r="F56">
        <v>27</v>
      </c>
      <c r="G56">
        <v>284.75</v>
      </c>
      <c r="H56">
        <v>1</v>
      </c>
      <c r="I56">
        <v>9.5</v>
      </c>
      <c r="J56">
        <v>1</v>
      </c>
      <c r="K56">
        <v>6.5</v>
      </c>
    </row>
    <row r="57" spans="1:11" x14ac:dyDescent="0.35">
      <c r="A57" t="s">
        <v>341</v>
      </c>
      <c r="B57" t="s">
        <v>290</v>
      </c>
      <c r="C57" t="s">
        <v>289</v>
      </c>
      <c r="D57">
        <v>485</v>
      </c>
      <c r="E57">
        <v>2741.25</v>
      </c>
      <c r="F57">
        <v>11</v>
      </c>
      <c r="G57">
        <v>112</v>
      </c>
    </row>
    <row r="58" spans="1:11" x14ac:dyDescent="0.35">
      <c r="A58" t="s">
        <v>342</v>
      </c>
      <c r="B58" t="s">
        <v>235</v>
      </c>
      <c r="C58" t="s">
        <v>234</v>
      </c>
      <c r="D58">
        <v>707</v>
      </c>
      <c r="E58">
        <v>2618.75</v>
      </c>
      <c r="F58">
        <v>37</v>
      </c>
      <c r="G58">
        <v>234.5</v>
      </c>
      <c r="J58">
        <v>4</v>
      </c>
      <c r="K58">
        <v>10</v>
      </c>
    </row>
    <row r="59" spans="1:11" x14ac:dyDescent="0.35">
      <c r="A59" t="s">
        <v>342</v>
      </c>
      <c r="B59" t="s">
        <v>241</v>
      </c>
      <c r="C59" t="s">
        <v>240</v>
      </c>
      <c r="D59">
        <v>56</v>
      </c>
      <c r="E59">
        <v>253.5</v>
      </c>
      <c r="F59">
        <v>8</v>
      </c>
      <c r="G59">
        <v>36.75</v>
      </c>
      <c r="J59">
        <v>1</v>
      </c>
      <c r="K59">
        <v>10.25</v>
      </c>
    </row>
    <row r="60" spans="1:11" x14ac:dyDescent="0.35">
      <c r="A60" t="s">
        <v>342</v>
      </c>
      <c r="B60" t="s">
        <v>303</v>
      </c>
      <c r="C60" t="s">
        <v>302</v>
      </c>
      <c r="D60">
        <v>310</v>
      </c>
      <c r="E60">
        <v>1986.75</v>
      </c>
      <c r="F60">
        <v>9</v>
      </c>
      <c r="G60">
        <v>68.75</v>
      </c>
    </row>
    <row r="61" spans="1:11" x14ac:dyDescent="0.35">
      <c r="A61" t="s">
        <v>342</v>
      </c>
      <c r="B61" t="s">
        <v>312</v>
      </c>
      <c r="C61" t="s">
        <v>311</v>
      </c>
      <c r="D61">
        <v>157</v>
      </c>
      <c r="E61">
        <v>667.75</v>
      </c>
      <c r="F61">
        <v>7</v>
      </c>
      <c r="G61">
        <v>40.5</v>
      </c>
    </row>
    <row r="62" spans="1:11" x14ac:dyDescent="0.35">
      <c r="A62" t="s">
        <v>214</v>
      </c>
      <c r="B62" t="s">
        <v>225</v>
      </c>
      <c r="C62" t="s">
        <v>224</v>
      </c>
      <c r="D62">
        <v>115</v>
      </c>
      <c r="E62">
        <v>476.75</v>
      </c>
      <c r="F62">
        <v>11</v>
      </c>
      <c r="G62">
        <v>49.5</v>
      </c>
      <c r="H62">
        <v>1</v>
      </c>
      <c r="I62">
        <v>6</v>
      </c>
    </row>
    <row r="63" spans="1:11" x14ac:dyDescent="0.35">
      <c r="A63" t="s">
        <v>214</v>
      </c>
      <c r="B63" t="s">
        <v>254</v>
      </c>
      <c r="C63" t="s">
        <v>253</v>
      </c>
      <c r="D63">
        <v>82</v>
      </c>
      <c r="E63">
        <v>447.75</v>
      </c>
      <c r="F63">
        <v>2</v>
      </c>
      <c r="G63">
        <v>30</v>
      </c>
    </row>
    <row r="64" spans="1:11" x14ac:dyDescent="0.35">
      <c r="A64" t="s">
        <v>214</v>
      </c>
      <c r="B64" t="s">
        <v>268</v>
      </c>
      <c r="C64" t="s">
        <v>1101</v>
      </c>
      <c r="D64">
        <v>644</v>
      </c>
      <c r="E64">
        <v>2085.75</v>
      </c>
      <c r="F64">
        <v>13</v>
      </c>
      <c r="G64">
        <v>127</v>
      </c>
      <c r="H64">
        <v>2</v>
      </c>
      <c r="I64">
        <v>52</v>
      </c>
    </row>
    <row r="65" spans="1:11" x14ac:dyDescent="0.35">
      <c r="A65" t="s">
        <v>214</v>
      </c>
      <c r="B65" t="s">
        <v>305</v>
      </c>
      <c r="C65" t="s">
        <v>304</v>
      </c>
      <c r="D65">
        <v>242</v>
      </c>
      <c r="E65">
        <v>1512.25</v>
      </c>
      <c r="F65">
        <v>10</v>
      </c>
      <c r="G65">
        <v>273</v>
      </c>
      <c r="H65">
        <v>1</v>
      </c>
      <c r="I65">
        <v>102.75</v>
      </c>
    </row>
    <row r="66" spans="1:11" x14ac:dyDescent="0.35">
      <c r="A66" t="s">
        <v>313</v>
      </c>
      <c r="B66" t="s">
        <v>225</v>
      </c>
      <c r="C66" t="s">
        <v>224</v>
      </c>
      <c r="D66">
        <v>123</v>
      </c>
    </row>
    <row r="67" spans="1:11" x14ac:dyDescent="0.35">
      <c r="A67" t="s">
        <v>313</v>
      </c>
      <c r="B67" t="s">
        <v>241</v>
      </c>
      <c r="C67" t="s">
        <v>240</v>
      </c>
      <c r="D67">
        <v>49</v>
      </c>
    </row>
    <row r="68" spans="1:11" x14ac:dyDescent="0.35">
      <c r="A68" t="s">
        <v>313</v>
      </c>
      <c r="B68" t="s">
        <v>290</v>
      </c>
      <c r="C68" t="s">
        <v>289</v>
      </c>
      <c r="D68">
        <v>299</v>
      </c>
      <c r="F68">
        <v>7</v>
      </c>
    </row>
    <row r="69" spans="1:11" x14ac:dyDescent="0.35">
      <c r="A69" t="s">
        <v>313</v>
      </c>
      <c r="B69" t="s">
        <v>295</v>
      </c>
      <c r="C69" t="s">
        <v>294</v>
      </c>
      <c r="D69">
        <v>247</v>
      </c>
      <c r="F69">
        <v>1</v>
      </c>
    </row>
    <row r="70" spans="1:11" x14ac:dyDescent="0.35">
      <c r="A70" t="s">
        <v>319</v>
      </c>
      <c r="B70" t="s">
        <v>235</v>
      </c>
      <c r="C70" t="s">
        <v>234</v>
      </c>
      <c r="D70">
        <v>354</v>
      </c>
      <c r="E70">
        <v>1313.75</v>
      </c>
      <c r="F70">
        <v>10</v>
      </c>
      <c r="G70">
        <v>192.75</v>
      </c>
    </row>
    <row r="71" spans="1:11" x14ac:dyDescent="0.35">
      <c r="A71" t="s">
        <v>319</v>
      </c>
      <c r="B71" t="s">
        <v>260</v>
      </c>
      <c r="C71" t="s">
        <v>259</v>
      </c>
      <c r="D71">
        <v>20</v>
      </c>
      <c r="E71">
        <v>121.5</v>
      </c>
      <c r="F71">
        <v>1</v>
      </c>
      <c r="G71">
        <v>11</v>
      </c>
    </row>
    <row r="72" spans="1:11" x14ac:dyDescent="0.35">
      <c r="A72" t="s">
        <v>319</v>
      </c>
      <c r="B72" t="s">
        <v>271</v>
      </c>
      <c r="C72" t="s">
        <v>315</v>
      </c>
      <c r="D72">
        <v>456</v>
      </c>
      <c r="E72">
        <v>1818</v>
      </c>
      <c r="F72">
        <v>23</v>
      </c>
      <c r="G72">
        <v>113.75</v>
      </c>
    </row>
    <row r="73" spans="1:11" x14ac:dyDescent="0.35">
      <c r="A73" t="s">
        <v>321</v>
      </c>
      <c r="B73" t="s">
        <v>274</v>
      </c>
      <c r="C73" t="s">
        <v>273</v>
      </c>
      <c r="D73">
        <v>182</v>
      </c>
      <c r="E73">
        <v>1196.25</v>
      </c>
      <c r="F73">
        <v>25</v>
      </c>
      <c r="G73">
        <v>340.25</v>
      </c>
      <c r="J73">
        <v>1</v>
      </c>
      <c r="K73">
        <v>3</v>
      </c>
    </row>
    <row r="74" spans="1:11" x14ac:dyDescent="0.35">
      <c r="A74" t="s">
        <v>326</v>
      </c>
      <c r="B74" t="s">
        <v>221</v>
      </c>
      <c r="C74" t="s">
        <v>220</v>
      </c>
      <c r="D74">
        <v>421</v>
      </c>
      <c r="E74">
        <v>3511</v>
      </c>
      <c r="F74">
        <v>8</v>
      </c>
      <c r="G74">
        <v>130.75</v>
      </c>
    </row>
    <row r="75" spans="1:11" x14ac:dyDescent="0.35">
      <c r="A75" t="s">
        <v>326</v>
      </c>
      <c r="B75" t="s">
        <v>268</v>
      </c>
      <c r="C75" t="s">
        <v>1101</v>
      </c>
      <c r="D75">
        <v>311</v>
      </c>
      <c r="E75">
        <v>1554.25</v>
      </c>
      <c r="F75">
        <v>2</v>
      </c>
      <c r="G75">
        <v>22</v>
      </c>
    </row>
    <row r="76" spans="1:11" x14ac:dyDescent="0.35">
      <c r="A76" t="s">
        <v>326</v>
      </c>
      <c r="B76" t="s">
        <v>299</v>
      </c>
      <c r="C76" t="s">
        <v>298</v>
      </c>
      <c r="D76">
        <v>146</v>
      </c>
      <c r="E76">
        <v>914</v>
      </c>
      <c r="F76">
        <v>3</v>
      </c>
      <c r="G76">
        <v>35</v>
      </c>
    </row>
    <row r="77" spans="1:11" x14ac:dyDescent="0.35">
      <c r="A77" t="s">
        <v>327</v>
      </c>
      <c r="B77" t="s">
        <v>1210</v>
      </c>
      <c r="C77" t="s">
        <v>220</v>
      </c>
      <c r="D77">
        <v>323</v>
      </c>
      <c r="E77">
        <v>2267</v>
      </c>
      <c r="F77">
        <v>10</v>
      </c>
      <c r="G77">
        <v>183</v>
      </c>
    </row>
    <row r="78" spans="1:11" x14ac:dyDescent="0.35">
      <c r="A78" t="s">
        <v>327</v>
      </c>
      <c r="B78" t="s">
        <v>225</v>
      </c>
      <c r="C78" t="s">
        <v>224</v>
      </c>
      <c r="D78">
        <v>101</v>
      </c>
      <c r="E78">
        <v>520.5</v>
      </c>
      <c r="F78">
        <v>2</v>
      </c>
      <c r="G78">
        <v>23.75</v>
      </c>
    </row>
    <row r="79" spans="1:11" x14ac:dyDescent="0.35">
      <c r="A79" t="s">
        <v>327</v>
      </c>
      <c r="B79" t="s">
        <v>254</v>
      </c>
      <c r="C79" t="s">
        <v>253</v>
      </c>
      <c r="D79">
        <v>56</v>
      </c>
      <c r="E79">
        <v>313.75</v>
      </c>
      <c r="F79">
        <v>7</v>
      </c>
      <c r="G79">
        <v>49.5</v>
      </c>
    </row>
    <row r="80" spans="1:11" x14ac:dyDescent="0.35">
      <c r="A80" t="s">
        <v>327</v>
      </c>
      <c r="B80" t="s">
        <v>271</v>
      </c>
      <c r="C80" t="s">
        <v>270</v>
      </c>
      <c r="D80">
        <v>879</v>
      </c>
      <c r="E80">
        <v>4383.5</v>
      </c>
      <c r="F80">
        <v>35</v>
      </c>
      <c r="G80">
        <v>318.5</v>
      </c>
      <c r="H80">
        <v>1</v>
      </c>
      <c r="I80">
        <v>25</v>
      </c>
      <c r="J80">
        <v>1</v>
      </c>
    </row>
    <row r="81" spans="1:11" x14ac:dyDescent="0.35">
      <c r="A81" t="s">
        <v>327</v>
      </c>
      <c r="B81" t="s">
        <v>295</v>
      </c>
      <c r="C81" t="s">
        <v>294</v>
      </c>
      <c r="D81">
        <v>217</v>
      </c>
      <c r="E81">
        <v>1122</v>
      </c>
      <c r="F81">
        <v>3</v>
      </c>
      <c r="G81">
        <v>20.5</v>
      </c>
    </row>
    <row r="82" spans="1:11" x14ac:dyDescent="0.35">
      <c r="A82" t="s">
        <v>327</v>
      </c>
      <c r="B82" t="s">
        <v>301</v>
      </c>
      <c r="C82" t="s">
        <v>300</v>
      </c>
      <c r="D82">
        <v>64</v>
      </c>
      <c r="E82">
        <v>426.25</v>
      </c>
      <c r="F82">
        <v>7</v>
      </c>
      <c r="G82">
        <v>73.5</v>
      </c>
    </row>
    <row r="83" spans="1:11" x14ac:dyDescent="0.35">
      <c r="A83" t="s">
        <v>466</v>
      </c>
      <c r="B83" t="s">
        <v>245</v>
      </c>
      <c r="C83" t="s">
        <v>244</v>
      </c>
      <c r="D83">
        <v>572</v>
      </c>
      <c r="E83">
        <v>3808.25</v>
      </c>
      <c r="F83">
        <v>10</v>
      </c>
      <c r="G83">
        <v>84</v>
      </c>
    </row>
    <row r="84" spans="1:11" x14ac:dyDescent="0.35">
      <c r="A84" t="s">
        <v>466</v>
      </c>
      <c r="B84" t="s">
        <v>280</v>
      </c>
      <c r="C84" t="s">
        <v>279</v>
      </c>
      <c r="D84">
        <v>147</v>
      </c>
      <c r="E84">
        <v>852.25</v>
      </c>
      <c r="F84">
        <v>6</v>
      </c>
      <c r="G84">
        <v>36</v>
      </c>
    </row>
    <row r="85" spans="1:11" x14ac:dyDescent="0.35">
      <c r="A85" t="s">
        <v>466</v>
      </c>
      <c r="B85" t="s">
        <v>288</v>
      </c>
      <c r="C85" t="s">
        <v>287</v>
      </c>
      <c r="D85">
        <v>159</v>
      </c>
      <c r="E85">
        <v>988.75</v>
      </c>
      <c r="F85">
        <v>10</v>
      </c>
      <c r="G85">
        <v>237.5</v>
      </c>
    </row>
    <row r="86" spans="1:11" x14ac:dyDescent="0.35">
      <c r="A86" t="s">
        <v>466</v>
      </c>
      <c r="B86" t="s">
        <v>295</v>
      </c>
      <c r="C86" t="s">
        <v>294</v>
      </c>
      <c r="D86">
        <v>187</v>
      </c>
      <c r="E86">
        <v>1193.5</v>
      </c>
      <c r="F86">
        <v>6</v>
      </c>
      <c r="G86">
        <v>70</v>
      </c>
    </row>
    <row r="87" spans="1:11" x14ac:dyDescent="0.35">
      <c r="A87" t="s">
        <v>365</v>
      </c>
      <c r="B87" t="s">
        <v>250</v>
      </c>
      <c r="C87" t="s">
        <v>249</v>
      </c>
      <c r="D87">
        <v>142</v>
      </c>
      <c r="E87">
        <v>914.75</v>
      </c>
      <c r="F87">
        <v>11</v>
      </c>
      <c r="G87">
        <v>90.75</v>
      </c>
    </row>
    <row r="88" spans="1:11" x14ac:dyDescent="0.35">
      <c r="A88" t="s">
        <v>365</v>
      </c>
      <c r="B88" t="s">
        <v>254</v>
      </c>
      <c r="C88" t="s">
        <v>253</v>
      </c>
      <c r="D88">
        <v>53</v>
      </c>
      <c r="E88">
        <v>362.75</v>
      </c>
      <c r="F88">
        <v>1</v>
      </c>
      <c r="G88">
        <v>7.5</v>
      </c>
    </row>
    <row r="89" spans="1:11" x14ac:dyDescent="0.35">
      <c r="A89" t="s">
        <v>365</v>
      </c>
      <c r="B89" t="s">
        <v>295</v>
      </c>
      <c r="C89" t="s">
        <v>294</v>
      </c>
      <c r="D89">
        <v>246</v>
      </c>
      <c r="E89">
        <v>1269.25</v>
      </c>
      <c r="F89">
        <v>1</v>
      </c>
      <c r="G89">
        <v>10.25</v>
      </c>
    </row>
    <row r="90" spans="1:11" x14ac:dyDescent="0.35">
      <c r="A90" t="s">
        <v>365</v>
      </c>
      <c r="B90" t="s">
        <v>301</v>
      </c>
      <c r="C90" t="s">
        <v>300</v>
      </c>
      <c r="D90">
        <v>32</v>
      </c>
      <c r="E90">
        <v>199.75</v>
      </c>
    </row>
    <row r="91" spans="1:11" x14ac:dyDescent="0.35">
      <c r="A91" t="s">
        <v>366</v>
      </c>
      <c r="B91" t="s">
        <v>216</v>
      </c>
      <c r="C91" t="s">
        <v>215</v>
      </c>
      <c r="D91">
        <v>282</v>
      </c>
      <c r="E91">
        <v>1395</v>
      </c>
      <c r="F91">
        <v>33</v>
      </c>
      <c r="G91">
        <v>340.75</v>
      </c>
      <c r="J91">
        <v>1</v>
      </c>
      <c r="K91">
        <v>3.75</v>
      </c>
    </row>
    <row r="92" spans="1:11" x14ac:dyDescent="0.35">
      <c r="A92" t="s">
        <v>341</v>
      </c>
      <c r="B92" t="s">
        <v>248</v>
      </c>
      <c r="C92" t="s">
        <v>247</v>
      </c>
      <c r="D92">
        <v>653</v>
      </c>
      <c r="E92">
        <v>2216</v>
      </c>
      <c r="F92">
        <v>3</v>
      </c>
      <c r="G92">
        <v>17.25</v>
      </c>
      <c r="J92">
        <v>2</v>
      </c>
      <c r="K92">
        <v>16.5</v>
      </c>
    </row>
    <row r="93" spans="1:11" x14ac:dyDescent="0.35">
      <c r="A93" t="s">
        <v>341</v>
      </c>
      <c r="B93" t="s">
        <v>260</v>
      </c>
      <c r="C93" t="s">
        <v>259</v>
      </c>
      <c r="D93">
        <v>76</v>
      </c>
      <c r="E93">
        <v>571.5</v>
      </c>
      <c r="F93">
        <v>4</v>
      </c>
      <c r="G93">
        <v>107.75</v>
      </c>
    </row>
    <row r="94" spans="1:11" x14ac:dyDescent="0.35">
      <c r="A94" t="s">
        <v>341</v>
      </c>
      <c r="B94" t="s">
        <v>280</v>
      </c>
      <c r="C94" t="s">
        <v>279</v>
      </c>
      <c r="D94">
        <v>93</v>
      </c>
      <c r="E94">
        <v>285.75</v>
      </c>
      <c r="F94">
        <v>4</v>
      </c>
      <c r="G94">
        <v>21</v>
      </c>
    </row>
    <row r="95" spans="1:11" x14ac:dyDescent="0.35">
      <c r="A95" t="s">
        <v>341</v>
      </c>
      <c r="B95" t="s">
        <v>288</v>
      </c>
      <c r="C95" t="s">
        <v>287</v>
      </c>
      <c r="D95">
        <v>212</v>
      </c>
      <c r="E95">
        <v>982.75</v>
      </c>
      <c r="F95">
        <v>18</v>
      </c>
      <c r="G95">
        <v>181.75</v>
      </c>
    </row>
    <row r="96" spans="1:11" x14ac:dyDescent="0.35">
      <c r="A96" t="s">
        <v>341</v>
      </c>
      <c r="B96" t="s">
        <v>295</v>
      </c>
      <c r="C96" t="s">
        <v>294</v>
      </c>
      <c r="D96">
        <v>279</v>
      </c>
      <c r="E96">
        <v>1366.25</v>
      </c>
      <c r="F96">
        <v>8</v>
      </c>
      <c r="G96">
        <v>59.5</v>
      </c>
    </row>
    <row r="97" spans="1:11" x14ac:dyDescent="0.35">
      <c r="A97" t="s">
        <v>342</v>
      </c>
      <c r="B97" t="s">
        <v>280</v>
      </c>
      <c r="C97" t="s">
        <v>279</v>
      </c>
      <c r="D97">
        <v>94</v>
      </c>
      <c r="E97">
        <v>477.5</v>
      </c>
      <c r="F97">
        <v>1</v>
      </c>
      <c r="G97">
        <v>4.25</v>
      </c>
    </row>
    <row r="98" spans="1:11" x14ac:dyDescent="0.35">
      <c r="A98" t="s">
        <v>342</v>
      </c>
      <c r="B98" t="s">
        <v>284</v>
      </c>
      <c r="C98" t="s">
        <v>283</v>
      </c>
      <c r="D98">
        <v>19</v>
      </c>
      <c r="E98">
        <v>163.25</v>
      </c>
      <c r="F98">
        <v>4</v>
      </c>
      <c r="G98">
        <v>93.25</v>
      </c>
      <c r="H98">
        <v>1</v>
      </c>
      <c r="I98">
        <v>60</v>
      </c>
    </row>
    <row r="99" spans="1:11" x14ac:dyDescent="0.35">
      <c r="A99" t="s">
        <v>342</v>
      </c>
      <c r="B99" t="s">
        <v>297</v>
      </c>
      <c r="C99" t="s">
        <v>296</v>
      </c>
      <c r="D99">
        <v>82</v>
      </c>
      <c r="E99">
        <v>508.5</v>
      </c>
      <c r="F99">
        <v>9</v>
      </c>
      <c r="G99">
        <v>126</v>
      </c>
    </row>
    <row r="100" spans="1:11" x14ac:dyDescent="0.35">
      <c r="A100" t="s">
        <v>342</v>
      </c>
      <c r="B100" t="s">
        <v>305</v>
      </c>
      <c r="C100" t="s">
        <v>304</v>
      </c>
      <c r="D100">
        <v>321</v>
      </c>
      <c r="E100">
        <v>1386.5</v>
      </c>
      <c r="F100">
        <v>12</v>
      </c>
      <c r="G100">
        <v>171.5</v>
      </c>
    </row>
    <row r="101" spans="1:11" x14ac:dyDescent="0.35">
      <c r="A101" t="s">
        <v>214</v>
      </c>
      <c r="B101" t="s">
        <v>241</v>
      </c>
      <c r="C101" t="s">
        <v>240</v>
      </c>
      <c r="D101">
        <v>69</v>
      </c>
      <c r="E101">
        <v>332.5</v>
      </c>
      <c r="F101">
        <v>1</v>
      </c>
      <c r="G101">
        <v>8.5</v>
      </c>
    </row>
    <row r="102" spans="1:11" x14ac:dyDescent="0.35">
      <c r="A102" t="s">
        <v>214</v>
      </c>
      <c r="B102" t="s">
        <v>293</v>
      </c>
      <c r="C102" t="s">
        <v>292</v>
      </c>
      <c r="D102">
        <v>9</v>
      </c>
      <c r="E102">
        <v>42.5</v>
      </c>
    </row>
    <row r="103" spans="1:11" x14ac:dyDescent="0.35">
      <c r="A103" t="s">
        <v>214</v>
      </c>
      <c r="B103" t="s">
        <v>310</v>
      </c>
      <c r="C103" t="s">
        <v>309</v>
      </c>
      <c r="D103">
        <v>74</v>
      </c>
      <c r="E103">
        <v>427</v>
      </c>
      <c r="F103">
        <v>5</v>
      </c>
      <c r="G103">
        <v>44.75</v>
      </c>
    </row>
    <row r="104" spans="1:11" x14ac:dyDescent="0.35">
      <c r="A104" t="s">
        <v>214</v>
      </c>
      <c r="B104" t="s">
        <v>312</v>
      </c>
      <c r="C104" t="s">
        <v>311</v>
      </c>
      <c r="D104">
        <v>208</v>
      </c>
      <c r="E104">
        <v>775.5</v>
      </c>
      <c r="F104">
        <v>5</v>
      </c>
      <c r="G104">
        <v>33.5</v>
      </c>
    </row>
    <row r="105" spans="1:11" x14ac:dyDescent="0.35">
      <c r="A105" t="s">
        <v>313</v>
      </c>
      <c r="B105" t="s">
        <v>216</v>
      </c>
      <c r="C105" t="s">
        <v>215</v>
      </c>
      <c r="D105">
        <v>422</v>
      </c>
      <c r="F105">
        <v>11</v>
      </c>
      <c r="J105">
        <v>2</v>
      </c>
    </row>
    <row r="106" spans="1:11" x14ac:dyDescent="0.35">
      <c r="A106" t="s">
        <v>313</v>
      </c>
      <c r="B106" t="s">
        <v>254</v>
      </c>
      <c r="C106" t="s">
        <v>253</v>
      </c>
      <c r="D106">
        <v>97</v>
      </c>
      <c r="F106">
        <v>4</v>
      </c>
    </row>
    <row r="107" spans="1:11" x14ac:dyDescent="0.35">
      <c r="A107" t="s">
        <v>313</v>
      </c>
      <c r="B107" t="s">
        <v>303</v>
      </c>
      <c r="C107" t="s">
        <v>302</v>
      </c>
      <c r="D107">
        <v>220</v>
      </c>
      <c r="F107">
        <v>5</v>
      </c>
    </row>
    <row r="108" spans="1:11" x14ac:dyDescent="0.35">
      <c r="A108" t="s">
        <v>313</v>
      </c>
      <c r="B108" t="s">
        <v>308</v>
      </c>
      <c r="C108" t="s">
        <v>307</v>
      </c>
      <c r="D108">
        <v>195</v>
      </c>
      <c r="F108">
        <v>6</v>
      </c>
    </row>
    <row r="109" spans="1:11" x14ac:dyDescent="0.35">
      <c r="A109" t="s">
        <v>319</v>
      </c>
      <c r="B109" t="s">
        <v>221</v>
      </c>
      <c r="C109" t="s">
        <v>220</v>
      </c>
      <c r="D109">
        <v>77</v>
      </c>
      <c r="E109">
        <v>586.25</v>
      </c>
      <c r="F109">
        <v>4</v>
      </c>
      <c r="G109">
        <v>57.25</v>
      </c>
      <c r="J109">
        <v>1</v>
      </c>
      <c r="K109">
        <v>4</v>
      </c>
    </row>
    <row r="110" spans="1:11" x14ac:dyDescent="0.35">
      <c r="A110" t="s">
        <v>319</v>
      </c>
      <c r="B110" t="s">
        <v>225</v>
      </c>
      <c r="C110" t="s">
        <v>224</v>
      </c>
      <c r="D110">
        <v>56</v>
      </c>
      <c r="E110">
        <v>230.5</v>
      </c>
      <c r="F110">
        <v>3</v>
      </c>
      <c r="G110">
        <v>12.75</v>
      </c>
    </row>
    <row r="111" spans="1:11" x14ac:dyDescent="0.35">
      <c r="A111" t="s">
        <v>319</v>
      </c>
      <c r="B111" t="s">
        <v>256</v>
      </c>
      <c r="C111" t="s">
        <v>255</v>
      </c>
      <c r="D111">
        <v>43</v>
      </c>
      <c r="E111">
        <v>252.75</v>
      </c>
      <c r="F111">
        <v>1</v>
      </c>
      <c r="G111">
        <v>11.5</v>
      </c>
    </row>
    <row r="112" spans="1:11" x14ac:dyDescent="0.35">
      <c r="A112" t="s">
        <v>319</v>
      </c>
      <c r="B112" t="s">
        <v>268</v>
      </c>
      <c r="C112" t="s">
        <v>267</v>
      </c>
      <c r="D112">
        <v>247</v>
      </c>
      <c r="E112">
        <v>1035.25</v>
      </c>
      <c r="F112">
        <v>3</v>
      </c>
      <c r="G112">
        <v>52.75</v>
      </c>
      <c r="H112">
        <v>1</v>
      </c>
      <c r="I112">
        <v>41.25</v>
      </c>
    </row>
    <row r="113" spans="1:11" x14ac:dyDescent="0.35">
      <c r="A113" t="s">
        <v>319</v>
      </c>
      <c r="B113" t="s">
        <v>274</v>
      </c>
      <c r="C113" t="s">
        <v>273</v>
      </c>
      <c r="D113">
        <v>110</v>
      </c>
      <c r="E113">
        <v>659</v>
      </c>
      <c r="F113">
        <v>14</v>
      </c>
      <c r="G113">
        <v>155.25</v>
      </c>
    </row>
    <row r="114" spans="1:11" x14ac:dyDescent="0.35">
      <c r="A114" t="s">
        <v>321</v>
      </c>
      <c r="B114" t="s">
        <v>216</v>
      </c>
      <c r="C114" t="s">
        <v>215</v>
      </c>
      <c r="D114">
        <v>308</v>
      </c>
      <c r="E114">
        <v>1977.5</v>
      </c>
      <c r="F114">
        <v>7</v>
      </c>
      <c r="G114">
        <v>69</v>
      </c>
      <c r="H114">
        <v>1</v>
      </c>
      <c r="I114">
        <v>11.5</v>
      </c>
      <c r="J114">
        <v>1</v>
      </c>
      <c r="K114">
        <v>1.25</v>
      </c>
    </row>
    <row r="115" spans="1:11" x14ac:dyDescent="0.35">
      <c r="A115" t="s">
        <v>321</v>
      </c>
      <c r="B115" t="s">
        <v>221</v>
      </c>
      <c r="C115" t="s">
        <v>220</v>
      </c>
      <c r="D115">
        <v>183</v>
      </c>
      <c r="E115">
        <v>1899.75</v>
      </c>
      <c r="F115">
        <v>3</v>
      </c>
      <c r="G115">
        <v>48.5</v>
      </c>
    </row>
    <row r="116" spans="1:11" x14ac:dyDescent="0.35">
      <c r="A116" t="s">
        <v>321</v>
      </c>
      <c r="B116" t="s">
        <v>241</v>
      </c>
      <c r="C116" t="s">
        <v>240</v>
      </c>
      <c r="D116">
        <v>39</v>
      </c>
      <c r="E116">
        <v>237.25</v>
      </c>
      <c r="F116">
        <v>2</v>
      </c>
      <c r="G116">
        <v>16.25</v>
      </c>
    </row>
    <row r="117" spans="1:11" x14ac:dyDescent="0.35">
      <c r="A117" t="s">
        <v>321</v>
      </c>
      <c r="B117" t="s">
        <v>1258</v>
      </c>
      <c r="C117" t="s">
        <v>300</v>
      </c>
      <c r="D117">
        <v>36</v>
      </c>
      <c r="E117">
        <v>322</v>
      </c>
      <c r="F117">
        <v>1</v>
      </c>
      <c r="G117">
        <v>4.75</v>
      </c>
    </row>
    <row r="118" spans="1:11" x14ac:dyDescent="0.35">
      <c r="A118" t="s">
        <v>321</v>
      </c>
      <c r="B118" t="s">
        <v>303</v>
      </c>
      <c r="C118" t="s">
        <v>302</v>
      </c>
      <c r="D118">
        <v>150</v>
      </c>
      <c r="E118">
        <v>1427.75</v>
      </c>
      <c r="F118">
        <v>4</v>
      </c>
      <c r="G118">
        <v>48.75</v>
      </c>
    </row>
    <row r="119" spans="1:11" x14ac:dyDescent="0.35">
      <c r="A119" t="s">
        <v>321</v>
      </c>
      <c r="B119" t="s">
        <v>310</v>
      </c>
      <c r="C119" t="s">
        <v>309</v>
      </c>
      <c r="D119">
        <v>67</v>
      </c>
      <c r="E119">
        <v>251.75</v>
      </c>
      <c r="F119">
        <v>2</v>
      </c>
      <c r="G119">
        <v>9.75</v>
      </c>
    </row>
    <row r="120" spans="1:11" x14ac:dyDescent="0.35">
      <c r="A120" t="s">
        <v>326</v>
      </c>
      <c r="B120" t="s">
        <v>248</v>
      </c>
      <c r="C120" t="s">
        <v>247</v>
      </c>
      <c r="D120">
        <v>249</v>
      </c>
      <c r="E120">
        <v>1316.5</v>
      </c>
      <c r="F120">
        <v>2</v>
      </c>
      <c r="G120">
        <v>54.75</v>
      </c>
    </row>
    <row r="121" spans="1:11" x14ac:dyDescent="0.35">
      <c r="A121" t="s">
        <v>326</v>
      </c>
      <c r="B121" t="s">
        <v>274</v>
      </c>
      <c r="C121" t="s">
        <v>273</v>
      </c>
      <c r="D121">
        <v>224</v>
      </c>
      <c r="E121">
        <v>1608.5</v>
      </c>
      <c r="F121">
        <v>18</v>
      </c>
      <c r="G121">
        <v>340</v>
      </c>
    </row>
    <row r="122" spans="1:11" x14ac:dyDescent="0.35">
      <c r="A122" t="s">
        <v>326</v>
      </c>
      <c r="B122" t="s">
        <v>280</v>
      </c>
      <c r="C122" t="s">
        <v>279</v>
      </c>
      <c r="D122">
        <v>79</v>
      </c>
      <c r="E122">
        <v>480</v>
      </c>
      <c r="F122">
        <v>8</v>
      </c>
      <c r="G122">
        <v>73.25</v>
      </c>
    </row>
    <row r="123" spans="1:11" x14ac:dyDescent="0.35">
      <c r="A123" t="s">
        <v>326</v>
      </c>
      <c r="B123" t="s">
        <v>295</v>
      </c>
      <c r="C123" t="s">
        <v>294</v>
      </c>
      <c r="D123">
        <v>136</v>
      </c>
      <c r="E123">
        <v>605.5</v>
      </c>
      <c r="F123">
        <v>2</v>
      </c>
      <c r="G123">
        <v>51</v>
      </c>
    </row>
    <row r="124" spans="1:11" x14ac:dyDescent="0.35">
      <c r="A124" t="s">
        <v>326</v>
      </c>
      <c r="B124" t="s">
        <v>310</v>
      </c>
      <c r="C124" t="s">
        <v>309</v>
      </c>
      <c r="D124">
        <v>41</v>
      </c>
      <c r="E124">
        <v>221.25</v>
      </c>
      <c r="F124">
        <v>2</v>
      </c>
      <c r="G124">
        <v>20</v>
      </c>
    </row>
    <row r="125" spans="1:11" x14ac:dyDescent="0.35">
      <c r="A125" t="s">
        <v>327</v>
      </c>
      <c r="B125" t="s">
        <v>216</v>
      </c>
      <c r="C125" t="s">
        <v>215</v>
      </c>
      <c r="D125">
        <v>343</v>
      </c>
      <c r="E125">
        <v>2507.25</v>
      </c>
      <c r="F125">
        <v>5</v>
      </c>
      <c r="G125">
        <v>108.25</v>
      </c>
    </row>
    <row r="126" spans="1:11" x14ac:dyDescent="0.35">
      <c r="A126" t="s">
        <v>327</v>
      </c>
      <c r="B126" t="s">
        <v>229</v>
      </c>
      <c r="C126" t="s">
        <v>228</v>
      </c>
      <c r="D126">
        <v>435</v>
      </c>
      <c r="E126">
        <v>2292</v>
      </c>
      <c r="F126">
        <v>24</v>
      </c>
      <c r="G126">
        <v>236.5</v>
      </c>
    </row>
    <row r="127" spans="1:11" x14ac:dyDescent="0.35">
      <c r="A127" t="s">
        <v>327</v>
      </c>
      <c r="B127" t="s">
        <v>245</v>
      </c>
      <c r="C127" t="s">
        <v>244</v>
      </c>
      <c r="D127">
        <v>356</v>
      </c>
      <c r="E127">
        <v>2195.75</v>
      </c>
      <c r="F127">
        <v>2</v>
      </c>
      <c r="G127">
        <v>24.75</v>
      </c>
      <c r="J127">
        <v>2</v>
      </c>
      <c r="K127">
        <v>7.25</v>
      </c>
    </row>
    <row r="128" spans="1:11" x14ac:dyDescent="0.35">
      <c r="A128" t="s">
        <v>327</v>
      </c>
      <c r="B128" t="s">
        <v>260</v>
      </c>
      <c r="C128" t="s">
        <v>259</v>
      </c>
      <c r="D128">
        <v>53</v>
      </c>
      <c r="E128">
        <v>261.5</v>
      </c>
      <c r="F128">
        <v>1</v>
      </c>
      <c r="G128">
        <v>5.5</v>
      </c>
    </row>
    <row r="129" spans="1:11" x14ac:dyDescent="0.35">
      <c r="A129" t="s">
        <v>327</v>
      </c>
      <c r="B129" t="s">
        <v>280</v>
      </c>
      <c r="C129" t="s">
        <v>279</v>
      </c>
      <c r="D129">
        <v>126</v>
      </c>
      <c r="E129">
        <v>829</v>
      </c>
      <c r="F129">
        <v>6</v>
      </c>
      <c r="G129">
        <v>40</v>
      </c>
    </row>
    <row r="130" spans="1:11" x14ac:dyDescent="0.35">
      <c r="A130" t="s">
        <v>327</v>
      </c>
      <c r="B130" t="s">
        <v>288</v>
      </c>
      <c r="C130" t="s">
        <v>287</v>
      </c>
      <c r="D130">
        <v>251</v>
      </c>
      <c r="E130">
        <v>1773.5</v>
      </c>
      <c r="F130">
        <v>8</v>
      </c>
      <c r="G130">
        <v>169.25</v>
      </c>
      <c r="H130">
        <v>1</v>
      </c>
      <c r="I130">
        <v>19.25</v>
      </c>
      <c r="J130">
        <v>1</v>
      </c>
      <c r="K130">
        <v>78</v>
      </c>
    </row>
    <row r="131" spans="1:11" x14ac:dyDescent="0.35">
      <c r="A131" t="s">
        <v>327</v>
      </c>
      <c r="B131" t="s">
        <v>297</v>
      </c>
      <c r="C131" t="s">
        <v>296</v>
      </c>
      <c r="D131">
        <v>194</v>
      </c>
      <c r="E131">
        <v>1054.5</v>
      </c>
      <c r="F131">
        <v>4</v>
      </c>
      <c r="G131">
        <v>52.75</v>
      </c>
    </row>
    <row r="132" spans="1:11" x14ac:dyDescent="0.35">
      <c r="A132" t="s">
        <v>365</v>
      </c>
      <c r="B132" t="s">
        <v>241</v>
      </c>
      <c r="C132" t="s">
        <v>240</v>
      </c>
      <c r="D132">
        <v>42</v>
      </c>
      <c r="E132">
        <v>247.25</v>
      </c>
      <c r="F132">
        <v>2</v>
      </c>
      <c r="G132">
        <v>16</v>
      </c>
    </row>
    <row r="133" spans="1:11" x14ac:dyDescent="0.35">
      <c r="A133" t="s">
        <v>365</v>
      </c>
      <c r="B133" t="s">
        <v>256</v>
      </c>
      <c r="C133" t="s">
        <v>255</v>
      </c>
      <c r="D133">
        <v>96</v>
      </c>
      <c r="E133">
        <v>335.5</v>
      </c>
      <c r="F133">
        <v>6</v>
      </c>
      <c r="G133">
        <v>37.5</v>
      </c>
    </row>
    <row r="134" spans="1:11" x14ac:dyDescent="0.35">
      <c r="A134" t="s">
        <v>365</v>
      </c>
      <c r="B134" t="s">
        <v>264</v>
      </c>
      <c r="C134" t="s">
        <v>263</v>
      </c>
      <c r="D134">
        <v>232</v>
      </c>
      <c r="E134">
        <v>1156</v>
      </c>
      <c r="F134">
        <v>11</v>
      </c>
      <c r="G134">
        <v>105.25</v>
      </c>
    </row>
    <row r="135" spans="1:11" x14ac:dyDescent="0.35">
      <c r="A135" t="s">
        <v>365</v>
      </c>
      <c r="B135" t="s">
        <v>280</v>
      </c>
      <c r="C135" t="s">
        <v>279</v>
      </c>
      <c r="D135">
        <v>122</v>
      </c>
      <c r="E135">
        <v>365.5</v>
      </c>
      <c r="F135">
        <v>4</v>
      </c>
      <c r="G135">
        <v>31.25</v>
      </c>
    </row>
    <row r="136" spans="1:11" x14ac:dyDescent="0.35">
      <c r="A136" t="s">
        <v>366</v>
      </c>
      <c r="B136" t="s">
        <v>221</v>
      </c>
      <c r="C136" t="s">
        <v>220</v>
      </c>
      <c r="D136">
        <v>334</v>
      </c>
      <c r="E136">
        <v>2016.25</v>
      </c>
      <c r="F136">
        <v>39</v>
      </c>
      <c r="G136">
        <v>438</v>
      </c>
      <c r="H136">
        <v>1</v>
      </c>
      <c r="I136">
        <v>28.25</v>
      </c>
    </row>
    <row r="137" spans="1:11" x14ac:dyDescent="0.35">
      <c r="A137" t="s">
        <v>366</v>
      </c>
      <c r="B137" t="s">
        <v>280</v>
      </c>
      <c r="C137" t="s">
        <v>279</v>
      </c>
      <c r="D137">
        <v>96</v>
      </c>
      <c r="E137">
        <v>321.75</v>
      </c>
      <c r="F137">
        <v>2</v>
      </c>
      <c r="G137">
        <v>7.75</v>
      </c>
    </row>
    <row r="138" spans="1:11" x14ac:dyDescent="0.35">
      <c r="A138" t="s">
        <v>366</v>
      </c>
      <c r="B138" t="s">
        <v>284</v>
      </c>
      <c r="C138" t="s">
        <v>283</v>
      </c>
      <c r="D138">
        <v>5</v>
      </c>
      <c r="E138">
        <v>27.25</v>
      </c>
      <c r="F138">
        <v>4</v>
      </c>
      <c r="G138">
        <v>78.75</v>
      </c>
    </row>
    <row r="139" spans="1:11" x14ac:dyDescent="0.35">
      <c r="A139" t="s">
        <v>341</v>
      </c>
      <c r="B139" t="s">
        <v>254</v>
      </c>
      <c r="C139" t="s">
        <v>253</v>
      </c>
      <c r="D139">
        <v>77</v>
      </c>
      <c r="E139">
        <v>520.25</v>
      </c>
      <c r="F139">
        <v>4</v>
      </c>
      <c r="G139">
        <v>57</v>
      </c>
    </row>
    <row r="140" spans="1:11" x14ac:dyDescent="0.35">
      <c r="A140" t="s">
        <v>341</v>
      </c>
      <c r="B140" t="s">
        <v>278</v>
      </c>
      <c r="C140" t="s">
        <v>277</v>
      </c>
      <c r="D140">
        <v>107</v>
      </c>
      <c r="E140">
        <v>429.5</v>
      </c>
      <c r="F140">
        <v>8</v>
      </c>
      <c r="G140">
        <v>55</v>
      </c>
    </row>
    <row r="141" spans="1:11" x14ac:dyDescent="0.35">
      <c r="A141" t="s">
        <v>341</v>
      </c>
      <c r="B141" t="s">
        <v>282</v>
      </c>
      <c r="C141" t="s">
        <v>281</v>
      </c>
      <c r="D141">
        <v>136</v>
      </c>
      <c r="E141">
        <v>833.25</v>
      </c>
      <c r="F141">
        <v>6</v>
      </c>
      <c r="G141">
        <v>94.25</v>
      </c>
      <c r="H141">
        <v>1</v>
      </c>
      <c r="I141">
        <v>7</v>
      </c>
    </row>
    <row r="142" spans="1:11" x14ac:dyDescent="0.35">
      <c r="A142" t="s">
        <v>341</v>
      </c>
      <c r="B142" t="s">
        <v>303</v>
      </c>
      <c r="C142" t="s">
        <v>302</v>
      </c>
      <c r="D142">
        <v>294</v>
      </c>
      <c r="E142">
        <v>1861.5</v>
      </c>
      <c r="F142">
        <v>16</v>
      </c>
      <c r="G142">
        <v>121.75</v>
      </c>
      <c r="H142">
        <v>1</v>
      </c>
      <c r="I142">
        <v>17.25</v>
      </c>
    </row>
    <row r="143" spans="1:11" x14ac:dyDescent="0.35">
      <c r="A143" t="s">
        <v>342</v>
      </c>
      <c r="B143" t="s">
        <v>274</v>
      </c>
      <c r="C143" t="s">
        <v>273</v>
      </c>
      <c r="D143">
        <v>227</v>
      </c>
      <c r="E143">
        <v>1333</v>
      </c>
      <c r="F143">
        <v>59</v>
      </c>
      <c r="G143">
        <v>1064.25</v>
      </c>
      <c r="H143">
        <v>6</v>
      </c>
      <c r="I143">
        <v>232</v>
      </c>
      <c r="J143">
        <v>4</v>
      </c>
      <c r="K143">
        <v>38.5</v>
      </c>
    </row>
    <row r="144" spans="1:11" x14ac:dyDescent="0.35">
      <c r="A144" t="s">
        <v>342</v>
      </c>
      <c r="B144" t="s">
        <v>290</v>
      </c>
      <c r="C144" t="s">
        <v>289</v>
      </c>
      <c r="D144">
        <v>344</v>
      </c>
      <c r="E144">
        <v>1826.5</v>
      </c>
      <c r="F144">
        <v>7</v>
      </c>
      <c r="G144">
        <v>65.5</v>
      </c>
    </row>
    <row r="145" spans="1:11" x14ac:dyDescent="0.35">
      <c r="A145" t="s">
        <v>214</v>
      </c>
      <c r="B145" t="s">
        <v>248</v>
      </c>
      <c r="C145" t="s">
        <v>247</v>
      </c>
      <c r="D145">
        <v>371</v>
      </c>
      <c r="E145">
        <v>1559.5</v>
      </c>
      <c r="F145">
        <v>10</v>
      </c>
      <c r="G145">
        <v>90.75</v>
      </c>
      <c r="J145">
        <v>3</v>
      </c>
      <c r="K145">
        <v>23.5</v>
      </c>
    </row>
    <row r="146" spans="1:11" x14ac:dyDescent="0.35">
      <c r="A146" t="s">
        <v>214</v>
      </c>
      <c r="B146" t="s">
        <v>256</v>
      </c>
      <c r="C146" t="s">
        <v>255</v>
      </c>
      <c r="D146">
        <v>144</v>
      </c>
      <c r="E146">
        <v>567.25</v>
      </c>
      <c r="F146">
        <v>5</v>
      </c>
      <c r="G146">
        <v>34.5</v>
      </c>
    </row>
    <row r="147" spans="1:11" x14ac:dyDescent="0.35">
      <c r="A147" t="s">
        <v>214</v>
      </c>
      <c r="B147" t="s">
        <v>264</v>
      </c>
      <c r="C147" t="s">
        <v>263</v>
      </c>
      <c r="D147">
        <v>201</v>
      </c>
      <c r="E147">
        <v>1063.25</v>
      </c>
    </row>
    <row r="148" spans="1:11" x14ac:dyDescent="0.35">
      <c r="A148" t="s">
        <v>214</v>
      </c>
      <c r="B148" t="s">
        <v>280</v>
      </c>
      <c r="C148" t="s">
        <v>279</v>
      </c>
      <c r="D148">
        <v>131</v>
      </c>
      <c r="E148">
        <v>878.5</v>
      </c>
      <c r="F148">
        <v>7</v>
      </c>
      <c r="G148">
        <v>91.25</v>
      </c>
    </row>
    <row r="149" spans="1:11" x14ac:dyDescent="0.35">
      <c r="A149" t="s">
        <v>214</v>
      </c>
      <c r="B149" t="s">
        <v>295</v>
      </c>
      <c r="C149" t="s">
        <v>294</v>
      </c>
      <c r="D149">
        <v>281</v>
      </c>
      <c r="E149">
        <v>1204.5</v>
      </c>
      <c r="F149">
        <v>12</v>
      </c>
      <c r="G149">
        <v>81</v>
      </c>
      <c r="H149">
        <v>1</v>
      </c>
      <c r="I149">
        <v>14.25</v>
      </c>
    </row>
    <row r="150" spans="1:11" x14ac:dyDescent="0.35">
      <c r="A150" t="s">
        <v>214</v>
      </c>
      <c r="B150" t="s">
        <v>301</v>
      </c>
      <c r="C150" t="s">
        <v>300</v>
      </c>
      <c r="D150">
        <v>14</v>
      </c>
      <c r="E150">
        <v>110.25</v>
      </c>
      <c r="F150">
        <v>2</v>
      </c>
      <c r="G150">
        <v>23.75</v>
      </c>
    </row>
    <row r="151" spans="1:11" x14ac:dyDescent="0.35">
      <c r="A151" t="s">
        <v>313</v>
      </c>
      <c r="B151" t="s">
        <v>221</v>
      </c>
      <c r="C151" t="s">
        <v>220</v>
      </c>
      <c r="D151">
        <v>345</v>
      </c>
      <c r="F151">
        <v>6</v>
      </c>
    </row>
    <row r="152" spans="1:11" x14ac:dyDescent="0.35">
      <c r="A152" t="s">
        <v>313</v>
      </c>
      <c r="B152" t="s">
        <v>278</v>
      </c>
      <c r="C152" t="s">
        <v>277</v>
      </c>
      <c r="D152">
        <v>51</v>
      </c>
      <c r="F152">
        <v>3</v>
      </c>
    </row>
    <row r="153" spans="1:11" x14ac:dyDescent="0.35">
      <c r="A153" t="s">
        <v>313</v>
      </c>
      <c r="B153" t="s">
        <v>280</v>
      </c>
      <c r="C153" t="s">
        <v>279</v>
      </c>
      <c r="D153">
        <v>64</v>
      </c>
      <c r="F153">
        <v>6</v>
      </c>
    </row>
    <row r="154" spans="1:11" x14ac:dyDescent="0.35">
      <c r="A154" t="s">
        <v>313</v>
      </c>
      <c r="B154" t="s">
        <v>293</v>
      </c>
      <c r="C154" t="s">
        <v>292</v>
      </c>
      <c r="D154">
        <v>23</v>
      </c>
    </row>
    <row r="155" spans="1:11" x14ac:dyDescent="0.35">
      <c r="A155" t="s">
        <v>313</v>
      </c>
      <c r="B155" t="s">
        <v>301</v>
      </c>
      <c r="C155" t="s">
        <v>300</v>
      </c>
      <c r="D155">
        <v>11</v>
      </c>
    </row>
    <row r="156" spans="1:11" x14ac:dyDescent="0.35">
      <c r="A156" t="s">
        <v>319</v>
      </c>
      <c r="B156" t="s">
        <v>290</v>
      </c>
      <c r="C156" t="s">
        <v>317</v>
      </c>
      <c r="D156">
        <v>115</v>
      </c>
      <c r="E156">
        <v>395.25</v>
      </c>
      <c r="F156">
        <v>2</v>
      </c>
      <c r="G156">
        <v>10.5</v>
      </c>
    </row>
    <row r="157" spans="1:11" x14ac:dyDescent="0.35">
      <c r="A157" t="s">
        <v>319</v>
      </c>
      <c r="B157" t="s">
        <v>308</v>
      </c>
      <c r="C157" t="s">
        <v>307</v>
      </c>
      <c r="D157">
        <v>74</v>
      </c>
      <c r="E157">
        <v>377.5</v>
      </c>
      <c r="F157">
        <v>6</v>
      </c>
      <c r="G157">
        <v>138.5</v>
      </c>
      <c r="H157">
        <v>1</v>
      </c>
      <c r="I157">
        <v>54.5</v>
      </c>
    </row>
    <row r="158" spans="1:11" x14ac:dyDescent="0.35">
      <c r="A158" t="s">
        <v>319</v>
      </c>
      <c r="B158" t="s">
        <v>310</v>
      </c>
      <c r="C158" t="s">
        <v>309</v>
      </c>
      <c r="D158">
        <v>28</v>
      </c>
      <c r="E158">
        <v>102.5</v>
      </c>
    </row>
    <row r="159" spans="1:11" x14ac:dyDescent="0.35">
      <c r="A159" t="s">
        <v>319</v>
      </c>
      <c r="B159" t="s">
        <v>312</v>
      </c>
      <c r="C159" t="s">
        <v>311</v>
      </c>
      <c r="D159">
        <v>86</v>
      </c>
      <c r="E159">
        <v>305.5</v>
      </c>
    </row>
    <row r="160" spans="1:11" x14ac:dyDescent="0.35">
      <c r="A160" t="s">
        <v>321</v>
      </c>
      <c r="B160" t="s">
        <v>225</v>
      </c>
      <c r="C160" t="s">
        <v>224</v>
      </c>
      <c r="D160">
        <v>124</v>
      </c>
      <c r="E160">
        <v>657</v>
      </c>
    </row>
    <row r="161" spans="1:11" x14ac:dyDescent="0.35">
      <c r="A161" t="s">
        <v>321</v>
      </c>
      <c r="B161" t="s">
        <v>229</v>
      </c>
      <c r="C161" t="s">
        <v>228</v>
      </c>
      <c r="D161">
        <v>173</v>
      </c>
      <c r="E161">
        <v>911.75</v>
      </c>
      <c r="F161">
        <v>16</v>
      </c>
      <c r="G161">
        <v>148.75</v>
      </c>
    </row>
    <row r="162" spans="1:11" x14ac:dyDescent="0.35">
      <c r="A162" t="s">
        <v>321</v>
      </c>
      <c r="B162" t="s">
        <v>245</v>
      </c>
      <c r="C162" t="s">
        <v>244</v>
      </c>
      <c r="D162">
        <v>140</v>
      </c>
      <c r="E162">
        <v>836.25</v>
      </c>
      <c r="F162">
        <v>1</v>
      </c>
      <c r="G162">
        <v>6.25</v>
      </c>
    </row>
    <row r="163" spans="1:11" x14ac:dyDescent="0.35">
      <c r="A163" t="s">
        <v>321</v>
      </c>
      <c r="B163" t="s">
        <v>278</v>
      </c>
      <c r="C163" t="s">
        <v>277</v>
      </c>
      <c r="D163">
        <v>43</v>
      </c>
      <c r="E163">
        <v>225.75</v>
      </c>
    </row>
    <row r="164" spans="1:11" x14ac:dyDescent="0.35">
      <c r="A164" t="s">
        <v>326</v>
      </c>
      <c r="B164" t="s">
        <v>235</v>
      </c>
      <c r="C164" t="s">
        <v>234</v>
      </c>
      <c r="D164">
        <v>536</v>
      </c>
      <c r="E164">
        <v>2521</v>
      </c>
      <c r="F164">
        <v>28</v>
      </c>
      <c r="G164">
        <v>135</v>
      </c>
      <c r="J164">
        <v>2</v>
      </c>
      <c r="K164">
        <v>8</v>
      </c>
    </row>
    <row r="165" spans="1:11" x14ac:dyDescent="0.35">
      <c r="A165" t="s">
        <v>326</v>
      </c>
      <c r="B165" t="s">
        <v>256</v>
      </c>
      <c r="C165" t="s">
        <v>255</v>
      </c>
      <c r="D165">
        <v>116</v>
      </c>
      <c r="E165">
        <v>695</v>
      </c>
      <c r="F165">
        <v>3</v>
      </c>
      <c r="G165">
        <v>32</v>
      </c>
    </row>
    <row r="166" spans="1:11" x14ac:dyDescent="0.35">
      <c r="A166" t="s">
        <v>326</v>
      </c>
      <c r="B166" t="s">
        <v>288</v>
      </c>
      <c r="C166" t="s">
        <v>287</v>
      </c>
      <c r="D166">
        <v>263</v>
      </c>
      <c r="E166">
        <v>2036.75</v>
      </c>
      <c r="F166">
        <v>8</v>
      </c>
      <c r="G166">
        <v>119.5</v>
      </c>
    </row>
    <row r="167" spans="1:11" x14ac:dyDescent="0.35">
      <c r="A167" t="s">
        <v>326</v>
      </c>
      <c r="B167" t="s">
        <v>312</v>
      </c>
      <c r="C167" t="s">
        <v>311</v>
      </c>
      <c r="D167">
        <v>109</v>
      </c>
      <c r="E167">
        <v>544</v>
      </c>
      <c r="F167">
        <v>2</v>
      </c>
      <c r="G167">
        <v>10</v>
      </c>
    </row>
    <row r="168" spans="1:11" x14ac:dyDescent="0.35">
      <c r="A168" t="s">
        <v>466</v>
      </c>
      <c r="B168" t="s">
        <v>254</v>
      </c>
      <c r="C168" t="s">
        <v>253</v>
      </c>
      <c r="D168">
        <v>71</v>
      </c>
      <c r="E168">
        <v>426.25</v>
      </c>
      <c r="F168">
        <v>4</v>
      </c>
      <c r="G168">
        <v>38.75</v>
      </c>
    </row>
    <row r="169" spans="1:11" x14ac:dyDescent="0.35">
      <c r="A169" t="s">
        <v>466</v>
      </c>
      <c r="B169" t="s">
        <v>312</v>
      </c>
      <c r="C169" t="s">
        <v>311</v>
      </c>
      <c r="D169">
        <v>240</v>
      </c>
      <c r="E169">
        <v>1183.5</v>
      </c>
    </row>
    <row r="170" spans="1:11" x14ac:dyDescent="0.35">
      <c r="A170" t="s">
        <v>327</v>
      </c>
      <c r="B170" t="s">
        <v>310</v>
      </c>
      <c r="C170" t="s">
        <v>309</v>
      </c>
      <c r="D170">
        <v>122</v>
      </c>
      <c r="E170">
        <v>571.25</v>
      </c>
      <c r="F170">
        <v>7</v>
      </c>
      <c r="G170">
        <v>68.5</v>
      </c>
    </row>
    <row r="171" spans="1:11" x14ac:dyDescent="0.35">
      <c r="A171" t="s">
        <v>466</v>
      </c>
      <c r="B171" t="s">
        <v>229</v>
      </c>
      <c r="C171" t="s">
        <v>228</v>
      </c>
      <c r="D171">
        <v>485</v>
      </c>
      <c r="E171">
        <v>2805</v>
      </c>
      <c r="F171">
        <v>23</v>
      </c>
      <c r="G171">
        <v>267.5</v>
      </c>
      <c r="J171">
        <v>1</v>
      </c>
      <c r="K171">
        <v>19.75</v>
      </c>
    </row>
    <row r="172" spans="1:11" x14ac:dyDescent="0.35">
      <c r="A172" t="s">
        <v>466</v>
      </c>
      <c r="B172" t="s">
        <v>260</v>
      </c>
      <c r="C172" t="s">
        <v>259</v>
      </c>
      <c r="D172">
        <v>46</v>
      </c>
      <c r="E172">
        <v>232.75</v>
      </c>
    </row>
    <row r="173" spans="1:11" x14ac:dyDescent="0.35">
      <c r="A173" t="s">
        <v>466</v>
      </c>
      <c r="B173" t="s">
        <v>271</v>
      </c>
      <c r="C173" t="s">
        <v>270</v>
      </c>
      <c r="D173">
        <v>1331</v>
      </c>
      <c r="E173">
        <v>5962.5</v>
      </c>
      <c r="F173">
        <v>70</v>
      </c>
      <c r="G173">
        <v>441.25</v>
      </c>
      <c r="J173">
        <v>1</v>
      </c>
      <c r="K173">
        <v>5.5</v>
      </c>
    </row>
    <row r="174" spans="1:11" x14ac:dyDescent="0.35">
      <c r="A174" t="s">
        <v>466</v>
      </c>
      <c r="B174" t="s">
        <v>274</v>
      </c>
      <c r="C174" t="s">
        <v>273</v>
      </c>
      <c r="D174">
        <v>379</v>
      </c>
      <c r="E174">
        <v>2709.25</v>
      </c>
      <c r="F174">
        <v>23</v>
      </c>
      <c r="G174">
        <v>379.25</v>
      </c>
      <c r="H174">
        <v>1</v>
      </c>
      <c r="I174">
        <v>64.5</v>
      </c>
    </row>
    <row r="175" spans="1:11" x14ac:dyDescent="0.35">
      <c r="A175" t="s">
        <v>466</v>
      </c>
      <c r="B175" t="s">
        <v>278</v>
      </c>
      <c r="C175" t="s">
        <v>277</v>
      </c>
      <c r="D175">
        <v>88</v>
      </c>
      <c r="E175">
        <v>454</v>
      </c>
      <c r="F175">
        <v>3</v>
      </c>
      <c r="G175">
        <v>32</v>
      </c>
    </row>
    <row r="176" spans="1:11" x14ac:dyDescent="0.35">
      <c r="A176" t="s">
        <v>466</v>
      </c>
      <c r="B176" t="s">
        <v>1297</v>
      </c>
      <c r="C176" t="s">
        <v>292</v>
      </c>
      <c r="D176">
        <v>42</v>
      </c>
      <c r="E176">
        <v>233.5</v>
      </c>
      <c r="F176">
        <v>1</v>
      </c>
      <c r="G176">
        <v>9</v>
      </c>
    </row>
    <row r="177" spans="1:9" x14ac:dyDescent="0.35">
      <c r="A177" t="s">
        <v>327</v>
      </c>
      <c r="B177" t="s">
        <v>303</v>
      </c>
      <c r="C177" t="s">
        <v>302</v>
      </c>
      <c r="D177">
        <v>243</v>
      </c>
      <c r="E177">
        <v>1766</v>
      </c>
      <c r="F177">
        <v>14</v>
      </c>
      <c r="G177">
        <v>268.5</v>
      </c>
    </row>
    <row r="178" spans="1:9" x14ac:dyDescent="0.35">
      <c r="A178" t="s">
        <v>327</v>
      </c>
      <c r="B178" t="s">
        <v>305</v>
      </c>
      <c r="C178" t="s">
        <v>304</v>
      </c>
      <c r="D178">
        <v>365</v>
      </c>
      <c r="E178">
        <v>2863.75</v>
      </c>
      <c r="F178">
        <v>13</v>
      </c>
      <c r="G178">
        <v>181</v>
      </c>
    </row>
    <row r="179" spans="1:9" x14ac:dyDescent="0.35">
      <c r="A179" t="s">
        <v>327</v>
      </c>
      <c r="B179" t="s">
        <v>308</v>
      </c>
      <c r="C179" t="s">
        <v>307</v>
      </c>
      <c r="D179">
        <v>92</v>
      </c>
      <c r="E179">
        <v>504.5</v>
      </c>
      <c r="F179">
        <v>3</v>
      </c>
      <c r="G179">
        <v>83.5</v>
      </c>
      <c r="H179">
        <v>1</v>
      </c>
      <c r="I179">
        <v>67</v>
      </c>
    </row>
    <row r="180" spans="1:9" x14ac:dyDescent="0.35">
      <c r="A180" t="s">
        <v>466</v>
      </c>
      <c r="B180" t="s">
        <v>216</v>
      </c>
      <c r="C180" t="s">
        <v>215</v>
      </c>
      <c r="D180">
        <v>404</v>
      </c>
      <c r="E180">
        <v>2431</v>
      </c>
      <c r="F180">
        <v>3</v>
      </c>
      <c r="G180">
        <v>100.75</v>
      </c>
      <c r="H180">
        <v>1</v>
      </c>
      <c r="I180">
        <v>81.5</v>
      </c>
    </row>
    <row r="181" spans="1:9" x14ac:dyDescent="0.35">
      <c r="A181" t="s">
        <v>466</v>
      </c>
      <c r="B181" t="s">
        <v>241</v>
      </c>
      <c r="C181" t="s">
        <v>240</v>
      </c>
      <c r="D181">
        <v>51</v>
      </c>
      <c r="E181">
        <v>340.5</v>
      </c>
      <c r="F181">
        <v>2</v>
      </c>
      <c r="G181">
        <v>12.75</v>
      </c>
    </row>
    <row r="182" spans="1:9" x14ac:dyDescent="0.35">
      <c r="A182" t="s">
        <v>466</v>
      </c>
      <c r="B182" t="s">
        <v>250</v>
      </c>
      <c r="C182" t="s">
        <v>249</v>
      </c>
      <c r="D182">
        <v>171</v>
      </c>
      <c r="E182">
        <v>795.5</v>
      </c>
      <c r="F182">
        <v>7</v>
      </c>
      <c r="G182">
        <v>148</v>
      </c>
    </row>
    <row r="183" spans="1:9" x14ac:dyDescent="0.35">
      <c r="A183" t="s">
        <v>466</v>
      </c>
      <c r="B183" t="s">
        <v>264</v>
      </c>
      <c r="C183" t="s">
        <v>263</v>
      </c>
      <c r="D183">
        <v>167</v>
      </c>
      <c r="E183">
        <v>880.25</v>
      </c>
    </row>
    <row r="184" spans="1:9" x14ac:dyDescent="0.35">
      <c r="A184" t="s">
        <v>466</v>
      </c>
      <c r="B184" t="s">
        <v>1257</v>
      </c>
      <c r="C184" t="s">
        <v>1101</v>
      </c>
      <c r="D184">
        <v>529</v>
      </c>
      <c r="E184">
        <v>3427.25</v>
      </c>
      <c r="F184">
        <v>10</v>
      </c>
      <c r="G184">
        <v>73.75</v>
      </c>
    </row>
    <row r="185" spans="1:9" x14ac:dyDescent="0.35">
      <c r="A185" t="s">
        <v>466</v>
      </c>
      <c r="B185" t="s">
        <v>305</v>
      </c>
      <c r="C185" t="s">
        <v>304</v>
      </c>
      <c r="D185">
        <v>360</v>
      </c>
      <c r="E185">
        <v>2761</v>
      </c>
      <c r="F185">
        <v>10</v>
      </c>
      <c r="G185">
        <v>219.75</v>
      </c>
    </row>
    <row r="186" spans="1:9" x14ac:dyDescent="0.35">
      <c r="A186" t="s">
        <v>466</v>
      </c>
      <c r="B186" t="s">
        <v>308</v>
      </c>
      <c r="C186" t="s">
        <v>307</v>
      </c>
      <c r="D186">
        <v>156</v>
      </c>
      <c r="E186">
        <v>987.75</v>
      </c>
      <c r="F186">
        <v>2</v>
      </c>
      <c r="G186">
        <v>21.5</v>
      </c>
    </row>
    <row r="187" spans="1:9" x14ac:dyDescent="0.35">
      <c r="A187" t="s">
        <v>365</v>
      </c>
      <c r="B187" t="s">
        <v>216</v>
      </c>
      <c r="C187" t="s">
        <v>215</v>
      </c>
      <c r="D187">
        <v>356</v>
      </c>
      <c r="E187">
        <v>1936.75</v>
      </c>
      <c r="F187">
        <v>13</v>
      </c>
      <c r="G187">
        <v>138.5</v>
      </c>
      <c r="H187">
        <v>2</v>
      </c>
      <c r="I187">
        <v>19.25</v>
      </c>
    </row>
    <row r="188" spans="1:9" x14ac:dyDescent="0.35">
      <c r="A188" t="s">
        <v>365</v>
      </c>
      <c r="B188" t="s">
        <v>268</v>
      </c>
      <c r="C188" t="s">
        <v>1101</v>
      </c>
      <c r="D188">
        <v>483</v>
      </c>
      <c r="E188">
        <v>1857.5</v>
      </c>
      <c r="F188">
        <v>15</v>
      </c>
      <c r="G188">
        <v>104.75</v>
      </c>
    </row>
    <row r="189" spans="1:9" x14ac:dyDescent="0.35">
      <c r="A189" t="s">
        <v>365</v>
      </c>
      <c r="B189" t="s">
        <v>282</v>
      </c>
      <c r="C189" t="s">
        <v>281</v>
      </c>
      <c r="D189">
        <v>110</v>
      </c>
      <c r="E189">
        <v>771.25</v>
      </c>
      <c r="F189">
        <v>4</v>
      </c>
      <c r="G189">
        <v>72.5</v>
      </c>
    </row>
    <row r="190" spans="1:9" x14ac:dyDescent="0.35">
      <c r="A190" t="s">
        <v>365</v>
      </c>
      <c r="B190" t="s">
        <v>284</v>
      </c>
      <c r="C190" t="s">
        <v>283</v>
      </c>
      <c r="D190">
        <v>18</v>
      </c>
      <c r="E190">
        <v>138.5</v>
      </c>
      <c r="F190">
        <v>1</v>
      </c>
      <c r="G190">
        <v>13.25</v>
      </c>
    </row>
    <row r="191" spans="1:9" x14ac:dyDescent="0.35">
      <c r="A191" t="s">
        <v>365</v>
      </c>
      <c r="B191" t="s">
        <v>293</v>
      </c>
      <c r="C191" t="s">
        <v>292</v>
      </c>
      <c r="D191">
        <v>16</v>
      </c>
      <c r="E191">
        <v>108.5</v>
      </c>
    </row>
    <row r="192" spans="1:9" x14ac:dyDescent="0.35">
      <c r="A192" t="s">
        <v>365</v>
      </c>
      <c r="B192" t="s">
        <v>297</v>
      </c>
      <c r="C192" t="s">
        <v>296</v>
      </c>
      <c r="D192">
        <v>212</v>
      </c>
      <c r="E192">
        <v>1318.75</v>
      </c>
      <c r="F192">
        <v>3</v>
      </c>
      <c r="G192">
        <v>28.75</v>
      </c>
    </row>
    <row r="193" spans="1:11" x14ac:dyDescent="0.35">
      <c r="A193" t="s">
        <v>365</v>
      </c>
      <c r="B193" t="s">
        <v>299</v>
      </c>
      <c r="C193" t="s">
        <v>298</v>
      </c>
      <c r="D193">
        <v>332</v>
      </c>
      <c r="E193">
        <v>1463</v>
      </c>
      <c r="F193">
        <v>49</v>
      </c>
      <c r="G193">
        <v>381.75</v>
      </c>
      <c r="H193">
        <v>1</v>
      </c>
      <c r="I193">
        <v>31</v>
      </c>
    </row>
    <row r="194" spans="1:11" x14ac:dyDescent="0.35">
      <c r="A194" t="s">
        <v>365</v>
      </c>
      <c r="B194" t="s">
        <v>310</v>
      </c>
      <c r="C194" t="s">
        <v>309</v>
      </c>
      <c r="D194">
        <v>176</v>
      </c>
      <c r="E194">
        <v>797.25</v>
      </c>
    </row>
    <row r="195" spans="1:11" x14ac:dyDescent="0.35">
      <c r="A195" t="s">
        <v>366</v>
      </c>
      <c r="B195" t="s">
        <v>241</v>
      </c>
      <c r="C195" t="s">
        <v>240</v>
      </c>
      <c r="D195">
        <v>51</v>
      </c>
      <c r="E195">
        <v>190</v>
      </c>
    </row>
    <row r="196" spans="1:11" x14ac:dyDescent="0.35">
      <c r="A196" t="s">
        <v>366</v>
      </c>
      <c r="B196" t="s">
        <v>260</v>
      </c>
      <c r="C196" t="s">
        <v>259</v>
      </c>
      <c r="D196">
        <v>54</v>
      </c>
      <c r="E196">
        <v>343.75</v>
      </c>
      <c r="F196">
        <v>3</v>
      </c>
      <c r="G196">
        <v>60</v>
      </c>
    </row>
    <row r="197" spans="1:11" x14ac:dyDescent="0.35">
      <c r="A197" t="s">
        <v>366</v>
      </c>
      <c r="B197" t="s">
        <v>293</v>
      </c>
      <c r="C197" t="s">
        <v>292</v>
      </c>
      <c r="D197">
        <v>31</v>
      </c>
      <c r="E197">
        <v>146.75</v>
      </c>
      <c r="F197">
        <v>1</v>
      </c>
      <c r="G197">
        <v>13.25</v>
      </c>
    </row>
    <row r="198" spans="1:11" x14ac:dyDescent="0.35">
      <c r="A198" t="s">
        <v>341</v>
      </c>
      <c r="B198" t="s">
        <v>216</v>
      </c>
      <c r="C198" t="s">
        <v>215</v>
      </c>
      <c r="D198">
        <v>415</v>
      </c>
      <c r="E198">
        <v>2311</v>
      </c>
      <c r="F198">
        <v>20</v>
      </c>
      <c r="G198">
        <v>156.5</v>
      </c>
      <c r="H198">
        <v>7</v>
      </c>
      <c r="I198">
        <v>48</v>
      </c>
    </row>
    <row r="199" spans="1:11" x14ac:dyDescent="0.35">
      <c r="A199" t="s">
        <v>341</v>
      </c>
      <c r="B199" t="s">
        <v>256</v>
      </c>
      <c r="C199" t="s">
        <v>255</v>
      </c>
      <c r="D199">
        <v>126</v>
      </c>
      <c r="E199">
        <v>481.75</v>
      </c>
      <c r="F199">
        <v>13</v>
      </c>
      <c r="G199">
        <v>102.25</v>
      </c>
    </row>
    <row r="200" spans="1:11" x14ac:dyDescent="0.35">
      <c r="A200" t="s">
        <v>341</v>
      </c>
      <c r="B200" t="s">
        <v>305</v>
      </c>
      <c r="C200" t="s">
        <v>304</v>
      </c>
      <c r="D200">
        <v>243</v>
      </c>
      <c r="E200">
        <v>1452.5</v>
      </c>
      <c r="F200">
        <v>8</v>
      </c>
      <c r="G200">
        <v>235.75</v>
      </c>
      <c r="H200">
        <v>1</v>
      </c>
      <c r="I200">
        <v>72.25</v>
      </c>
    </row>
    <row r="201" spans="1:11" x14ac:dyDescent="0.35">
      <c r="A201" t="s">
        <v>341</v>
      </c>
      <c r="B201" t="s">
        <v>308</v>
      </c>
      <c r="C201" t="s">
        <v>307</v>
      </c>
      <c r="D201">
        <v>146</v>
      </c>
      <c r="E201">
        <v>598.5</v>
      </c>
      <c r="F201">
        <v>14</v>
      </c>
      <c r="G201">
        <v>101.25</v>
      </c>
    </row>
    <row r="202" spans="1:11" x14ac:dyDescent="0.35">
      <c r="A202" t="s">
        <v>342</v>
      </c>
      <c r="B202" t="s">
        <v>221</v>
      </c>
      <c r="C202" t="s">
        <v>220</v>
      </c>
      <c r="D202">
        <v>317</v>
      </c>
      <c r="E202">
        <v>2121</v>
      </c>
      <c r="F202">
        <v>27</v>
      </c>
      <c r="G202">
        <v>291.25</v>
      </c>
      <c r="J202">
        <v>1</v>
      </c>
      <c r="K202">
        <v>23.25</v>
      </c>
    </row>
    <row r="203" spans="1:11" x14ac:dyDescent="0.35">
      <c r="A203" t="s">
        <v>342</v>
      </c>
      <c r="B203" t="s">
        <v>245</v>
      </c>
      <c r="C203" t="s">
        <v>244</v>
      </c>
      <c r="D203">
        <v>346</v>
      </c>
      <c r="E203">
        <v>1646</v>
      </c>
      <c r="F203">
        <v>33</v>
      </c>
      <c r="G203">
        <v>312.25</v>
      </c>
    </row>
    <row r="204" spans="1:11" x14ac:dyDescent="0.35">
      <c r="A204" t="s">
        <v>342</v>
      </c>
      <c r="B204" t="s">
        <v>254</v>
      </c>
      <c r="C204" t="s">
        <v>253</v>
      </c>
      <c r="D204">
        <v>86</v>
      </c>
      <c r="E204">
        <v>611</v>
      </c>
      <c r="F204">
        <v>6</v>
      </c>
      <c r="G204">
        <v>67.25</v>
      </c>
    </row>
    <row r="205" spans="1:11" x14ac:dyDescent="0.35">
      <c r="A205" t="s">
        <v>342</v>
      </c>
      <c r="B205" t="s">
        <v>301</v>
      </c>
      <c r="C205" t="s">
        <v>300</v>
      </c>
      <c r="D205">
        <v>22</v>
      </c>
      <c r="E205">
        <v>189</v>
      </c>
      <c r="F205">
        <v>1</v>
      </c>
      <c r="G205">
        <v>8</v>
      </c>
      <c r="J205">
        <v>1</v>
      </c>
      <c r="K205">
        <v>3.5</v>
      </c>
    </row>
    <row r="206" spans="1:11" x14ac:dyDescent="0.35">
      <c r="A206" t="s">
        <v>214</v>
      </c>
      <c r="B206" t="s">
        <v>221</v>
      </c>
      <c r="C206" t="s">
        <v>220</v>
      </c>
      <c r="D206">
        <v>344</v>
      </c>
      <c r="E206">
        <v>1895</v>
      </c>
      <c r="F206">
        <v>29</v>
      </c>
      <c r="G206">
        <v>240.5</v>
      </c>
      <c r="J206">
        <v>1</v>
      </c>
      <c r="K206">
        <v>7.5</v>
      </c>
    </row>
    <row r="207" spans="1:11" x14ac:dyDescent="0.35">
      <c r="A207" t="s">
        <v>214</v>
      </c>
      <c r="B207" t="s">
        <v>290</v>
      </c>
      <c r="C207" t="s">
        <v>289</v>
      </c>
      <c r="D207">
        <v>294</v>
      </c>
      <c r="E207">
        <v>1348</v>
      </c>
      <c r="F207">
        <v>13</v>
      </c>
      <c r="G207">
        <v>182.75</v>
      </c>
      <c r="H207">
        <v>2</v>
      </c>
      <c r="I207">
        <v>68.75</v>
      </c>
      <c r="J207">
        <v>1</v>
      </c>
      <c r="K207">
        <v>63</v>
      </c>
    </row>
    <row r="208" spans="1:11" x14ac:dyDescent="0.35">
      <c r="A208" t="s">
        <v>313</v>
      </c>
      <c r="B208" t="s">
        <v>229</v>
      </c>
      <c r="C208" t="s">
        <v>228</v>
      </c>
      <c r="D208">
        <v>275</v>
      </c>
      <c r="F208">
        <v>7</v>
      </c>
    </row>
    <row r="209" spans="1:11" x14ac:dyDescent="0.35">
      <c r="A209" t="s">
        <v>313</v>
      </c>
      <c r="B209" t="s">
        <v>248</v>
      </c>
      <c r="C209" t="s">
        <v>247</v>
      </c>
      <c r="D209">
        <v>419</v>
      </c>
      <c r="F209">
        <v>5</v>
      </c>
    </row>
    <row r="210" spans="1:11" x14ac:dyDescent="0.35">
      <c r="A210" t="s">
        <v>313</v>
      </c>
      <c r="B210" t="s">
        <v>250</v>
      </c>
      <c r="C210" t="s">
        <v>249</v>
      </c>
      <c r="D210">
        <v>105</v>
      </c>
      <c r="F210">
        <v>5</v>
      </c>
    </row>
    <row r="211" spans="1:11" x14ac:dyDescent="0.35">
      <c r="A211" t="s">
        <v>313</v>
      </c>
      <c r="B211" t="s">
        <v>260</v>
      </c>
      <c r="C211" t="s">
        <v>259</v>
      </c>
      <c r="D211">
        <v>28</v>
      </c>
    </row>
    <row r="212" spans="1:11" x14ac:dyDescent="0.35">
      <c r="A212" t="s">
        <v>313</v>
      </c>
      <c r="B212" t="s">
        <v>268</v>
      </c>
      <c r="C212" t="s">
        <v>1101</v>
      </c>
      <c r="D212">
        <v>335</v>
      </c>
      <c r="F212">
        <v>82</v>
      </c>
      <c r="J212">
        <v>2</v>
      </c>
    </row>
    <row r="213" spans="1:11" x14ac:dyDescent="0.35">
      <c r="A213" t="s">
        <v>319</v>
      </c>
      <c r="B213" t="s">
        <v>245</v>
      </c>
      <c r="C213" t="s">
        <v>244</v>
      </c>
      <c r="D213">
        <v>122</v>
      </c>
      <c r="E213">
        <v>533.25</v>
      </c>
      <c r="F213">
        <v>5</v>
      </c>
      <c r="G213">
        <v>39.25</v>
      </c>
    </row>
    <row r="214" spans="1:11" x14ac:dyDescent="0.35">
      <c r="A214" t="s">
        <v>319</v>
      </c>
      <c r="B214" t="s">
        <v>280</v>
      </c>
      <c r="C214" t="s">
        <v>279</v>
      </c>
      <c r="D214">
        <v>35</v>
      </c>
      <c r="E214">
        <v>292.25</v>
      </c>
      <c r="F214">
        <v>2</v>
      </c>
      <c r="G214">
        <v>31.75</v>
      </c>
    </row>
    <row r="215" spans="1:11" x14ac:dyDescent="0.35">
      <c r="A215" t="s">
        <v>321</v>
      </c>
      <c r="B215" t="s">
        <v>254</v>
      </c>
      <c r="C215" t="s">
        <v>253</v>
      </c>
      <c r="D215">
        <v>67</v>
      </c>
      <c r="E215">
        <v>330.5</v>
      </c>
      <c r="F215">
        <v>5</v>
      </c>
      <c r="G215">
        <v>29.25</v>
      </c>
    </row>
    <row r="216" spans="1:11" x14ac:dyDescent="0.35">
      <c r="A216" t="s">
        <v>321</v>
      </c>
      <c r="B216" t="s">
        <v>264</v>
      </c>
      <c r="C216" t="s">
        <v>263</v>
      </c>
      <c r="D216">
        <v>107</v>
      </c>
      <c r="E216">
        <v>523</v>
      </c>
      <c r="F216">
        <v>5</v>
      </c>
      <c r="G216">
        <v>53.5</v>
      </c>
    </row>
    <row r="217" spans="1:11" x14ac:dyDescent="0.35">
      <c r="A217" t="s">
        <v>321</v>
      </c>
      <c r="B217" t="s">
        <v>305</v>
      </c>
      <c r="C217" t="s">
        <v>304</v>
      </c>
      <c r="D217">
        <v>156</v>
      </c>
      <c r="E217">
        <v>1502.5</v>
      </c>
      <c r="F217">
        <v>9</v>
      </c>
      <c r="G217">
        <v>137.25</v>
      </c>
    </row>
    <row r="218" spans="1:11" x14ac:dyDescent="0.35">
      <c r="A218" t="s">
        <v>326</v>
      </c>
      <c r="B218" t="s">
        <v>271</v>
      </c>
      <c r="C218" t="s">
        <v>270</v>
      </c>
      <c r="D218">
        <v>1019</v>
      </c>
      <c r="E218">
        <v>5074.75</v>
      </c>
      <c r="F218">
        <v>92</v>
      </c>
      <c r="G218">
        <v>844</v>
      </c>
      <c r="J218">
        <v>1</v>
      </c>
      <c r="K218">
        <v>18</v>
      </c>
    </row>
    <row r="219" spans="1:11" x14ac:dyDescent="0.35">
      <c r="A219" t="s">
        <v>326</v>
      </c>
      <c r="B219" t="s">
        <v>284</v>
      </c>
      <c r="C219" t="s">
        <v>283</v>
      </c>
      <c r="D219">
        <v>32</v>
      </c>
      <c r="E219">
        <v>144.75</v>
      </c>
      <c r="F219">
        <v>2</v>
      </c>
      <c r="G219">
        <v>12.5</v>
      </c>
    </row>
    <row r="220" spans="1:11" x14ac:dyDescent="0.35">
      <c r="A220" t="s">
        <v>326</v>
      </c>
      <c r="B220" t="s">
        <v>297</v>
      </c>
      <c r="C220" t="s">
        <v>296</v>
      </c>
      <c r="D220">
        <v>187</v>
      </c>
      <c r="E220">
        <v>947.75</v>
      </c>
      <c r="F220">
        <v>3</v>
      </c>
      <c r="G220">
        <v>24.5</v>
      </c>
      <c r="J220">
        <v>1</v>
      </c>
      <c r="K220">
        <v>11</v>
      </c>
    </row>
    <row r="221" spans="1:11" x14ac:dyDescent="0.35">
      <c r="A221" t="s">
        <v>327</v>
      </c>
      <c r="B221" t="s">
        <v>1292</v>
      </c>
      <c r="C221" t="s">
        <v>263</v>
      </c>
      <c r="D221">
        <v>121</v>
      </c>
      <c r="E221">
        <v>721.75</v>
      </c>
      <c r="F221">
        <v>1</v>
      </c>
      <c r="G221">
        <v>33</v>
      </c>
    </row>
    <row r="222" spans="1:11" x14ac:dyDescent="0.35">
      <c r="A222" t="s">
        <v>327</v>
      </c>
      <c r="B222" t="s">
        <v>278</v>
      </c>
      <c r="C222" t="s">
        <v>277</v>
      </c>
      <c r="D222">
        <v>88</v>
      </c>
      <c r="E222">
        <v>492</v>
      </c>
      <c r="F222">
        <v>3</v>
      </c>
      <c r="G222">
        <v>41.5</v>
      </c>
    </row>
    <row r="223" spans="1:11" x14ac:dyDescent="0.35">
      <c r="A223" t="s">
        <v>327</v>
      </c>
      <c r="B223" t="s">
        <v>282</v>
      </c>
      <c r="C223" t="s">
        <v>281</v>
      </c>
      <c r="D223">
        <v>116</v>
      </c>
      <c r="E223">
        <v>902</v>
      </c>
      <c r="F223">
        <v>9</v>
      </c>
      <c r="G223">
        <v>198.5</v>
      </c>
    </row>
    <row r="224" spans="1:11" x14ac:dyDescent="0.35">
      <c r="A224" t="s">
        <v>466</v>
      </c>
      <c r="B224" t="s">
        <v>248</v>
      </c>
      <c r="C224" t="s">
        <v>247</v>
      </c>
      <c r="D224">
        <v>316</v>
      </c>
      <c r="E224">
        <v>1340.5</v>
      </c>
      <c r="F224">
        <v>7</v>
      </c>
      <c r="G224">
        <v>75</v>
      </c>
    </row>
    <row r="225" spans="1:11" x14ac:dyDescent="0.35">
      <c r="A225" t="s">
        <v>466</v>
      </c>
      <c r="B225" t="s">
        <v>299</v>
      </c>
      <c r="C225" t="s">
        <v>298</v>
      </c>
      <c r="D225">
        <v>197</v>
      </c>
      <c r="E225">
        <v>1006</v>
      </c>
      <c r="F225">
        <v>8</v>
      </c>
      <c r="G225">
        <v>72</v>
      </c>
    </row>
    <row r="226" spans="1:11" x14ac:dyDescent="0.35">
      <c r="A226" t="s">
        <v>466</v>
      </c>
      <c r="B226" t="s">
        <v>303</v>
      </c>
      <c r="C226" t="s">
        <v>302</v>
      </c>
      <c r="D226">
        <v>277</v>
      </c>
      <c r="E226">
        <v>1628</v>
      </c>
      <c r="F226">
        <v>3</v>
      </c>
      <c r="G226">
        <v>34.5</v>
      </c>
      <c r="J226">
        <v>1</v>
      </c>
      <c r="K226">
        <v>10.75</v>
      </c>
    </row>
    <row r="227" spans="1:11" x14ac:dyDescent="0.35">
      <c r="A227" t="s">
        <v>365</v>
      </c>
      <c r="B227" t="s">
        <v>225</v>
      </c>
      <c r="C227" t="s">
        <v>224</v>
      </c>
      <c r="D227">
        <v>202</v>
      </c>
      <c r="E227">
        <v>853.5</v>
      </c>
      <c r="F227">
        <v>4</v>
      </c>
      <c r="G227">
        <v>21.75</v>
      </c>
    </row>
    <row r="228" spans="1:11" x14ac:dyDescent="0.35">
      <c r="A228" t="s">
        <v>365</v>
      </c>
      <c r="B228" t="s">
        <v>235</v>
      </c>
      <c r="C228" t="s">
        <v>234</v>
      </c>
      <c r="D228">
        <v>903</v>
      </c>
      <c r="E228">
        <v>3293.5</v>
      </c>
      <c r="F228">
        <v>53</v>
      </c>
      <c r="G228">
        <v>292</v>
      </c>
      <c r="H228">
        <v>1</v>
      </c>
      <c r="I228">
        <v>5.5</v>
      </c>
    </row>
    <row r="229" spans="1:11" x14ac:dyDescent="0.35">
      <c r="A229" t="s">
        <v>365</v>
      </c>
      <c r="B229" t="s">
        <v>245</v>
      </c>
      <c r="C229" t="s">
        <v>244</v>
      </c>
      <c r="D229">
        <v>177</v>
      </c>
      <c r="E229">
        <v>785.25</v>
      </c>
      <c r="F229">
        <v>36</v>
      </c>
      <c r="G229">
        <v>306.5</v>
      </c>
      <c r="J229">
        <v>1</v>
      </c>
      <c r="K229">
        <v>12.5</v>
      </c>
    </row>
    <row r="230" spans="1:11" x14ac:dyDescent="0.35">
      <c r="A230" t="s">
        <v>365</v>
      </c>
      <c r="B230" t="s">
        <v>271</v>
      </c>
      <c r="C230" t="s">
        <v>270</v>
      </c>
      <c r="D230">
        <v>1045</v>
      </c>
      <c r="E230">
        <v>5340</v>
      </c>
      <c r="F230">
        <v>77</v>
      </c>
      <c r="G230">
        <v>444</v>
      </c>
      <c r="J230">
        <v>1</v>
      </c>
      <c r="K230">
        <v>5.5</v>
      </c>
    </row>
    <row r="231" spans="1:11" x14ac:dyDescent="0.35">
      <c r="A231" t="s">
        <v>365</v>
      </c>
      <c r="B231" t="s">
        <v>290</v>
      </c>
      <c r="C231" t="s">
        <v>289</v>
      </c>
      <c r="D231">
        <v>298</v>
      </c>
      <c r="E231">
        <v>2166.75</v>
      </c>
      <c r="F231">
        <v>3</v>
      </c>
      <c r="G231">
        <v>23.75</v>
      </c>
    </row>
    <row r="232" spans="1:11" x14ac:dyDescent="0.35">
      <c r="A232" t="s">
        <v>365</v>
      </c>
      <c r="B232" t="s">
        <v>308</v>
      </c>
      <c r="C232" t="s">
        <v>307</v>
      </c>
      <c r="D232">
        <v>210</v>
      </c>
      <c r="E232">
        <v>875.75</v>
      </c>
      <c r="F232">
        <v>7</v>
      </c>
      <c r="G232">
        <v>49.25</v>
      </c>
    </row>
    <row r="233" spans="1:11" x14ac:dyDescent="0.35">
      <c r="A233" t="s">
        <v>366</v>
      </c>
      <c r="B233" t="s">
        <v>274</v>
      </c>
      <c r="C233" t="s">
        <v>273</v>
      </c>
      <c r="D233">
        <v>287</v>
      </c>
      <c r="E233">
        <v>1820.25</v>
      </c>
      <c r="F233">
        <v>49</v>
      </c>
      <c r="G233">
        <v>847.75</v>
      </c>
      <c r="H233">
        <v>10</v>
      </c>
      <c r="I233">
        <v>256.5</v>
      </c>
    </row>
    <row r="234" spans="1:11" x14ac:dyDescent="0.35">
      <c r="A234" t="s">
        <v>366</v>
      </c>
      <c r="B234" t="s">
        <v>278</v>
      </c>
      <c r="C234" t="s">
        <v>277</v>
      </c>
      <c r="D234">
        <v>62</v>
      </c>
      <c r="E234">
        <v>263.75</v>
      </c>
      <c r="F234">
        <v>1</v>
      </c>
      <c r="G234">
        <v>17.25</v>
      </c>
    </row>
    <row r="235" spans="1:11" x14ac:dyDescent="0.35">
      <c r="A235" t="s">
        <v>366</v>
      </c>
      <c r="B235" t="s">
        <v>305</v>
      </c>
      <c r="C235" t="s">
        <v>304</v>
      </c>
      <c r="D235">
        <v>243</v>
      </c>
      <c r="E235">
        <v>1871.5</v>
      </c>
      <c r="F235">
        <v>7</v>
      </c>
      <c r="G235">
        <v>246.25</v>
      </c>
      <c r="H235">
        <v>1</v>
      </c>
      <c r="I235">
        <v>90.5</v>
      </c>
    </row>
    <row r="236" spans="1:11" x14ac:dyDescent="0.35">
      <c r="A236" t="s">
        <v>366</v>
      </c>
      <c r="B236" t="s">
        <v>308</v>
      </c>
      <c r="C236" t="s">
        <v>307</v>
      </c>
      <c r="D236">
        <v>332</v>
      </c>
      <c r="E236">
        <v>1013.5</v>
      </c>
      <c r="F236">
        <v>8</v>
      </c>
      <c r="G236">
        <v>39</v>
      </c>
      <c r="H236">
        <v>1</v>
      </c>
      <c r="I236">
        <v>21.75</v>
      </c>
      <c r="J236">
        <v>1</v>
      </c>
      <c r="K236">
        <v>2.5</v>
      </c>
    </row>
    <row r="237" spans="1:11" x14ac:dyDescent="0.35">
      <c r="A237" t="s">
        <v>366</v>
      </c>
      <c r="B237" t="s">
        <v>310</v>
      </c>
      <c r="C237" t="s">
        <v>309</v>
      </c>
      <c r="D237">
        <v>212</v>
      </c>
      <c r="E237">
        <v>933.75</v>
      </c>
      <c r="F237">
        <v>8</v>
      </c>
      <c r="G237">
        <v>99.75</v>
      </c>
    </row>
    <row r="238" spans="1:11" x14ac:dyDescent="0.35">
      <c r="A238" t="s">
        <v>341</v>
      </c>
      <c r="B238" t="s">
        <v>250</v>
      </c>
      <c r="C238" t="s">
        <v>249</v>
      </c>
      <c r="D238">
        <v>152</v>
      </c>
      <c r="E238">
        <v>1162.5</v>
      </c>
      <c r="F238">
        <v>12</v>
      </c>
      <c r="G238">
        <v>126.25</v>
      </c>
      <c r="H238">
        <v>1</v>
      </c>
      <c r="I238">
        <v>12.75</v>
      </c>
    </row>
    <row r="239" spans="1:11" x14ac:dyDescent="0.35">
      <c r="A239" t="s">
        <v>341</v>
      </c>
      <c r="B239" t="s">
        <v>297</v>
      </c>
      <c r="C239" t="s">
        <v>296</v>
      </c>
      <c r="D239">
        <v>164</v>
      </c>
      <c r="E239">
        <v>1078.5</v>
      </c>
      <c r="F239">
        <v>5</v>
      </c>
      <c r="G239">
        <v>60</v>
      </c>
    </row>
    <row r="240" spans="1:11" x14ac:dyDescent="0.35">
      <c r="A240" t="s">
        <v>342</v>
      </c>
      <c r="B240" t="s">
        <v>216</v>
      </c>
      <c r="C240" t="s">
        <v>215</v>
      </c>
      <c r="D240">
        <v>294</v>
      </c>
      <c r="E240">
        <v>1570.5</v>
      </c>
      <c r="F240">
        <v>21</v>
      </c>
      <c r="G240">
        <v>212.25</v>
      </c>
      <c r="H240">
        <v>2</v>
      </c>
      <c r="I240">
        <v>57.5</v>
      </c>
      <c r="J240">
        <v>1</v>
      </c>
      <c r="K240">
        <v>3.5</v>
      </c>
    </row>
    <row r="241" spans="1:11" x14ac:dyDescent="0.35">
      <c r="A241" t="s">
        <v>342</v>
      </c>
      <c r="B241" t="s">
        <v>256</v>
      </c>
      <c r="C241" t="s">
        <v>255</v>
      </c>
      <c r="D241">
        <v>138</v>
      </c>
      <c r="E241">
        <v>536.5</v>
      </c>
      <c r="F241">
        <v>6</v>
      </c>
      <c r="G241">
        <v>35.75</v>
      </c>
    </row>
    <row r="242" spans="1:11" x14ac:dyDescent="0.35">
      <c r="A242" t="s">
        <v>342</v>
      </c>
      <c r="B242" t="s">
        <v>268</v>
      </c>
      <c r="C242" t="s">
        <v>1101</v>
      </c>
      <c r="D242">
        <v>450</v>
      </c>
      <c r="E242">
        <v>1686.5</v>
      </c>
      <c r="F242">
        <v>14</v>
      </c>
      <c r="G242">
        <v>150.5</v>
      </c>
      <c r="H242">
        <v>2</v>
      </c>
      <c r="I242">
        <v>38.75</v>
      </c>
      <c r="J242">
        <v>2</v>
      </c>
      <c r="K242">
        <v>19.5</v>
      </c>
    </row>
    <row r="243" spans="1:11" x14ac:dyDescent="0.35">
      <c r="A243" t="s">
        <v>214</v>
      </c>
      <c r="B243" t="s">
        <v>235</v>
      </c>
      <c r="C243" t="s">
        <v>234</v>
      </c>
      <c r="D243">
        <v>672</v>
      </c>
      <c r="E243">
        <v>2918.5</v>
      </c>
      <c r="F243">
        <v>42</v>
      </c>
      <c r="G243">
        <v>362.75</v>
      </c>
      <c r="H243">
        <v>5</v>
      </c>
      <c r="I243">
        <v>63.5</v>
      </c>
      <c r="J243">
        <v>4</v>
      </c>
      <c r="K243">
        <v>16</v>
      </c>
    </row>
    <row r="244" spans="1:11" x14ac:dyDescent="0.35">
      <c r="A244" t="s">
        <v>214</v>
      </c>
      <c r="B244" t="s">
        <v>245</v>
      </c>
      <c r="C244" t="s">
        <v>244</v>
      </c>
      <c r="D244">
        <v>420</v>
      </c>
      <c r="E244">
        <v>2070.25</v>
      </c>
      <c r="F244">
        <v>20</v>
      </c>
      <c r="G244">
        <v>205.5</v>
      </c>
      <c r="H244">
        <v>2</v>
      </c>
      <c r="I244">
        <v>17</v>
      </c>
    </row>
    <row r="245" spans="1:11" x14ac:dyDescent="0.35">
      <c r="A245" t="s">
        <v>214</v>
      </c>
      <c r="B245" t="s">
        <v>303</v>
      </c>
      <c r="C245" t="s">
        <v>302</v>
      </c>
      <c r="D245">
        <v>216</v>
      </c>
      <c r="E245">
        <v>1373.25</v>
      </c>
      <c r="F245">
        <v>13</v>
      </c>
      <c r="G245">
        <v>108</v>
      </c>
      <c r="H245">
        <v>3</v>
      </c>
      <c r="I245">
        <v>44.25</v>
      </c>
      <c r="J245">
        <v>1</v>
      </c>
    </row>
    <row r="246" spans="1:11" x14ac:dyDescent="0.35">
      <c r="A246" t="s">
        <v>313</v>
      </c>
      <c r="B246" t="s">
        <v>271</v>
      </c>
      <c r="C246" t="s">
        <v>270</v>
      </c>
      <c r="D246">
        <v>897</v>
      </c>
      <c r="F246">
        <v>142</v>
      </c>
      <c r="J246">
        <v>3</v>
      </c>
    </row>
    <row r="247" spans="1:11" x14ac:dyDescent="0.35">
      <c r="A247" t="s">
        <v>313</v>
      </c>
      <c r="B247" t="s">
        <v>274</v>
      </c>
      <c r="C247" t="s">
        <v>273</v>
      </c>
      <c r="D247">
        <v>462</v>
      </c>
      <c r="F247">
        <v>31</v>
      </c>
      <c r="J247">
        <v>3</v>
      </c>
    </row>
    <row r="248" spans="1:11" x14ac:dyDescent="0.35">
      <c r="A248" t="s">
        <v>313</v>
      </c>
      <c r="B248" t="s">
        <v>282</v>
      </c>
      <c r="C248" t="s">
        <v>281</v>
      </c>
      <c r="D248">
        <v>91</v>
      </c>
      <c r="F248">
        <v>9</v>
      </c>
      <c r="J248">
        <v>1</v>
      </c>
    </row>
    <row r="249" spans="1:11" x14ac:dyDescent="0.35">
      <c r="A249" t="s">
        <v>313</v>
      </c>
      <c r="B249" t="s">
        <v>310</v>
      </c>
      <c r="C249" t="s">
        <v>309</v>
      </c>
      <c r="D249">
        <v>125</v>
      </c>
      <c r="F249">
        <v>3</v>
      </c>
    </row>
    <row r="250" spans="1:11" x14ac:dyDescent="0.35">
      <c r="A250" t="s">
        <v>319</v>
      </c>
      <c r="B250" t="s">
        <v>264</v>
      </c>
      <c r="C250" t="s">
        <v>263</v>
      </c>
      <c r="D250">
        <v>62</v>
      </c>
      <c r="E250">
        <v>270.5</v>
      </c>
    </row>
    <row r="251" spans="1:11" x14ac:dyDescent="0.35">
      <c r="A251" t="s">
        <v>319</v>
      </c>
      <c r="B251" t="s">
        <v>284</v>
      </c>
      <c r="C251" t="s">
        <v>283</v>
      </c>
      <c r="D251">
        <v>11</v>
      </c>
      <c r="E251">
        <v>62.75</v>
      </c>
    </row>
    <row r="252" spans="1:11" x14ac:dyDescent="0.35">
      <c r="A252" t="s">
        <v>319</v>
      </c>
      <c r="B252" t="s">
        <v>288</v>
      </c>
      <c r="C252" t="s">
        <v>287</v>
      </c>
      <c r="D252">
        <v>89</v>
      </c>
      <c r="E252">
        <v>599.25</v>
      </c>
    </row>
    <row r="253" spans="1:11" x14ac:dyDescent="0.35">
      <c r="A253" t="s">
        <v>321</v>
      </c>
      <c r="B253" t="s">
        <v>1221</v>
      </c>
      <c r="C253" t="s">
        <v>255</v>
      </c>
      <c r="D253">
        <v>97</v>
      </c>
      <c r="E253">
        <v>604.5</v>
      </c>
      <c r="F253">
        <v>9</v>
      </c>
      <c r="G253">
        <v>188.25</v>
      </c>
      <c r="H253">
        <v>2</v>
      </c>
      <c r="I253">
        <v>70.75</v>
      </c>
    </row>
    <row r="254" spans="1:11" x14ac:dyDescent="0.35">
      <c r="A254" t="s">
        <v>321</v>
      </c>
      <c r="B254" t="s">
        <v>260</v>
      </c>
      <c r="C254" t="s">
        <v>259</v>
      </c>
      <c r="D254">
        <v>23</v>
      </c>
      <c r="E254">
        <v>152</v>
      </c>
    </row>
    <row r="255" spans="1:11" x14ac:dyDescent="0.35">
      <c r="A255" t="s">
        <v>321</v>
      </c>
      <c r="B255" t="s">
        <v>295</v>
      </c>
      <c r="C255" t="s">
        <v>294</v>
      </c>
      <c r="D255">
        <v>146</v>
      </c>
      <c r="E255">
        <v>838.5</v>
      </c>
    </row>
    <row r="256" spans="1:11" x14ac:dyDescent="0.35">
      <c r="A256" t="s">
        <v>321</v>
      </c>
      <c r="B256" t="s">
        <v>312</v>
      </c>
      <c r="C256" t="s">
        <v>311</v>
      </c>
      <c r="D256">
        <v>174</v>
      </c>
      <c r="E256">
        <v>634</v>
      </c>
      <c r="F256">
        <v>3</v>
      </c>
      <c r="G256">
        <v>14.75</v>
      </c>
    </row>
    <row r="257" spans="1:11" x14ac:dyDescent="0.35">
      <c r="A257" t="s">
        <v>326</v>
      </c>
      <c r="B257" t="s">
        <v>303</v>
      </c>
      <c r="C257" t="s">
        <v>302</v>
      </c>
      <c r="D257">
        <v>223</v>
      </c>
      <c r="E257">
        <v>1582.75</v>
      </c>
      <c r="F257">
        <v>17</v>
      </c>
      <c r="G257">
        <v>265.5</v>
      </c>
      <c r="H257">
        <v>2</v>
      </c>
      <c r="I257">
        <v>98.25</v>
      </c>
      <c r="J257">
        <v>1</v>
      </c>
      <c r="K257">
        <v>15.5</v>
      </c>
    </row>
    <row r="258" spans="1:11" x14ac:dyDescent="0.35">
      <c r="A258" t="s">
        <v>326</v>
      </c>
      <c r="B258" t="s">
        <v>308</v>
      </c>
      <c r="C258" t="s">
        <v>307</v>
      </c>
      <c r="D258">
        <v>109</v>
      </c>
      <c r="E258">
        <v>503</v>
      </c>
      <c r="F258">
        <v>1</v>
      </c>
      <c r="G258">
        <v>44.5</v>
      </c>
    </row>
    <row r="259" spans="1:11" x14ac:dyDescent="0.35">
      <c r="A259" t="s">
        <v>327</v>
      </c>
      <c r="D259">
        <v>134</v>
      </c>
      <c r="E259">
        <v>655.25</v>
      </c>
    </row>
    <row r="260" spans="1:11" x14ac:dyDescent="0.35">
      <c r="A260" t="s">
        <v>327</v>
      </c>
      <c r="B260" t="s">
        <v>248</v>
      </c>
      <c r="C260" t="s">
        <v>247</v>
      </c>
      <c r="D260">
        <v>320</v>
      </c>
      <c r="E260">
        <v>1517</v>
      </c>
      <c r="F260">
        <v>8</v>
      </c>
      <c r="G260">
        <v>49.5</v>
      </c>
    </row>
    <row r="261" spans="1:11" x14ac:dyDescent="0.35">
      <c r="A261" t="s">
        <v>327</v>
      </c>
      <c r="B261" t="s">
        <v>250</v>
      </c>
      <c r="C261" t="s">
        <v>249</v>
      </c>
      <c r="D261">
        <v>173</v>
      </c>
      <c r="E261">
        <v>738.5</v>
      </c>
      <c r="F261">
        <v>10</v>
      </c>
      <c r="G261">
        <v>84</v>
      </c>
      <c r="J261">
        <v>1</v>
      </c>
      <c r="K261">
        <v>57.25</v>
      </c>
    </row>
    <row r="262" spans="1:11" x14ac:dyDescent="0.35">
      <c r="A262" t="s">
        <v>327</v>
      </c>
      <c r="B262" t="s">
        <v>268</v>
      </c>
      <c r="C262" t="s">
        <v>1101</v>
      </c>
      <c r="D262">
        <v>365</v>
      </c>
      <c r="E262">
        <v>2189</v>
      </c>
      <c r="F262">
        <v>11</v>
      </c>
      <c r="G262">
        <v>118.5</v>
      </c>
      <c r="J262">
        <v>1</v>
      </c>
      <c r="K262">
        <v>4</v>
      </c>
    </row>
    <row r="263" spans="1:11" x14ac:dyDescent="0.35">
      <c r="A263" t="s">
        <v>327</v>
      </c>
      <c r="B263" t="s">
        <v>312</v>
      </c>
      <c r="C263" t="s">
        <v>311</v>
      </c>
      <c r="D263">
        <v>195</v>
      </c>
      <c r="E263">
        <v>974.5</v>
      </c>
    </row>
    <row r="264" spans="1:11" x14ac:dyDescent="0.35">
      <c r="A264" t="s">
        <v>466</v>
      </c>
      <c r="B264" t="s">
        <v>1221</v>
      </c>
      <c r="C264" t="s">
        <v>255</v>
      </c>
      <c r="D264">
        <v>122</v>
      </c>
      <c r="E264">
        <v>650.25</v>
      </c>
      <c r="F264">
        <v>1</v>
      </c>
      <c r="G264">
        <v>5.75</v>
      </c>
    </row>
    <row r="265" spans="1:11" x14ac:dyDescent="0.35">
      <c r="A265" t="s">
        <v>466</v>
      </c>
      <c r="B265" t="s">
        <v>310</v>
      </c>
      <c r="C265" t="s">
        <v>309</v>
      </c>
      <c r="D265">
        <v>94</v>
      </c>
      <c r="E265">
        <v>563.75</v>
      </c>
      <c r="F265">
        <v>4</v>
      </c>
      <c r="G265">
        <v>25.5</v>
      </c>
    </row>
    <row r="266" spans="1:11" x14ac:dyDescent="0.35">
      <c r="A266" t="s">
        <v>365</v>
      </c>
      <c r="B266" t="s">
        <v>229</v>
      </c>
      <c r="C266" t="s">
        <v>228</v>
      </c>
      <c r="D266">
        <v>250</v>
      </c>
      <c r="E266">
        <v>1985.5</v>
      </c>
      <c r="F266">
        <v>3</v>
      </c>
      <c r="G266">
        <v>38.5</v>
      </c>
    </row>
    <row r="267" spans="1:11" x14ac:dyDescent="0.35">
      <c r="A267" t="s">
        <v>365</v>
      </c>
      <c r="B267" t="s">
        <v>312</v>
      </c>
      <c r="C267" t="s">
        <v>311</v>
      </c>
      <c r="D267">
        <v>221</v>
      </c>
      <c r="E267">
        <v>867.25</v>
      </c>
      <c r="F267">
        <v>17</v>
      </c>
      <c r="G267">
        <v>91.25</v>
      </c>
    </row>
    <row r="268" spans="1:11" x14ac:dyDescent="0.35">
      <c r="A268" t="s">
        <v>366</v>
      </c>
      <c r="B268" t="s">
        <v>248</v>
      </c>
      <c r="C268" t="s">
        <v>247</v>
      </c>
      <c r="D268">
        <v>588</v>
      </c>
      <c r="E268">
        <v>2433.5</v>
      </c>
      <c r="F268">
        <v>10</v>
      </c>
      <c r="G268">
        <v>76.25</v>
      </c>
    </row>
    <row r="269" spans="1:11" x14ac:dyDescent="0.35">
      <c r="A269" t="s">
        <v>366</v>
      </c>
      <c r="B269" t="s">
        <v>264</v>
      </c>
      <c r="C269" t="s">
        <v>263</v>
      </c>
      <c r="D269">
        <v>151</v>
      </c>
      <c r="E269">
        <v>754.5</v>
      </c>
      <c r="F269">
        <v>9</v>
      </c>
      <c r="G269">
        <v>57.25</v>
      </c>
      <c r="J269">
        <v>1</v>
      </c>
      <c r="K269">
        <v>11.5</v>
      </c>
    </row>
    <row r="270" spans="1:11" x14ac:dyDescent="0.35">
      <c r="A270" t="s">
        <v>366</v>
      </c>
      <c r="B270" t="s">
        <v>271</v>
      </c>
      <c r="C270" t="s">
        <v>270</v>
      </c>
      <c r="D270">
        <v>1812</v>
      </c>
      <c r="E270">
        <v>7682.25</v>
      </c>
      <c r="F270">
        <v>144</v>
      </c>
      <c r="G270">
        <v>952.25</v>
      </c>
      <c r="H270">
        <v>1</v>
      </c>
      <c r="I270">
        <v>37.25</v>
      </c>
    </row>
    <row r="271" spans="1:11" x14ac:dyDescent="0.35">
      <c r="A271" t="s">
        <v>366</v>
      </c>
      <c r="B271" t="s">
        <v>301</v>
      </c>
      <c r="C271" t="s">
        <v>300</v>
      </c>
      <c r="D271">
        <v>24</v>
      </c>
      <c r="E271">
        <v>127.25</v>
      </c>
    </row>
    <row r="272" spans="1:11" x14ac:dyDescent="0.35">
      <c r="A272" t="s">
        <v>341</v>
      </c>
      <c r="B272" t="s">
        <v>229</v>
      </c>
      <c r="C272" t="s">
        <v>228</v>
      </c>
      <c r="D272">
        <v>317</v>
      </c>
      <c r="E272">
        <v>2229.75</v>
      </c>
      <c r="F272">
        <v>14</v>
      </c>
      <c r="G272">
        <v>172.25</v>
      </c>
      <c r="H272">
        <v>2</v>
      </c>
      <c r="I272">
        <v>56.5</v>
      </c>
    </row>
    <row r="273" spans="1:11" x14ac:dyDescent="0.35">
      <c r="A273" t="s">
        <v>341</v>
      </c>
      <c r="B273" t="s">
        <v>268</v>
      </c>
      <c r="C273" t="s">
        <v>1101</v>
      </c>
      <c r="D273">
        <v>452</v>
      </c>
      <c r="E273">
        <v>1850</v>
      </c>
      <c r="F273">
        <v>30</v>
      </c>
      <c r="G273">
        <v>353.5</v>
      </c>
      <c r="H273">
        <v>1</v>
      </c>
      <c r="I273">
        <v>76.75</v>
      </c>
    </row>
    <row r="274" spans="1:11" x14ac:dyDescent="0.35">
      <c r="A274" t="s">
        <v>341</v>
      </c>
      <c r="B274" t="s">
        <v>284</v>
      </c>
      <c r="C274" t="s">
        <v>283</v>
      </c>
      <c r="D274">
        <v>16</v>
      </c>
      <c r="E274">
        <v>73.25</v>
      </c>
      <c r="F274">
        <v>5</v>
      </c>
      <c r="G274">
        <v>96.5</v>
      </c>
      <c r="H274">
        <v>1</v>
      </c>
      <c r="I274">
        <v>28.75</v>
      </c>
    </row>
    <row r="275" spans="1:11" x14ac:dyDescent="0.35">
      <c r="A275" t="s">
        <v>341</v>
      </c>
      <c r="B275" t="s">
        <v>293</v>
      </c>
      <c r="C275" t="s">
        <v>292</v>
      </c>
      <c r="D275">
        <v>24</v>
      </c>
      <c r="E275">
        <v>132.75</v>
      </c>
      <c r="F275">
        <v>5</v>
      </c>
      <c r="G275">
        <v>53.25</v>
      </c>
    </row>
    <row r="276" spans="1:11" x14ac:dyDescent="0.35">
      <c r="A276" t="s">
        <v>341</v>
      </c>
      <c r="B276" t="s">
        <v>299</v>
      </c>
      <c r="C276" t="s">
        <v>298</v>
      </c>
      <c r="D276">
        <v>243</v>
      </c>
      <c r="E276">
        <v>1093.5</v>
      </c>
      <c r="F276">
        <v>42</v>
      </c>
      <c r="G276">
        <v>392.75</v>
      </c>
      <c r="H276">
        <v>1</v>
      </c>
      <c r="I276">
        <v>32</v>
      </c>
      <c r="J276">
        <v>1</v>
      </c>
      <c r="K276">
        <v>6.5</v>
      </c>
    </row>
    <row r="277" spans="1:11" x14ac:dyDescent="0.35">
      <c r="A277" t="s">
        <v>341</v>
      </c>
      <c r="B277" t="s">
        <v>310</v>
      </c>
      <c r="C277" t="s">
        <v>309</v>
      </c>
      <c r="D277">
        <v>118</v>
      </c>
      <c r="E277">
        <v>596.75</v>
      </c>
      <c r="F277">
        <v>3</v>
      </c>
      <c r="G277">
        <v>39.25</v>
      </c>
    </row>
    <row r="278" spans="1:11" x14ac:dyDescent="0.35">
      <c r="A278" t="s">
        <v>342</v>
      </c>
      <c r="B278" t="s">
        <v>278</v>
      </c>
      <c r="C278" t="s">
        <v>277</v>
      </c>
      <c r="D278">
        <v>57</v>
      </c>
      <c r="E278">
        <v>256.5</v>
      </c>
      <c r="F278">
        <v>8</v>
      </c>
      <c r="G278">
        <v>62</v>
      </c>
    </row>
    <row r="279" spans="1:11" x14ac:dyDescent="0.35">
      <c r="A279" t="s">
        <v>342</v>
      </c>
      <c r="B279" t="s">
        <v>293</v>
      </c>
      <c r="C279" t="s">
        <v>292</v>
      </c>
      <c r="D279">
        <v>10</v>
      </c>
      <c r="E279">
        <v>46.75</v>
      </c>
      <c r="F279">
        <v>3</v>
      </c>
      <c r="G279">
        <v>44.25</v>
      </c>
    </row>
    <row r="280" spans="1:11" x14ac:dyDescent="0.35">
      <c r="A280" t="s">
        <v>342</v>
      </c>
      <c r="B280" t="s">
        <v>310</v>
      </c>
      <c r="C280" t="s">
        <v>309</v>
      </c>
      <c r="D280">
        <v>100</v>
      </c>
      <c r="E280">
        <v>682.75</v>
      </c>
      <c r="F280">
        <v>9</v>
      </c>
      <c r="G280">
        <v>115.25</v>
      </c>
    </row>
    <row r="281" spans="1:11" x14ac:dyDescent="0.35">
      <c r="A281" t="s">
        <v>214</v>
      </c>
      <c r="B281" t="s">
        <v>229</v>
      </c>
      <c r="C281" t="s">
        <v>228</v>
      </c>
      <c r="D281">
        <v>205</v>
      </c>
      <c r="E281">
        <v>1662</v>
      </c>
      <c r="F281">
        <v>15</v>
      </c>
      <c r="G281">
        <v>154.75</v>
      </c>
    </row>
    <row r="282" spans="1:11" x14ac:dyDescent="0.35">
      <c r="A282" t="s">
        <v>214</v>
      </c>
      <c r="B282" t="s">
        <v>260</v>
      </c>
      <c r="C282" t="s">
        <v>259</v>
      </c>
      <c r="D282">
        <v>34</v>
      </c>
      <c r="E282">
        <v>234</v>
      </c>
      <c r="F282">
        <v>2</v>
      </c>
      <c r="G282">
        <v>18.75</v>
      </c>
    </row>
    <row r="283" spans="1:11" x14ac:dyDescent="0.35">
      <c r="A283" t="s">
        <v>214</v>
      </c>
      <c r="B283" t="s">
        <v>274</v>
      </c>
      <c r="C283" t="s">
        <v>273</v>
      </c>
      <c r="D283">
        <v>172</v>
      </c>
      <c r="E283">
        <v>1061.75</v>
      </c>
      <c r="F283">
        <v>24</v>
      </c>
      <c r="G283">
        <v>392.5</v>
      </c>
      <c r="H283">
        <v>1</v>
      </c>
      <c r="I283">
        <v>70.75</v>
      </c>
      <c r="J283">
        <v>7</v>
      </c>
      <c r="K283">
        <v>123</v>
      </c>
    </row>
    <row r="284" spans="1:11" x14ac:dyDescent="0.35">
      <c r="A284" t="s">
        <v>214</v>
      </c>
      <c r="B284" t="s">
        <v>278</v>
      </c>
      <c r="C284" t="s">
        <v>277</v>
      </c>
      <c r="D284">
        <v>73</v>
      </c>
      <c r="E284">
        <v>338.75</v>
      </c>
      <c r="F284">
        <v>5</v>
      </c>
      <c r="G284">
        <v>63</v>
      </c>
      <c r="H284">
        <v>1</v>
      </c>
      <c r="I284">
        <v>33.25</v>
      </c>
    </row>
    <row r="285" spans="1:11" x14ac:dyDescent="0.35">
      <c r="A285" t="s">
        <v>214</v>
      </c>
      <c r="B285" t="s">
        <v>299</v>
      </c>
      <c r="C285" t="s">
        <v>298</v>
      </c>
      <c r="D285">
        <v>202</v>
      </c>
      <c r="E285">
        <v>998.75</v>
      </c>
      <c r="F285">
        <v>17</v>
      </c>
      <c r="G285">
        <v>142.5</v>
      </c>
    </row>
    <row r="286" spans="1:11" x14ac:dyDescent="0.35">
      <c r="A286" t="s">
        <v>313</v>
      </c>
      <c r="B286" t="s">
        <v>235</v>
      </c>
      <c r="C286" t="s">
        <v>234</v>
      </c>
      <c r="D286">
        <v>631</v>
      </c>
      <c r="F286">
        <v>17</v>
      </c>
      <c r="J286">
        <v>1</v>
      </c>
    </row>
    <row r="287" spans="1:11" x14ac:dyDescent="0.35">
      <c r="A287" t="s">
        <v>313</v>
      </c>
      <c r="B287" t="s">
        <v>245</v>
      </c>
      <c r="C287" t="s">
        <v>244</v>
      </c>
      <c r="D287">
        <v>429</v>
      </c>
      <c r="F287">
        <v>6</v>
      </c>
    </row>
    <row r="288" spans="1:11" x14ac:dyDescent="0.35">
      <c r="A288" t="s">
        <v>313</v>
      </c>
      <c r="B288" t="s">
        <v>297</v>
      </c>
      <c r="C288" t="s">
        <v>296</v>
      </c>
      <c r="D288">
        <v>140</v>
      </c>
      <c r="F288">
        <v>9</v>
      </c>
    </row>
    <row r="289" spans="1:11" x14ac:dyDescent="0.35">
      <c r="A289" t="s">
        <v>313</v>
      </c>
      <c r="B289" t="s">
        <v>312</v>
      </c>
      <c r="C289" t="s">
        <v>311</v>
      </c>
      <c r="D289">
        <v>173</v>
      </c>
      <c r="F289">
        <v>1</v>
      </c>
      <c r="H289">
        <v>1</v>
      </c>
    </row>
    <row r="290" spans="1:11" x14ac:dyDescent="0.35">
      <c r="A290" t="s">
        <v>319</v>
      </c>
      <c r="B290" t="s">
        <v>216</v>
      </c>
      <c r="C290" t="s">
        <v>215</v>
      </c>
      <c r="D290">
        <v>176</v>
      </c>
      <c r="E290">
        <v>1044.75</v>
      </c>
      <c r="F290">
        <v>5</v>
      </c>
      <c r="G290">
        <v>24.25</v>
      </c>
      <c r="J290">
        <v>1</v>
      </c>
      <c r="K290">
        <v>20</v>
      </c>
    </row>
    <row r="291" spans="1:11" x14ac:dyDescent="0.35">
      <c r="A291" t="s">
        <v>319</v>
      </c>
      <c r="B291" t="s">
        <v>250</v>
      </c>
      <c r="C291" t="s">
        <v>249</v>
      </c>
      <c r="D291">
        <v>67</v>
      </c>
      <c r="E291">
        <v>266.75</v>
      </c>
      <c r="F291">
        <v>2</v>
      </c>
      <c r="G291">
        <v>17.5</v>
      </c>
    </row>
    <row r="292" spans="1:11" x14ac:dyDescent="0.35">
      <c r="A292" t="s">
        <v>319</v>
      </c>
      <c r="B292" t="s">
        <v>293</v>
      </c>
      <c r="C292" t="s">
        <v>292</v>
      </c>
      <c r="D292">
        <v>8</v>
      </c>
      <c r="E292">
        <v>37.75</v>
      </c>
      <c r="F292">
        <v>1</v>
      </c>
      <c r="G292">
        <v>34.75</v>
      </c>
    </row>
    <row r="293" spans="1:11" x14ac:dyDescent="0.35">
      <c r="A293" t="s">
        <v>319</v>
      </c>
      <c r="B293" t="s">
        <v>301</v>
      </c>
      <c r="C293" t="s">
        <v>300</v>
      </c>
      <c r="D293">
        <v>10</v>
      </c>
      <c r="E293">
        <v>101.75</v>
      </c>
    </row>
    <row r="294" spans="1:11" x14ac:dyDescent="0.35">
      <c r="A294" t="s">
        <v>319</v>
      </c>
      <c r="B294" t="s">
        <v>303</v>
      </c>
      <c r="C294" t="s">
        <v>302</v>
      </c>
      <c r="D294">
        <v>120</v>
      </c>
      <c r="E294">
        <v>791.75</v>
      </c>
      <c r="F294">
        <v>2</v>
      </c>
      <c r="G294">
        <v>7.75</v>
      </c>
    </row>
    <row r="295" spans="1:11" x14ac:dyDescent="0.35">
      <c r="A295" t="s">
        <v>321</v>
      </c>
      <c r="B295" t="s">
        <v>250</v>
      </c>
      <c r="C295" t="s">
        <v>249</v>
      </c>
      <c r="D295">
        <v>110</v>
      </c>
      <c r="E295">
        <v>650</v>
      </c>
    </row>
    <row r="296" spans="1:11" x14ac:dyDescent="0.35">
      <c r="A296" t="s">
        <v>321</v>
      </c>
      <c r="B296" t="s">
        <v>282</v>
      </c>
      <c r="C296" t="s">
        <v>281</v>
      </c>
      <c r="D296">
        <v>56</v>
      </c>
      <c r="E296">
        <v>597.75</v>
      </c>
      <c r="F296">
        <v>3</v>
      </c>
      <c r="G296">
        <v>53.75</v>
      </c>
    </row>
    <row r="297" spans="1:11" x14ac:dyDescent="0.35">
      <c r="A297" t="s">
        <v>321</v>
      </c>
      <c r="B297" t="s">
        <v>1212</v>
      </c>
      <c r="C297" t="s">
        <v>283</v>
      </c>
      <c r="D297">
        <v>4</v>
      </c>
      <c r="E297">
        <v>16</v>
      </c>
    </row>
    <row r="298" spans="1:11" x14ac:dyDescent="0.35">
      <c r="A298" t="s">
        <v>321</v>
      </c>
      <c r="B298" t="s">
        <v>1220</v>
      </c>
      <c r="C298" t="s">
        <v>287</v>
      </c>
      <c r="D298">
        <v>151</v>
      </c>
      <c r="E298">
        <v>1309.75</v>
      </c>
      <c r="F298">
        <v>2</v>
      </c>
      <c r="G298">
        <v>43</v>
      </c>
    </row>
    <row r="299" spans="1:11" x14ac:dyDescent="0.35">
      <c r="A299" t="s">
        <v>321</v>
      </c>
      <c r="B299" t="s">
        <v>290</v>
      </c>
      <c r="C299" t="s">
        <v>289</v>
      </c>
      <c r="D299">
        <v>179</v>
      </c>
      <c r="E299">
        <v>630.25</v>
      </c>
      <c r="F299">
        <v>6</v>
      </c>
      <c r="G299">
        <v>30</v>
      </c>
    </row>
    <row r="300" spans="1:11" x14ac:dyDescent="0.35">
      <c r="A300" t="s">
        <v>321</v>
      </c>
      <c r="B300" t="s">
        <v>293</v>
      </c>
      <c r="C300" t="s">
        <v>292</v>
      </c>
      <c r="D300">
        <v>15</v>
      </c>
      <c r="E300">
        <v>208.5</v>
      </c>
    </row>
    <row r="301" spans="1:11" x14ac:dyDescent="0.35">
      <c r="A301" t="s">
        <v>326</v>
      </c>
      <c r="B301" t="s">
        <v>229</v>
      </c>
      <c r="C301" t="s">
        <v>228</v>
      </c>
      <c r="D301">
        <v>357</v>
      </c>
      <c r="E301">
        <v>1988.5</v>
      </c>
      <c r="F301">
        <v>22</v>
      </c>
      <c r="G301">
        <v>418.25</v>
      </c>
    </row>
    <row r="302" spans="1:11" x14ac:dyDescent="0.35">
      <c r="A302" t="s">
        <v>326</v>
      </c>
      <c r="B302" t="s">
        <v>254</v>
      </c>
      <c r="C302" t="s">
        <v>253</v>
      </c>
      <c r="D302">
        <v>51</v>
      </c>
      <c r="E302">
        <v>265.25</v>
      </c>
      <c r="F302">
        <v>2</v>
      </c>
      <c r="G302">
        <v>13.5</v>
      </c>
    </row>
    <row r="303" spans="1:11" x14ac:dyDescent="0.35">
      <c r="A303" t="s">
        <v>326</v>
      </c>
      <c r="B303" t="s">
        <v>290</v>
      </c>
      <c r="C303" t="s">
        <v>289</v>
      </c>
      <c r="D303">
        <v>192</v>
      </c>
      <c r="E303">
        <v>860</v>
      </c>
      <c r="F303">
        <v>5</v>
      </c>
      <c r="G303">
        <v>26.75</v>
      </c>
    </row>
    <row r="304" spans="1:11" x14ac:dyDescent="0.35">
      <c r="A304" t="s">
        <v>327</v>
      </c>
      <c r="B304" t="s">
        <v>256</v>
      </c>
      <c r="C304" t="s">
        <v>255</v>
      </c>
      <c r="D304">
        <v>110</v>
      </c>
      <c r="E304">
        <v>654.5</v>
      </c>
      <c r="F304">
        <v>7</v>
      </c>
      <c r="G304">
        <v>111.75</v>
      </c>
      <c r="H304">
        <v>1</v>
      </c>
      <c r="I304">
        <v>73.25</v>
      </c>
      <c r="J304">
        <v>3</v>
      </c>
      <c r="K304">
        <v>35</v>
      </c>
    </row>
    <row r="305" spans="1:11" x14ac:dyDescent="0.35">
      <c r="A305" t="s">
        <v>466</v>
      </c>
      <c r="B305" t="s">
        <v>221</v>
      </c>
      <c r="C305" t="s">
        <v>220</v>
      </c>
      <c r="D305">
        <v>336</v>
      </c>
      <c r="E305">
        <v>2281.25</v>
      </c>
      <c r="F305">
        <v>19</v>
      </c>
      <c r="G305">
        <v>284.75</v>
      </c>
      <c r="J305">
        <v>1</v>
      </c>
      <c r="K305">
        <v>18.5</v>
      </c>
    </row>
    <row r="306" spans="1:11" x14ac:dyDescent="0.35">
      <c r="A306" t="s">
        <v>466</v>
      </c>
      <c r="B306" t="s">
        <v>282</v>
      </c>
      <c r="C306" t="s">
        <v>281</v>
      </c>
      <c r="D306">
        <v>99</v>
      </c>
      <c r="E306">
        <v>742.75</v>
      </c>
      <c r="F306">
        <v>11</v>
      </c>
      <c r="G306">
        <v>240.25</v>
      </c>
    </row>
    <row r="307" spans="1:11" x14ac:dyDescent="0.35">
      <c r="A307" t="s">
        <v>466</v>
      </c>
      <c r="B307" t="s">
        <v>297</v>
      </c>
      <c r="C307" t="s">
        <v>296</v>
      </c>
      <c r="D307">
        <v>278</v>
      </c>
      <c r="E307">
        <v>1165.75</v>
      </c>
      <c r="F307">
        <v>2</v>
      </c>
      <c r="G307">
        <v>11.25</v>
      </c>
      <c r="J307">
        <v>1</v>
      </c>
      <c r="K307">
        <v>0</v>
      </c>
    </row>
    <row r="308" spans="1:11" x14ac:dyDescent="0.35">
      <c r="A308" t="s">
        <v>466</v>
      </c>
      <c r="B308" t="s">
        <v>301</v>
      </c>
      <c r="C308" t="s">
        <v>300</v>
      </c>
      <c r="D308">
        <v>62</v>
      </c>
      <c r="E308">
        <v>373.5</v>
      </c>
      <c r="F308">
        <v>1</v>
      </c>
      <c r="G308">
        <v>28</v>
      </c>
    </row>
    <row r="309" spans="1:11" x14ac:dyDescent="0.35">
      <c r="A309" t="s">
        <v>365</v>
      </c>
      <c r="B309" t="s">
        <v>248</v>
      </c>
      <c r="C309" t="s">
        <v>247</v>
      </c>
      <c r="D309">
        <v>456</v>
      </c>
      <c r="E309">
        <v>1804.75</v>
      </c>
      <c r="F309">
        <v>4</v>
      </c>
      <c r="G309">
        <v>13.5</v>
      </c>
    </row>
    <row r="310" spans="1:11" x14ac:dyDescent="0.35">
      <c r="A310" t="s">
        <v>365</v>
      </c>
      <c r="B310" t="s">
        <v>303</v>
      </c>
      <c r="C310" t="s">
        <v>302</v>
      </c>
      <c r="D310">
        <v>239</v>
      </c>
      <c r="E310">
        <v>1368.5</v>
      </c>
      <c r="F310">
        <v>8</v>
      </c>
      <c r="G310">
        <v>65.5</v>
      </c>
    </row>
    <row r="311" spans="1:11" x14ac:dyDescent="0.35">
      <c r="A311" t="s">
        <v>366</v>
      </c>
      <c r="B311" t="s">
        <v>225</v>
      </c>
      <c r="C311" t="s">
        <v>224</v>
      </c>
      <c r="D311">
        <v>167</v>
      </c>
      <c r="E311">
        <v>768.25</v>
      </c>
      <c r="F311">
        <v>7</v>
      </c>
      <c r="G311">
        <v>62</v>
      </c>
    </row>
    <row r="312" spans="1:11" x14ac:dyDescent="0.35">
      <c r="A312" t="s">
        <v>366</v>
      </c>
      <c r="B312" t="s">
        <v>245</v>
      </c>
      <c r="C312" t="s">
        <v>244</v>
      </c>
      <c r="D312">
        <v>236</v>
      </c>
      <c r="E312">
        <v>943.25</v>
      </c>
      <c r="F312">
        <v>60</v>
      </c>
      <c r="G312">
        <v>445.25</v>
      </c>
    </row>
    <row r="313" spans="1:11" x14ac:dyDescent="0.35">
      <c r="A313" t="s">
        <v>366</v>
      </c>
      <c r="B313" t="s">
        <v>250</v>
      </c>
      <c r="C313" t="s">
        <v>249</v>
      </c>
      <c r="D313">
        <v>131</v>
      </c>
      <c r="E313">
        <v>1016</v>
      </c>
      <c r="F313">
        <v>12</v>
      </c>
      <c r="G313">
        <v>128.75</v>
      </c>
      <c r="H313">
        <v>1</v>
      </c>
      <c r="I313">
        <v>28.5</v>
      </c>
    </row>
    <row r="314" spans="1:11" x14ac:dyDescent="0.35">
      <c r="A314" t="s">
        <v>366</v>
      </c>
      <c r="B314" t="s">
        <v>256</v>
      </c>
      <c r="C314" t="s">
        <v>255</v>
      </c>
      <c r="D314">
        <v>143</v>
      </c>
      <c r="E314">
        <v>628</v>
      </c>
      <c r="F314">
        <v>13</v>
      </c>
      <c r="G314">
        <v>106</v>
      </c>
    </row>
    <row r="315" spans="1:11" x14ac:dyDescent="0.35">
      <c r="A315" t="s">
        <v>366</v>
      </c>
      <c r="B315" t="s">
        <v>299</v>
      </c>
      <c r="C315" t="s">
        <v>298</v>
      </c>
      <c r="D315">
        <v>251</v>
      </c>
      <c r="E315">
        <v>1101.75</v>
      </c>
      <c r="F315">
        <v>39</v>
      </c>
      <c r="G315">
        <v>303.5</v>
      </c>
      <c r="J315">
        <v>1</v>
      </c>
      <c r="K315">
        <v>5.5</v>
      </c>
    </row>
    <row r="316" spans="1:11" x14ac:dyDescent="0.35">
      <c r="A316" t="s">
        <v>341</v>
      </c>
      <c r="B316" t="s">
        <v>221</v>
      </c>
      <c r="C316" t="s">
        <v>220</v>
      </c>
      <c r="D316">
        <v>336</v>
      </c>
      <c r="E316">
        <v>2384</v>
      </c>
      <c r="F316">
        <v>26</v>
      </c>
      <c r="G316">
        <v>277.5</v>
      </c>
      <c r="H316">
        <v>1</v>
      </c>
      <c r="I316">
        <v>6.5</v>
      </c>
    </row>
    <row r="317" spans="1:11" x14ac:dyDescent="0.35">
      <c r="A317" t="s">
        <v>341</v>
      </c>
      <c r="B317" t="s">
        <v>225</v>
      </c>
      <c r="C317" t="s">
        <v>224</v>
      </c>
      <c r="D317">
        <v>97</v>
      </c>
      <c r="E317">
        <v>396</v>
      </c>
      <c r="F317">
        <v>2</v>
      </c>
      <c r="G317">
        <v>19.75</v>
      </c>
    </row>
    <row r="318" spans="1:11" x14ac:dyDescent="0.35">
      <c r="A318" t="s">
        <v>341</v>
      </c>
      <c r="B318" t="s">
        <v>235</v>
      </c>
      <c r="C318" t="s">
        <v>234</v>
      </c>
      <c r="D318">
        <v>733</v>
      </c>
      <c r="E318">
        <v>2765</v>
      </c>
      <c r="F318">
        <v>50</v>
      </c>
      <c r="G318">
        <v>314</v>
      </c>
      <c r="H318">
        <v>3</v>
      </c>
      <c r="I318">
        <v>28</v>
      </c>
      <c r="J318">
        <v>4</v>
      </c>
      <c r="K318">
        <v>8.25</v>
      </c>
    </row>
    <row r="319" spans="1:11" x14ac:dyDescent="0.35">
      <c r="A319" t="s">
        <v>341</v>
      </c>
      <c r="B319" t="s">
        <v>271</v>
      </c>
      <c r="C319" t="s">
        <v>270</v>
      </c>
      <c r="D319">
        <v>1457</v>
      </c>
      <c r="E319">
        <v>6398</v>
      </c>
      <c r="F319">
        <v>105</v>
      </c>
      <c r="G319">
        <v>596</v>
      </c>
    </row>
    <row r="320" spans="1:11" x14ac:dyDescent="0.35">
      <c r="A320" t="s">
        <v>341</v>
      </c>
      <c r="B320" t="s">
        <v>312</v>
      </c>
      <c r="C320" t="s">
        <v>311</v>
      </c>
      <c r="D320">
        <v>155</v>
      </c>
      <c r="E320">
        <v>749</v>
      </c>
      <c r="F320">
        <v>22</v>
      </c>
      <c r="G320">
        <v>164.25</v>
      </c>
    </row>
    <row r="321" spans="1:11" x14ac:dyDescent="0.35">
      <c r="A321" t="s">
        <v>342</v>
      </c>
      <c r="B321" t="s">
        <v>248</v>
      </c>
      <c r="C321" t="s">
        <v>247</v>
      </c>
      <c r="D321">
        <v>299</v>
      </c>
      <c r="E321">
        <v>1117.25</v>
      </c>
      <c r="F321">
        <v>7</v>
      </c>
      <c r="G321">
        <v>57.75</v>
      </c>
      <c r="J321">
        <v>1</v>
      </c>
      <c r="K321">
        <v>7</v>
      </c>
    </row>
    <row r="322" spans="1:11" x14ac:dyDescent="0.35">
      <c r="A322" t="s">
        <v>342</v>
      </c>
      <c r="B322" t="s">
        <v>264</v>
      </c>
      <c r="C322" t="s">
        <v>263</v>
      </c>
      <c r="D322">
        <v>148</v>
      </c>
      <c r="E322">
        <v>843</v>
      </c>
      <c r="F322">
        <v>11</v>
      </c>
      <c r="G322">
        <v>143.25</v>
      </c>
    </row>
    <row r="323" spans="1:11" x14ac:dyDescent="0.35">
      <c r="A323" t="s">
        <v>342</v>
      </c>
      <c r="B323" t="s">
        <v>282</v>
      </c>
      <c r="C323" t="s">
        <v>281</v>
      </c>
      <c r="D323">
        <v>207</v>
      </c>
      <c r="E323">
        <v>1131.25</v>
      </c>
      <c r="F323">
        <v>9</v>
      </c>
      <c r="G323">
        <v>130.75</v>
      </c>
    </row>
    <row r="324" spans="1:11" x14ac:dyDescent="0.35">
      <c r="A324" t="s">
        <v>342</v>
      </c>
      <c r="B324" t="s">
        <v>295</v>
      </c>
      <c r="C324" t="s">
        <v>294</v>
      </c>
      <c r="D324">
        <v>284</v>
      </c>
      <c r="E324">
        <v>1240.75</v>
      </c>
      <c r="F324">
        <v>9</v>
      </c>
      <c r="G324">
        <v>81.25</v>
      </c>
    </row>
    <row r="325" spans="1:11" x14ac:dyDescent="0.35">
      <c r="A325" t="s">
        <v>214</v>
      </c>
      <c r="B325" t="s">
        <v>250</v>
      </c>
      <c r="C325" t="s">
        <v>249</v>
      </c>
      <c r="D325">
        <v>138</v>
      </c>
      <c r="E325">
        <v>837.25</v>
      </c>
      <c r="F325">
        <v>7</v>
      </c>
      <c r="G325">
        <v>59</v>
      </c>
    </row>
    <row r="326" spans="1:11" x14ac:dyDescent="0.35">
      <c r="A326" t="s">
        <v>214</v>
      </c>
      <c r="B326" t="s">
        <v>308</v>
      </c>
      <c r="C326" t="s">
        <v>307</v>
      </c>
      <c r="D326">
        <v>190</v>
      </c>
      <c r="E326">
        <v>759</v>
      </c>
      <c r="F326">
        <v>3</v>
      </c>
      <c r="G326">
        <v>38.75</v>
      </c>
    </row>
    <row r="327" spans="1:11" x14ac:dyDescent="0.35">
      <c r="A327" t="s">
        <v>313</v>
      </c>
      <c r="B327" t="s">
        <v>288</v>
      </c>
      <c r="C327" t="s">
        <v>287</v>
      </c>
      <c r="D327">
        <v>145</v>
      </c>
      <c r="F327">
        <v>3</v>
      </c>
    </row>
    <row r="328" spans="1:11" x14ac:dyDescent="0.35">
      <c r="A328" t="s">
        <v>319</v>
      </c>
      <c r="B328" t="s">
        <v>241</v>
      </c>
      <c r="C328" t="s">
        <v>240</v>
      </c>
      <c r="D328">
        <v>35</v>
      </c>
      <c r="E328">
        <v>206.25</v>
      </c>
    </row>
    <row r="329" spans="1:11" x14ac:dyDescent="0.35">
      <c r="A329" t="s">
        <v>319</v>
      </c>
      <c r="B329" t="s">
        <v>254</v>
      </c>
      <c r="C329" t="s">
        <v>253</v>
      </c>
      <c r="D329">
        <v>45</v>
      </c>
      <c r="E329">
        <v>153.5</v>
      </c>
    </row>
    <row r="330" spans="1:11" x14ac:dyDescent="0.35">
      <c r="A330" t="s">
        <v>319</v>
      </c>
      <c r="B330" t="s">
        <v>278</v>
      </c>
      <c r="C330" t="s">
        <v>277</v>
      </c>
      <c r="D330">
        <v>29</v>
      </c>
      <c r="E330">
        <v>163</v>
      </c>
    </row>
    <row r="331" spans="1:11" x14ac:dyDescent="0.35">
      <c r="A331" t="s">
        <v>319</v>
      </c>
      <c r="B331" t="s">
        <v>295</v>
      </c>
      <c r="C331" t="s">
        <v>494</v>
      </c>
      <c r="D331">
        <v>152</v>
      </c>
      <c r="E331">
        <v>697</v>
      </c>
    </row>
    <row r="332" spans="1:11" x14ac:dyDescent="0.35">
      <c r="A332" t="s">
        <v>319</v>
      </c>
      <c r="B332" t="s">
        <v>299</v>
      </c>
      <c r="C332" t="s">
        <v>298</v>
      </c>
      <c r="D332">
        <v>63</v>
      </c>
      <c r="E332">
        <v>350</v>
      </c>
      <c r="F332">
        <v>3</v>
      </c>
      <c r="G332">
        <v>49.5</v>
      </c>
    </row>
    <row r="333" spans="1:11" x14ac:dyDescent="0.35">
      <c r="A333" t="s">
        <v>319</v>
      </c>
      <c r="B333" t="s">
        <v>305</v>
      </c>
      <c r="C333" t="s">
        <v>304</v>
      </c>
      <c r="D333">
        <v>141</v>
      </c>
      <c r="E333">
        <v>1621</v>
      </c>
      <c r="F333">
        <v>4</v>
      </c>
      <c r="G333">
        <v>64.75</v>
      </c>
    </row>
    <row r="334" spans="1:11" x14ac:dyDescent="0.35">
      <c r="A334" t="s">
        <v>321</v>
      </c>
      <c r="B334" t="s">
        <v>1218</v>
      </c>
      <c r="C334" t="s">
        <v>234</v>
      </c>
      <c r="D334">
        <v>692</v>
      </c>
      <c r="E334">
        <v>3146.25</v>
      </c>
      <c r="F334">
        <v>18</v>
      </c>
      <c r="G334">
        <v>259.5</v>
      </c>
      <c r="J334">
        <v>1</v>
      </c>
      <c r="K334">
        <v>13</v>
      </c>
    </row>
    <row r="335" spans="1:11" x14ac:dyDescent="0.35">
      <c r="A335" t="s">
        <v>321</v>
      </c>
      <c r="B335" t="s">
        <v>1257</v>
      </c>
      <c r="C335" t="s">
        <v>1101</v>
      </c>
      <c r="D335">
        <v>365</v>
      </c>
      <c r="E335">
        <v>1707.75</v>
      </c>
      <c r="F335">
        <v>5</v>
      </c>
      <c r="G335">
        <v>90.25</v>
      </c>
      <c r="J335">
        <v>3</v>
      </c>
      <c r="K335">
        <v>16.25</v>
      </c>
    </row>
    <row r="336" spans="1:11" x14ac:dyDescent="0.35">
      <c r="A336" t="s">
        <v>321</v>
      </c>
      <c r="B336" t="s">
        <v>280</v>
      </c>
      <c r="C336" t="s">
        <v>279</v>
      </c>
      <c r="D336">
        <v>83</v>
      </c>
      <c r="E336">
        <v>501</v>
      </c>
      <c r="F336">
        <v>5</v>
      </c>
      <c r="G336">
        <v>92.25</v>
      </c>
      <c r="H336">
        <v>1</v>
      </c>
      <c r="I336">
        <v>65</v>
      </c>
    </row>
    <row r="337" spans="1:11" x14ac:dyDescent="0.35">
      <c r="A337" t="s">
        <v>321</v>
      </c>
      <c r="B337" t="s">
        <v>297</v>
      </c>
      <c r="C337" t="s">
        <v>296</v>
      </c>
      <c r="D337">
        <v>94</v>
      </c>
      <c r="E337">
        <v>625</v>
      </c>
      <c r="F337">
        <v>1</v>
      </c>
      <c r="G337">
        <v>6.25</v>
      </c>
    </row>
    <row r="338" spans="1:11" x14ac:dyDescent="0.35">
      <c r="A338" t="s">
        <v>321</v>
      </c>
      <c r="B338" t="s">
        <v>308</v>
      </c>
      <c r="C338" t="s">
        <v>307</v>
      </c>
      <c r="D338">
        <v>171</v>
      </c>
      <c r="E338">
        <v>815.25</v>
      </c>
      <c r="F338">
        <v>4</v>
      </c>
      <c r="G338">
        <v>42.75</v>
      </c>
    </row>
    <row r="339" spans="1:11" x14ac:dyDescent="0.35">
      <c r="A339" t="s">
        <v>326</v>
      </c>
      <c r="B339" t="s">
        <v>216</v>
      </c>
      <c r="C339" t="s">
        <v>215</v>
      </c>
      <c r="D339">
        <v>350</v>
      </c>
      <c r="E339">
        <v>2702.5</v>
      </c>
      <c r="F339">
        <v>7</v>
      </c>
      <c r="G339">
        <v>130.75</v>
      </c>
    </row>
    <row r="340" spans="1:11" x14ac:dyDescent="0.35">
      <c r="A340" t="s">
        <v>326</v>
      </c>
      <c r="B340" t="s">
        <v>250</v>
      </c>
      <c r="C340" t="s">
        <v>249</v>
      </c>
      <c r="D340">
        <v>146</v>
      </c>
      <c r="E340">
        <v>706</v>
      </c>
      <c r="F340">
        <v>4</v>
      </c>
      <c r="G340">
        <v>42.5</v>
      </c>
    </row>
    <row r="341" spans="1:11" x14ac:dyDescent="0.35">
      <c r="A341" t="s">
        <v>326</v>
      </c>
      <c r="B341" t="s">
        <v>260</v>
      </c>
      <c r="C341" t="s">
        <v>259</v>
      </c>
      <c r="D341">
        <v>49</v>
      </c>
      <c r="E341">
        <v>290.5</v>
      </c>
    </row>
    <row r="342" spans="1:11" x14ac:dyDescent="0.35">
      <c r="A342" t="s">
        <v>326</v>
      </c>
      <c r="B342" t="s">
        <v>278</v>
      </c>
      <c r="C342" t="s">
        <v>277</v>
      </c>
      <c r="D342">
        <v>73</v>
      </c>
      <c r="E342">
        <v>511.75</v>
      </c>
    </row>
    <row r="343" spans="1:11" x14ac:dyDescent="0.35">
      <c r="A343" t="s">
        <v>326</v>
      </c>
      <c r="B343" t="s">
        <v>282</v>
      </c>
      <c r="C343" t="s">
        <v>281</v>
      </c>
      <c r="D343">
        <v>139</v>
      </c>
      <c r="E343">
        <v>1163</v>
      </c>
      <c r="F343">
        <v>12</v>
      </c>
      <c r="G343">
        <v>258.25</v>
      </c>
    </row>
    <row r="344" spans="1:11" x14ac:dyDescent="0.35">
      <c r="A344" t="s">
        <v>327</v>
      </c>
      <c r="B344" t="s">
        <v>235</v>
      </c>
      <c r="C344" t="s">
        <v>234</v>
      </c>
      <c r="D344">
        <v>523</v>
      </c>
      <c r="E344">
        <v>2808</v>
      </c>
      <c r="F344">
        <v>41</v>
      </c>
      <c r="G344">
        <v>513</v>
      </c>
      <c r="H344">
        <v>1</v>
      </c>
      <c r="I344">
        <v>30.25</v>
      </c>
      <c r="J344">
        <v>1</v>
      </c>
    </row>
    <row r="345" spans="1:11" x14ac:dyDescent="0.35">
      <c r="A345" t="s">
        <v>327</v>
      </c>
      <c r="B345" t="s">
        <v>241</v>
      </c>
      <c r="C345" t="s">
        <v>240</v>
      </c>
      <c r="D345">
        <v>24</v>
      </c>
      <c r="E345">
        <v>154.75</v>
      </c>
      <c r="F345">
        <v>1</v>
      </c>
      <c r="G345">
        <v>4.75</v>
      </c>
    </row>
    <row r="346" spans="1:11" x14ac:dyDescent="0.35">
      <c r="A346" t="s">
        <v>327</v>
      </c>
      <c r="B346" t="s">
        <v>1291</v>
      </c>
      <c r="C346" t="s">
        <v>273</v>
      </c>
      <c r="D346">
        <v>348</v>
      </c>
      <c r="E346">
        <v>2388.75</v>
      </c>
      <c r="F346">
        <v>14</v>
      </c>
      <c r="G346">
        <v>500.25</v>
      </c>
      <c r="J346">
        <v>2</v>
      </c>
      <c r="K346">
        <v>108.75</v>
      </c>
    </row>
    <row r="347" spans="1:11" x14ac:dyDescent="0.35">
      <c r="A347" t="s">
        <v>327</v>
      </c>
      <c r="B347" t="s">
        <v>284</v>
      </c>
      <c r="C347" t="s">
        <v>283</v>
      </c>
      <c r="D347">
        <v>33</v>
      </c>
      <c r="E347">
        <v>186.75</v>
      </c>
      <c r="F347">
        <v>1</v>
      </c>
      <c r="G347">
        <v>12.25</v>
      </c>
    </row>
    <row r="348" spans="1:11" x14ac:dyDescent="0.35">
      <c r="A348" t="s">
        <v>327</v>
      </c>
      <c r="B348" t="s">
        <v>290</v>
      </c>
      <c r="C348" t="s">
        <v>289</v>
      </c>
      <c r="D348">
        <v>423</v>
      </c>
      <c r="E348">
        <v>1918.25</v>
      </c>
      <c r="F348">
        <v>8</v>
      </c>
      <c r="G348">
        <v>61.75</v>
      </c>
    </row>
    <row r="349" spans="1:11" x14ac:dyDescent="0.35">
      <c r="A349" t="s">
        <v>327</v>
      </c>
      <c r="B349" t="s">
        <v>299</v>
      </c>
      <c r="C349" t="s">
        <v>298</v>
      </c>
      <c r="D349">
        <v>146</v>
      </c>
      <c r="E349">
        <v>737.5</v>
      </c>
      <c r="F349">
        <v>14</v>
      </c>
      <c r="G349">
        <v>142.75</v>
      </c>
    </row>
    <row r="350" spans="1:11" x14ac:dyDescent="0.35">
      <c r="A350" t="s">
        <v>466</v>
      </c>
      <c r="B350" t="s">
        <v>1215</v>
      </c>
      <c r="C350" t="s">
        <v>224</v>
      </c>
      <c r="D350">
        <v>69</v>
      </c>
      <c r="E350">
        <v>380.75</v>
      </c>
      <c r="F350">
        <v>1</v>
      </c>
      <c r="G350">
        <v>6.75</v>
      </c>
    </row>
    <row r="351" spans="1:11" x14ac:dyDescent="0.35">
      <c r="A351" t="s">
        <v>466</v>
      </c>
      <c r="B351" t="s">
        <v>1218</v>
      </c>
      <c r="C351" t="s">
        <v>234</v>
      </c>
      <c r="D351">
        <v>655</v>
      </c>
      <c r="E351">
        <v>3002.5</v>
      </c>
      <c r="F351">
        <v>51</v>
      </c>
      <c r="G351">
        <v>430.75</v>
      </c>
    </row>
    <row r="352" spans="1:11" x14ac:dyDescent="0.35">
      <c r="A352" t="s">
        <v>466</v>
      </c>
      <c r="B352" t="s">
        <v>284</v>
      </c>
      <c r="C352" t="s">
        <v>283</v>
      </c>
      <c r="D352">
        <v>35</v>
      </c>
      <c r="E352">
        <v>226.75</v>
      </c>
      <c r="F352">
        <v>1</v>
      </c>
      <c r="G352">
        <v>14.75</v>
      </c>
    </row>
    <row r="353" spans="1:11" x14ac:dyDescent="0.35">
      <c r="A353" t="s">
        <v>466</v>
      </c>
      <c r="B353" t="s">
        <v>290</v>
      </c>
      <c r="C353" t="s">
        <v>289</v>
      </c>
      <c r="D353">
        <v>336</v>
      </c>
      <c r="E353">
        <v>1735</v>
      </c>
      <c r="F353">
        <v>8</v>
      </c>
      <c r="G353">
        <v>44</v>
      </c>
      <c r="J353">
        <v>1</v>
      </c>
      <c r="K353">
        <v>31</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35">
    <tabColor theme="3" tint="0.39997558519241921"/>
    <pageSetUpPr fitToPage="1"/>
  </sheetPr>
  <dimension ref="A1:O50"/>
  <sheetViews>
    <sheetView showGridLines="0" zoomScaleNormal="100" workbookViewId="0">
      <pane ySplit="2" topLeftCell="A3" activePane="bottomLeft" state="frozen"/>
      <selection pane="bottomLeft"/>
    </sheetView>
  </sheetViews>
  <sheetFormatPr defaultRowHeight="14.5" x14ac:dyDescent="0.35"/>
  <cols>
    <col min="1" max="1" width="16.54296875" customWidth="1"/>
    <col min="2" max="2" width="23.26953125" customWidth="1"/>
    <col min="3" max="3" width="11.54296875" customWidth="1"/>
    <col min="4" max="4" width="10.81640625" customWidth="1"/>
    <col min="5" max="6" width="11.54296875" customWidth="1"/>
    <col min="7" max="10" width="9.7265625" customWidth="1"/>
    <col min="11" max="11" width="10.26953125" customWidth="1"/>
    <col min="12" max="12" width="9.7265625" customWidth="1"/>
    <col min="13" max="13" width="11.26953125" bestFit="1" customWidth="1"/>
    <col min="14" max="14" width="14.26953125" customWidth="1"/>
    <col min="15" max="15" width="13.54296875" customWidth="1"/>
  </cols>
  <sheetData>
    <row r="1" spans="1:15" ht="15.5" x14ac:dyDescent="0.35">
      <c r="A1" s="514" t="s">
        <v>1127</v>
      </c>
    </row>
    <row r="2" spans="1:15" x14ac:dyDescent="0.35">
      <c r="A2" s="499" t="s">
        <v>201</v>
      </c>
    </row>
    <row r="3" spans="1:15" x14ac:dyDescent="0.35">
      <c r="A3" s="25"/>
    </row>
    <row r="4" spans="1:15" ht="15.75" customHeight="1" x14ac:dyDescent="0.35">
      <c r="A4" s="523" t="s">
        <v>1259</v>
      </c>
      <c r="B4" s="523"/>
      <c r="C4" s="523"/>
      <c r="D4" s="523"/>
      <c r="E4" s="523"/>
      <c r="F4" s="523"/>
      <c r="G4" s="523"/>
      <c r="H4" s="523"/>
      <c r="I4" s="523"/>
      <c r="J4" s="523"/>
      <c r="K4" s="523"/>
    </row>
    <row r="5" spans="1:15" ht="15.5" x14ac:dyDescent="0.35">
      <c r="A5" t="s">
        <v>202</v>
      </c>
      <c r="B5" t="s">
        <v>190</v>
      </c>
      <c r="C5" s="500"/>
      <c r="D5" s="500"/>
      <c r="E5" s="500"/>
      <c r="F5" s="500"/>
      <c r="G5" s="500"/>
      <c r="H5" s="500"/>
      <c r="I5" s="500"/>
      <c r="J5" s="500"/>
      <c r="K5" s="500"/>
    </row>
    <row r="6" spans="1:15" ht="15.5" x14ac:dyDescent="0.35">
      <c r="A6" t="s">
        <v>203</v>
      </c>
      <c r="B6" t="s">
        <v>204</v>
      </c>
      <c r="C6" s="500"/>
      <c r="D6" s="500"/>
      <c r="E6" s="500"/>
      <c r="F6" s="500"/>
      <c r="G6" s="500"/>
      <c r="H6" s="500"/>
      <c r="I6" s="500"/>
      <c r="J6" s="500"/>
      <c r="K6" s="500"/>
    </row>
    <row r="7" spans="1:15" ht="15.5" x14ac:dyDescent="0.35">
      <c r="A7" t="s">
        <v>205</v>
      </c>
      <c r="B7" t="s">
        <v>206</v>
      </c>
      <c r="C7" s="500"/>
      <c r="D7" s="500"/>
      <c r="E7" s="500"/>
      <c r="F7" s="500"/>
      <c r="G7" s="500"/>
      <c r="H7" s="500"/>
      <c r="I7" s="500"/>
      <c r="J7" s="500"/>
      <c r="K7" s="500"/>
    </row>
    <row r="8" spans="1:15" ht="15.5" x14ac:dyDescent="0.35">
      <c r="C8" s="500"/>
      <c r="D8" s="500"/>
      <c r="E8" s="500"/>
      <c r="F8" s="500"/>
      <c r="G8" s="500"/>
      <c r="H8" s="500"/>
      <c r="I8" s="500"/>
      <c r="J8" s="500"/>
      <c r="K8" s="500"/>
    </row>
    <row r="9" spans="1:15" x14ac:dyDescent="0.35">
      <c r="A9" s="312" t="s">
        <v>207</v>
      </c>
      <c r="B9" s="312" t="str">
        <f>auditsoutcomeLApivot!B1</f>
        <v>2024-25</v>
      </c>
    </row>
    <row r="10" spans="1:15" ht="30.75" customHeight="1" x14ac:dyDescent="0.35">
      <c r="B10" s="12"/>
      <c r="C10" s="1061" t="s">
        <v>1240</v>
      </c>
      <c r="D10" s="1061"/>
      <c r="E10" s="1061" t="s">
        <v>1241</v>
      </c>
      <c r="F10" s="1061"/>
      <c r="G10" s="1061" t="s">
        <v>1193</v>
      </c>
      <c r="H10" s="1061"/>
      <c r="I10" s="1061" t="s">
        <v>1242</v>
      </c>
      <c r="J10" s="1061"/>
      <c r="K10" s="1061" t="s">
        <v>1243</v>
      </c>
      <c r="L10" s="1061"/>
      <c r="M10" s="12"/>
      <c r="N10" s="12"/>
      <c r="O10" s="12"/>
    </row>
    <row r="11" spans="1:15" ht="39.5" x14ac:dyDescent="0.35">
      <c r="A11" s="526" t="s">
        <v>208</v>
      </c>
      <c r="B11" s="240" t="s">
        <v>32</v>
      </c>
      <c r="C11" s="604" t="s">
        <v>346</v>
      </c>
      <c r="D11" s="604" t="s">
        <v>1245</v>
      </c>
      <c r="E11" s="604" t="s">
        <v>346</v>
      </c>
      <c r="F11" s="604" t="s">
        <v>1245</v>
      </c>
      <c r="G11" s="605" t="s">
        <v>1193</v>
      </c>
      <c r="H11" s="209" t="s">
        <v>1260</v>
      </c>
      <c r="I11" s="604" t="s">
        <v>346</v>
      </c>
      <c r="J11" s="604" t="s">
        <v>1245</v>
      </c>
      <c r="K11" s="604" t="s">
        <v>346</v>
      </c>
      <c r="L11" s="606" t="s">
        <v>1245</v>
      </c>
      <c r="M11" s="548" t="s">
        <v>1246</v>
      </c>
      <c r="N11" s="321" t="s">
        <v>1240</v>
      </c>
      <c r="O11" s="549" t="s">
        <v>1241</v>
      </c>
    </row>
    <row r="12" spans="1:15" ht="16.5" customHeight="1" x14ac:dyDescent="0.35">
      <c r="A12" s="389" t="s">
        <v>215</v>
      </c>
      <c r="B12" s="540" t="s">
        <v>216</v>
      </c>
      <c r="C12" s="278">
        <f>auditsoutcomeLApivot!B4</f>
        <v>404</v>
      </c>
      <c r="D12" s="278">
        <f>auditsoutcomeLApivot!C4</f>
        <v>2431</v>
      </c>
      <c r="E12" s="278">
        <f>auditsoutcomeLApivot!D4</f>
        <v>3</v>
      </c>
      <c r="F12" s="278">
        <f>auditsoutcomeLApivot!E4</f>
        <v>100.75</v>
      </c>
      <c r="G12" s="279">
        <f>E12+C12</f>
        <v>407</v>
      </c>
      <c r="H12" s="279">
        <f>F12+D12</f>
        <v>2531.75</v>
      </c>
      <c r="I12" s="50">
        <f>auditsoutcomeLApivot!F4</f>
        <v>1</v>
      </c>
      <c r="J12" s="50">
        <f>auditsoutcomeLApivot!G4</f>
        <v>81.5</v>
      </c>
      <c r="K12" s="50">
        <f>auditsoutcomeLApivot!H4</f>
        <v>0</v>
      </c>
      <c r="L12" s="482">
        <f>auditsoutcomeLApivot!I4</f>
        <v>0</v>
      </c>
      <c r="M12" s="766">
        <f>IFERROR(C12/G12*100, "")</f>
        <v>99.262899262899268</v>
      </c>
      <c r="N12" s="762">
        <f>IFERROR(IF($A$10="2019-20", "", D12/C12), "-")</f>
        <v>6.0173267326732676</v>
      </c>
      <c r="O12" s="762">
        <f>IFERROR(IF($A$10="2019-20", "", F12/E12), "-")</f>
        <v>33.583333333333336</v>
      </c>
    </row>
    <row r="13" spans="1:15" x14ac:dyDescent="0.35">
      <c r="A13" s="389" t="s">
        <v>220</v>
      </c>
      <c r="B13" s="540" t="s">
        <v>221</v>
      </c>
      <c r="C13" s="278">
        <f>auditsoutcomeLApivot!B5</f>
        <v>336</v>
      </c>
      <c r="D13" s="278">
        <f>auditsoutcomeLApivot!C5</f>
        <v>2281.25</v>
      </c>
      <c r="E13" s="278">
        <f>auditsoutcomeLApivot!D5</f>
        <v>19</v>
      </c>
      <c r="F13" s="278">
        <f>auditsoutcomeLApivot!E5</f>
        <v>284.75</v>
      </c>
      <c r="G13" s="279">
        <f t="shared" ref="G13:G43" si="0">E13+C13</f>
        <v>355</v>
      </c>
      <c r="H13" s="279">
        <f t="shared" ref="H13:H43" si="1">F13+D13</f>
        <v>2566</v>
      </c>
      <c r="I13" s="50">
        <f>auditsoutcomeLApivot!F5</f>
        <v>0</v>
      </c>
      <c r="J13" s="50">
        <f>auditsoutcomeLApivot!G5</f>
        <v>0</v>
      </c>
      <c r="K13" s="50">
        <f>auditsoutcomeLApivot!H5</f>
        <v>1</v>
      </c>
      <c r="L13" s="50">
        <f>auditsoutcomeLApivot!I5</f>
        <v>18.5</v>
      </c>
      <c r="M13" s="767">
        <f t="shared" ref="M13:M43" si="2">IFERROR(C13/G13*100, "")</f>
        <v>94.647887323943664</v>
      </c>
      <c r="N13" s="762">
        <f t="shared" ref="N13:N44" si="3">IFERROR(IF($A$10="2019-20", "", D13/C13), "-")</f>
        <v>6.7894345238095237</v>
      </c>
      <c r="O13" s="762">
        <f t="shared" ref="O13:O44" si="4">IFERROR(IF($A$10="2019-20", "", F13/E13), "-")</f>
        <v>14.986842105263158</v>
      </c>
    </row>
    <row r="14" spans="1:15" x14ac:dyDescent="0.35">
      <c r="A14" s="389" t="s">
        <v>224</v>
      </c>
      <c r="B14" s="540" t="s">
        <v>225</v>
      </c>
      <c r="C14" s="278">
        <f>auditsoutcomeLApivot!B6</f>
        <v>69</v>
      </c>
      <c r="D14" s="278">
        <f>auditsoutcomeLApivot!C6</f>
        <v>380.75</v>
      </c>
      <c r="E14" s="278">
        <f>auditsoutcomeLApivot!D6</f>
        <v>1</v>
      </c>
      <c r="F14" s="278">
        <f>auditsoutcomeLApivot!E6</f>
        <v>6.75</v>
      </c>
      <c r="G14" s="279">
        <f t="shared" si="0"/>
        <v>70</v>
      </c>
      <c r="H14" s="279">
        <f t="shared" si="1"/>
        <v>387.5</v>
      </c>
      <c r="I14" s="50">
        <f>auditsoutcomeLApivot!F6</f>
        <v>0</v>
      </c>
      <c r="J14" s="50">
        <f>auditsoutcomeLApivot!G6</f>
        <v>0</v>
      </c>
      <c r="K14" s="50">
        <f>auditsoutcomeLApivot!H6</f>
        <v>0</v>
      </c>
      <c r="L14" s="50">
        <f>auditsoutcomeLApivot!I6</f>
        <v>0</v>
      </c>
      <c r="M14" s="767">
        <f t="shared" si="2"/>
        <v>98.571428571428584</v>
      </c>
      <c r="N14" s="762">
        <f t="shared" si="3"/>
        <v>5.5181159420289854</v>
      </c>
      <c r="O14" s="762">
        <f t="shared" si="4"/>
        <v>6.75</v>
      </c>
    </row>
    <row r="15" spans="1:15" x14ac:dyDescent="0.35">
      <c r="A15" s="389" t="s">
        <v>228</v>
      </c>
      <c r="B15" s="540" t="s">
        <v>229</v>
      </c>
      <c r="C15" s="278">
        <f>auditsoutcomeLApivot!B7</f>
        <v>485</v>
      </c>
      <c r="D15" s="278">
        <f>auditsoutcomeLApivot!C7</f>
        <v>2805</v>
      </c>
      <c r="E15" s="278">
        <f>auditsoutcomeLApivot!D7</f>
        <v>23</v>
      </c>
      <c r="F15" s="278">
        <f>auditsoutcomeLApivot!E7</f>
        <v>267.5</v>
      </c>
      <c r="G15" s="279">
        <f t="shared" si="0"/>
        <v>508</v>
      </c>
      <c r="H15" s="279">
        <f t="shared" si="1"/>
        <v>3072.5</v>
      </c>
      <c r="I15" s="50">
        <f>auditsoutcomeLApivot!F7</f>
        <v>0</v>
      </c>
      <c r="J15" s="50">
        <f>auditsoutcomeLApivot!G7</f>
        <v>0</v>
      </c>
      <c r="K15" s="50">
        <f>auditsoutcomeLApivot!H7</f>
        <v>1</v>
      </c>
      <c r="L15" s="50">
        <f>auditsoutcomeLApivot!I7</f>
        <v>19.75</v>
      </c>
      <c r="M15" s="767">
        <f t="shared" si="2"/>
        <v>95.472440944881882</v>
      </c>
      <c r="N15" s="762">
        <f t="shared" si="3"/>
        <v>5.7835051546391751</v>
      </c>
      <c r="O15" s="762">
        <f t="shared" si="4"/>
        <v>11.630434782608695</v>
      </c>
    </row>
    <row r="16" spans="1:15" x14ac:dyDescent="0.35">
      <c r="A16" s="389" t="s">
        <v>234</v>
      </c>
      <c r="B16" s="540" t="s">
        <v>235</v>
      </c>
      <c r="C16" s="278">
        <f>auditsoutcomeLApivot!B8</f>
        <v>655</v>
      </c>
      <c r="D16" s="278">
        <f>auditsoutcomeLApivot!C8</f>
        <v>3002.5</v>
      </c>
      <c r="E16" s="278">
        <f>auditsoutcomeLApivot!D8</f>
        <v>51</v>
      </c>
      <c r="F16" s="278">
        <f>auditsoutcomeLApivot!E8</f>
        <v>430.75</v>
      </c>
      <c r="G16" s="279">
        <f t="shared" si="0"/>
        <v>706</v>
      </c>
      <c r="H16" s="279">
        <f t="shared" si="1"/>
        <v>3433.25</v>
      </c>
      <c r="I16" s="50">
        <f>auditsoutcomeLApivot!F8</f>
        <v>0</v>
      </c>
      <c r="J16" s="50">
        <f>auditsoutcomeLApivot!G8</f>
        <v>0</v>
      </c>
      <c r="K16" s="50">
        <f>auditsoutcomeLApivot!H8</f>
        <v>0</v>
      </c>
      <c r="L16" s="50">
        <f>auditsoutcomeLApivot!I8</f>
        <v>0</v>
      </c>
      <c r="M16" s="767">
        <f t="shared" si="2"/>
        <v>92.776203966005667</v>
      </c>
      <c r="N16" s="762">
        <f t="shared" si="3"/>
        <v>4.5839694656488552</v>
      </c>
      <c r="O16" s="762">
        <f t="shared" si="4"/>
        <v>8.4460784313725483</v>
      </c>
    </row>
    <row r="17" spans="1:15" x14ac:dyDescent="0.35">
      <c r="A17" s="389" t="s">
        <v>240</v>
      </c>
      <c r="B17" s="540" t="s">
        <v>241</v>
      </c>
      <c r="C17" s="278">
        <f>auditsoutcomeLApivot!B9</f>
        <v>51</v>
      </c>
      <c r="D17" s="278">
        <f>auditsoutcomeLApivot!C9</f>
        <v>340.5</v>
      </c>
      <c r="E17" s="278">
        <f>auditsoutcomeLApivot!D9</f>
        <v>2</v>
      </c>
      <c r="F17" s="278">
        <f>auditsoutcomeLApivot!E9</f>
        <v>12.75</v>
      </c>
      <c r="G17" s="279">
        <f t="shared" si="0"/>
        <v>53</v>
      </c>
      <c r="H17" s="279">
        <f t="shared" si="1"/>
        <v>353.25</v>
      </c>
      <c r="I17" s="50">
        <f>auditsoutcomeLApivot!F9</f>
        <v>0</v>
      </c>
      <c r="J17" s="50">
        <f>auditsoutcomeLApivot!G9</f>
        <v>0</v>
      </c>
      <c r="K17" s="50">
        <f>auditsoutcomeLApivot!H9</f>
        <v>0</v>
      </c>
      <c r="L17" s="50">
        <f>auditsoutcomeLApivot!I9</f>
        <v>0</v>
      </c>
      <c r="M17" s="767">
        <f t="shared" si="2"/>
        <v>96.226415094339629</v>
      </c>
      <c r="N17" s="762">
        <f t="shared" si="3"/>
        <v>6.6764705882352944</v>
      </c>
      <c r="O17" s="762">
        <f t="shared" si="4"/>
        <v>6.375</v>
      </c>
    </row>
    <row r="18" spans="1:15" x14ac:dyDescent="0.35">
      <c r="A18" s="389" t="s">
        <v>244</v>
      </c>
      <c r="B18" s="540" t="s">
        <v>245</v>
      </c>
      <c r="C18" s="278">
        <f>auditsoutcomeLApivot!B10</f>
        <v>572</v>
      </c>
      <c r="D18" s="278">
        <f>auditsoutcomeLApivot!C10</f>
        <v>3808.25</v>
      </c>
      <c r="E18" s="278">
        <f>auditsoutcomeLApivot!D10</f>
        <v>10</v>
      </c>
      <c r="F18" s="278">
        <f>auditsoutcomeLApivot!E10</f>
        <v>84</v>
      </c>
      <c r="G18" s="279">
        <f t="shared" si="0"/>
        <v>582</v>
      </c>
      <c r="H18" s="279">
        <f t="shared" si="1"/>
        <v>3892.25</v>
      </c>
      <c r="I18" s="50">
        <f>auditsoutcomeLApivot!F10</f>
        <v>0</v>
      </c>
      <c r="J18" s="50">
        <f>auditsoutcomeLApivot!G10</f>
        <v>0</v>
      </c>
      <c r="K18" s="50">
        <f>auditsoutcomeLApivot!H10</f>
        <v>0</v>
      </c>
      <c r="L18" s="50">
        <f>auditsoutcomeLApivot!I10</f>
        <v>0</v>
      </c>
      <c r="M18" s="767">
        <f t="shared" si="2"/>
        <v>98.281786941580748</v>
      </c>
      <c r="N18" s="762">
        <f t="shared" si="3"/>
        <v>6.65777972027972</v>
      </c>
      <c r="O18" s="762">
        <f t="shared" si="4"/>
        <v>8.4</v>
      </c>
    </row>
    <row r="19" spans="1:15" x14ac:dyDescent="0.35">
      <c r="A19" s="389" t="s">
        <v>247</v>
      </c>
      <c r="B19" s="540" t="s">
        <v>248</v>
      </c>
      <c r="C19" s="278">
        <f>auditsoutcomeLApivot!B11</f>
        <v>316</v>
      </c>
      <c r="D19" s="278">
        <f>auditsoutcomeLApivot!C11</f>
        <v>1340.5</v>
      </c>
      <c r="E19" s="278">
        <f>auditsoutcomeLApivot!D11</f>
        <v>7</v>
      </c>
      <c r="F19" s="278">
        <f>auditsoutcomeLApivot!E11</f>
        <v>75</v>
      </c>
      <c r="G19" s="279">
        <f t="shared" si="0"/>
        <v>323</v>
      </c>
      <c r="H19" s="279">
        <f t="shared" si="1"/>
        <v>1415.5</v>
      </c>
      <c r="I19" s="50">
        <f>auditsoutcomeLApivot!F11</f>
        <v>0</v>
      </c>
      <c r="J19" s="50">
        <f>auditsoutcomeLApivot!G11</f>
        <v>0</v>
      </c>
      <c r="K19" s="50">
        <f>auditsoutcomeLApivot!H11</f>
        <v>0</v>
      </c>
      <c r="L19" s="50">
        <f>auditsoutcomeLApivot!I11</f>
        <v>0</v>
      </c>
      <c r="M19" s="767">
        <f t="shared" si="2"/>
        <v>97.832817337461293</v>
      </c>
      <c r="N19" s="762">
        <f t="shared" si="3"/>
        <v>4.2420886075949369</v>
      </c>
      <c r="O19" s="762">
        <f t="shared" si="4"/>
        <v>10.714285714285714</v>
      </c>
    </row>
    <row r="20" spans="1:15" x14ac:dyDescent="0.35">
      <c r="A20" s="389" t="s">
        <v>249</v>
      </c>
      <c r="B20" s="540" t="s">
        <v>250</v>
      </c>
      <c r="C20" s="278">
        <f>auditsoutcomeLApivot!B12</f>
        <v>171</v>
      </c>
      <c r="D20" s="278">
        <f>auditsoutcomeLApivot!C12</f>
        <v>795.5</v>
      </c>
      <c r="E20" s="278">
        <f>auditsoutcomeLApivot!D12</f>
        <v>7</v>
      </c>
      <c r="F20" s="278">
        <f>auditsoutcomeLApivot!E12</f>
        <v>148</v>
      </c>
      <c r="G20" s="279">
        <f t="shared" si="0"/>
        <v>178</v>
      </c>
      <c r="H20" s="279">
        <f t="shared" si="1"/>
        <v>943.5</v>
      </c>
      <c r="I20" s="50">
        <f>auditsoutcomeLApivot!F12</f>
        <v>0</v>
      </c>
      <c r="J20" s="50">
        <f>auditsoutcomeLApivot!G12</f>
        <v>0</v>
      </c>
      <c r="K20" s="50">
        <f>auditsoutcomeLApivot!H12</f>
        <v>0</v>
      </c>
      <c r="L20" s="50">
        <f>auditsoutcomeLApivot!I12</f>
        <v>0</v>
      </c>
      <c r="M20" s="767">
        <f t="shared" si="2"/>
        <v>96.067415730337075</v>
      </c>
      <c r="N20" s="762">
        <f t="shared" si="3"/>
        <v>4.6520467836257309</v>
      </c>
      <c r="O20" s="762">
        <f t="shared" si="4"/>
        <v>21.142857142857142</v>
      </c>
    </row>
    <row r="21" spans="1:15" x14ac:dyDescent="0.35">
      <c r="A21" s="389" t="s">
        <v>253</v>
      </c>
      <c r="B21" s="540" t="s">
        <v>254</v>
      </c>
      <c r="C21" s="278">
        <f>auditsoutcomeLApivot!B13</f>
        <v>71</v>
      </c>
      <c r="D21" s="278">
        <f>auditsoutcomeLApivot!C13</f>
        <v>426.25</v>
      </c>
      <c r="E21" s="278">
        <f>auditsoutcomeLApivot!D13</f>
        <v>4</v>
      </c>
      <c r="F21" s="278">
        <f>auditsoutcomeLApivot!E13</f>
        <v>38.75</v>
      </c>
      <c r="G21" s="279">
        <f t="shared" si="0"/>
        <v>75</v>
      </c>
      <c r="H21" s="279">
        <f t="shared" si="1"/>
        <v>465</v>
      </c>
      <c r="I21" s="50">
        <f>auditsoutcomeLApivot!F13</f>
        <v>0</v>
      </c>
      <c r="J21" s="50">
        <f>auditsoutcomeLApivot!G13</f>
        <v>0</v>
      </c>
      <c r="K21" s="50">
        <f>auditsoutcomeLApivot!H13</f>
        <v>0</v>
      </c>
      <c r="L21" s="50">
        <f>auditsoutcomeLApivot!I13</f>
        <v>0</v>
      </c>
      <c r="M21" s="767">
        <f t="shared" si="2"/>
        <v>94.666666666666671</v>
      </c>
      <c r="N21" s="762">
        <f t="shared" si="3"/>
        <v>6.003521126760563</v>
      </c>
      <c r="O21" s="762">
        <f t="shared" si="4"/>
        <v>9.6875</v>
      </c>
    </row>
    <row r="22" spans="1:15" x14ac:dyDescent="0.35">
      <c r="A22" s="389" t="s">
        <v>255</v>
      </c>
      <c r="B22" s="540" t="s">
        <v>256</v>
      </c>
      <c r="C22" s="278">
        <f>auditsoutcomeLApivot!B14</f>
        <v>122</v>
      </c>
      <c r="D22" s="278">
        <f>auditsoutcomeLApivot!C14</f>
        <v>650.25</v>
      </c>
      <c r="E22" s="278">
        <f>auditsoutcomeLApivot!D14</f>
        <v>1</v>
      </c>
      <c r="F22" s="278">
        <f>auditsoutcomeLApivot!E14</f>
        <v>5.75</v>
      </c>
      <c r="G22" s="279">
        <f t="shared" si="0"/>
        <v>123</v>
      </c>
      <c r="H22" s="279">
        <f t="shared" si="1"/>
        <v>656</v>
      </c>
      <c r="I22" s="50">
        <f>auditsoutcomeLApivot!F14</f>
        <v>0</v>
      </c>
      <c r="J22" s="50">
        <f>auditsoutcomeLApivot!G14</f>
        <v>0</v>
      </c>
      <c r="K22" s="50">
        <f>auditsoutcomeLApivot!H14</f>
        <v>0</v>
      </c>
      <c r="L22" s="50">
        <f>auditsoutcomeLApivot!I14</f>
        <v>0</v>
      </c>
      <c r="M22" s="767">
        <f t="shared" si="2"/>
        <v>99.1869918699187</v>
      </c>
      <c r="N22" s="762">
        <f t="shared" si="3"/>
        <v>5.3299180327868854</v>
      </c>
      <c r="O22" s="762">
        <f t="shared" si="4"/>
        <v>5.75</v>
      </c>
    </row>
    <row r="23" spans="1:15" x14ac:dyDescent="0.35">
      <c r="A23" s="389" t="s">
        <v>259</v>
      </c>
      <c r="B23" s="540" t="s">
        <v>260</v>
      </c>
      <c r="C23" s="278">
        <f>auditsoutcomeLApivot!B15</f>
        <v>46</v>
      </c>
      <c r="D23" s="278">
        <f>auditsoutcomeLApivot!C15</f>
        <v>232.75</v>
      </c>
      <c r="E23" s="278">
        <f>auditsoutcomeLApivot!D15</f>
        <v>0</v>
      </c>
      <c r="F23" s="278">
        <f>auditsoutcomeLApivot!E15</f>
        <v>0</v>
      </c>
      <c r="G23" s="279">
        <f t="shared" si="0"/>
        <v>46</v>
      </c>
      <c r="H23" s="279">
        <f t="shared" si="1"/>
        <v>232.75</v>
      </c>
      <c r="I23" s="50">
        <f>auditsoutcomeLApivot!F15</f>
        <v>0</v>
      </c>
      <c r="J23" s="50">
        <f>auditsoutcomeLApivot!G15</f>
        <v>0</v>
      </c>
      <c r="K23" s="50">
        <f>auditsoutcomeLApivot!H15</f>
        <v>0</v>
      </c>
      <c r="L23" s="50">
        <f>auditsoutcomeLApivot!I15</f>
        <v>0</v>
      </c>
      <c r="M23" s="767">
        <f t="shared" si="2"/>
        <v>100</v>
      </c>
      <c r="N23" s="762">
        <f t="shared" si="3"/>
        <v>5.0597826086956523</v>
      </c>
      <c r="O23" s="762" t="str">
        <f t="shared" si="4"/>
        <v>-</v>
      </c>
    </row>
    <row r="24" spans="1:15" x14ac:dyDescent="0.35">
      <c r="A24" s="389" t="s">
        <v>263</v>
      </c>
      <c r="B24" s="540" t="s">
        <v>264</v>
      </c>
      <c r="C24" s="278">
        <f>auditsoutcomeLApivot!B16</f>
        <v>167</v>
      </c>
      <c r="D24" s="278">
        <f>auditsoutcomeLApivot!C16</f>
        <v>880.25</v>
      </c>
      <c r="E24" s="278">
        <f>auditsoutcomeLApivot!D16</f>
        <v>0</v>
      </c>
      <c r="F24" s="278">
        <f>auditsoutcomeLApivot!E16</f>
        <v>0</v>
      </c>
      <c r="G24" s="279">
        <f t="shared" si="0"/>
        <v>167</v>
      </c>
      <c r="H24" s="279">
        <f t="shared" si="1"/>
        <v>880.25</v>
      </c>
      <c r="I24" s="50">
        <f>auditsoutcomeLApivot!F16</f>
        <v>0</v>
      </c>
      <c r="J24" s="50">
        <f>auditsoutcomeLApivot!G16</f>
        <v>0</v>
      </c>
      <c r="K24" s="50">
        <f>auditsoutcomeLApivot!H16</f>
        <v>0</v>
      </c>
      <c r="L24" s="50">
        <f>auditsoutcomeLApivot!I16</f>
        <v>0</v>
      </c>
      <c r="M24" s="767">
        <f t="shared" si="2"/>
        <v>100</v>
      </c>
      <c r="N24" s="762">
        <f t="shared" si="3"/>
        <v>5.2709580838323351</v>
      </c>
      <c r="O24" s="762" t="str">
        <f t="shared" si="4"/>
        <v>-</v>
      </c>
    </row>
    <row r="25" spans="1:15" x14ac:dyDescent="0.35">
      <c r="A25" s="389" t="s">
        <v>1101</v>
      </c>
      <c r="B25" s="540" t="s">
        <v>268</v>
      </c>
      <c r="C25" s="278">
        <f>auditsoutcomeLApivot!B17</f>
        <v>529</v>
      </c>
      <c r="D25" s="278">
        <f>auditsoutcomeLApivot!C17</f>
        <v>3427.25</v>
      </c>
      <c r="E25" s="278">
        <f>auditsoutcomeLApivot!D17</f>
        <v>10</v>
      </c>
      <c r="F25" s="278">
        <f>auditsoutcomeLApivot!E17</f>
        <v>73.75</v>
      </c>
      <c r="G25" s="279">
        <f t="shared" si="0"/>
        <v>539</v>
      </c>
      <c r="H25" s="279">
        <f t="shared" si="1"/>
        <v>3501</v>
      </c>
      <c r="I25" s="50">
        <f>auditsoutcomeLApivot!F17</f>
        <v>0</v>
      </c>
      <c r="J25" s="50">
        <f>auditsoutcomeLApivot!G17</f>
        <v>0</v>
      </c>
      <c r="K25" s="50">
        <f>auditsoutcomeLApivot!H17</f>
        <v>0</v>
      </c>
      <c r="L25" s="50">
        <f>auditsoutcomeLApivot!I17</f>
        <v>0</v>
      </c>
      <c r="M25" s="767">
        <f t="shared" si="2"/>
        <v>98.144712430426722</v>
      </c>
      <c r="N25" s="762">
        <f t="shared" si="3"/>
        <v>6.4787334593572776</v>
      </c>
      <c r="O25" s="762">
        <f t="shared" si="4"/>
        <v>7.375</v>
      </c>
    </row>
    <row r="26" spans="1:15" x14ac:dyDescent="0.35">
      <c r="A26" s="389" t="s">
        <v>270</v>
      </c>
      <c r="B26" s="540" t="s">
        <v>271</v>
      </c>
      <c r="C26" s="278">
        <f>auditsoutcomeLApivot!B18</f>
        <v>1331</v>
      </c>
      <c r="D26" s="278">
        <f>auditsoutcomeLApivot!C18</f>
        <v>5962.5</v>
      </c>
      <c r="E26" s="278">
        <f>auditsoutcomeLApivot!D18</f>
        <v>70</v>
      </c>
      <c r="F26" s="278">
        <f>auditsoutcomeLApivot!E18</f>
        <v>441.25</v>
      </c>
      <c r="G26" s="279">
        <f t="shared" si="0"/>
        <v>1401</v>
      </c>
      <c r="H26" s="279">
        <f t="shared" si="1"/>
        <v>6403.75</v>
      </c>
      <c r="I26" s="50">
        <f>auditsoutcomeLApivot!F18</f>
        <v>0</v>
      </c>
      <c r="J26" s="50">
        <f>auditsoutcomeLApivot!G18</f>
        <v>0</v>
      </c>
      <c r="K26" s="50">
        <f>auditsoutcomeLApivot!H18</f>
        <v>1</v>
      </c>
      <c r="L26" s="50">
        <f>auditsoutcomeLApivot!I18</f>
        <v>5.5</v>
      </c>
      <c r="M26" s="767">
        <f t="shared" si="2"/>
        <v>95.003568879371883</v>
      </c>
      <c r="N26" s="762">
        <f t="shared" si="3"/>
        <v>4.4797145003756578</v>
      </c>
      <c r="O26" s="762">
        <f t="shared" si="4"/>
        <v>6.3035714285714288</v>
      </c>
    </row>
    <row r="27" spans="1:15" x14ac:dyDescent="0.35">
      <c r="A27" s="389" t="s">
        <v>273</v>
      </c>
      <c r="B27" s="540" t="s">
        <v>274</v>
      </c>
      <c r="C27" s="278">
        <f>auditsoutcomeLApivot!B19</f>
        <v>379</v>
      </c>
      <c r="D27" s="278">
        <f>auditsoutcomeLApivot!C19</f>
        <v>2709.25</v>
      </c>
      <c r="E27" s="278">
        <f>auditsoutcomeLApivot!D19</f>
        <v>23</v>
      </c>
      <c r="F27" s="278">
        <f>auditsoutcomeLApivot!E19</f>
        <v>379.25</v>
      </c>
      <c r="G27" s="279">
        <f t="shared" si="0"/>
        <v>402</v>
      </c>
      <c r="H27" s="279">
        <f t="shared" si="1"/>
        <v>3088.5</v>
      </c>
      <c r="I27" s="50">
        <f>auditsoutcomeLApivot!F19</f>
        <v>1</v>
      </c>
      <c r="J27" s="50">
        <f>auditsoutcomeLApivot!G19</f>
        <v>64.5</v>
      </c>
      <c r="K27" s="50">
        <f>auditsoutcomeLApivot!H19</f>
        <v>0</v>
      </c>
      <c r="L27" s="50">
        <f>auditsoutcomeLApivot!I19</f>
        <v>0</v>
      </c>
      <c r="M27" s="767">
        <f t="shared" si="2"/>
        <v>94.278606965174134</v>
      </c>
      <c r="N27" s="762">
        <f t="shared" si="3"/>
        <v>7.1484168865435356</v>
      </c>
      <c r="O27" s="762">
        <f t="shared" si="4"/>
        <v>16.489130434782609</v>
      </c>
    </row>
    <row r="28" spans="1:15" x14ac:dyDescent="0.35">
      <c r="A28" s="389" t="s">
        <v>277</v>
      </c>
      <c r="B28" s="540" t="s">
        <v>278</v>
      </c>
      <c r="C28" s="278">
        <f>auditsoutcomeLApivot!B20</f>
        <v>88</v>
      </c>
      <c r="D28" s="278">
        <f>auditsoutcomeLApivot!C20</f>
        <v>454</v>
      </c>
      <c r="E28" s="278">
        <f>auditsoutcomeLApivot!D20</f>
        <v>3</v>
      </c>
      <c r="F28" s="278">
        <f>auditsoutcomeLApivot!E20</f>
        <v>32</v>
      </c>
      <c r="G28" s="279">
        <f t="shared" si="0"/>
        <v>91</v>
      </c>
      <c r="H28" s="279">
        <f t="shared" si="1"/>
        <v>486</v>
      </c>
      <c r="I28" s="50">
        <f>auditsoutcomeLApivot!F20</f>
        <v>0</v>
      </c>
      <c r="J28" s="50">
        <f>auditsoutcomeLApivot!G20</f>
        <v>0</v>
      </c>
      <c r="K28" s="50">
        <f>auditsoutcomeLApivot!H20</f>
        <v>0</v>
      </c>
      <c r="L28" s="50">
        <f>auditsoutcomeLApivot!I20</f>
        <v>0</v>
      </c>
      <c r="M28" s="767">
        <f t="shared" si="2"/>
        <v>96.703296703296701</v>
      </c>
      <c r="N28" s="762">
        <f t="shared" si="3"/>
        <v>5.1590909090909092</v>
      </c>
      <c r="O28" s="762">
        <f t="shared" si="4"/>
        <v>10.666666666666666</v>
      </c>
    </row>
    <row r="29" spans="1:15" x14ac:dyDescent="0.35">
      <c r="A29" s="389" t="s">
        <v>279</v>
      </c>
      <c r="B29" s="540" t="s">
        <v>280</v>
      </c>
      <c r="C29" s="278">
        <f>auditsoutcomeLApivot!B21</f>
        <v>147</v>
      </c>
      <c r="D29" s="278">
        <f>auditsoutcomeLApivot!C21</f>
        <v>852.25</v>
      </c>
      <c r="E29" s="278">
        <f>auditsoutcomeLApivot!D21</f>
        <v>6</v>
      </c>
      <c r="F29" s="278">
        <f>auditsoutcomeLApivot!E21</f>
        <v>36</v>
      </c>
      <c r="G29" s="279">
        <f t="shared" si="0"/>
        <v>153</v>
      </c>
      <c r="H29" s="279">
        <f t="shared" si="1"/>
        <v>888.25</v>
      </c>
      <c r="I29" s="50">
        <f>auditsoutcomeLApivot!F21</f>
        <v>0</v>
      </c>
      <c r="J29" s="50">
        <f>auditsoutcomeLApivot!G21</f>
        <v>0</v>
      </c>
      <c r="K29" s="50">
        <f>auditsoutcomeLApivot!H21</f>
        <v>0</v>
      </c>
      <c r="L29" s="50">
        <f>auditsoutcomeLApivot!I21</f>
        <v>0</v>
      </c>
      <c r="M29" s="767">
        <f t="shared" si="2"/>
        <v>96.078431372549019</v>
      </c>
      <c r="N29" s="762">
        <f t="shared" si="3"/>
        <v>5.7976190476190474</v>
      </c>
      <c r="O29" s="762">
        <f t="shared" si="4"/>
        <v>6</v>
      </c>
    </row>
    <row r="30" spans="1:15" x14ac:dyDescent="0.35">
      <c r="A30" s="389" t="s">
        <v>281</v>
      </c>
      <c r="B30" s="540" t="s">
        <v>282</v>
      </c>
      <c r="C30" s="278">
        <f>auditsoutcomeLApivot!B22</f>
        <v>99</v>
      </c>
      <c r="D30" s="278">
        <f>auditsoutcomeLApivot!C22</f>
        <v>742.75</v>
      </c>
      <c r="E30" s="278">
        <f>auditsoutcomeLApivot!D22</f>
        <v>11</v>
      </c>
      <c r="F30" s="278">
        <f>auditsoutcomeLApivot!E22</f>
        <v>240.25</v>
      </c>
      <c r="G30" s="279">
        <f t="shared" si="0"/>
        <v>110</v>
      </c>
      <c r="H30" s="279">
        <f t="shared" si="1"/>
        <v>983</v>
      </c>
      <c r="I30" s="50">
        <f>auditsoutcomeLApivot!F22</f>
        <v>0</v>
      </c>
      <c r="J30" s="50">
        <f>auditsoutcomeLApivot!G22</f>
        <v>0</v>
      </c>
      <c r="K30" s="50">
        <f>auditsoutcomeLApivot!H22</f>
        <v>0</v>
      </c>
      <c r="L30" s="50">
        <f>auditsoutcomeLApivot!I22</f>
        <v>0</v>
      </c>
      <c r="M30" s="767">
        <f t="shared" si="2"/>
        <v>90</v>
      </c>
      <c r="N30" s="762">
        <f t="shared" si="3"/>
        <v>7.5025252525252526</v>
      </c>
      <c r="O30" s="762">
        <f t="shared" si="4"/>
        <v>21.84090909090909</v>
      </c>
    </row>
    <row r="31" spans="1:15" x14ac:dyDescent="0.35">
      <c r="A31" s="389" t="s">
        <v>283</v>
      </c>
      <c r="B31" s="540" t="s">
        <v>284</v>
      </c>
      <c r="C31" s="278">
        <f>auditsoutcomeLApivot!B23</f>
        <v>35</v>
      </c>
      <c r="D31" s="278">
        <f>auditsoutcomeLApivot!C23</f>
        <v>226.75</v>
      </c>
      <c r="E31" s="278">
        <f>auditsoutcomeLApivot!D23</f>
        <v>1</v>
      </c>
      <c r="F31" s="278">
        <f>auditsoutcomeLApivot!E23</f>
        <v>14.75</v>
      </c>
      <c r="G31" s="279">
        <f t="shared" si="0"/>
        <v>36</v>
      </c>
      <c r="H31" s="279">
        <f t="shared" si="1"/>
        <v>241.5</v>
      </c>
      <c r="I31" s="50">
        <f>auditsoutcomeLApivot!F23</f>
        <v>0</v>
      </c>
      <c r="J31" s="50">
        <f>auditsoutcomeLApivot!G23</f>
        <v>0</v>
      </c>
      <c r="K31" s="50">
        <f>auditsoutcomeLApivot!H23</f>
        <v>0</v>
      </c>
      <c r="L31" s="50">
        <f>auditsoutcomeLApivot!I23</f>
        <v>0</v>
      </c>
      <c r="M31" s="767">
        <f t="shared" si="2"/>
        <v>97.222222222222214</v>
      </c>
      <c r="N31" s="762">
        <f t="shared" si="3"/>
        <v>6.4785714285714286</v>
      </c>
      <c r="O31" s="762">
        <f t="shared" si="4"/>
        <v>14.75</v>
      </c>
    </row>
    <row r="32" spans="1:15" x14ac:dyDescent="0.35">
      <c r="A32" s="389" t="s">
        <v>287</v>
      </c>
      <c r="B32" s="540" t="s">
        <v>288</v>
      </c>
      <c r="C32" s="278">
        <f>auditsoutcomeLApivot!B24</f>
        <v>159</v>
      </c>
      <c r="D32" s="278">
        <f>auditsoutcomeLApivot!C24</f>
        <v>988.75</v>
      </c>
      <c r="E32" s="278">
        <f>auditsoutcomeLApivot!D24</f>
        <v>10</v>
      </c>
      <c r="F32" s="278">
        <f>auditsoutcomeLApivot!E24</f>
        <v>237.5</v>
      </c>
      <c r="G32" s="279">
        <f t="shared" si="0"/>
        <v>169</v>
      </c>
      <c r="H32" s="279">
        <f t="shared" si="1"/>
        <v>1226.25</v>
      </c>
      <c r="I32" s="50">
        <f>auditsoutcomeLApivot!F24</f>
        <v>0</v>
      </c>
      <c r="J32" s="50">
        <f>auditsoutcomeLApivot!G24</f>
        <v>0</v>
      </c>
      <c r="K32" s="50">
        <f>auditsoutcomeLApivot!H24</f>
        <v>0</v>
      </c>
      <c r="L32" s="50">
        <f>auditsoutcomeLApivot!I24</f>
        <v>0</v>
      </c>
      <c r="M32" s="767">
        <f t="shared" si="2"/>
        <v>94.082840236686394</v>
      </c>
      <c r="N32" s="762">
        <f t="shared" si="3"/>
        <v>6.2185534591194971</v>
      </c>
      <c r="O32" s="762">
        <f t="shared" si="4"/>
        <v>23.75</v>
      </c>
    </row>
    <row r="33" spans="1:15" x14ac:dyDescent="0.35">
      <c r="A33" s="389" t="s">
        <v>289</v>
      </c>
      <c r="B33" s="540" t="s">
        <v>290</v>
      </c>
      <c r="C33" s="278">
        <f>auditsoutcomeLApivot!B25</f>
        <v>336</v>
      </c>
      <c r="D33" s="278">
        <f>auditsoutcomeLApivot!C25</f>
        <v>1735</v>
      </c>
      <c r="E33" s="278">
        <f>auditsoutcomeLApivot!D25</f>
        <v>8</v>
      </c>
      <c r="F33" s="278">
        <f>auditsoutcomeLApivot!E25</f>
        <v>44</v>
      </c>
      <c r="G33" s="279">
        <f t="shared" si="0"/>
        <v>344</v>
      </c>
      <c r="H33" s="279">
        <f t="shared" si="1"/>
        <v>1779</v>
      </c>
      <c r="I33" s="50">
        <f>auditsoutcomeLApivot!F25</f>
        <v>0</v>
      </c>
      <c r="J33" s="50">
        <f>auditsoutcomeLApivot!G25</f>
        <v>0</v>
      </c>
      <c r="K33" s="50">
        <f>auditsoutcomeLApivot!H25</f>
        <v>1</v>
      </c>
      <c r="L33" s="50">
        <f>auditsoutcomeLApivot!I25</f>
        <v>31</v>
      </c>
      <c r="M33" s="767">
        <f t="shared" si="2"/>
        <v>97.674418604651152</v>
      </c>
      <c r="N33" s="762">
        <f t="shared" si="3"/>
        <v>5.1636904761904763</v>
      </c>
      <c r="O33" s="762">
        <f t="shared" si="4"/>
        <v>5.5</v>
      </c>
    </row>
    <row r="34" spans="1:15" x14ac:dyDescent="0.35">
      <c r="A34" s="389" t="s">
        <v>292</v>
      </c>
      <c r="B34" s="540" t="s">
        <v>293</v>
      </c>
      <c r="C34" s="278">
        <f>auditsoutcomeLApivot!B26</f>
        <v>42</v>
      </c>
      <c r="D34" s="278">
        <f>auditsoutcomeLApivot!C26</f>
        <v>233.5</v>
      </c>
      <c r="E34" s="278">
        <f>auditsoutcomeLApivot!D26</f>
        <v>1</v>
      </c>
      <c r="F34" s="278">
        <f>auditsoutcomeLApivot!E26</f>
        <v>9</v>
      </c>
      <c r="G34" s="279">
        <f t="shared" si="0"/>
        <v>43</v>
      </c>
      <c r="H34" s="279">
        <f t="shared" si="1"/>
        <v>242.5</v>
      </c>
      <c r="I34" s="50">
        <f>auditsoutcomeLApivot!F26</f>
        <v>0</v>
      </c>
      <c r="J34" s="50">
        <f>auditsoutcomeLApivot!G26</f>
        <v>0</v>
      </c>
      <c r="K34" s="50">
        <f>auditsoutcomeLApivot!H26</f>
        <v>0</v>
      </c>
      <c r="L34" s="50">
        <f>auditsoutcomeLApivot!I26</f>
        <v>0</v>
      </c>
      <c r="M34" s="767">
        <f t="shared" si="2"/>
        <v>97.674418604651152</v>
      </c>
      <c r="N34" s="762">
        <f t="shared" si="3"/>
        <v>5.5595238095238093</v>
      </c>
      <c r="O34" s="762">
        <f t="shared" si="4"/>
        <v>9</v>
      </c>
    </row>
    <row r="35" spans="1:15" x14ac:dyDescent="0.35">
      <c r="A35" s="389" t="s">
        <v>294</v>
      </c>
      <c r="B35" s="540" t="s">
        <v>295</v>
      </c>
      <c r="C35" s="278">
        <f>auditsoutcomeLApivot!B27</f>
        <v>187</v>
      </c>
      <c r="D35" s="278">
        <f>auditsoutcomeLApivot!C27</f>
        <v>1193.5</v>
      </c>
      <c r="E35" s="278">
        <f>auditsoutcomeLApivot!D27</f>
        <v>6</v>
      </c>
      <c r="F35" s="278">
        <f>auditsoutcomeLApivot!E27</f>
        <v>70</v>
      </c>
      <c r="G35" s="279">
        <f t="shared" si="0"/>
        <v>193</v>
      </c>
      <c r="H35" s="279">
        <f t="shared" si="1"/>
        <v>1263.5</v>
      </c>
      <c r="I35" s="50">
        <f>auditsoutcomeLApivot!F27</f>
        <v>0</v>
      </c>
      <c r="J35" s="50">
        <f>auditsoutcomeLApivot!G27</f>
        <v>0</v>
      </c>
      <c r="K35" s="50">
        <f>auditsoutcomeLApivot!H27</f>
        <v>0</v>
      </c>
      <c r="L35" s="50">
        <f>auditsoutcomeLApivot!I27</f>
        <v>0</v>
      </c>
      <c r="M35" s="767">
        <f t="shared" si="2"/>
        <v>96.891191709844563</v>
      </c>
      <c r="N35" s="762">
        <f t="shared" si="3"/>
        <v>6.382352941176471</v>
      </c>
      <c r="O35" s="762">
        <f t="shared" si="4"/>
        <v>11.666666666666666</v>
      </c>
    </row>
    <row r="36" spans="1:15" x14ac:dyDescent="0.35">
      <c r="A36" s="389" t="s">
        <v>296</v>
      </c>
      <c r="B36" s="540" t="s">
        <v>297</v>
      </c>
      <c r="C36" s="278">
        <f>auditsoutcomeLApivot!B28</f>
        <v>278</v>
      </c>
      <c r="D36" s="278">
        <f>auditsoutcomeLApivot!C28</f>
        <v>1165.75</v>
      </c>
      <c r="E36" s="278">
        <f>auditsoutcomeLApivot!D28</f>
        <v>2</v>
      </c>
      <c r="F36" s="278">
        <f>auditsoutcomeLApivot!E28</f>
        <v>11.25</v>
      </c>
      <c r="G36" s="279">
        <f t="shared" si="0"/>
        <v>280</v>
      </c>
      <c r="H36" s="279">
        <f t="shared" si="1"/>
        <v>1177</v>
      </c>
      <c r="I36" s="50">
        <f>auditsoutcomeLApivot!F28</f>
        <v>0</v>
      </c>
      <c r="J36" s="50">
        <f>auditsoutcomeLApivot!G28</f>
        <v>0</v>
      </c>
      <c r="K36" s="50">
        <f>auditsoutcomeLApivot!H28</f>
        <v>1</v>
      </c>
      <c r="L36" s="50">
        <f>auditsoutcomeLApivot!I28</f>
        <v>0</v>
      </c>
      <c r="M36" s="767">
        <f t="shared" si="2"/>
        <v>99.285714285714292</v>
      </c>
      <c r="N36" s="762">
        <f t="shared" si="3"/>
        <v>4.1933453237410072</v>
      </c>
      <c r="O36" s="762">
        <f t="shared" si="4"/>
        <v>5.625</v>
      </c>
    </row>
    <row r="37" spans="1:15" x14ac:dyDescent="0.35">
      <c r="A37" s="389" t="s">
        <v>298</v>
      </c>
      <c r="B37" s="540" t="s">
        <v>299</v>
      </c>
      <c r="C37" s="278">
        <f>auditsoutcomeLApivot!B29</f>
        <v>197</v>
      </c>
      <c r="D37" s="278">
        <f>auditsoutcomeLApivot!C29</f>
        <v>1006</v>
      </c>
      <c r="E37" s="278">
        <f>auditsoutcomeLApivot!D29</f>
        <v>8</v>
      </c>
      <c r="F37" s="278">
        <f>auditsoutcomeLApivot!E29</f>
        <v>72</v>
      </c>
      <c r="G37" s="279">
        <f t="shared" si="0"/>
        <v>205</v>
      </c>
      <c r="H37" s="279">
        <f t="shared" si="1"/>
        <v>1078</v>
      </c>
      <c r="I37" s="50">
        <f>auditsoutcomeLApivot!F29</f>
        <v>0</v>
      </c>
      <c r="J37" s="50">
        <f>auditsoutcomeLApivot!G29</f>
        <v>0</v>
      </c>
      <c r="K37" s="50">
        <f>auditsoutcomeLApivot!H29</f>
        <v>0</v>
      </c>
      <c r="L37" s="50">
        <f>auditsoutcomeLApivot!I29</f>
        <v>0</v>
      </c>
      <c r="M37" s="767">
        <f t="shared" si="2"/>
        <v>96.097560975609753</v>
      </c>
      <c r="N37" s="762">
        <f t="shared" si="3"/>
        <v>5.1065989847715736</v>
      </c>
      <c r="O37" s="762">
        <f t="shared" si="4"/>
        <v>9</v>
      </c>
    </row>
    <row r="38" spans="1:15" x14ac:dyDescent="0.35">
      <c r="A38" s="389" t="s">
        <v>300</v>
      </c>
      <c r="B38" s="540" t="s">
        <v>301</v>
      </c>
      <c r="C38" s="278">
        <f>auditsoutcomeLApivot!B30</f>
        <v>62</v>
      </c>
      <c r="D38" s="278">
        <f>auditsoutcomeLApivot!C30</f>
        <v>373.5</v>
      </c>
      <c r="E38" s="278">
        <f>auditsoutcomeLApivot!D30</f>
        <v>1</v>
      </c>
      <c r="F38" s="278">
        <f>auditsoutcomeLApivot!E30</f>
        <v>28</v>
      </c>
      <c r="G38" s="279">
        <f t="shared" si="0"/>
        <v>63</v>
      </c>
      <c r="H38" s="279">
        <f t="shared" si="1"/>
        <v>401.5</v>
      </c>
      <c r="I38" s="50">
        <f>auditsoutcomeLApivot!F30</f>
        <v>0</v>
      </c>
      <c r="J38" s="50">
        <f>auditsoutcomeLApivot!G30</f>
        <v>0</v>
      </c>
      <c r="K38" s="50">
        <f>auditsoutcomeLApivot!H30</f>
        <v>0</v>
      </c>
      <c r="L38" s="50">
        <f>auditsoutcomeLApivot!I30</f>
        <v>0</v>
      </c>
      <c r="M38" s="767">
        <f t="shared" si="2"/>
        <v>98.412698412698404</v>
      </c>
      <c r="N38" s="762">
        <f t="shared" si="3"/>
        <v>6.024193548387097</v>
      </c>
      <c r="O38" s="762">
        <f t="shared" si="4"/>
        <v>28</v>
      </c>
    </row>
    <row r="39" spans="1:15" x14ac:dyDescent="0.35">
      <c r="A39" s="389" t="s">
        <v>302</v>
      </c>
      <c r="B39" s="540" t="s">
        <v>303</v>
      </c>
      <c r="C39" s="278">
        <f>auditsoutcomeLApivot!B31</f>
        <v>277</v>
      </c>
      <c r="D39" s="278">
        <f>auditsoutcomeLApivot!C31</f>
        <v>1628</v>
      </c>
      <c r="E39" s="278">
        <f>auditsoutcomeLApivot!D31</f>
        <v>3</v>
      </c>
      <c r="F39" s="278">
        <f>auditsoutcomeLApivot!E31</f>
        <v>34.5</v>
      </c>
      <c r="G39" s="279">
        <f t="shared" si="0"/>
        <v>280</v>
      </c>
      <c r="H39" s="279">
        <f t="shared" si="1"/>
        <v>1662.5</v>
      </c>
      <c r="I39" s="50">
        <f>auditsoutcomeLApivot!F31</f>
        <v>0</v>
      </c>
      <c r="J39" s="50">
        <f>auditsoutcomeLApivot!G31</f>
        <v>0</v>
      </c>
      <c r="K39" s="50">
        <f>auditsoutcomeLApivot!H31</f>
        <v>1</v>
      </c>
      <c r="L39" s="50">
        <f>auditsoutcomeLApivot!I31</f>
        <v>10.75</v>
      </c>
      <c r="M39" s="767">
        <f t="shared" si="2"/>
        <v>98.928571428571431</v>
      </c>
      <c r="N39" s="762">
        <f t="shared" si="3"/>
        <v>5.8772563176895307</v>
      </c>
      <c r="O39" s="762">
        <f t="shared" si="4"/>
        <v>11.5</v>
      </c>
    </row>
    <row r="40" spans="1:15" x14ac:dyDescent="0.35">
      <c r="A40" s="389" t="s">
        <v>304</v>
      </c>
      <c r="B40" s="540" t="s">
        <v>305</v>
      </c>
      <c r="C40" s="278">
        <f>auditsoutcomeLApivot!B32</f>
        <v>360</v>
      </c>
      <c r="D40" s="278">
        <f>auditsoutcomeLApivot!C32</f>
        <v>2761</v>
      </c>
      <c r="E40" s="278">
        <f>auditsoutcomeLApivot!D32</f>
        <v>10</v>
      </c>
      <c r="F40" s="278">
        <f>auditsoutcomeLApivot!E32</f>
        <v>219.75</v>
      </c>
      <c r="G40" s="279">
        <f t="shared" si="0"/>
        <v>370</v>
      </c>
      <c r="H40" s="279">
        <f t="shared" si="1"/>
        <v>2980.75</v>
      </c>
      <c r="I40" s="50">
        <f>auditsoutcomeLApivot!F32</f>
        <v>0</v>
      </c>
      <c r="J40" s="50">
        <f>auditsoutcomeLApivot!G32</f>
        <v>0</v>
      </c>
      <c r="K40" s="50">
        <f>auditsoutcomeLApivot!H32</f>
        <v>0</v>
      </c>
      <c r="L40" s="50">
        <f>auditsoutcomeLApivot!I32</f>
        <v>0</v>
      </c>
      <c r="M40" s="767">
        <f t="shared" si="2"/>
        <v>97.297297297297305</v>
      </c>
      <c r="N40" s="762">
        <f t="shared" si="3"/>
        <v>7.6694444444444443</v>
      </c>
      <c r="O40" s="762">
        <f t="shared" si="4"/>
        <v>21.975000000000001</v>
      </c>
    </row>
    <row r="41" spans="1:15" x14ac:dyDescent="0.35">
      <c r="A41" s="389" t="s">
        <v>307</v>
      </c>
      <c r="B41" s="540" t="s">
        <v>308</v>
      </c>
      <c r="C41" s="278">
        <f>auditsoutcomeLApivot!B33</f>
        <v>156</v>
      </c>
      <c r="D41" s="278">
        <f>auditsoutcomeLApivot!C33</f>
        <v>987.75</v>
      </c>
      <c r="E41" s="278">
        <f>auditsoutcomeLApivot!D33</f>
        <v>2</v>
      </c>
      <c r="F41" s="278">
        <f>auditsoutcomeLApivot!E33</f>
        <v>21.5</v>
      </c>
      <c r="G41" s="279">
        <f t="shared" si="0"/>
        <v>158</v>
      </c>
      <c r="H41" s="279">
        <f t="shared" si="1"/>
        <v>1009.25</v>
      </c>
      <c r="I41" s="50">
        <f>auditsoutcomeLApivot!F33</f>
        <v>0</v>
      </c>
      <c r="J41" s="50">
        <f>auditsoutcomeLApivot!G33</f>
        <v>0</v>
      </c>
      <c r="K41" s="50">
        <f>auditsoutcomeLApivot!H33</f>
        <v>0</v>
      </c>
      <c r="L41" s="50">
        <f>auditsoutcomeLApivot!I33</f>
        <v>0</v>
      </c>
      <c r="M41" s="767">
        <f t="shared" si="2"/>
        <v>98.734177215189874</v>
      </c>
      <c r="N41" s="762">
        <f t="shared" si="3"/>
        <v>6.3317307692307692</v>
      </c>
      <c r="O41" s="762">
        <f t="shared" si="4"/>
        <v>10.75</v>
      </c>
    </row>
    <row r="42" spans="1:15" x14ac:dyDescent="0.35">
      <c r="A42" s="389" t="s">
        <v>309</v>
      </c>
      <c r="B42" s="540" t="s">
        <v>310</v>
      </c>
      <c r="C42" s="278">
        <f>auditsoutcomeLApivot!B34</f>
        <v>94</v>
      </c>
      <c r="D42" s="278">
        <f>auditsoutcomeLApivot!C34</f>
        <v>563.75</v>
      </c>
      <c r="E42" s="278">
        <f>auditsoutcomeLApivot!D34</f>
        <v>4</v>
      </c>
      <c r="F42" s="278">
        <f>auditsoutcomeLApivot!E34</f>
        <v>25.5</v>
      </c>
      <c r="G42" s="279">
        <f t="shared" si="0"/>
        <v>98</v>
      </c>
      <c r="H42" s="279">
        <f t="shared" si="1"/>
        <v>589.25</v>
      </c>
      <c r="I42" s="50">
        <f>auditsoutcomeLApivot!F34</f>
        <v>0</v>
      </c>
      <c r="J42" s="50">
        <f>auditsoutcomeLApivot!G34</f>
        <v>0</v>
      </c>
      <c r="K42" s="50">
        <f>auditsoutcomeLApivot!H34</f>
        <v>0</v>
      </c>
      <c r="L42" s="50">
        <f>auditsoutcomeLApivot!I34</f>
        <v>0</v>
      </c>
      <c r="M42" s="767">
        <f t="shared" si="2"/>
        <v>95.918367346938766</v>
      </c>
      <c r="N42" s="762">
        <f t="shared" si="3"/>
        <v>5.9973404255319149</v>
      </c>
      <c r="O42" s="762">
        <f t="shared" si="4"/>
        <v>6.375</v>
      </c>
    </row>
    <row r="43" spans="1:15" x14ac:dyDescent="0.35">
      <c r="A43" s="389" t="s">
        <v>311</v>
      </c>
      <c r="B43" s="540" t="s">
        <v>312</v>
      </c>
      <c r="C43" s="278">
        <f>auditsoutcomeLApivot!B35</f>
        <v>240</v>
      </c>
      <c r="D43" s="278">
        <f>auditsoutcomeLApivot!C35</f>
        <v>1183.5</v>
      </c>
      <c r="E43" s="278">
        <f>auditsoutcomeLApivot!D35</f>
        <v>0</v>
      </c>
      <c r="F43" s="278">
        <f>auditsoutcomeLApivot!E35</f>
        <v>0</v>
      </c>
      <c r="G43" s="279">
        <f t="shared" si="0"/>
        <v>240</v>
      </c>
      <c r="H43" s="279">
        <f t="shared" si="1"/>
        <v>1183.5</v>
      </c>
      <c r="I43" s="50">
        <f>auditsoutcomeLApivot!F35</f>
        <v>0</v>
      </c>
      <c r="J43" s="50">
        <f>auditsoutcomeLApivot!G35</f>
        <v>0</v>
      </c>
      <c r="K43" s="50">
        <f>auditsoutcomeLApivot!H35</f>
        <v>0</v>
      </c>
      <c r="L43" s="454">
        <f>auditsoutcomeLApivot!I35</f>
        <v>0</v>
      </c>
      <c r="M43" s="767">
        <f t="shared" si="2"/>
        <v>100</v>
      </c>
      <c r="N43" s="762">
        <f t="shared" si="3"/>
        <v>4.9312500000000004</v>
      </c>
      <c r="O43" s="762" t="str">
        <f t="shared" si="4"/>
        <v>-</v>
      </c>
    </row>
    <row r="44" spans="1:15" ht="24" customHeight="1" thickBot="1" x14ac:dyDescent="0.4">
      <c r="A44" s="256"/>
      <c r="B44" s="256" t="s">
        <v>348</v>
      </c>
      <c r="C44" s="280">
        <f>SUM(C12:C43)</f>
        <v>8461</v>
      </c>
      <c r="D44" s="280">
        <f>SUM(D12:D43)</f>
        <v>47569.5</v>
      </c>
      <c r="E44" s="280">
        <f t="shared" ref="E44:F44" si="5">SUM(E12:E43)</f>
        <v>307</v>
      </c>
      <c r="F44" s="280">
        <f t="shared" si="5"/>
        <v>3445</v>
      </c>
      <c r="G44" s="280">
        <f t="shared" ref="G44:L44" si="6">SUM(G12:G43)</f>
        <v>8768</v>
      </c>
      <c r="H44" s="280">
        <f t="shared" si="6"/>
        <v>51014.5</v>
      </c>
      <c r="I44" s="322">
        <f t="shared" si="6"/>
        <v>2</v>
      </c>
      <c r="J44" s="322">
        <f t="shared" si="6"/>
        <v>146</v>
      </c>
      <c r="K44" s="322">
        <f t="shared" si="6"/>
        <v>6</v>
      </c>
      <c r="L44" s="322">
        <f t="shared" si="6"/>
        <v>85.5</v>
      </c>
      <c r="M44" s="768">
        <f>IFERROR(C44/G44*100, "")</f>
        <v>96.498631386861305</v>
      </c>
      <c r="N44" s="764">
        <f t="shared" si="3"/>
        <v>5.6222077768585272</v>
      </c>
      <c r="O44" s="764">
        <f t="shared" si="4"/>
        <v>11.221498371335505</v>
      </c>
    </row>
    <row r="45" spans="1:15" x14ac:dyDescent="0.35">
      <c r="B45" s="257"/>
      <c r="C45" s="281"/>
      <c r="D45" s="281"/>
      <c r="E45" s="281"/>
      <c r="F45" s="281"/>
      <c r="G45" s="279"/>
      <c r="H45" s="279"/>
      <c r="I45" s="257"/>
      <c r="J45" s="98"/>
      <c r="K45" s="257"/>
      <c r="L45" s="257"/>
      <c r="M45" s="282"/>
      <c r="N45" s="258"/>
    </row>
    <row r="46" spans="1:15" x14ac:dyDescent="0.35">
      <c r="A46" s="336" t="s">
        <v>329</v>
      </c>
      <c r="B46" s="338"/>
      <c r="C46" s="338"/>
      <c r="D46" s="338"/>
      <c r="E46" s="338"/>
      <c r="F46" s="338"/>
      <c r="G46" s="338"/>
      <c r="H46" s="338"/>
      <c r="I46" s="338"/>
      <c r="J46" s="338"/>
      <c r="K46" s="338"/>
      <c r="L46" s="338"/>
      <c r="M46" s="338"/>
      <c r="N46" s="338"/>
    </row>
    <row r="47" spans="1:15" x14ac:dyDescent="0.35">
      <c r="A47" s="338" t="s">
        <v>1249</v>
      </c>
      <c r="B47" s="338"/>
      <c r="C47" s="338"/>
      <c r="D47" s="338"/>
      <c r="E47" s="338"/>
      <c r="F47" s="338"/>
      <c r="G47" s="338"/>
      <c r="H47" s="338"/>
      <c r="I47" s="338"/>
      <c r="J47" s="338"/>
      <c r="K47" s="338"/>
      <c r="L47" s="338"/>
      <c r="M47" s="338"/>
      <c r="N47" s="338"/>
    </row>
    <row r="48" spans="1:15" ht="15" customHeight="1" x14ac:dyDescent="0.35">
      <c r="A48" s="452" t="s">
        <v>711</v>
      </c>
      <c r="B48" s="452"/>
      <c r="C48" s="452"/>
      <c r="D48" s="452"/>
      <c r="E48" s="452"/>
      <c r="F48" s="452"/>
      <c r="G48" s="452"/>
      <c r="H48" s="452"/>
      <c r="I48" s="452"/>
      <c r="J48" s="452"/>
      <c r="K48" s="452"/>
      <c r="L48" s="452"/>
      <c r="M48" s="452"/>
      <c r="N48" s="452"/>
    </row>
    <row r="49" spans="1:15" ht="30.75" customHeight="1" x14ac:dyDescent="0.35">
      <c r="A49" s="1020" t="s">
        <v>1256</v>
      </c>
      <c r="B49" s="1020"/>
      <c r="C49" s="1020"/>
      <c r="D49" s="1020"/>
      <c r="E49" s="1020"/>
      <c r="F49" s="1020"/>
      <c r="G49" s="1020"/>
      <c r="H49" s="1020"/>
      <c r="I49" s="1020"/>
      <c r="J49" s="1020"/>
      <c r="K49" s="1020"/>
      <c r="L49" s="1020"/>
      <c r="M49" s="1020"/>
      <c r="N49" s="1020"/>
      <c r="O49" s="1020"/>
    </row>
    <row r="50" spans="1:15" x14ac:dyDescent="0.35">
      <c r="A50" s="338" t="s">
        <v>1252</v>
      </c>
    </row>
  </sheetData>
  <sheetProtection algorithmName="SHA-512" hashValue="3UOu133scTIzOgrF6UMk5GYcv5X+4i60wsssNNElcK84zOWFdAWzxPv/Ie6TjK5vQNYkDmOOn0HnnJoIec2saQ==" saltValue="dFo6ulUSynkab61LbYw+4w==" spinCount="100000" sheet="1" scenarios="1" formatCells="0" sort="0" autoFilter="0" pivotTables="0"/>
  <mergeCells count="6">
    <mergeCell ref="A49:O49"/>
    <mergeCell ref="C10:D10"/>
    <mergeCell ref="E10:F10"/>
    <mergeCell ref="G10:H10"/>
    <mergeCell ref="I10:J10"/>
    <mergeCell ref="K10:L10"/>
  </mergeCells>
  <hyperlinks>
    <hyperlink ref="A2" location="'Table of Contents'!A1" display="Back to Table of Contents" xr:uid="{00000000-0004-0000-AC00-000000000000}"/>
  </hyperlinks>
  <pageMargins left="0.70866141732283472" right="0.70866141732283472" top="0.74803149606299213" bottom="0.74803149606299213" header="0.31496062992125984" footer="0.31496062992125984"/>
  <pageSetup paperSize="9" scale="73" orientation="landscape" r:id="rId1"/>
  <drawing r:id="rId2"/>
  <extLst>
    <ext xmlns:x14="http://schemas.microsoft.com/office/spreadsheetml/2009/9/main" uri="{A8765BA9-456A-4dab-B4F3-ACF838C121DE}">
      <x14:slicerList>
        <x14:slicer r:id="rId3"/>
      </x14:slicerList>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12A69-BADA-452E-B9DB-7C99E2C5FC98}">
  <sheetPr>
    <tabColor theme="3" tint="0.39997558519241921"/>
  </sheetPr>
  <dimension ref="B4:E16"/>
  <sheetViews>
    <sheetView workbookViewId="0">
      <selection activeCell="B4" sqref="B4"/>
    </sheetView>
  </sheetViews>
  <sheetFormatPr defaultRowHeight="14.5" x14ac:dyDescent="0.35"/>
  <cols>
    <col min="2" max="2" width="12.54296875" bestFit="1" customWidth="1"/>
    <col min="3" max="3" width="24.54296875" bestFit="1" customWidth="1"/>
    <col min="4" max="4" width="23.1796875" bestFit="1" customWidth="1"/>
    <col min="5" max="5" width="23" bestFit="1" customWidth="1"/>
  </cols>
  <sheetData>
    <row r="4" spans="2:5" x14ac:dyDescent="0.35">
      <c r="B4" s="387" t="s">
        <v>350</v>
      </c>
      <c r="C4" t="s">
        <v>1261</v>
      </c>
      <c r="D4" t="s">
        <v>1262</v>
      </c>
      <c r="E4" t="s">
        <v>1263</v>
      </c>
    </row>
    <row r="5" spans="2:5" x14ac:dyDescent="0.35">
      <c r="B5" s="388" t="s">
        <v>365</v>
      </c>
      <c r="C5">
        <v>21</v>
      </c>
      <c r="D5">
        <v>15</v>
      </c>
      <c r="E5">
        <v>0</v>
      </c>
    </row>
    <row r="6" spans="2:5" x14ac:dyDescent="0.35">
      <c r="B6" s="388" t="s">
        <v>366</v>
      </c>
      <c r="C6">
        <v>22</v>
      </c>
      <c r="D6">
        <v>17</v>
      </c>
      <c r="E6">
        <v>0</v>
      </c>
    </row>
    <row r="7" spans="2:5" x14ac:dyDescent="0.35">
      <c r="B7" s="388" t="s">
        <v>341</v>
      </c>
      <c r="C7">
        <v>15</v>
      </c>
      <c r="D7">
        <v>17</v>
      </c>
      <c r="E7">
        <v>1</v>
      </c>
    </row>
    <row r="8" spans="2:5" x14ac:dyDescent="0.35">
      <c r="B8" s="388" t="s">
        <v>342</v>
      </c>
      <c r="C8">
        <v>15</v>
      </c>
      <c r="D8">
        <v>26</v>
      </c>
      <c r="E8">
        <v>2</v>
      </c>
    </row>
    <row r="9" spans="2:5" x14ac:dyDescent="0.35">
      <c r="B9" s="388" t="s">
        <v>214</v>
      </c>
      <c r="C9">
        <v>21</v>
      </c>
      <c r="D9">
        <v>21</v>
      </c>
      <c r="E9">
        <v>2</v>
      </c>
    </row>
    <row r="10" spans="2:5" x14ac:dyDescent="0.35">
      <c r="B10" s="388" t="s">
        <v>313</v>
      </c>
      <c r="C10">
        <v>7</v>
      </c>
      <c r="D10">
        <v>2</v>
      </c>
      <c r="E10">
        <v>0</v>
      </c>
    </row>
    <row r="11" spans="2:5" x14ac:dyDescent="0.35">
      <c r="B11" s="388" t="s">
        <v>319</v>
      </c>
      <c r="C11">
        <v>2</v>
      </c>
      <c r="D11">
        <v>1</v>
      </c>
      <c r="E11">
        <v>1</v>
      </c>
    </row>
    <row r="12" spans="2:5" x14ac:dyDescent="0.35">
      <c r="B12" s="388" t="s">
        <v>321</v>
      </c>
      <c r="C12">
        <v>3</v>
      </c>
      <c r="D12">
        <v>6</v>
      </c>
      <c r="E12">
        <v>0</v>
      </c>
    </row>
    <row r="13" spans="2:5" x14ac:dyDescent="0.35">
      <c r="B13" s="388" t="s">
        <v>326</v>
      </c>
      <c r="C13">
        <v>6</v>
      </c>
      <c r="D13">
        <v>9</v>
      </c>
      <c r="E13">
        <v>0</v>
      </c>
    </row>
    <row r="14" spans="2:5" x14ac:dyDescent="0.35">
      <c r="B14" s="388" t="s">
        <v>327</v>
      </c>
      <c r="C14">
        <v>15</v>
      </c>
      <c r="D14">
        <v>13</v>
      </c>
      <c r="E14">
        <v>2</v>
      </c>
    </row>
    <row r="15" spans="2:5" x14ac:dyDescent="0.35">
      <c r="B15" s="388" t="s">
        <v>466</v>
      </c>
      <c r="C15">
        <v>19</v>
      </c>
      <c r="D15">
        <v>21</v>
      </c>
      <c r="E15">
        <v>2</v>
      </c>
    </row>
    <row r="16" spans="2:5" x14ac:dyDescent="0.35">
      <c r="B16" s="388" t="s">
        <v>357</v>
      </c>
      <c r="C16">
        <v>146</v>
      </c>
      <c r="D16">
        <v>148</v>
      </c>
      <c r="E16">
        <v>10</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88F0B-E444-4AE5-BC7C-32797FE60FB5}">
  <sheetPr>
    <tabColor theme="3" tint="0.39997558519241921"/>
  </sheetPr>
  <dimension ref="B4:E15"/>
  <sheetViews>
    <sheetView workbookViewId="0">
      <selection activeCell="B4" sqref="B4:E15"/>
    </sheetView>
  </sheetViews>
  <sheetFormatPr defaultRowHeight="14.5" x14ac:dyDescent="0.35"/>
  <cols>
    <col min="2" max="2" width="7.453125" bestFit="1" customWidth="1"/>
    <col min="3" max="3" width="20.453125" bestFit="1" customWidth="1"/>
    <col min="4" max="4" width="19.1796875" bestFit="1" customWidth="1"/>
    <col min="5" max="5" width="18.81640625" bestFit="1" customWidth="1"/>
  </cols>
  <sheetData>
    <row r="4" spans="2:5" x14ac:dyDescent="0.35">
      <c r="B4" t="s">
        <v>207</v>
      </c>
      <c r="C4" t="s">
        <v>1242</v>
      </c>
      <c r="D4" t="s">
        <v>1243</v>
      </c>
      <c r="E4" t="s">
        <v>1264</v>
      </c>
    </row>
    <row r="5" spans="2:5" x14ac:dyDescent="0.35">
      <c r="B5" t="s">
        <v>365</v>
      </c>
      <c r="C5">
        <v>21</v>
      </c>
      <c r="D5">
        <v>15</v>
      </c>
      <c r="E5">
        <v>0</v>
      </c>
    </row>
    <row r="6" spans="2:5" x14ac:dyDescent="0.35">
      <c r="B6" t="s">
        <v>366</v>
      </c>
      <c r="C6">
        <v>22</v>
      </c>
      <c r="D6">
        <v>17</v>
      </c>
      <c r="E6">
        <v>0</v>
      </c>
    </row>
    <row r="7" spans="2:5" x14ac:dyDescent="0.35">
      <c r="B7" t="s">
        <v>341</v>
      </c>
      <c r="C7">
        <v>15</v>
      </c>
      <c r="D7">
        <v>17</v>
      </c>
      <c r="E7">
        <v>1</v>
      </c>
    </row>
    <row r="8" spans="2:5" x14ac:dyDescent="0.35">
      <c r="B8" t="s">
        <v>342</v>
      </c>
      <c r="C8">
        <v>15</v>
      </c>
      <c r="D8">
        <v>26</v>
      </c>
      <c r="E8">
        <v>2</v>
      </c>
    </row>
    <row r="9" spans="2:5" x14ac:dyDescent="0.35">
      <c r="B9" t="s">
        <v>214</v>
      </c>
      <c r="C9">
        <v>21</v>
      </c>
      <c r="D9">
        <v>21</v>
      </c>
      <c r="E9">
        <v>2</v>
      </c>
    </row>
    <row r="10" spans="2:5" x14ac:dyDescent="0.35">
      <c r="B10" t="s">
        <v>313</v>
      </c>
      <c r="C10">
        <v>7</v>
      </c>
      <c r="D10">
        <v>2</v>
      </c>
      <c r="E10">
        <v>0</v>
      </c>
    </row>
    <row r="11" spans="2:5" x14ac:dyDescent="0.35">
      <c r="B11" t="s">
        <v>319</v>
      </c>
      <c r="C11">
        <v>2</v>
      </c>
      <c r="D11">
        <v>1</v>
      </c>
      <c r="E11">
        <v>1</v>
      </c>
    </row>
    <row r="12" spans="2:5" x14ac:dyDescent="0.35">
      <c r="B12" t="s">
        <v>321</v>
      </c>
      <c r="C12">
        <v>3</v>
      </c>
      <c r="D12">
        <v>6</v>
      </c>
      <c r="E12">
        <v>0</v>
      </c>
    </row>
    <row r="13" spans="2:5" x14ac:dyDescent="0.35">
      <c r="B13" t="s">
        <v>326</v>
      </c>
      <c r="C13">
        <v>6</v>
      </c>
      <c r="D13">
        <v>9</v>
      </c>
      <c r="E13">
        <v>0</v>
      </c>
    </row>
    <row r="14" spans="2:5" x14ac:dyDescent="0.35">
      <c r="B14" t="s">
        <v>327</v>
      </c>
      <c r="C14">
        <v>15</v>
      </c>
      <c r="D14">
        <v>13</v>
      </c>
      <c r="E14">
        <v>2</v>
      </c>
    </row>
    <row r="15" spans="2:5" x14ac:dyDescent="0.35">
      <c r="B15" t="s">
        <v>466</v>
      </c>
      <c r="C15">
        <v>19</v>
      </c>
      <c r="D15">
        <v>21</v>
      </c>
      <c r="E15">
        <v>2</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theme="3" tint="0.39997558519241921"/>
    <pageSetUpPr fitToPage="1"/>
  </sheetPr>
  <dimension ref="A1:O47"/>
  <sheetViews>
    <sheetView showGridLines="0" workbookViewId="0">
      <pane ySplit="2" topLeftCell="A3" activePane="bottomLeft" state="frozen"/>
      <selection pane="bottomLeft"/>
    </sheetView>
  </sheetViews>
  <sheetFormatPr defaultRowHeight="14.5" x14ac:dyDescent="0.35"/>
  <cols>
    <col min="1" max="1" width="20.453125" customWidth="1"/>
    <col min="2" max="2" width="19.453125" customWidth="1"/>
    <col min="3" max="3" width="18.1796875" customWidth="1"/>
    <col min="4" max="4" width="17.7265625" customWidth="1"/>
    <col min="5" max="5" width="10.1796875" customWidth="1"/>
    <col min="6" max="6" width="6.1796875" bestFit="1" customWidth="1"/>
    <col min="7" max="8" width="5.54296875" bestFit="1" customWidth="1"/>
  </cols>
  <sheetData>
    <row r="1" spans="1:14" ht="15.5" x14ac:dyDescent="0.35">
      <c r="A1" s="514" t="s">
        <v>1127</v>
      </c>
    </row>
    <row r="2" spans="1:14" x14ac:dyDescent="0.35">
      <c r="A2" s="499" t="s">
        <v>201</v>
      </c>
    </row>
    <row r="3" spans="1:14" x14ac:dyDescent="0.35">
      <c r="A3" s="25"/>
    </row>
    <row r="4" spans="1:14" ht="15.5" x14ac:dyDescent="0.35">
      <c r="A4" s="439" t="s">
        <v>1265</v>
      </c>
      <c r="B4" s="439"/>
      <c r="C4" s="439"/>
      <c r="D4" s="439"/>
      <c r="E4" s="439"/>
      <c r="F4" s="439"/>
      <c r="G4" s="439"/>
      <c r="H4" s="439"/>
      <c r="I4" s="439"/>
      <c r="J4" s="439"/>
      <c r="K4" s="439"/>
      <c r="L4" s="439"/>
      <c r="M4" s="439"/>
      <c r="N4" s="439"/>
    </row>
    <row r="5" spans="1:14" ht="15.5" x14ac:dyDescent="0.35">
      <c r="A5" t="s">
        <v>202</v>
      </c>
      <c r="B5" t="s">
        <v>192</v>
      </c>
      <c r="C5" s="500"/>
      <c r="D5" s="500"/>
      <c r="E5" s="500"/>
      <c r="F5" s="500"/>
      <c r="G5" s="500"/>
      <c r="H5" s="500"/>
      <c r="I5" s="500"/>
      <c r="J5" s="500"/>
    </row>
    <row r="6" spans="1:14" ht="15.5" x14ac:dyDescent="0.35">
      <c r="A6" t="s">
        <v>203</v>
      </c>
      <c r="B6" t="s">
        <v>204</v>
      </c>
      <c r="C6" s="500"/>
      <c r="D6" s="500"/>
      <c r="E6" s="500"/>
      <c r="F6" s="500"/>
      <c r="G6" s="500"/>
      <c r="H6" s="500"/>
      <c r="I6" s="500"/>
      <c r="J6" s="500"/>
    </row>
    <row r="7" spans="1:14" ht="15.5" x14ac:dyDescent="0.35">
      <c r="A7" t="s">
        <v>205</v>
      </c>
      <c r="B7" t="s">
        <v>206</v>
      </c>
      <c r="C7" s="500"/>
      <c r="D7" s="500"/>
      <c r="E7" s="500"/>
      <c r="F7" s="500"/>
      <c r="G7" s="500"/>
      <c r="H7" s="500"/>
      <c r="I7" s="500"/>
      <c r="J7" s="500"/>
      <c r="K7" s="25"/>
      <c r="L7" s="25"/>
      <c r="M7" s="25"/>
      <c r="N7" s="25"/>
    </row>
    <row r="8" spans="1:14" x14ac:dyDescent="0.35">
      <c r="B8" s="580"/>
      <c r="C8" s="580"/>
      <c r="D8" s="580"/>
    </row>
    <row r="9" spans="1:14" x14ac:dyDescent="0.35">
      <c r="A9" s="526" t="s">
        <v>207</v>
      </c>
      <c r="B9" s="648" t="s">
        <v>1266</v>
      </c>
      <c r="C9" s="648" t="s">
        <v>1248</v>
      </c>
      <c r="D9" s="648" t="s">
        <v>1267</v>
      </c>
    </row>
    <row r="10" spans="1:14" x14ac:dyDescent="0.35">
      <c r="A10" s="312" t="s">
        <v>365</v>
      </c>
      <c r="B10" s="602">
        <f>GETPIVOTDATA("Sum of Enforcement Notice",NoticesPivot!$B$4,"Year",A10)</f>
        <v>21</v>
      </c>
      <c r="C10" s="602">
        <f>GETPIVOTDATA("Sum of Prohibition Notice",NoticesPivot!$B$4,"Year",A10)</f>
        <v>15</v>
      </c>
      <c r="D10" s="602">
        <f>GETPIVOTDATA("Sum of Alterations Notice",NoticesPivot!$B$4,"Year",A10)</f>
        <v>0</v>
      </c>
    </row>
    <row r="11" spans="1:14" x14ac:dyDescent="0.35">
      <c r="A11" s="312" t="s">
        <v>366</v>
      </c>
      <c r="B11" s="602">
        <f>GETPIVOTDATA("Sum of Enforcement Notice",NoticesPivot!$B$4,"Year",A11)</f>
        <v>22</v>
      </c>
      <c r="C11" s="602">
        <f>GETPIVOTDATA("Sum of Prohibition Notice",NoticesPivot!$B$4,"Year",A11)</f>
        <v>17</v>
      </c>
      <c r="D11" s="602">
        <f>GETPIVOTDATA("Sum of Alterations Notice",NoticesPivot!$B$4,"Year",A11)</f>
        <v>0</v>
      </c>
    </row>
    <row r="12" spans="1:14" x14ac:dyDescent="0.35">
      <c r="A12" s="312" t="s">
        <v>341</v>
      </c>
      <c r="B12" s="602">
        <f>GETPIVOTDATA("Sum of Enforcement Notice",NoticesPivot!$B$4,"Year",A12)</f>
        <v>15</v>
      </c>
      <c r="C12" s="602">
        <f>GETPIVOTDATA("Sum of Prohibition Notice",NoticesPivot!$B$4,"Year",A12)</f>
        <v>17</v>
      </c>
      <c r="D12" s="602">
        <f>GETPIVOTDATA("Sum of Alterations Notice",NoticesPivot!$B$4,"Year",A12)</f>
        <v>1</v>
      </c>
    </row>
    <row r="13" spans="1:14" x14ac:dyDescent="0.35">
      <c r="A13" s="312" t="s">
        <v>342</v>
      </c>
      <c r="B13" s="602">
        <f>GETPIVOTDATA("Sum of Enforcement Notice",NoticesPivot!$B$4,"Year",A13)</f>
        <v>15</v>
      </c>
      <c r="C13" s="602">
        <f>GETPIVOTDATA("Sum of Prohibition Notice",NoticesPivot!$B$4,"Year",A13)</f>
        <v>26</v>
      </c>
      <c r="D13" s="602">
        <f>GETPIVOTDATA("Sum of Alterations Notice",NoticesPivot!$B$4,"Year",A13)</f>
        <v>2</v>
      </c>
    </row>
    <row r="14" spans="1:14" x14ac:dyDescent="0.35">
      <c r="A14" s="312" t="s">
        <v>214</v>
      </c>
      <c r="B14" s="602">
        <f>GETPIVOTDATA("Sum of Enforcement Notice",NoticesPivot!$B$4,"Year",A14)</f>
        <v>21</v>
      </c>
      <c r="C14" s="602">
        <f>GETPIVOTDATA("Sum of Prohibition Notice",NoticesPivot!$B$4,"Year",A14)</f>
        <v>21</v>
      </c>
      <c r="D14" s="602">
        <f>GETPIVOTDATA("Sum of Alterations Notice",NoticesPivot!$B$4,"Year",A14)</f>
        <v>2</v>
      </c>
    </row>
    <row r="15" spans="1:14" x14ac:dyDescent="0.35">
      <c r="A15" s="312" t="s">
        <v>313</v>
      </c>
      <c r="B15" s="602">
        <f>GETPIVOTDATA("Sum of Enforcement Notice",NoticesPivot!$B$4,"Year",A15)</f>
        <v>7</v>
      </c>
      <c r="C15" s="602">
        <f>GETPIVOTDATA("Sum of Prohibition Notice",NoticesPivot!$B$4,"Year",A15)</f>
        <v>2</v>
      </c>
      <c r="D15" s="602">
        <f>GETPIVOTDATA("Sum of Alterations Notice",NoticesPivot!$B$4,"Year",A15)</f>
        <v>0</v>
      </c>
    </row>
    <row r="16" spans="1:14" x14ac:dyDescent="0.35">
      <c r="A16" s="312" t="s">
        <v>319</v>
      </c>
      <c r="B16" s="602">
        <f>GETPIVOTDATA("Sum of Enforcement Notice",NoticesPivot!$B$4,"Year",A16)</f>
        <v>2</v>
      </c>
      <c r="C16" s="602">
        <f>GETPIVOTDATA("Sum of Prohibition Notice",NoticesPivot!$B$4,"Year",A16)</f>
        <v>1</v>
      </c>
      <c r="D16" s="602">
        <f>GETPIVOTDATA("Sum of Alterations Notice",NoticesPivot!$B$4,"Year",A16)</f>
        <v>1</v>
      </c>
    </row>
    <row r="17" spans="1:15" x14ac:dyDescent="0.35">
      <c r="A17" s="312" t="s">
        <v>321</v>
      </c>
      <c r="B17" s="602">
        <f>GETPIVOTDATA("Sum of Enforcement Notice",NoticesPivot!$B$4,"Year",A17)</f>
        <v>3</v>
      </c>
      <c r="C17" s="602">
        <f>GETPIVOTDATA("Sum of Prohibition Notice",NoticesPivot!$B$4,"Year",A17)</f>
        <v>6</v>
      </c>
      <c r="D17" s="602">
        <f>GETPIVOTDATA("Sum of Alterations Notice",NoticesPivot!$B$4,"Year",A17)</f>
        <v>0</v>
      </c>
    </row>
    <row r="18" spans="1:15" x14ac:dyDescent="0.35">
      <c r="A18" s="312" t="s">
        <v>326</v>
      </c>
      <c r="B18" s="602">
        <f>GETPIVOTDATA("Sum of Enforcement Notice",NoticesPivot!$B$4,"Year",A18)</f>
        <v>6</v>
      </c>
      <c r="C18" s="602">
        <f>GETPIVOTDATA("Sum of Prohibition Notice",NoticesPivot!$B$4,"Year",A18)</f>
        <v>9</v>
      </c>
      <c r="D18" s="602">
        <f>GETPIVOTDATA("Sum of Alterations Notice",NoticesPivot!$B$4,"Year",A18)</f>
        <v>0</v>
      </c>
    </row>
    <row r="19" spans="1:15" x14ac:dyDescent="0.35">
      <c r="A19" s="982" t="s">
        <v>327</v>
      </c>
      <c r="B19" s="602">
        <f>GETPIVOTDATA("Sum of Enforcement Notice",NoticesPivot!$B$4,"Year",A19)</f>
        <v>15</v>
      </c>
      <c r="C19" s="602">
        <f>GETPIVOTDATA("Sum of Prohibition Notice",NoticesPivot!$B$4,"Year",A19)</f>
        <v>13</v>
      </c>
      <c r="D19" s="602">
        <f>GETPIVOTDATA("Sum of Alterations Notice",NoticesPivot!$B$4,"Year",A19)</f>
        <v>2</v>
      </c>
      <c r="E19" s="367"/>
      <c r="O19" s="420"/>
    </row>
    <row r="20" spans="1:15" ht="15" thickBot="1" x14ac:dyDescent="0.4">
      <c r="A20" s="881" t="s">
        <v>466</v>
      </c>
      <c r="B20" s="607">
        <f>GETPIVOTDATA("Sum of Enforcement Notice",NoticesPivot!$B$4,"Year",A20)</f>
        <v>19</v>
      </c>
      <c r="C20" s="607">
        <f>GETPIVOTDATA("Sum of Prohibition Notice",NoticesPivot!$B$4,"Year",A20)</f>
        <v>21</v>
      </c>
      <c r="D20" s="607">
        <f>GETPIVOTDATA("Sum of Alterations Notice",NoticesPivot!$B$4,"Year",A20)</f>
        <v>2</v>
      </c>
      <c r="E20" s="367"/>
      <c r="O20" s="420"/>
    </row>
    <row r="21" spans="1:15" x14ac:dyDescent="0.35">
      <c r="A21" s="366"/>
      <c r="B21" s="367"/>
      <c r="C21" s="367"/>
      <c r="D21" s="367"/>
      <c r="E21" s="367"/>
      <c r="O21" s="420"/>
    </row>
    <row r="22" spans="1:15" x14ac:dyDescent="0.35">
      <c r="A22" s="334" t="s">
        <v>329</v>
      </c>
      <c r="B22" s="25"/>
      <c r="C22" s="25"/>
      <c r="D22" s="25"/>
      <c r="O22" s="420"/>
    </row>
    <row r="23" spans="1:15" ht="46.5" customHeight="1" x14ac:dyDescent="0.35">
      <c r="A23" s="1044" t="s">
        <v>1268</v>
      </c>
      <c r="B23" s="1044"/>
      <c r="C23" s="1044"/>
      <c r="D23" s="1044"/>
      <c r="E23" s="1044"/>
      <c r="O23" s="420"/>
    </row>
    <row r="24" spans="1:15" ht="44.5" customHeight="1" x14ac:dyDescent="0.35">
      <c r="A24" s="1014" t="s">
        <v>1269</v>
      </c>
      <c r="B24" s="1014"/>
      <c r="C24" s="1014"/>
      <c r="D24" s="1014"/>
      <c r="E24" s="1014"/>
      <c r="O24" s="420"/>
    </row>
    <row r="25" spans="1:15" ht="15.5" x14ac:dyDescent="0.35">
      <c r="A25" s="357"/>
      <c r="C25" s="225"/>
      <c r="D25" s="319"/>
      <c r="E25" s="319"/>
      <c r="O25" s="420"/>
    </row>
    <row r="26" spans="1:15" x14ac:dyDescent="0.35">
      <c r="O26" s="420"/>
    </row>
    <row r="27" spans="1:15" x14ac:dyDescent="0.35">
      <c r="O27" s="420"/>
    </row>
    <row r="28" spans="1:15" x14ac:dyDescent="0.35">
      <c r="O28" s="420"/>
    </row>
    <row r="29" spans="1:15" x14ac:dyDescent="0.35">
      <c r="O29" s="420"/>
    </row>
    <row r="30" spans="1:15" x14ac:dyDescent="0.35">
      <c r="O30" s="420"/>
    </row>
    <row r="31" spans="1:15" x14ac:dyDescent="0.35">
      <c r="O31" s="420"/>
    </row>
    <row r="32" spans="1:15" x14ac:dyDescent="0.35">
      <c r="O32" s="420"/>
    </row>
    <row r="33" spans="15:15" x14ac:dyDescent="0.35">
      <c r="O33" s="420"/>
    </row>
    <row r="34" spans="15:15" x14ac:dyDescent="0.35">
      <c r="O34" s="420"/>
    </row>
    <row r="35" spans="15:15" x14ac:dyDescent="0.35">
      <c r="O35" s="420"/>
    </row>
    <row r="36" spans="15:15" x14ac:dyDescent="0.35">
      <c r="O36" s="420"/>
    </row>
    <row r="37" spans="15:15" x14ac:dyDescent="0.35">
      <c r="O37" s="420"/>
    </row>
    <row r="38" spans="15:15" x14ac:dyDescent="0.35">
      <c r="O38" s="420"/>
    </row>
    <row r="39" spans="15:15" x14ac:dyDescent="0.35">
      <c r="O39" s="420"/>
    </row>
    <row r="40" spans="15:15" x14ac:dyDescent="0.35">
      <c r="O40" s="420"/>
    </row>
    <row r="41" spans="15:15" x14ac:dyDescent="0.35">
      <c r="O41" s="420"/>
    </row>
    <row r="42" spans="15:15" x14ac:dyDescent="0.35">
      <c r="O42" s="420"/>
    </row>
    <row r="43" spans="15:15" x14ac:dyDescent="0.35">
      <c r="O43" s="420"/>
    </row>
    <row r="44" spans="15:15" x14ac:dyDescent="0.35">
      <c r="O44" s="420"/>
    </row>
    <row r="45" spans="15:15" x14ac:dyDescent="0.35">
      <c r="O45" s="420"/>
    </row>
    <row r="46" spans="15:15" x14ac:dyDescent="0.35">
      <c r="O46" s="420"/>
    </row>
    <row r="47" spans="15:15" x14ac:dyDescent="0.35">
      <c r="O47" s="420"/>
    </row>
  </sheetData>
  <sheetProtection algorithmName="SHA-512" hashValue="Y7x7iTT4wkixhkrbn1Cl0NHitqP9eHQgATxbdCFcvdNc+hDZ0QkzSof7YnF+zHzXpLe9WPyHyKgVTWvrg3xSNw==" saltValue="W/N/vlTAnEUGewJANRkt/Q==" spinCount="100000" sheet="1" scenarios="1" formatCells="0" sort="0" autoFilter="0" pivotTables="0"/>
  <mergeCells count="2">
    <mergeCell ref="A24:E24"/>
    <mergeCell ref="A23:E23"/>
  </mergeCells>
  <hyperlinks>
    <hyperlink ref="A2" location="'Table of Contents'!A1" display="Back to Table of Contents" xr:uid="{00000000-0004-0000-AE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theme="3" tint="0.39997558519241921"/>
  </sheetPr>
  <dimension ref="B2:I20"/>
  <sheetViews>
    <sheetView workbookViewId="0">
      <selection activeCell="H18" sqref="H18"/>
    </sheetView>
  </sheetViews>
  <sheetFormatPr defaultRowHeight="14.5" x14ac:dyDescent="0.35"/>
  <cols>
    <col min="2" max="2" width="28.453125" bestFit="1" customWidth="1"/>
    <col min="3" max="3" width="9.7265625" bestFit="1" customWidth="1"/>
    <col min="4" max="4" width="8" bestFit="1" customWidth="1"/>
    <col min="5" max="5" width="9" bestFit="1" customWidth="1"/>
    <col min="6" max="6" width="8.453125" bestFit="1" customWidth="1"/>
    <col min="7" max="7" width="9.6328125" bestFit="1" customWidth="1"/>
    <col min="8" max="8" width="16.90625" bestFit="1" customWidth="1"/>
    <col min="9" max="9" width="11.453125" bestFit="1" customWidth="1"/>
  </cols>
  <sheetData>
    <row r="2" spans="2:9" x14ac:dyDescent="0.35">
      <c r="B2" s="387" t="s">
        <v>207</v>
      </c>
      <c r="C2" t="s">
        <v>466</v>
      </c>
    </row>
    <row r="4" spans="2:9" x14ac:dyDescent="0.35">
      <c r="B4" s="387" t="s">
        <v>350</v>
      </c>
      <c r="C4" t="s">
        <v>1270</v>
      </c>
      <c r="D4" t="s">
        <v>1271</v>
      </c>
      <c r="E4" t="s">
        <v>1272</v>
      </c>
      <c r="F4" t="s">
        <v>1273</v>
      </c>
      <c r="G4" t="s">
        <v>1274</v>
      </c>
      <c r="H4" t="s">
        <v>1275</v>
      </c>
      <c r="I4" t="s">
        <v>356</v>
      </c>
    </row>
    <row r="5" spans="2:9" x14ac:dyDescent="0.35">
      <c r="B5" s="388" t="s">
        <v>1150</v>
      </c>
      <c r="C5">
        <v>113</v>
      </c>
      <c r="D5">
        <v>705</v>
      </c>
      <c r="E5">
        <v>512</v>
      </c>
      <c r="F5">
        <v>170</v>
      </c>
      <c r="G5">
        <v>9</v>
      </c>
      <c r="H5">
        <v>120</v>
      </c>
      <c r="I5">
        <v>1509</v>
      </c>
    </row>
    <row r="6" spans="2:9" x14ac:dyDescent="0.35">
      <c r="B6" s="388" t="s">
        <v>1151</v>
      </c>
      <c r="C6">
        <v>1</v>
      </c>
      <c r="D6">
        <v>46</v>
      </c>
      <c r="E6">
        <v>117</v>
      </c>
      <c r="F6">
        <v>41</v>
      </c>
      <c r="G6">
        <v>1</v>
      </c>
      <c r="H6">
        <v>18</v>
      </c>
      <c r="I6">
        <v>206</v>
      </c>
    </row>
    <row r="7" spans="2:9" x14ac:dyDescent="0.35">
      <c r="B7" s="388" t="s">
        <v>1152</v>
      </c>
      <c r="C7">
        <v>1</v>
      </c>
      <c r="D7">
        <v>5</v>
      </c>
      <c r="E7">
        <v>14</v>
      </c>
      <c r="F7">
        <v>0</v>
      </c>
      <c r="G7">
        <v>0</v>
      </c>
      <c r="H7">
        <v>1</v>
      </c>
    </row>
    <row r="8" spans="2:9" x14ac:dyDescent="0.35">
      <c r="B8" s="388" t="s">
        <v>1153</v>
      </c>
      <c r="C8">
        <v>45</v>
      </c>
      <c r="D8">
        <v>149</v>
      </c>
      <c r="E8">
        <v>1802</v>
      </c>
      <c r="F8">
        <v>150</v>
      </c>
      <c r="G8">
        <v>1</v>
      </c>
      <c r="H8">
        <v>253</v>
      </c>
      <c r="I8">
        <v>2147</v>
      </c>
    </row>
    <row r="9" spans="2:9" x14ac:dyDescent="0.35">
      <c r="B9" s="388" t="s">
        <v>1154</v>
      </c>
      <c r="C9">
        <v>25</v>
      </c>
      <c r="D9">
        <v>26</v>
      </c>
      <c r="E9">
        <v>235</v>
      </c>
      <c r="F9">
        <v>15</v>
      </c>
      <c r="G9">
        <v>2</v>
      </c>
      <c r="H9">
        <v>17</v>
      </c>
      <c r="I9">
        <v>303</v>
      </c>
    </row>
    <row r="10" spans="2:9" x14ac:dyDescent="0.35">
      <c r="B10" s="388" t="s">
        <v>1155</v>
      </c>
      <c r="C10">
        <v>5</v>
      </c>
      <c r="D10">
        <v>4</v>
      </c>
      <c r="E10">
        <v>33</v>
      </c>
      <c r="F10">
        <v>12</v>
      </c>
      <c r="G10">
        <v>2</v>
      </c>
      <c r="H10">
        <v>3</v>
      </c>
      <c r="I10">
        <v>56</v>
      </c>
    </row>
    <row r="11" spans="2:9" x14ac:dyDescent="0.35">
      <c r="B11" s="388" t="s">
        <v>1156</v>
      </c>
      <c r="C11">
        <v>1</v>
      </c>
      <c r="D11">
        <v>115</v>
      </c>
      <c r="E11">
        <v>676</v>
      </c>
      <c r="F11">
        <v>134</v>
      </c>
      <c r="G11">
        <v>14</v>
      </c>
      <c r="H11">
        <v>60</v>
      </c>
      <c r="I11">
        <v>940</v>
      </c>
    </row>
    <row r="12" spans="2:9" x14ac:dyDescent="0.35">
      <c r="B12" s="388" t="s">
        <v>1157</v>
      </c>
      <c r="C12">
        <v>2</v>
      </c>
      <c r="D12">
        <v>103</v>
      </c>
      <c r="E12">
        <v>124</v>
      </c>
      <c r="F12">
        <v>59</v>
      </c>
      <c r="G12">
        <v>2</v>
      </c>
      <c r="H12">
        <v>23</v>
      </c>
      <c r="I12">
        <v>290</v>
      </c>
    </row>
    <row r="13" spans="2:9" x14ac:dyDescent="0.35">
      <c r="B13" s="388" t="s">
        <v>1158</v>
      </c>
      <c r="C13">
        <v>6</v>
      </c>
      <c r="D13">
        <v>24</v>
      </c>
      <c r="E13">
        <v>88</v>
      </c>
      <c r="F13">
        <v>74</v>
      </c>
      <c r="G13">
        <v>3</v>
      </c>
      <c r="H13">
        <v>17</v>
      </c>
      <c r="I13">
        <v>195</v>
      </c>
    </row>
    <row r="14" spans="2:9" x14ac:dyDescent="0.35">
      <c r="B14" s="388" t="s">
        <v>1159</v>
      </c>
      <c r="C14">
        <v>8</v>
      </c>
      <c r="D14">
        <v>15</v>
      </c>
      <c r="E14">
        <v>126</v>
      </c>
      <c r="F14">
        <v>42</v>
      </c>
      <c r="G14">
        <v>1</v>
      </c>
      <c r="H14">
        <v>17</v>
      </c>
      <c r="I14">
        <v>192</v>
      </c>
    </row>
    <row r="15" spans="2:9" x14ac:dyDescent="0.35">
      <c r="B15" s="388" t="s">
        <v>1160</v>
      </c>
      <c r="C15">
        <v>6</v>
      </c>
      <c r="D15">
        <v>574</v>
      </c>
      <c r="E15">
        <v>816</v>
      </c>
      <c r="F15">
        <v>78</v>
      </c>
      <c r="G15">
        <v>0</v>
      </c>
      <c r="H15">
        <v>98</v>
      </c>
    </row>
    <row r="16" spans="2:9" x14ac:dyDescent="0.35">
      <c r="B16" s="388" t="s">
        <v>1161</v>
      </c>
      <c r="C16">
        <v>0</v>
      </c>
      <c r="D16">
        <v>38</v>
      </c>
      <c r="E16">
        <v>28</v>
      </c>
      <c r="F16">
        <v>46</v>
      </c>
      <c r="G16">
        <v>9</v>
      </c>
      <c r="H16">
        <v>8</v>
      </c>
    </row>
    <row r="17" spans="2:9" x14ac:dyDescent="0.35">
      <c r="B17" s="388" t="s">
        <v>1162</v>
      </c>
      <c r="C17">
        <v>1</v>
      </c>
      <c r="D17">
        <v>1</v>
      </c>
      <c r="E17">
        <v>22</v>
      </c>
      <c r="F17">
        <v>12</v>
      </c>
      <c r="G17">
        <v>0</v>
      </c>
      <c r="H17">
        <v>1</v>
      </c>
    </row>
    <row r="18" spans="2:9" x14ac:dyDescent="0.35">
      <c r="B18" s="388" t="s">
        <v>1163</v>
      </c>
      <c r="C18">
        <v>32</v>
      </c>
      <c r="D18">
        <v>45</v>
      </c>
      <c r="E18">
        <v>184</v>
      </c>
      <c r="F18">
        <v>26</v>
      </c>
      <c r="G18">
        <v>1</v>
      </c>
      <c r="H18">
        <v>6</v>
      </c>
      <c r="I18">
        <v>288</v>
      </c>
    </row>
    <row r="19" spans="2:9" x14ac:dyDescent="0.35">
      <c r="B19" s="388" t="s">
        <v>1164</v>
      </c>
      <c r="C19">
        <v>48</v>
      </c>
      <c r="D19">
        <v>76</v>
      </c>
      <c r="E19">
        <v>124</v>
      </c>
      <c r="F19">
        <v>51</v>
      </c>
      <c r="G19">
        <v>1</v>
      </c>
      <c r="H19">
        <v>49</v>
      </c>
      <c r="I19">
        <v>300</v>
      </c>
    </row>
    <row r="20" spans="2:9" x14ac:dyDescent="0.35">
      <c r="B20" s="388" t="s">
        <v>357</v>
      </c>
      <c r="C20">
        <v>294</v>
      </c>
      <c r="D20">
        <v>1926</v>
      </c>
      <c r="E20">
        <v>4901</v>
      </c>
      <c r="F20">
        <v>910</v>
      </c>
      <c r="G20">
        <v>46</v>
      </c>
      <c r="H20">
        <v>691</v>
      </c>
      <c r="I20">
        <v>6426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theme="3" tint="0.39997558519241921"/>
  </sheetPr>
  <dimension ref="B4:K169"/>
  <sheetViews>
    <sheetView topLeftCell="A139" workbookViewId="0">
      <selection activeCell="B4" sqref="B4:K169"/>
    </sheetView>
  </sheetViews>
  <sheetFormatPr defaultRowHeight="14.5" x14ac:dyDescent="0.35"/>
  <cols>
    <col min="2" max="2" width="7.453125" bestFit="1" customWidth="1"/>
    <col min="3" max="3" width="7.1796875" bestFit="1" customWidth="1"/>
    <col min="4" max="4" width="28.453125" bestFit="1" customWidth="1"/>
    <col min="5" max="5" width="5.26953125" bestFit="1" customWidth="1"/>
    <col min="6" max="6" width="4.1796875" bestFit="1" customWidth="1"/>
    <col min="7" max="7" width="5" bestFit="1" customWidth="1"/>
    <col min="8" max="8" width="4.453125" bestFit="1" customWidth="1"/>
    <col min="9" max="9" width="5.7265625" bestFit="1" customWidth="1"/>
    <col min="10" max="10" width="12.54296875" bestFit="1" customWidth="1"/>
    <col min="11" max="11" width="7.453125" bestFit="1" customWidth="1"/>
  </cols>
  <sheetData>
    <row r="4" spans="2:11" x14ac:dyDescent="0.35">
      <c r="B4" t="s">
        <v>207</v>
      </c>
      <c r="C4" t="s">
        <v>1165</v>
      </c>
      <c r="D4" t="s">
        <v>1166</v>
      </c>
      <c r="E4" t="s">
        <v>1276</v>
      </c>
      <c r="F4" t="s">
        <v>1181</v>
      </c>
      <c r="G4" t="s">
        <v>1182</v>
      </c>
      <c r="H4" t="s">
        <v>1179</v>
      </c>
      <c r="I4" t="s">
        <v>1277</v>
      </c>
      <c r="J4" t="s">
        <v>856</v>
      </c>
      <c r="K4" t="s">
        <v>340</v>
      </c>
    </row>
    <row r="5" spans="2:11" x14ac:dyDescent="0.35">
      <c r="B5" t="s">
        <v>365</v>
      </c>
      <c r="C5" t="s">
        <v>1179</v>
      </c>
      <c r="D5" t="s">
        <v>1160</v>
      </c>
      <c r="E5">
        <v>7</v>
      </c>
      <c r="F5">
        <v>86</v>
      </c>
      <c r="G5">
        <v>137</v>
      </c>
      <c r="H5">
        <v>20</v>
      </c>
      <c r="I5">
        <v>1</v>
      </c>
      <c r="K5">
        <v>251</v>
      </c>
    </row>
    <row r="6" spans="2:11" x14ac:dyDescent="0.35">
      <c r="B6" t="s">
        <v>366</v>
      </c>
      <c r="C6" t="s">
        <v>1176</v>
      </c>
      <c r="D6" t="s">
        <v>1154</v>
      </c>
      <c r="E6">
        <v>9</v>
      </c>
      <c r="F6">
        <v>24</v>
      </c>
      <c r="G6">
        <v>255</v>
      </c>
      <c r="H6">
        <v>118</v>
      </c>
      <c r="I6">
        <v>45</v>
      </c>
      <c r="K6">
        <v>451</v>
      </c>
    </row>
    <row r="7" spans="2:11" x14ac:dyDescent="0.35">
      <c r="B7" t="s">
        <v>366</v>
      </c>
      <c r="C7" t="s">
        <v>1175</v>
      </c>
      <c r="D7" t="s">
        <v>1152</v>
      </c>
      <c r="E7">
        <v>0</v>
      </c>
      <c r="F7">
        <v>0</v>
      </c>
      <c r="G7">
        <v>21</v>
      </c>
      <c r="H7">
        <v>15</v>
      </c>
      <c r="I7">
        <v>0</v>
      </c>
      <c r="K7">
        <v>36</v>
      </c>
    </row>
    <row r="8" spans="2:11" x14ac:dyDescent="0.35">
      <c r="B8" t="s">
        <v>341</v>
      </c>
      <c r="C8" t="s">
        <v>1171</v>
      </c>
      <c r="D8" t="s">
        <v>1150</v>
      </c>
      <c r="E8">
        <v>67</v>
      </c>
      <c r="F8">
        <v>638</v>
      </c>
      <c r="G8">
        <v>783</v>
      </c>
      <c r="H8">
        <v>219</v>
      </c>
      <c r="I8">
        <v>12</v>
      </c>
      <c r="K8">
        <v>1719</v>
      </c>
    </row>
    <row r="9" spans="2:11" x14ac:dyDescent="0.35">
      <c r="B9" t="s">
        <v>342</v>
      </c>
      <c r="C9" t="s">
        <v>1171</v>
      </c>
      <c r="D9" t="s">
        <v>1150</v>
      </c>
      <c r="E9">
        <v>72</v>
      </c>
      <c r="F9">
        <v>580</v>
      </c>
      <c r="G9">
        <v>791</v>
      </c>
      <c r="H9">
        <v>201</v>
      </c>
      <c r="I9">
        <v>9</v>
      </c>
      <c r="K9">
        <v>1653</v>
      </c>
    </row>
    <row r="10" spans="2:11" x14ac:dyDescent="0.35">
      <c r="B10" t="s">
        <v>342</v>
      </c>
      <c r="C10" t="s">
        <v>1179</v>
      </c>
      <c r="D10" t="s">
        <v>1160</v>
      </c>
      <c r="E10">
        <v>1</v>
      </c>
      <c r="F10">
        <v>81</v>
      </c>
      <c r="G10">
        <v>273</v>
      </c>
      <c r="H10">
        <v>53</v>
      </c>
      <c r="I10">
        <v>0</v>
      </c>
      <c r="K10">
        <v>408</v>
      </c>
    </row>
    <row r="11" spans="2:11" x14ac:dyDescent="0.35">
      <c r="B11" t="s">
        <v>313</v>
      </c>
      <c r="C11" t="s">
        <v>1176</v>
      </c>
      <c r="D11" t="s">
        <v>1154</v>
      </c>
      <c r="E11">
        <v>11</v>
      </c>
      <c r="F11">
        <v>19</v>
      </c>
      <c r="G11">
        <v>239</v>
      </c>
      <c r="H11">
        <v>27</v>
      </c>
      <c r="I11">
        <v>2</v>
      </c>
      <c r="K11">
        <v>298</v>
      </c>
    </row>
    <row r="12" spans="2:11" x14ac:dyDescent="0.35">
      <c r="B12" t="s">
        <v>313</v>
      </c>
      <c r="C12" t="s">
        <v>1174</v>
      </c>
      <c r="D12" t="s">
        <v>1164</v>
      </c>
      <c r="E12">
        <v>61</v>
      </c>
      <c r="F12">
        <v>72</v>
      </c>
      <c r="G12">
        <v>179</v>
      </c>
      <c r="H12">
        <v>46</v>
      </c>
      <c r="I12">
        <v>0</v>
      </c>
    </row>
    <row r="13" spans="2:11" x14ac:dyDescent="0.35">
      <c r="B13" t="s">
        <v>321</v>
      </c>
      <c r="C13" t="s">
        <v>1175</v>
      </c>
      <c r="D13" t="s">
        <v>1152</v>
      </c>
      <c r="E13">
        <v>0</v>
      </c>
      <c r="F13">
        <v>3</v>
      </c>
      <c r="G13">
        <v>6</v>
      </c>
      <c r="H13">
        <v>1</v>
      </c>
      <c r="I13">
        <v>0</v>
      </c>
      <c r="J13">
        <v>0</v>
      </c>
    </row>
    <row r="14" spans="2:11" x14ac:dyDescent="0.35">
      <c r="B14" t="s">
        <v>321</v>
      </c>
      <c r="C14" t="s">
        <v>1181</v>
      </c>
      <c r="D14" t="s">
        <v>1157</v>
      </c>
      <c r="E14">
        <v>3</v>
      </c>
      <c r="F14">
        <v>18</v>
      </c>
      <c r="G14">
        <v>65</v>
      </c>
      <c r="H14">
        <v>40</v>
      </c>
      <c r="I14">
        <v>3</v>
      </c>
      <c r="J14">
        <v>3</v>
      </c>
      <c r="K14">
        <v>129</v>
      </c>
    </row>
    <row r="15" spans="2:11" x14ac:dyDescent="0.35">
      <c r="B15" t="s">
        <v>321</v>
      </c>
      <c r="C15" t="s">
        <v>1172</v>
      </c>
      <c r="D15" t="s">
        <v>1159</v>
      </c>
      <c r="E15">
        <v>6</v>
      </c>
      <c r="F15">
        <v>10</v>
      </c>
      <c r="G15">
        <v>123</v>
      </c>
      <c r="H15">
        <v>33</v>
      </c>
      <c r="I15">
        <v>1</v>
      </c>
      <c r="J15">
        <v>3</v>
      </c>
      <c r="K15">
        <v>173</v>
      </c>
    </row>
    <row r="16" spans="2:11" x14ac:dyDescent="0.35">
      <c r="B16" t="s">
        <v>326</v>
      </c>
      <c r="C16" t="s">
        <v>1176</v>
      </c>
      <c r="D16" t="s">
        <v>1154</v>
      </c>
      <c r="E16">
        <v>17</v>
      </c>
      <c r="F16">
        <v>24</v>
      </c>
      <c r="G16">
        <v>224</v>
      </c>
      <c r="H16">
        <v>16</v>
      </c>
      <c r="I16">
        <v>4</v>
      </c>
      <c r="J16">
        <v>3</v>
      </c>
      <c r="K16">
        <v>285</v>
      </c>
    </row>
    <row r="17" spans="2:11" x14ac:dyDescent="0.35">
      <c r="B17" t="s">
        <v>326</v>
      </c>
      <c r="C17" t="s">
        <v>1182</v>
      </c>
      <c r="D17" t="s">
        <v>1163</v>
      </c>
      <c r="E17">
        <v>25</v>
      </c>
      <c r="F17">
        <v>40</v>
      </c>
      <c r="G17">
        <v>116</v>
      </c>
      <c r="H17">
        <v>34</v>
      </c>
      <c r="I17">
        <v>1</v>
      </c>
      <c r="J17">
        <v>3</v>
      </c>
      <c r="K17">
        <v>216</v>
      </c>
    </row>
    <row r="18" spans="2:11" x14ac:dyDescent="0.35">
      <c r="B18" t="s">
        <v>327</v>
      </c>
      <c r="C18" t="s">
        <v>1182</v>
      </c>
      <c r="D18" t="s">
        <v>1163</v>
      </c>
      <c r="E18">
        <v>18</v>
      </c>
      <c r="F18">
        <v>26</v>
      </c>
      <c r="G18">
        <v>93</v>
      </c>
      <c r="H18">
        <v>18</v>
      </c>
      <c r="I18">
        <v>1</v>
      </c>
      <c r="J18">
        <v>3</v>
      </c>
      <c r="K18">
        <v>156</v>
      </c>
    </row>
    <row r="19" spans="2:11" x14ac:dyDescent="0.35">
      <c r="B19" t="s">
        <v>327</v>
      </c>
      <c r="C19" t="s">
        <v>1172</v>
      </c>
      <c r="D19" t="s">
        <v>1159</v>
      </c>
      <c r="E19">
        <v>10</v>
      </c>
      <c r="F19">
        <v>13</v>
      </c>
      <c r="G19">
        <v>119</v>
      </c>
      <c r="H19">
        <v>26</v>
      </c>
      <c r="I19">
        <v>0</v>
      </c>
      <c r="J19">
        <v>4</v>
      </c>
    </row>
    <row r="20" spans="2:11" x14ac:dyDescent="0.35">
      <c r="B20" t="s">
        <v>327</v>
      </c>
      <c r="C20" t="s">
        <v>1168</v>
      </c>
      <c r="D20" t="s">
        <v>1161</v>
      </c>
      <c r="E20">
        <v>0</v>
      </c>
      <c r="F20">
        <v>49</v>
      </c>
      <c r="G20">
        <v>48</v>
      </c>
      <c r="H20">
        <v>56</v>
      </c>
      <c r="I20">
        <v>12</v>
      </c>
      <c r="J20">
        <v>4</v>
      </c>
    </row>
    <row r="21" spans="2:11" x14ac:dyDescent="0.35">
      <c r="B21" t="s">
        <v>466</v>
      </c>
      <c r="C21" t="s">
        <v>1176</v>
      </c>
      <c r="D21" t="s">
        <v>1154</v>
      </c>
      <c r="E21">
        <v>25</v>
      </c>
      <c r="F21">
        <v>26</v>
      </c>
      <c r="G21">
        <v>235</v>
      </c>
      <c r="H21">
        <v>15</v>
      </c>
      <c r="I21">
        <v>2</v>
      </c>
      <c r="J21">
        <v>17</v>
      </c>
      <c r="K21">
        <v>303</v>
      </c>
    </row>
    <row r="22" spans="2:11" x14ac:dyDescent="0.35">
      <c r="B22" t="s">
        <v>466</v>
      </c>
      <c r="C22" t="s">
        <v>1179</v>
      </c>
      <c r="D22" t="s">
        <v>1160</v>
      </c>
      <c r="E22">
        <v>6</v>
      </c>
      <c r="F22">
        <v>574</v>
      </c>
      <c r="G22">
        <v>816</v>
      </c>
      <c r="H22">
        <v>78</v>
      </c>
      <c r="I22">
        <v>0</v>
      </c>
      <c r="J22">
        <v>98</v>
      </c>
    </row>
    <row r="23" spans="2:11" x14ac:dyDescent="0.35">
      <c r="B23" t="s">
        <v>466</v>
      </c>
      <c r="C23" t="s">
        <v>1173</v>
      </c>
      <c r="D23" t="s">
        <v>1162</v>
      </c>
      <c r="E23">
        <v>1</v>
      </c>
      <c r="F23">
        <v>1</v>
      </c>
      <c r="G23">
        <v>22</v>
      </c>
      <c r="H23">
        <v>12</v>
      </c>
      <c r="I23">
        <v>0</v>
      </c>
      <c r="J23">
        <v>1</v>
      </c>
    </row>
    <row r="24" spans="2:11" x14ac:dyDescent="0.35">
      <c r="B24" t="s">
        <v>466</v>
      </c>
      <c r="C24" t="s">
        <v>1174</v>
      </c>
      <c r="D24" t="s">
        <v>1164</v>
      </c>
      <c r="E24">
        <v>48</v>
      </c>
      <c r="F24">
        <v>76</v>
      </c>
      <c r="G24">
        <v>124</v>
      </c>
      <c r="H24">
        <v>51</v>
      </c>
      <c r="I24">
        <v>1</v>
      </c>
      <c r="J24">
        <v>49</v>
      </c>
      <c r="K24">
        <v>300</v>
      </c>
    </row>
    <row r="25" spans="2:11" x14ac:dyDescent="0.35">
      <c r="B25" t="s">
        <v>365</v>
      </c>
      <c r="C25" t="s">
        <v>1181</v>
      </c>
      <c r="D25" t="s">
        <v>1157</v>
      </c>
      <c r="E25">
        <v>14</v>
      </c>
      <c r="F25">
        <v>165</v>
      </c>
      <c r="G25">
        <v>331</v>
      </c>
      <c r="H25">
        <v>83</v>
      </c>
      <c r="I25">
        <v>3</v>
      </c>
      <c r="K25">
        <v>596</v>
      </c>
    </row>
    <row r="26" spans="2:11" x14ac:dyDescent="0.35">
      <c r="B26" t="s">
        <v>365</v>
      </c>
      <c r="C26" t="s">
        <v>1168</v>
      </c>
      <c r="D26" t="s">
        <v>1161</v>
      </c>
      <c r="E26">
        <v>0</v>
      </c>
      <c r="F26">
        <v>10</v>
      </c>
      <c r="G26">
        <v>127</v>
      </c>
      <c r="H26">
        <v>32</v>
      </c>
      <c r="I26">
        <v>5</v>
      </c>
      <c r="K26">
        <v>174</v>
      </c>
    </row>
    <row r="27" spans="2:11" x14ac:dyDescent="0.35">
      <c r="B27" t="s">
        <v>366</v>
      </c>
      <c r="C27" t="s">
        <v>1174</v>
      </c>
      <c r="D27" t="s">
        <v>1164</v>
      </c>
      <c r="E27">
        <v>36</v>
      </c>
      <c r="F27">
        <v>197</v>
      </c>
      <c r="G27">
        <v>228</v>
      </c>
      <c r="H27">
        <v>172</v>
      </c>
      <c r="I27">
        <v>6</v>
      </c>
      <c r="K27">
        <v>639</v>
      </c>
    </row>
    <row r="28" spans="2:11" x14ac:dyDescent="0.35">
      <c r="B28" t="s">
        <v>366</v>
      </c>
      <c r="C28" t="s">
        <v>1168</v>
      </c>
      <c r="D28" t="s">
        <v>1161</v>
      </c>
      <c r="E28">
        <v>0</v>
      </c>
      <c r="F28">
        <v>39</v>
      </c>
      <c r="G28">
        <v>128</v>
      </c>
      <c r="H28">
        <v>26</v>
      </c>
      <c r="I28">
        <v>5</v>
      </c>
      <c r="K28">
        <v>198</v>
      </c>
    </row>
    <row r="29" spans="2:11" x14ac:dyDescent="0.35">
      <c r="B29" t="s">
        <v>342</v>
      </c>
      <c r="C29" t="s">
        <v>1178</v>
      </c>
      <c r="D29" t="s">
        <v>1158</v>
      </c>
      <c r="E29">
        <v>4</v>
      </c>
      <c r="F29">
        <v>18</v>
      </c>
      <c r="G29">
        <v>140</v>
      </c>
      <c r="H29">
        <v>55</v>
      </c>
      <c r="I29">
        <v>3</v>
      </c>
      <c r="K29">
        <v>220</v>
      </c>
    </row>
    <row r="30" spans="2:11" x14ac:dyDescent="0.35">
      <c r="B30" t="s">
        <v>214</v>
      </c>
      <c r="C30" t="s">
        <v>1179</v>
      </c>
      <c r="D30" t="s">
        <v>1160</v>
      </c>
      <c r="E30">
        <v>4</v>
      </c>
      <c r="F30">
        <v>92</v>
      </c>
      <c r="G30">
        <v>199</v>
      </c>
      <c r="H30">
        <v>28</v>
      </c>
      <c r="I30">
        <v>0</v>
      </c>
      <c r="K30">
        <v>323</v>
      </c>
    </row>
    <row r="31" spans="2:11" x14ac:dyDescent="0.35">
      <c r="B31" t="s">
        <v>214</v>
      </c>
      <c r="C31" t="s">
        <v>1173</v>
      </c>
      <c r="D31" t="s">
        <v>1162</v>
      </c>
      <c r="E31">
        <v>1</v>
      </c>
      <c r="F31">
        <v>2</v>
      </c>
      <c r="G31">
        <v>43</v>
      </c>
      <c r="H31">
        <v>14</v>
      </c>
      <c r="I31">
        <v>0</v>
      </c>
      <c r="K31">
        <v>60</v>
      </c>
    </row>
    <row r="32" spans="2:11" x14ac:dyDescent="0.35">
      <c r="B32" t="s">
        <v>313</v>
      </c>
      <c r="C32" t="s">
        <v>1173</v>
      </c>
      <c r="D32" t="s">
        <v>1162</v>
      </c>
      <c r="E32">
        <v>0</v>
      </c>
      <c r="F32">
        <v>3</v>
      </c>
      <c r="G32">
        <v>24</v>
      </c>
      <c r="H32">
        <v>12</v>
      </c>
      <c r="I32">
        <v>0</v>
      </c>
    </row>
    <row r="33" spans="2:11" x14ac:dyDescent="0.35">
      <c r="B33" t="s">
        <v>319</v>
      </c>
      <c r="C33" t="s">
        <v>1174</v>
      </c>
      <c r="D33" t="s">
        <v>1164</v>
      </c>
      <c r="E33">
        <v>14</v>
      </c>
      <c r="F33">
        <v>48</v>
      </c>
      <c r="G33">
        <v>44</v>
      </c>
      <c r="H33">
        <v>15</v>
      </c>
      <c r="I33">
        <v>1</v>
      </c>
      <c r="J33">
        <v>4</v>
      </c>
      <c r="K33">
        <v>122</v>
      </c>
    </row>
    <row r="34" spans="2:11" x14ac:dyDescent="0.35">
      <c r="B34" t="s">
        <v>319</v>
      </c>
      <c r="C34" t="s">
        <v>1169</v>
      </c>
      <c r="D34" t="s">
        <v>1151</v>
      </c>
      <c r="E34">
        <v>1</v>
      </c>
      <c r="F34">
        <v>17</v>
      </c>
      <c r="G34">
        <v>45</v>
      </c>
      <c r="H34">
        <v>21</v>
      </c>
      <c r="I34">
        <v>0</v>
      </c>
      <c r="J34">
        <v>2</v>
      </c>
    </row>
    <row r="35" spans="2:11" x14ac:dyDescent="0.35">
      <c r="B35" t="s">
        <v>321</v>
      </c>
      <c r="C35" t="s">
        <v>1177</v>
      </c>
      <c r="D35" t="s">
        <v>1153</v>
      </c>
      <c r="E35">
        <v>150</v>
      </c>
      <c r="F35">
        <v>163</v>
      </c>
      <c r="G35">
        <v>1567</v>
      </c>
      <c r="H35">
        <v>87</v>
      </c>
      <c r="I35">
        <v>2</v>
      </c>
      <c r="J35">
        <v>15</v>
      </c>
      <c r="K35">
        <v>1969</v>
      </c>
    </row>
    <row r="36" spans="2:11" x14ac:dyDescent="0.35">
      <c r="B36" t="s">
        <v>321</v>
      </c>
      <c r="C36" t="s">
        <v>1180</v>
      </c>
      <c r="D36" t="s">
        <v>1155</v>
      </c>
      <c r="E36">
        <v>2</v>
      </c>
      <c r="F36">
        <v>5</v>
      </c>
      <c r="G36">
        <v>11</v>
      </c>
      <c r="H36">
        <v>6</v>
      </c>
      <c r="I36">
        <v>0</v>
      </c>
      <c r="J36">
        <v>0</v>
      </c>
    </row>
    <row r="37" spans="2:11" x14ac:dyDescent="0.35">
      <c r="B37" t="s">
        <v>327</v>
      </c>
      <c r="C37" t="s">
        <v>1171</v>
      </c>
      <c r="D37" t="s">
        <v>1150</v>
      </c>
      <c r="E37">
        <v>130</v>
      </c>
      <c r="F37">
        <v>722</v>
      </c>
      <c r="G37">
        <v>549</v>
      </c>
      <c r="H37">
        <v>192</v>
      </c>
      <c r="I37">
        <v>12</v>
      </c>
      <c r="J37">
        <v>5</v>
      </c>
      <c r="K37">
        <v>1605</v>
      </c>
    </row>
    <row r="38" spans="2:11" x14ac:dyDescent="0.35">
      <c r="B38" t="s">
        <v>327</v>
      </c>
      <c r="C38" t="s">
        <v>1174</v>
      </c>
      <c r="D38" t="s">
        <v>1164</v>
      </c>
      <c r="E38">
        <v>37</v>
      </c>
      <c r="F38">
        <v>69</v>
      </c>
      <c r="G38">
        <v>136</v>
      </c>
      <c r="H38">
        <v>51</v>
      </c>
      <c r="I38">
        <v>3</v>
      </c>
      <c r="J38">
        <v>5</v>
      </c>
      <c r="K38">
        <v>296</v>
      </c>
    </row>
    <row r="39" spans="2:11" x14ac:dyDescent="0.35">
      <c r="B39" t="s">
        <v>466</v>
      </c>
      <c r="C39" t="s">
        <v>1177</v>
      </c>
      <c r="D39" t="s">
        <v>1153</v>
      </c>
      <c r="E39">
        <v>45</v>
      </c>
      <c r="F39">
        <v>149</v>
      </c>
      <c r="G39">
        <v>1802</v>
      </c>
      <c r="H39">
        <v>150</v>
      </c>
      <c r="I39">
        <v>1</v>
      </c>
      <c r="J39">
        <v>253</v>
      </c>
      <c r="K39">
        <v>2147</v>
      </c>
    </row>
    <row r="40" spans="2:11" x14ac:dyDescent="0.35">
      <c r="B40" t="s">
        <v>466</v>
      </c>
      <c r="C40" t="s">
        <v>1180</v>
      </c>
      <c r="D40" t="s">
        <v>1155</v>
      </c>
      <c r="E40">
        <v>5</v>
      </c>
      <c r="F40">
        <v>4</v>
      </c>
      <c r="G40">
        <v>33</v>
      </c>
      <c r="H40">
        <v>12</v>
      </c>
      <c r="I40">
        <v>2</v>
      </c>
      <c r="J40">
        <v>3</v>
      </c>
      <c r="K40">
        <v>56</v>
      </c>
    </row>
    <row r="41" spans="2:11" x14ac:dyDescent="0.35">
      <c r="B41" t="s">
        <v>466</v>
      </c>
      <c r="C41" t="s">
        <v>1168</v>
      </c>
      <c r="D41" t="s">
        <v>1161</v>
      </c>
      <c r="E41">
        <v>0</v>
      </c>
      <c r="F41">
        <v>38</v>
      </c>
      <c r="G41">
        <v>28</v>
      </c>
      <c r="H41">
        <v>46</v>
      </c>
      <c r="I41">
        <v>9</v>
      </c>
      <c r="J41">
        <v>8</v>
      </c>
    </row>
    <row r="42" spans="2:11" x14ac:dyDescent="0.35">
      <c r="B42" t="s">
        <v>365</v>
      </c>
      <c r="C42" t="s">
        <v>1177</v>
      </c>
      <c r="D42" t="s">
        <v>1153</v>
      </c>
      <c r="E42">
        <v>45</v>
      </c>
      <c r="F42">
        <v>247</v>
      </c>
      <c r="G42">
        <v>1599</v>
      </c>
      <c r="H42">
        <v>55</v>
      </c>
      <c r="I42">
        <v>1</v>
      </c>
      <c r="K42">
        <v>1947</v>
      </c>
    </row>
    <row r="43" spans="2:11" x14ac:dyDescent="0.35">
      <c r="B43" t="s">
        <v>365</v>
      </c>
      <c r="C43" t="s">
        <v>1173</v>
      </c>
      <c r="D43" t="s">
        <v>1162</v>
      </c>
      <c r="E43">
        <v>2</v>
      </c>
      <c r="F43">
        <v>2</v>
      </c>
      <c r="G43">
        <v>27</v>
      </c>
      <c r="H43">
        <v>37</v>
      </c>
      <c r="I43">
        <v>0</v>
      </c>
      <c r="K43">
        <v>68</v>
      </c>
    </row>
    <row r="44" spans="2:11" x14ac:dyDescent="0.35">
      <c r="B44" t="s">
        <v>365</v>
      </c>
      <c r="C44" t="s">
        <v>1172</v>
      </c>
      <c r="D44" t="s">
        <v>1159</v>
      </c>
      <c r="E44">
        <v>3</v>
      </c>
      <c r="F44">
        <v>13</v>
      </c>
      <c r="G44">
        <v>170</v>
      </c>
      <c r="H44">
        <v>165</v>
      </c>
      <c r="I44">
        <v>5</v>
      </c>
      <c r="K44">
        <v>356</v>
      </c>
    </row>
    <row r="45" spans="2:11" x14ac:dyDescent="0.35">
      <c r="B45" t="s">
        <v>365</v>
      </c>
      <c r="C45" t="s">
        <v>1178</v>
      </c>
      <c r="D45" t="s">
        <v>1158</v>
      </c>
      <c r="E45">
        <v>17</v>
      </c>
      <c r="F45">
        <v>49</v>
      </c>
      <c r="G45">
        <v>209</v>
      </c>
      <c r="H45">
        <v>68</v>
      </c>
      <c r="I45">
        <v>1</v>
      </c>
      <c r="K45">
        <v>344</v>
      </c>
    </row>
    <row r="46" spans="2:11" x14ac:dyDescent="0.35">
      <c r="B46" t="s">
        <v>366</v>
      </c>
      <c r="C46" t="s">
        <v>1180</v>
      </c>
      <c r="D46" t="s">
        <v>1155</v>
      </c>
      <c r="E46">
        <v>1</v>
      </c>
      <c r="F46">
        <v>5</v>
      </c>
      <c r="G46">
        <v>49</v>
      </c>
      <c r="H46">
        <v>43</v>
      </c>
      <c r="I46">
        <v>21</v>
      </c>
      <c r="K46">
        <v>119</v>
      </c>
    </row>
    <row r="47" spans="2:11" x14ac:dyDescent="0.35">
      <c r="B47" t="s">
        <v>366</v>
      </c>
      <c r="C47" t="s">
        <v>1179</v>
      </c>
      <c r="D47" t="s">
        <v>1160</v>
      </c>
      <c r="E47">
        <v>29</v>
      </c>
      <c r="F47">
        <v>82</v>
      </c>
      <c r="G47">
        <v>198</v>
      </c>
      <c r="H47">
        <v>41</v>
      </c>
      <c r="I47">
        <v>1</v>
      </c>
      <c r="K47">
        <v>351</v>
      </c>
    </row>
    <row r="48" spans="2:11" x14ac:dyDescent="0.35">
      <c r="B48" t="s">
        <v>341</v>
      </c>
      <c r="C48" t="s">
        <v>1174</v>
      </c>
      <c r="D48" t="s">
        <v>1164</v>
      </c>
      <c r="E48">
        <v>77</v>
      </c>
      <c r="F48">
        <v>46</v>
      </c>
      <c r="G48">
        <v>346</v>
      </c>
      <c r="H48">
        <v>52</v>
      </c>
      <c r="I48">
        <v>2</v>
      </c>
      <c r="K48">
        <v>523</v>
      </c>
    </row>
    <row r="49" spans="2:11" x14ac:dyDescent="0.35">
      <c r="B49" t="s">
        <v>341</v>
      </c>
      <c r="C49" t="s">
        <v>1172</v>
      </c>
      <c r="D49" t="s">
        <v>1159</v>
      </c>
      <c r="E49">
        <v>6</v>
      </c>
      <c r="F49">
        <v>8</v>
      </c>
      <c r="G49">
        <v>160</v>
      </c>
      <c r="H49">
        <v>59</v>
      </c>
      <c r="I49">
        <v>2</v>
      </c>
      <c r="K49">
        <v>235</v>
      </c>
    </row>
    <row r="50" spans="2:11" x14ac:dyDescent="0.35">
      <c r="B50" t="s">
        <v>342</v>
      </c>
      <c r="C50" t="s">
        <v>1169</v>
      </c>
      <c r="D50" t="s">
        <v>1151</v>
      </c>
      <c r="E50">
        <v>2</v>
      </c>
      <c r="F50">
        <v>32</v>
      </c>
      <c r="G50">
        <v>150</v>
      </c>
      <c r="H50">
        <v>44</v>
      </c>
      <c r="I50">
        <v>0</v>
      </c>
      <c r="K50">
        <v>228</v>
      </c>
    </row>
    <row r="51" spans="2:11" x14ac:dyDescent="0.35">
      <c r="B51" t="s">
        <v>342</v>
      </c>
      <c r="C51" t="s">
        <v>1168</v>
      </c>
      <c r="D51" t="s">
        <v>1161</v>
      </c>
      <c r="E51">
        <v>1</v>
      </c>
      <c r="F51">
        <v>19</v>
      </c>
      <c r="G51">
        <v>72</v>
      </c>
      <c r="H51">
        <v>17</v>
      </c>
      <c r="I51">
        <v>4</v>
      </c>
      <c r="K51">
        <v>113</v>
      </c>
    </row>
    <row r="52" spans="2:11" x14ac:dyDescent="0.35">
      <c r="B52" t="s">
        <v>214</v>
      </c>
      <c r="C52" t="s">
        <v>1172</v>
      </c>
      <c r="D52" t="s">
        <v>1159</v>
      </c>
      <c r="E52">
        <v>2</v>
      </c>
      <c r="F52">
        <v>20</v>
      </c>
      <c r="G52">
        <v>196</v>
      </c>
      <c r="H52">
        <v>59</v>
      </c>
      <c r="I52">
        <v>6</v>
      </c>
      <c r="K52">
        <v>283</v>
      </c>
    </row>
    <row r="53" spans="2:11" x14ac:dyDescent="0.35">
      <c r="B53" t="s">
        <v>214</v>
      </c>
      <c r="C53" t="s">
        <v>1178</v>
      </c>
      <c r="D53" t="s">
        <v>1158</v>
      </c>
      <c r="E53">
        <v>2</v>
      </c>
      <c r="F53">
        <v>29</v>
      </c>
      <c r="G53">
        <v>170</v>
      </c>
      <c r="H53">
        <v>62</v>
      </c>
      <c r="I53">
        <v>4</v>
      </c>
      <c r="K53">
        <v>267</v>
      </c>
    </row>
    <row r="54" spans="2:11" x14ac:dyDescent="0.35">
      <c r="B54" t="s">
        <v>313</v>
      </c>
      <c r="C54" t="s">
        <v>1170</v>
      </c>
      <c r="D54" t="s">
        <v>1156</v>
      </c>
      <c r="E54">
        <v>1</v>
      </c>
      <c r="F54">
        <v>131</v>
      </c>
      <c r="G54">
        <v>746</v>
      </c>
      <c r="H54">
        <v>191</v>
      </c>
      <c r="I54">
        <v>12</v>
      </c>
      <c r="K54">
        <v>1081</v>
      </c>
    </row>
    <row r="55" spans="2:11" x14ac:dyDescent="0.35">
      <c r="B55" t="s">
        <v>313</v>
      </c>
      <c r="C55" t="s">
        <v>1175</v>
      </c>
      <c r="D55" t="s">
        <v>1152</v>
      </c>
      <c r="E55">
        <v>0</v>
      </c>
      <c r="F55">
        <v>5</v>
      </c>
      <c r="G55">
        <v>18</v>
      </c>
      <c r="H55">
        <v>2</v>
      </c>
      <c r="I55">
        <v>0</v>
      </c>
    </row>
    <row r="56" spans="2:11" x14ac:dyDescent="0.35">
      <c r="B56" t="s">
        <v>313</v>
      </c>
      <c r="C56" t="s">
        <v>1182</v>
      </c>
      <c r="D56" t="s">
        <v>1163</v>
      </c>
      <c r="E56">
        <v>23</v>
      </c>
      <c r="F56">
        <v>30</v>
      </c>
      <c r="G56">
        <v>170</v>
      </c>
      <c r="H56">
        <v>44</v>
      </c>
      <c r="I56">
        <v>4</v>
      </c>
      <c r="K56">
        <v>271</v>
      </c>
    </row>
    <row r="57" spans="2:11" x14ac:dyDescent="0.35">
      <c r="B57" t="s">
        <v>321</v>
      </c>
      <c r="C57" t="s">
        <v>1171</v>
      </c>
      <c r="D57" t="s">
        <v>1150</v>
      </c>
      <c r="E57">
        <v>99</v>
      </c>
      <c r="F57">
        <v>623</v>
      </c>
      <c r="G57">
        <v>490</v>
      </c>
      <c r="H57">
        <v>183</v>
      </c>
      <c r="I57">
        <v>9</v>
      </c>
      <c r="J57">
        <v>5</v>
      </c>
      <c r="K57">
        <v>1404</v>
      </c>
    </row>
    <row r="58" spans="2:11" x14ac:dyDescent="0.35">
      <c r="B58" t="s">
        <v>321</v>
      </c>
      <c r="C58" t="s">
        <v>1169</v>
      </c>
      <c r="D58" t="s">
        <v>1151</v>
      </c>
      <c r="E58">
        <v>2</v>
      </c>
      <c r="F58">
        <v>27</v>
      </c>
      <c r="G58">
        <v>104</v>
      </c>
      <c r="H58">
        <v>25</v>
      </c>
      <c r="I58">
        <v>2</v>
      </c>
      <c r="J58">
        <v>6</v>
      </c>
      <c r="K58">
        <v>160</v>
      </c>
    </row>
    <row r="59" spans="2:11" x14ac:dyDescent="0.35">
      <c r="B59" t="s">
        <v>326</v>
      </c>
      <c r="C59" t="s">
        <v>1181</v>
      </c>
      <c r="D59" t="s">
        <v>1157</v>
      </c>
      <c r="E59">
        <v>3</v>
      </c>
      <c r="F59">
        <v>22</v>
      </c>
      <c r="G59">
        <v>115</v>
      </c>
      <c r="H59">
        <v>51</v>
      </c>
      <c r="I59">
        <v>2</v>
      </c>
      <c r="J59">
        <v>2</v>
      </c>
      <c r="K59">
        <v>193</v>
      </c>
    </row>
    <row r="60" spans="2:11" x14ac:dyDescent="0.35">
      <c r="B60" t="s">
        <v>326</v>
      </c>
      <c r="C60" t="s">
        <v>1168</v>
      </c>
      <c r="D60" t="s">
        <v>1161</v>
      </c>
      <c r="E60">
        <v>0</v>
      </c>
      <c r="F60">
        <v>16</v>
      </c>
      <c r="G60">
        <v>50</v>
      </c>
      <c r="H60">
        <v>34</v>
      </c>
      <c r="I60">
        <v>4</v>
      </c>
    </row>
    <row r="61" spans="2:11" x14ac:dyDescent="0.35">
      <c r="B61" t="s">
        <v>327</v>
      </c>
      <c r="C61" t="s">
        <v>1169</v>
      </c>
      <c r="D61" t="s">
        <v>1151</v>
      </c>
      <c r="E61">
        <v>1</v>
      </c>
      <c r="F61">
        <v>71</v>
      </c>
      <c r="G61">
        <v>120</v>
      </c>
      <c r="H61">
        <v>28</v>
      </c>
      <c r="I61">
        <v>0</v>
      </c>
      <c r="J61">
        <v>2</v>
      </c>
    </row>
    <row r="62" spans="2:11" x14ac:dyDescent="0.35">
      <c r="B62" t="s">
        <v>466</v>
      </c>
      <c r="C62" t="s">
        <v>1175</v>
      </c>
      <c r="D62" t="s">
        <v>1152</v>
      </c>
      <c r="E62">
        <v>1</v>
      </c>
      <c r="F62">
        <v>5</v>
      </c>
      <c r="G62">
        <v>14</v>
      </c>
      <c r="H62">
        <v>0</v>
      </c>
      <c r="I62">
        <v>0</v>
      </c>
      <c r="J62">
        <v>1</v>
      </c>
    </row>
    <row r="63" spans="2:11" x14ac:dyDescent="0.35">
      <c r="B63" t="s">
        <v>365</v>
      </c>
      <c r="C63" t="s">
        <v>1176</v>
      </c>
      <c r="D63" t="s">
        <v>1154</v>
      </c>
      <c r="E63">
        <v>3</v>
      </c>
      <c r="F63">
        <v>14</v>
      </c>
      <c r="G63">
        <v>164</v>
      </c>
      <c r="H63">
        <v>93</v>
      </c>
      <c r="I63">
        <v>60</v>
      </c>
      <c r="K63">
        <v>334</v>
      </c>
    </row>
    <row r="64" spans="2:11" x14ac:dyDescent="0.35">
      <c r="B64" t="s">
        <v>365</v>
      </c>
      <c r="C64" t="s">
        <v>1170</v>
      </c>
      <c r="D64" t="s">
        <v>1156</v>
      </c>
      <c r="E64">
        <v>1</v>
      </c>
      <c r="F64">
        <v>18</v>
      </c>
      <c r="G64">
        <v>517</v>
      </c>
      <c r="H64">
        <v>487</v>
      </c>
      <c r="I64">
        <v>86</v>
      </c>
      <c r="K64">
        <v>1109</v>
      </c>
    </row>
    <row r="65" spans="2:11" x14ac:dyDescent="0.35">
      <c r="B65" t="s">
        <v>365</v>
      </c>
      <c r="C65" t="s">
        <v>1182</v>
      </c>
      <c r="D65" t="s">
        <v>1163</v>
      </c>
      <c r="E65">
        <v>8</v>
      </c>
      <c r="F65">
        <v>113</v>
      </c>
      <c r="G65">
        <v>114</v>
      </c>
      <c r="H65">
        <v>23</v>
      </c>
      <c r="I65">
        <v>2</v>
      </c>
      <c r="K65">
        <v>260</v>
      </c>
    </row>
    <row r="66" spans="2:11" x14ac:dyDescent="0.35">
      <c r="B66" t="s">
        <v>366</v>
      </c>
      <c r="C66" t="s">
        <v>1181</v>
      </c>
      <c r="D66" t="s">
        <v>1157</v>
      </c>
      <c r="E66">
        <v>17</v>
      </c>
      <c r="F66">
        <v>148</v>
      </c>
      <c r="G66">
        <v>250</v>
      </c>
      <c r="H66">
        <v>74</v>
      </c>
      <c r="I66">
        <v>5</v>
      </c>
      <c r="K66">
        <v>494</v>
      </c>
    </row>
    <row r="67" spans="2:11" x14ac:dyDescent="0.35">
      <c r="B67" t="s">
        <v>341</v>
      </c>
      <c r="C67" t="s">
        <v>1178</v>
      </c>
      <c r="D67" t="s">
        <v>1158</v>
      </c>
      <c r="E67">
        <v>5</v>
      </c>
      <c r="F67">
        <v>25</v>
      </c>
      <c r="G67">
        <v>191</v>
      </c>
      <c r="H67">
        <v>46</v>
      </c>
      <c r="I67">
        <v>8</v>
      </c>
      <c r="K67">
        <v>275</v>
      </c>
    </row>
    <row r="68" spans="2:11" x14ac:dyDescent="0.35">
      <c r="B68" t="s">
        <v>214</v>
      </c>
      <c r="C68" t="s">
        <v>1176</v>
      </c>
      <c r="D68" t="s">
        <v>1154</v>
      </c>
      <c r="E68">
        <v>7</v>
      </c>
      <c r="F68">
        <v>36</v>
      </c>
      <c r="G68">
        <v>353</v>
      </c>
      <c r="H68">
        <v>70</v>
      </c>
      <c r="I68">
        <v>5</v>
      </c>
      <c r="K68">
        <v>471</v>
      </c>
    </row>
    <row r="69" spans="2:11" x14ac:dyDescent="0.35">
      <c r="B69" t="s">
        <v>214</v>
      </c>
      <c r="C69" t="s">
        <v>1177</v>
      </c>
      <c r="D69" t="s">
        <v>1153</v>
      </c>
      <c r="E69">
        <v>81</v>
      </c>
      <c r="F69">
        <v>263</v>
      </c>
      <c r="G69">
        <v>1407</v>
      </c>
      <c r="H69">
        <v>109</v>
      </c>
      <c r="I69">
        <v>2</v>
      </c>
      <c r="K69">
        <v>1862</v>
      </c>
    </row>
    <row r="70" spans="2:11" x14ac:dyDescent="0.35">
      <c r="B70" t="s">
        <v>214</v>
      </c>
      <c r="C70" t="s">
        <v>1181</v>
      </c>
      <c r="D70" t="s">
        <v>1157</v>
      </c>
      <c r="E70">
        <v>6</v>
      </c>
      <c r="F70">
        <v>36</v>
      </c>
      <c r="G70">
        <v>247</v>
      </c>
      <c r="H70">
        <v>84</v>
      </c>
      <c r="I70">
        <v>1</v>
      </c>
      <c r="K70">
        <v>374</v>
      </c>
    </row>
    <row r="71" spans="2:11" x14ac:dyDescent="0.35">
      <c r="B71" t="s">
        <v>214</v>
      </c>
      <c r="C71" t="s">
        <v>1182</v>
      </c>
      <c r="D71" t="s">
        <v>1163</v>
      </c>
      <c r="E71">
        <v>35</v>
      </c>
      <c r="F71">
        <v>41</v>
      </c>
      <c r="G71">
        <v>325</v>
      </c>
      <c r="H71">
        <v>66</v>
      </c>
      <c r="I71">
        <v>3</v>
      </c>
      <c r="K71">
        <v>470</v>
      </c>
    </row>
    <row r="72" spans="2:11" x14ac:dyDescent="0.35">
      <c r="B72" t="s">
        <v>313</v>
      </c>
      <c r="C72" t="s">
        <v>1179</v>
      </c>
      <c r="D72" t="s">
        <v>1160</v>
      </c>
      <c r="E72">
        <v>15</v>
      </c>
      <c r="F72">
        <v>92</v>
      </c>
      <c r="G72">
        <v>335</v>
      </c>
      <c r="H72">
        <v>28</v>
      </c>
      <c r="I72">
        <v>0</v>
      </c>
    </row>
    <row r="73" spans="2:11" x14ac:dyDescent="0.35">
      <c r="B73" t="s">
        <v>319</v>
      </c>
      <c r="C73" t="s">
        <v>1180</v>
      </c>
      <c r="D73" t="s">
        <v>1155</v>
      </c>
      <c r="E73">
        <v>2</v>
      </c>
      <c r="F73">
        <v>10</v>
      </c>
      <c r="G73">
        <v>16</v>
      </c>
      <c r="H73">
        <v>9</v>
      </c>
      <c r="I73">
        <v>2</v>
      </c>
      <c r="K73">
        <v>39</v>
      </c>
    </row>
    <row r="74" spans="2:11" x14ac:dyDescent="0.35">
      <c r="B74" t="s">
        <v>319</v>
      </c>
      <c r="C74" t="s">
        <v>1173</v>
      </c>
      <c r="D74" t="s">
        <v>1162</v>
      </c>
      <c r="E74">
        <v>0</v>
      </c>
      <c r="F74">
        <v>0</v>
      </c>
      <c r="G74">
        <v>6</v>
      </c>
      <c r="H74">
        <v>0</v>
      </c>
      <c r="I74">
        <v>0</v>
      </c>
    </row>
    <row r="75" spans="2:11" x14ac:dyDescent="0.35">
      <c r="B75" t="s">
        <v>319</v>
      </c>
      <c r="C75" t="s">
        <v>1182</v>
      </c>
      <c r="D75" t="s">
        <v>1163</v>
      </c>
      <c r="E75">
        <v>3</v>
      </c>
      <c r="F75">
        <v>14</v>
      </c>
      <c r="G75">
        <v>30</v>
      </c>
      <c r="H75">
        <v>18</v>
      </c>
      <c r="I75">
        <v>3</v>
      </c>
      <c r="J75">
        <v>1</v>
      </c>
      <c r="K75">
        <v>68</v>
      </c>
    </row>
    <row r="76" spans="2:11" x14ac:dyDescent="0.35">
      <c r="B76" t="s">
        <v>319</v>
      </c>
      <c r="C76" t="s">
        <v>1168</v>
      </c>
      <c r="D76" t="s">
        <v>1161</v>
      </c>
      <c r="E76">
        <v>1</v>
      </c>
      <c r="F76">
        <v>3</v>
      </c>
      <c r="G76">
        <v>19</v>
      </c>
      <c r="H76">
        <v>16</v>
      </c>
      <c r="I76">
        <v>8</v>
      </c>
      <c r="J76">
        <v>3</v>
      </c>
      <c r="K76">
        <v>47</v>
      </c>
    </row>
    <row r="77" spans="2:11" x14ac:dyDescent="0.35">
      <c r="B77" t="s">
        <v>321</v>
      </c>
      <c r="C77" t="s">
        <v>1173</v>
      </c>
      <c r="D77" t="s">
        <v>1162</v>
      </c>
      <c r="E77">
        <v>1</v>
      </c>
      <c r="F77">
        <v>2</v>
      </c>
      <c r="G77">
        <v>13</v>
      </c>
      <c r="H77">
        <v>5</v>
      </c>
      <c r="I77">
        <v>0</v>
      </c>
      <c r="J77">
        <v>0</v>
      </c>
    </row>
    <row r="78" spans="2:11" x14ac:dyDescent="0.35">
      <c r="B78" t="s">
        <v>326</v>
      </c>
      <c r="C78" t="s">
        <v>1180</v>
      </c>
      <c r="D78" t="s">
        <v>1155</v>
      </c>
      <c r="E78">
        <v>7</v>
      </c>
      <c r="F78">
        <v>8</v>
      </c>
      <c r="G78">
        <v>31</v>
      </c>
      <c r="H78">
        <v>13</v>
      </c>
      <c r="I78">
        <v>0</v>
      </c>
      <c r="J78">
        <v>1</v>
      </c>
    </row>
    <row r="79" spans="2:11" x14ac:dyDescent="0.35">
      <c r="B79" t="s">
        <v>326</v>
      </c>
      <c r="C79" t="s">
        <v>1169</v>
      </c>
      <c r="D79" t="s">
        <v>1151</v>
      </c>
      <c r="E79">
        <v>0</v>
      </c>
      <c r="F79">
        <v>48</v>
      </c>
      <c r="G79">
        <v>92</v>
      </c>
      <c r="H79">
        <v>30</v>
      </c>
      <c r="I79">
        <v>2</v>
      </c>
    </row>
    <row r="80" spans="2:11" x14ac:dyDescent="0.35">
      <c r="B80" t="s">
        <v>326</v>
      </c>
      <c r="C80" t="s">
        <v>1178</v>
      </c>
      <c r="D80" t="s">
        <v>1158</v>
      </c>
      <c r="E80">
        <v>0</v>
      </c>
      <c r="F80">
        <v>22</v>
      </c>
      <c r="G80">
        <v>59</v>
      </c>
      <c r="H80">
        <v>25</v>
      </c>
      <c r="I80">
        <v>3</v>
      </c>
      <c r="J80">
        <v>1</v>
      </c>
    </row>
    <row r="81" spans="2:11" x14ac:dyDescent="0.35">
      <c r="B81" t="s">
        <v>327</v>
      </c>
      <c r="C81" t="s">
        <v>1180</v>
      </c>
      <c r="D81" t="s">
        <v>1155</v>
      </c>
      <c r="E81">
        <v>2</v>
      </c>
      <c r="F81">
        <v>5</v>
      </c>
      <c r="G81">
        <v>24</v>
      </c>
      <c r="H81">
        <v>17</v>
      </c>
      <c r="I81">
        <v>2</v>
      </c>
      <c r="J81">
        <v>1</v>
      </c>
      <c r="K81">
        <v>50</v>
      </c>
    </row>
    <row r="82" spans="2:11" x14ac:dyDescent="0.35">
      <c r="B82" t="s">
        <v>365</v>
      </c>
      <c r="C82" t="s">
        <v>1171</v>
      </c>
      <c r="D82" t="s">
        <v>1150</v>
      </c>
      <c r="E82">
        <v>51</v>
      </c>
      <c r="F82">
        <v>538</v>
      </c>
      <c r="G82">
        <v>711</v>
      </c>
      <c r="H82">
        <v>191</v>
      </c>
      <c r="I82">
        <v>15</v>
      </c>
      <c r="K82">
        <v>1506</v>
      </c>
    </row>
    <row r="83" spans="2:11" x14ac:dyDescent="0.35">
      <c r="B83" t="s">
        <v>365</v>
      </c>
      <c r="C83" t="s">
        <v>1169</v>
      </c>
      <c r="D83" t="s">
        <v>1151</v>
      </c>
      <c r="E83">
        <v>2</v>
      </c>
      <c r="F83">
        <v>113</v>
      </c>
      <c r="G83">
        <v>243</v>
      </c>
      <c r="H83">
        <v>50</v>
      </c>
      <c r="I83">
        <v>4</v>
      </c>
      <c r="K83">
        <v>412</v>
      </c>
    </row>
    <row r="84" spans="2:11" x14ac:dyDescent="0.35">
      <c r="B84" t="s">
        <v>366</v>
      </c>
      <c r="C84" t="s">
        <v>1170</v>
      </c>
      <c r="D84" t="s">
        <v>1156</v>
      </c>
      <c r="E84">
        <v>1</v>
      </c>
      <c r="F84">
        <v>53</v>
      </c>
      <c r="G84">
        <v>815</v>
      </c>
      <c r="H84">
        <v>329</v>
      </c>
      <c r="I84">
        <v>65</v>
      </c>
      <c r="K84">
        <v>1263</v>
      </c>
    </row>
    <row r="85" spans="2:11" x14ac:dyDescent="0.35">
      <c r="B85" t="s">
        <v>366</v>
      </c>
      <c r="C85" t="s">
        <v>1169</v>
      </c>
      <c r="D85" t="s">
        <v>1151</v>
      </c>
      <c r="E85">
        <v>1</v>
      </c>
      <c r="F85">
        <v>170</v>
      </c>
      <c r="G85">
        <v>267</v>
      </c>
      <c r="H85">
        <v>44</v>
      </c>
      <c r="I85">
        <v>3</v>
      </c>
      <c r="K85">
        <v>485</v>
      </c>
    </row>
    <row r="86" spans="2:11" x14ac:dyDescent="0.35">
      <c r="B86" t="s">
        <v>341</v>
      </c>
      <c r="C86" t="s">
        <v>1176</v>
      </c>
      <c r="D86" t="s">
        <v>1154</v>
      </c>
      <c r="E86">
        <v>8</v>
      </c>
      <c r="F86">
        <v>17</v>
      </c>
      <c r="G86">
        <v>314</v>
      </c>
      <c r="H86">
        <v>51</v>
      </c>
      <c r="I86">
        <v>6</v>
      </c>
      <c r="K86">
        <v>396</v>
      </c>
    </row>
    <row r="87" spans="2:11" x14ac:dyDescent="0.35">
      <c r="B87" t="s">
        <v>341</v>
      </c>
      <c r="C87" t="s">
        <v>1177</v>
      </c>
      <c r="D87" t="s">
        <v>1153</v>
      </c>
      <c r="E87">
        <v>69</v>
      </c>
      <c r="F87">
        <v>343</v>
      </c>
      <c r="G87">
        <v>2130</v>
      </c>
      <c r="H87">
        <v>106</v>
      </c>
      <c r="I87">
        <v>2</v>
      </c>
      <c r="K87">
        <v>2650</v>
      </c>
    </row>
    <row r="88" spans="2:11" x14ac:dyDescent="0.35">
      <c r="B88" t="s">
        <v>341</v>
      </c>
      <c r="C88" t="s">
        <v>1170</v>
      </c>
      <c r="D88" t="s">
        <v>1156</v>
      </c>
      <c r="E88">
        <v>0</v>
      </c>
      <c r="F88">
        <v>57</v>
      </c>
      <c r="G88">
        <v>800</v>
      </c>
      <c r="H88">
        <v>248</v>
      </c>
      <c r="I88">
        <v>33</v>
      </c>
      <c r="K88">
        <v>1138</v>
      </c>
    </row>
    <row r="89" spans="2:11" x14ac:dyDescent="0.35">
      <c r="B89" t="s">
        <v>341</v>
      </c>
      <c r="C89" t="s">
        <v>1179</v>
      </c>
      <c r="D89" t="s">
        <v>1160</v>
      </c>
      <c r="E89">
        <v>7</v>
      </c>
      <c r="F89">
        <v>84</v>
      </c>
      <c r="G89">
        <v>245</v>
      </c>
      <c r="H89">
        <v>35</v>
      </c>
      <c r="I89">
        <v>0</v>
      </c>
      <c r="K89">
        <v>371</v>
      </c>
    </row>
    <row r="90" spans="2:11" x14ac:dyDescent="0.35">
      <c r="B90" t="s">
        <v>342</v>
      </c>
      <c r="C90" t="s">
        <v>1176</v>
      </c>
      <c r="D90" t="s">
        <v>1154</v>
      </c>
      <c r="E90">
        <v>5</v>
      </c>
      <c r="F90">
        <v>25</v>
      </c>
      <c r="G90">
        <v>262</v>
      </c>
      <c r="H90">
        <v>71</v>
      </c>
      <c r="I90">
        <v>4</v>
      </c>
      <c r="K90">
        <v>367</v>
      </c>
    </row>
    <row r="91" spans="2:11" x14ac:dyDescent="0.35">
      <c r="B91" t="s">
        <v>342</v>
      </c>
      <c r="C91" t="s">
        <v>1177</v>
      </c>
      <c r="D91" t="s">
        <v>1153</v>
      </c>
      <c r="E91">
        <v>69</v>
      </c>
      <c r="F91">
        <v>246</v>
      </c>
      <c r="G91">
        <v>1559</v>
      </c>
      <c r="H91">
        <v>203</v>
      </c>
      <c r="I91">
        <v>0</v>
      </c>
      <c r="K91">
        <v>2077</v>
      </c>
    </row>
    <row r="92" spans="2:11" x14ac:dyDescent="0.35">
      <c r="B92" t="s">
        <v>342</v>
      </c>
      <c r="C92" t="s">
        <v>1174</v>
      </c>
      <c r="D92" t="s">
        <v>1164</v>
      </c>
      <c r="E92">
        <v>27</v>
      </c>
      <c r="F92">
        <v>48</v>
      </c>
      <c r="G92">
        <v>231</v>
      </c>
      <c r="H92">
        <v>55</v>
      </c>
      <c r="I92">
        <v>1</v>
      </c>
      <c r="K92">
        <v>362</v>
      </c>
    </row>
    <row r="93" spans="2:11" x14ac:dyDescent="0.35">
      <c r="B93" t="s">
        <v>214</v>
      </c>
      <c r="C93" t="s">
        <v>1169</v>
      </c>
      <c r="D93" t="s">
        <v>1151</v>
      </c>
      <c r="E93">
        <v>0</v>
      </c>
      <c r="F93">
        <v>42</v>
      </c>
      <c r="G93">
        <v>173</v>
      </c>
      <c r="H93">
        <v>51</v>
      </c>
      <c r="I93">
        <v>1</v>
      </c>
      <c r="K93">
        <v>267</v>
      </c>
    </row>
    <row r="94" spans="2:11" x14ac:dyDescent="0.35">
      <c r="B94" t="s">
        <v>313</v>
      </c>
      <c r="C94" t="s">
        <v>1178</v>
      </c>
      <c r="D94" t="s">
        <v>1158</v>
      </c>
      <c r="E94">
        <v>4</v>
      </c>
      <c r="F94">
        <v>19</v>
      </c>
      <c r="G94">
        <v>168</v>
      </c>
      <c r="H94">
        <v>90</v>
      </c>
      <c r="I94">
        <v>4</v>
      </c>
      <c r="K94">
        <v>285</v>
      </c>
    </row>
    <row r="95" spans="2:11" x14ac:dyDescent="0.35">
      <c r="B95" t="s">
        <v>319</v>
      </c>
      <c r="C95" t="s">
        <v>1171</v>
      </c>
      <c r="D95" t="s">
        <v>1150</v>
      </c>
      <c r="E95">
        <v>87</v>
      </c>
      <c r="F95">
        <v>611</v>
      </c>
      <c r="G95">
        <v>462</v>
      </c>
      <c r="H95">
        <v>163</v>
      </c>
      <c r="I95">
        <v>6</v>
      </c>
      <c r="J95">
        <v>12</v>
      </c>
      <c r="K95">
        <v>1329</v>
      </c>
    </row>
    <row r="96" spans="2:11" x14ac:dyDescent="0.35">
      <c r="B96" t="s">
        <v>319</v>
      </c>
      <c r="C96" t="s">
        <v>1181</v>
      </c>
      <c r="D96" t="s">
        <v>1157</v>
      </c>
      <c r="E96">
        <v>0</v>
      </c>
      <c r="F96">
        <v>10</v>
      </c>
      <c r="G96">
        <v>43</v>
      </c>
      <c r="H96">
        <v>17</v>
      </c>
      <c r="I96">
        <v>1</v>
      </c>
      <c r="J96">
        <v>2</v>
      </c>
    </row>
    <row r="97" spans="2:11" x14ac:dyDescent="0.35">
      <c r="B97" t="s">
        <v>319</v>
      </c>
      <c r="C97" t="s">
        <v>1172</v>
      </c>
      <c r="D97" t="s">
        <v>1159</v>
      </c>
      <c r="E97">
        <v>2</v>
      </c>
      <c r="F97">
        <v>3</v>
      </c>
      <c r="G97">
        <v>46</v>
      </c>
      <c r="H97">
        <v>12</v>
      </c>
      <c r="I97">
        <v>2</v>
      </c>
      <c r="J97">
        <v>1</v>
      </c>
      <c r="K97">
        <v>65</v>
      </c>
    </row>
    <row r="98" spans="2:11" x14ac:dyDescent="0.35">
      <c r="B98" t="s">
        <v>321</v>
      </c>
      <c r="C98" t="s">
        <v>1178</v>
      </c>
      <c r="D98" t="s">
        <v>1158</v>
      </c>
      <c r="E98">
        <v>1</v>
      </c>
      <c r="F98">
        <v>14</v>
      </c>
      <c r="G98">
        <v>72</v>
      </c>
      <c r="H98">
        <v>19</v>
      </c>
      <c r="I98">
        <v>2</v>
      </c>
      <c r="J98">
        <v>2</v>
      </c>
      <c r="K98">
        <v>108</v>
      </c>
    </row>
    <row r="99" spans="2:11" x14ac:dyDescent="0.35">
      <c r="B99" t="s">
        <v>326</v>
      </c>
      <c r="C99" t="s">
        <v>1171</v>
      </c>
      <c r="D99" t="s">
        <v>1150</v>
      </c>
      <c r="E99">
        <v>116</v>
      </c>
      <c r="F99">
        <v>734</v>
      </c>
      <c r="G99">
        <v>553</v>
      </c>
      <c r="H99">
        <v>181</v>
      </c>
      <c r="I99">
        <v>18</v>
      </c>
      <c r="J99">
        <v>4</v>
      </c>
      <c r="K99">
        <v>1602</v>
      </c>
    </row>
    <row r="100" spans="2:11" x14ac:dyDescent="0.35">
      <c r="B100" t="s">
        <v>326</v>
      </c>
      <c r="C100" t="s">
        <v>1179</v>
      </c>
      <c r="D100" t="s">
        <v>1160</v>
      </c>
      <c r="E100">
        <v>9</v>
      </c>
      <c r="F100">
        <v>203</v>
      </c>
      <c r="G100">
        <v>287</v>
      </c>
      <c r="H100">
        <v>41</v>
      </c>
      <c r="I100">
        <v>0</v>
      </c>
      <c r="J100">
        <v>7</v>
      </c>
    </row>
    <row r="101" spans="2:11" x14ac:dyDescent="0.35">
      <c r="B101" t="s">
        <v>326</v>
      </c>
      <c r="C101" t="s">
        <v>1174</v>
      </c>
      <c r="D101" t="s">
        <v>1164</v>
      </c>
      <c r="E101">
        <v>41</v>
      </c>
      <c r="F101">
        <v>67</v>
      </c>
      <c r="G101">
        <v>183</v>
      </c>
      <c r="H101">
        <v>49</v>
      </c>
      <c r="I101">
        <v>1</v>
      </c>
      <c r="J101">
        <v>1</v>
      </c>
      <c r="K101">
        <v>341</v>
      </c>
    </row>
    <row r="102" spans="2:11" x14ac:dyDescent="0.35">
      <c r="B102" t="s">
        <v>327</v>
      </c>
      <c r="C102" t="s">
        <v>1179</v>
      </c>
      <c r="D102" t="s">
        <v>1160</v>
      </c>
      <c r="E102">
        <v>15</v>
      </c>
      <c r="F102">
        <v>503</v>
      </c>
      <c r="G102">
        <v>649</v>
      </c>
      <c r="H102">
        <v>75</v>
      </c>
      <c r="I102">
        <v>0</v>
      </c>
      <c r="J102">
        <v>14</v>
      </c>
    </row>
    <row r="103" spans="2:11" x14ac:dyDescent="0.35">
      <c r="B103" t="s">
        <v>327</v>
      </c>
      <c r="C103" t="s">
        <v>1173</v>
      </c>
      <c r="D103" t="s">
        <v>1162</v>
      </c>
      <c r="E103">
        <v>0</v>
      </c>
      <c r="F103">
        <v>0</v>
      </c>
      <c r="G103">
        <v>18</v>
      </c>
      <c r="H103">
        <v>7</v>
      </c>
      <c r="I103">
        <v>0</v>
      </c>
    </row>
    <row r="104" spans="2:11" x14ac:dyDescent="0.35">
      <c r="B104" t="s">
        <v>466</v>
      </c>
      <c r="C104" t="s">
        <v>1182</v>
      </c>
      <c r="D104" t="s">
        <v>1163</v>
      </c>
      <c r="E104">
        <v>32</v>
      </c>
      <c r="F104">
        <v>45</v>
      </c>
      <c r="G104">
        <v>184</v>
      </c>
      <c r="H104">
        <v>26</v>
      </c>
      <c r="I104">
        <v>1</v>
      </c>
      <c r="J104">
        <v>6</v>
      </c>
      <c r="K104">
        <v>288</v>
      </c>
    </row>
    <row r="105" spans="2:11" x14ac:dyDescent="0.35">
      <c r="B105" t="s">
        <v>466</v>
      </c>
      <c r="C105" t="s">
        <v>1172</v>
      </c>
      <c r="D105" t="s">
        <v>1159</v>
      </c>
      <c r="E105">
        <v>8</v>
      </c>
      <c r="F105">
        <v>15</v>
      </c>
      <c r="G105">
        <v>126</v>
      </c>
      <c r="H105">
        <v>42</v>
      </c>
      <c r="I105">
        <v>1</v>
      </c>
      <c r="J105">
        <v>17</v>
      </c>
      <c r="K105">
        <v>192</v>
      </c>
    </row>
    <row r="106" spans="2:11" x14ac:dyDescent="0.35">
      <c r="B106" t="s">
        <v>365</v>
      </c>
      <c r="C106" t="s">
        <v>1180</v>
      </c>
      <c r="D106" t="s">
        <v>1155</v>
      </c>
      <c r="E106">
        <v>0</v>
      </c>
      <c r="F106">
        <v>6</v>
      </c>
      <c r="G106">
        <v>37</v>
      </c>
      <c r="H106">
        <v>83</v>
      </c>
      <c r="I106">
        <v>12</v>
      </c>
      <c r="K106">
        <v>138</v>
      </c>
    </row>
    <row r="107" spans="2:11" x14ac:dyDescent="0.35">
      <c r="B107" t="s">
        <v>366</v>
      </c>
      <c r="C107" t="s">
        <v>1182</v>
      </c>
      <c r="D107" t="s">
        <v>1163</v>
      </c>
      <c r="E107">
        <v>9</v>
      </c>
      <c r="F107">
        <v>53</v>
      </c>
      <c r="G107">
        <v>125</v>
      </c>
      <c r="H107">
        <v>41</v>
      </c>
      <c r="I107">
        <v>0</v>
      </c>
      <c r="K107">
        <v>228</v>
      </c>
    </row>
    <row r="108" spans="2:11" x14ac:dyDescent="0.35">
      <c r="B108" t="s">
        <v>366</v>
      </c>
      <c r="C108" t="s">
        <v>1178</v>
      </c>
      <c r="D108" t="s">
        <v>1158</v>
      </c>
      <c r="E108">
        <v>15</v>
      </c>
      <c r="F108">
        <v>35</v>
      </c>
      <c r="G108">
        <v>240</v>
      </c>
      <c r="H108">
        <v>84</v>
      </c>
      <c r="I108">
        <v>5</v>
      </c>
      <c r="K108">
        <v>379</v>
      </c>
    </row>
    <row r="109" spans="2:11" x14ac:dyDescent="0.35">
      <c r="B109" t="s">
        <v>341</v>
      </c>
      <c r="C109" t="s">
        <v>1180</v>
      </c>
      <c r="D109" t="s">
        <v>1155</v>
      </c>
      <c r="E109">
        <v>5</v>
      </c>
      <c r="F109">
        <v>10</v>
      </c>
      <c r="G109">
        <v>83</v>
      </c>
      <c r="H109">
        <v>27</v>
      </c>
      <c r="I109">
        <v>3</v>
      </c>
      <c r="K109">
        <v>128</v>
      </c>
    </row>
    <row r="110" spans="2:11" x14ac:dyDescent="0.35">
      <c r="B110" t="s">
        <v>341</v>
      </c>
      <c r="C110" t="s">
        <v>1173</v>
      </c>
      <c r="D110" t="s">
        <v>1162</v>
      </c>
      <c r="E110">
        <v>0</v>
      </c>
      <c r="F110">
        <v>1</v>
      </c>
      <c r="G110">
        <v>55</v>
      </c>
      <c r="H110">
        <v>10</v>
      </c>
      <c r="I110">
        <v>0</v>
      </c>
      <c r="K110">
        <v>66</v>
      </c>
    </row>
    <row r="111" spans="2:11" x14ac:dyDescent="0.35">
      <c r="B111" t="s">
        <v>341</v>
      </c>
      <c r="C111" t="s">
        <v>1182</v>
      </c>
      <c r="D111" t="s">
        <v>1163</v>
      </c>
      <c r="E111">
        <v>19</v>
      </c>
      <c r="F111">
        <v>38</v>
      </c>
      <c r="G111">
        <v>241</v>
      </c>
      <c r="H111">
        <v>55</v>
      </c>
      <c r="I111">
        <v>10</v>
      </c>
      <c r="K111">
        <v>363</v>
      </c>
    </row>
    <row r="112" spans="2:11" x14ac:dyDescent="0.35">
      <c r="B112" t="s">
        <v>342</v>
      </c>
      <c r="C112" t="s">
        <v>1170</v>
      </c>
      <c r="D112" t="s">
        <v>1156</v>
      </c>
      <c r="E112">
        <v>2</v>
      </c>
      <c r="F112">
        <v>73</v>
      </c>
      <c r="G112">
        <v>819</v>
      </c>
      <c r="H112">
        <v>256</v>
      </c>
      <c r="I112">
        <v>17</v>
      </c>
      <c r="K112">
        <v>1167</v>
      </c>
    </row>
    <row r="113" spans="2:11" x14ac:dyDescent="0.35">
      <c r="B113" t="s">
        <v>342</v>
      </c>
      <c r="C113" t="s">
        <v>1173</v>
      </c>
      <c r="D113" t="s">
        <v>1162</v>
      </c>
      <c r="E113">
        <v>1</v>
      </c>
      <c r="F113">
        <v>2</v>
      </c>
      <c r="G113">
        <v>42</v>
      </c>
      <c r="H113">
        <v>12</v>
      </c>
      <c r="I113">
        <v>2</v>
      </c>
      <c r="K113">
        <v>59</v>
      </c>
    </row>
    <row r="114" spans="2:11" x14ac:dyDescent="0.35">
      <c r="B114" t="s">
        <v>342</v>
      </c>
      <c r="C114" t="s">
        <v>1182</v>
      </c>
      <c r="D114" t="s">
        <v>1163</v>
      </c>
      <c r="E114">
        <v>24</v>
      </c>
      <c r="F114">
        <v>35</v>
      </c>
      <c r="G114">
        <v>178</v>
      </c>
      <c r="H114">
        <v>29</v>
      </c>
      <c r="I114">
        <v>2</v>
      </c>
      <c r="K114">
        <v>268</v>
      </c>
    </row>
    <row r="115" spans="2:11" x14ac:dyDescent="0.35">
      <c r="B115" t="s">
        <v>342</v>
      </c>
      <c r="C115" t="s">
        <v>1172</v>
      </c>
      <c r="D115" t="s">
        <v>1159</v>
      </c>
      <c r="E115">
        <v>4</v>
      </c>
      <c r="F115">
        <v>6</v>
      </c>
      <c r="G115">
        <v>166</v>
      </c>
      <c r="H115">
        <v>62</v>
      </c>
      <c r="I115">
        <v>2</v>
      </c>
      <c r="K115">
        <v>240</v>
      </c>
    </row>
    <row r="116" spans="2:11" x14ac:dyDescent="0.35">
      <c r="B116" t="s">
        <v>214</v>
      </c>
      <c r="C116" t="s">
        <v>1174</v>
      </c>
      <c r="D116" t="s">
        <v>1164</v>
      </c>
      <c r="E116">
        <v>18</v>
      </c>
      <c r="F116">
        <v>49</v>
      </c>
      <c r="G116">
        <v>267</v>
      </c>
      <c r="H116">
        <v>45</v>
      </c>
      <c r="I116">
        <v>3</v>
      </c>
      <c r="K116">
        <v>382</v>
      </c>
    </row>
    <row r="117" spans="2:11" x14ac:dyDescent="0.35">
      <c r="B117" t="s">
        <v>313</v>
      </c>
      <c r="C117" t="s">
        <v>1177</v>
      </c>
      <c r="D117" t="s">
        <v>1153</v>
      </c>
      <c r="E117">
        <v>69</v>
      </c>
      <c r="F117">
        <v>218</v>
      </c>
      <c r="G117">
        <v>1510</v>
      </c>
      <c r="H117">
        <v>154</v>
      </c>
      <c r="I117">
        <v>0</v>
      </c>
    </row>
    <row r="118" spans="2:11" x14ac:dyDescent="0.35">
      <c r="B118" t="s">
        <v>313</v>
      </c>
      <c r="C118" t="s">
        <v>1169</v>
      </c>
      <c r="D118" t="s">
        <v>1151</v>
      </c>
      <c r="E118">
        <v>3</v>
      </c>
      <c r="F118">
        <v>46</v>
      </c>
      <c r="G118">
        <v>137</v>
      </c>
      <c r="H118">
        <v>53</v>
      </c>
      <c r="I118">
        <v>2</v>
      </c>
      <c r="K118">
        <v>241</v>
      </c>
    </row>
    <row r="119" spans="2:11" x14ac:dyDescent="0.35">
      <c r="B119" t="s">
        <v>319</v>
      </c>
      <c r="C119" t="s">
        <v>1179</v>
      </c>
      <c r="D119" t="s">
        <v>1160</v>
      </c>
      <c r="E119">
        <v>6</v>
      </c>
      <c r="F119">
        <v>24</v>
      </c>
      <c r="G119">
        <v>76</v>
      </c>
      <c r="H119">
        <v>13</v>
      </c>
      <c r="I119">
        <v>0</v>
      </c>
    </row>
    <row r="120" spans="2:11" x14ac:dyDescent="0.35">
      <c r="B120" t="s">
        <v>319</v>
      </c>
      <c r="C120" t="s">
        <v>1178</v>
      </c>
      <c r="D120" t="s">
        <v>1158</v>
      </c>
      <c r="E120">
        <v>4</v>
      </c>
      <c r="F120">
        <v>9</v>
      </c>
      <c r="G120">
        <v>25</v>
      </c>
      <c r="H120">
        <v>25</v>
      </c>
      <c r="I120">
        <v>0</v>
      </c>
    </row>
    <row r="121" spans="2:11" x14ac:dyDescent="0.35">
      <c r="B121" t="s">
        <v>326</v>
      </c>
      <c r="C121" t="s">
        <v>1170</v>
      </c>
      <c r="D121" t="s">
        <v>1156</v>
      </c>
      <c r="E121">
        <v>0</v>
      </c>
      <c r="F121">
        <v>93</v>
      </c>
      <c r="G121">
        <v>606</v>
      </c>
      <c r="H121">
        <v>172</v>
      </c>
      <c r="I121">
        <v>21</v>
      </c>
      <c r="J121">
        <v>6</v>
      </c>
    </row>
    <row r="122" spans="2:11" x14ac:dyDescent="0.35">
      <c r="B122" t="s">
        <v>327</v>
      </c>
      <c r="C122" t="s">
        <v>1177</v>
      </c>
      <c r="D122" t="s">
        <v>1153</v>
      </c>
      <c r="E122">
        <v>69</v>
      </c>
      <c r="F122">
        <v>119</v>
      </c>
      <c r="G122">
        <v>1519</v>
      </c>
      <c r="H122">
        <v>101</v>
      </c>
      <c r="I122">
        <v>2</v>
      </c>
      <c r="J122">
        <v>17</v>
      </c>
      <c r="K122">
        <v>1810</v>
      </c>
    </row>
    <row r="123" spans="2:11" x14ac:dyDescent="0.35">
      <c r="B123" t="s">
        <v>327</v>
      </c>
      <c r="C123" t="s">
        <v>1170</v>
      </c>
      <c r="D123" t="s">
        <v>1156</v>
      </c>
      <c r="E123">
        <v>2</v>
      </c>
      <c r="F123">
        <v>186</v>
      </c>
      <c r="G123">
        <v>705</v>
      </c>
      <c r="H123">
        <v>189</v>
      </c>
      <c r="I123">
        <v>16</v>
      </c>
      <c r="J123">
        <v>12</v>
      </c>
      <c r="K123">
        <v>1098</v>
      </c>
    </row>
    <row r="124" spans="2:11" x14ac:dyDescent="0.35">
      <c r="B124" t="s">
        <v>327</v>
      </c>
      <c r="C124" t="s">
        <v>1175</v>
      </c>
      <c r="D124" t="s">
        <v>1152</v>
      </c>
      <c r="E124">
        <v>0</v>
      </c>
      <c r="F124">
        <v>3</v>
      </c>
      <c r="G124">
        <v>6</v>
      </c>
      <c r="H124">
        <v>2</v>
      </c>
      <c r="I124">
        <v>0</v>
      </c>
    </row>
    <row r="125" spans="2:11" x14ac:dyDescent="0.35">
      <c r="B125" t="s">
        <v>327</v>
      </c>
      <c r="C125" t="s">
        <v>1181</v>
      </c>
      <c r="D125" t="s">
        <v>1157</v>
      </c>
      <c r="E125">
        <v>12</v>
      </c>
      <c r="F125">
        <v>37</v>
      </c>
      <c r="G125">
        <v>95</v>
      </c>
      <c r="H125">
        <v>54</v>
      </c>
      <c r="I125">
        <v>4</v>
      </c>
      <c r="J125">
        <v>3</v>
      </c>
      <c r="K125">
        <v>202</v>
      </c>
    </row>
    <row r="126" spans="2:11" x14ac:dyDescent="0.35">
      <c r="B126" t="s">
        <v>466</v>
      </c>
      <c r="C126" t="s">
        <v>1171</v>
      </c>
      <c r="D126" t="s">
        <v>1150</v>
      </c>
      <c r="E126">
        <v>113</v>
      </c>
      <c r="F126">
        <v>705</v>
      </c>
      <c r="G126">
        <v>512</v>
      </c>
      <c r="H126">
        <v>170</v>
      </c>
      <c r="I126">
        <v>9</v>
      </c>
      <c r="J126">
        <v>120</v>
      </c>
      <c r="K126">
        <v>1509</v>
      </c>
    </row>
    <row r="127" spans="2:11" x14ac:dyDescent="0.35">
      <c r="B127" t="s">
        <v>365</v>
      </c>
      <c r="C127" t="s">
        <v>1175</v>
      </c>
      <c r="D127" t="s">
        <v>1152</v>
      </c>
      <c r="E127">
        <v>0</v>
      </c>
      <c r="F127">
        <v>0</v>
      </c>
      <c r="G127">
        <v>9</v>
      </c>
      <c r="H127">
        <v>18</v>
      </c>
      <c r="I127">
        <v>1</v>
      </c>
      <c r="K127">
        <v>28</v>
      </c>
    </row>
    <row r="128" spans="2:11" x14ac:dyDescent="0.35">
      <c r="B128" t="s">
        <v>366</v>
      </c>
      <c r="C128" t="s">
        <v>1171</v>
      </c>
      <c r="D128" t="s">
        <v>1150</v>
      </c>
      <c r="E128">
        <v>75</v>
      </c>
      <c r="F128">
        <v>598</v>
      </c>
      <c r="G128">
        <v>822</v>
      </c>
      <c r="H128">
        <v>241</v>
      </c>
      <c r="I128">
        <v>24</v>
      </c>
      <c r="K128">
        <v>1760</v>
      </c>
    </row>
    <row r="129" spans="2:11" x14ac:dyDescent="0.35">
      <c r="B129" t="s">
        <v>366</v>
      </c>
      <c r="C129" t="s">
        <v>1173</v>
      </c>
      <c r="D129" t="s">
        <v>1162</v>
      </c>
      <c r="E129">
        <v>0</v>
      </c>
      <c r="F129">
        <v>3</v>
      </c>
      <c r="G129">
        <v>22</v>
      </c>
      <c r="H129">
        <v>24</v>
      </c>
      <c r="I129">
        <v>0</v>
      </c>
      <c r="K129">
        <v>49</v>
      </c>
    </row>
    <row r="130" spans="2:11" x14ac:dyDescent="0.35">
      <c r="B130" t="s">
        <v>366</v>
      </c>
      <c r="C130" t="s">
        <v>1172</v>
      </c>
      <c r="D130" t="s">
        <v>1159</v>
      </c>
      <c r="E130">
        <v>4</v>
      </c>
      <c r="F130">
        <v>8</v>
      </c>
      <c r="G130">
        <v>217</v>
      </c>
      <c r="H130">
        <v>84</v>
      </c>
      <c r="I130">
        <v>7</v>
      </c>
      <c r="K130">
        <v>320</v>
      </c>
    </row>
    <row r="131" spans="2:11" x14ac:dyDescent="0.35">
      <c r="B131" t="s">
        <v>341</v>
      </c>
      <c r="C131" t="s">
        <v>1175</v>
      </c>
      <c r="D131" t="s">
        <v>1152</v>
      </c>
      <c r="E131">
        <v>1</v>
      </c>
      <c r="F131">
        <v>0</v>
      </c>
      <c r="G131">
        <v>16</v>
      </c>
      <c r="H131">
        <v>3</v>
      </c>
      <c r="I131">
        <v>1</v>
      </c>
      <c r="K131">
        <v>21</v>
      </c>
    </row>
    <row r="132" spans="2:11" x14ac:dyDescent="0.35">
      <c r="B132" t="s">
        <v>341</v>
      </c>
      <c r="C132" t="s">
        <v>1181</v>
      </c>
      <c r="D132" t="s">
        <v>1157</v>
      </c>
      <c r="E132">
        <v>7</v>
      </c>
      <c r="F132">
        <v>55</v>
      </c>
      <c r="G132">
        <v>327</v>
      </c>
      <c r="H132">
        <v>85</v>
      </c>
      <c r="I132">
        <v>8</v>
      </c>
      <c r="K132">
        <v>482</v>
      </c>
    </row>
    <row r="133" spans="2:11" x14ac:dyDescent="0.35">
      <c r="B133" t="s">
        <v>342</v>
      </c>
      <c r="C133" t="s">
        <v>1175</v>
      </c>
      <c r="D133" t="s">
        <v>1152</v>
      </c>
      <c r="E133">
        <v>1</v>
      </c>
      <c r="F133">
        <v>0</v>
      </c>
      <c r="G133">
        <v>21</v>
      </c>
      <c r="H133">
        <v>14</v>
      </c>
      <c r="I133">
        <v>1</v>
      </c>
      <c r="K133">
        <v>37</v>
      </c>
    </row>
    <row r="134" spans="2:11" x14ac:dyDescent="0.35">
      <c r="B134" t="s">
        <v>214</v>
      </c>
      <c r="C134" t="s">
        <v>1171</v>
      </c>
      <c r="D134" t="s">
        <v>1150</v>
      </c>
      <c r="E134">
        <v>92</v>
      </c>
      <c r="F134">
        <v>668</v>
      </c>
      <c r="G134">
        <v>807</v>
      </c>
      <c r="H134">
        <v>201</v>
      </c>
      <c r="I134">
        <v>7</v>
      </c>
      <c r="K134">
        <v>1775</v>
      </c>
    </row>
    <row r="135" spans="2:11" x14ac:dyDescent="0.35">
      <c r="B135" t="s">
        <v>214</v>
      </c>
      <c r="C135" t="s">
        <v>1180</v>
      </c>
      <c r="D135" t="s">
        <v>1155</v>
      </c>
      <c r="E135">
        <v>5</v>
      </c>
      <c r="F135">
        <v>10</v>
      </c>
      <c r="G135">
        <v>59</v>
      </c>
      <c r="H135">
        <v>12</v>
      </c>
      <c r="I135">
        <v>2</v>
      </c>
      <c r="K135">
        <v>88</v>
      </c>
    </row>
    <row r="136" spans="2:11" x14ac:dyDescent="0.35">
      <c r="B136" t="s">
        <v>214</v>
      </c>
      <c r="C136" t="s">
        <v>1168</v>
      </c>
      <c r="D136" t="s">
        <v>1161</v>
      </c>
      <c r="E136">
        <v>0</v>
      </c>
      <c r="F136">
        <v>34</v>
      </c>
      <c r="G136">
        <v>121</v>
      </c>
      <c r="H136">
        <v>33</v>
      </c>
      <c r="I136">
        <v>1</v>
      </c>
      <c r="K136">
        <v>189</v>
      </c>
    </row>
    <row r="137" spans="2:11" x14ac:dyDescent="0.35">
      <c r="B137" t="s">
        <v>313</v>
      </c>
      <c r="C137" t="s">
        <v>1171</v>
      </c>
      <c r="D137" t="s">
        <v>1150</v>
      </c>
      <c r="E137">
        <v>95</v>
      </c>
      <c r="F137">
        <v>634</v>
      </c>
      <c r="G137">
        <v>562</v>
      </c>
      <c r="H137">
        <v>187</v>
      </c>
      <c r="I137">
        <v>8</v>
      </c>
      <c r="K137">
        <v>1486</v>
      </c>
    </row>
    <row r="138" spans="2:11" x14ac:dyDescent="0.35">
      <c r="B138" t="s">
        <v>313</v>
      </c>
      <c r="C138" t="s">
        <v>1181</v>
      </c>
      <c r="D138" t="s">
        <v>1157</v>
      </c>
      <c r="E138">
        <v>9</v>
      </c>
      <c r="F138">
        <v>38</v>
      </c>
      <c r="G138">
        <v>167</v>
      </c>
      <c r="H138">
        <v>73</v>
      </c>
      <c r="I138">
        <v>2</v>
      </c>
      <c r="K138">
        <v>289</v>
      </c>
    </row>
    <row r="139" spans="2:11" x14ac:dyDescent="0.35">
      <c r="B139" t="s">
        <v>313</v>
      </c>
      <c r="C139" t="s">
        <v>1172</v>
      </c>
      <c r="D139" t="s">
        <v>1159</v>
      </c>
      <c r="E139">
        <v>2</v>
      </c>
      <c r="F139">
        <v>8</v>
      </c>
      <c r="G139">
        <v>202</v>
      </c>
      <c r="H139">
        <v>66</v>
      </c>
      <c r="I139">
        <v>1</v>
      </c>
      <c r="K139">
        <v>279</v>
      </c>
    </row>
    <row r="140" spans="2:11" x14ac:dyDescent="0.35">
      <c r="B140" t="s">
        <v>319</v>
      </c>
      <c r="C140" t="s">
        <v>1177</v>
      </c>
      <c r="D140" t="s">
        <v>1153</v>
      </c>
      <c r="E140">
        <v>42</v>
      </c>
      <c r="F140">
        <v>127</v>
      </c>
      <c r="G140">
        <v>582</v>
      </c>
      <c r="H140">
        <v>56</v>
      </c>
      <c r="I140">
        <v>1</v>
      </c>
      <c r="J140">
        <v>7</v>
      </c>
      <c r="K140">
        <v>808</v>
      </c>
    </row>
    <row r="141" spans="2:11" x14ac:dyDescent="0.35">
      <c r="B141" t="s">
        <v>319</v>
      </c>
      <c r="C141" t="s">
        <v>1170</v>
      </c>
      <c r="D141" t="s">
        <v>1156</v>
      </c>
      <c r="E141">
        <v>1</v>
      </c>
      <c r="F141">
        <v>33</v>
      </c>
      <c r="G141">
        <v>157</v>
      </c>
      <c r="H141">
        <v>39</v>
      </c>
      <c r="I141">
        <v>5</v>
      </c>
      <c r="J141">
        <v>3</v>
      </c>
      <c r="K141">
        <v>235</v>
      </c>
    </row>
    <row r="142" spans="2:11" x14ac:dyDescent="0.35">
      <c r="B142" t="s">
        <v>321</v>
      </c>
      <c r="C142" t="s">
        <v>1170</v>
      </c>
      <c r="D142" t="s">
        <v>1156</v>
      </c>
      <c r="E142">
        <v>1</v>
      </c>
      <c r="F142">
        <v>76</v>
      </c>
      <c r="G142">
        <v>378</v>
      </c>
      <c r="H142">
        <v>165</v>
      </c>
      <c r="I142">
        <v>27</v>
      </c>
      <c r="J142">
        <v>9</v>
      </c>
      <c r="K142">
        <v>647</v>
      </c>
    </row>
    <row r="143" spans="2:11" x14ac:dyDescent="0.35">
      <c r="B143" t="s">
        <v>321</v>
      </c>
      <c r="C143" t="s">
        <v>1182</v>
      </c>
      <c r="D143" t="s">
        <v>1163</v>
      </c>
      <c r="E143">
        <v>19</v>
      </c>
      <c r="F143">
        <v>21</v>
      </c>
      <c r="G143">
        <v>108</v>
      </c>
      <c r="H143">
        <v>29</v>
      </c>
      <c r="I143">
        <v>0</v>
      </c>
      <c r="J143">
        <v>2</v>
      </c>
    </row>
    <row r="144" spans="2:11" x14ac:dyDescent="0.35">
      <c r="B144" t="s">
        <v>326</v>
      </c>
      <c r="C144" t="s">
        <v>1177</v>
      </c>
      <c r="D144" t="s">
        <v>1153</v>
      </c>
      <c r="E144">
        <v>173</v>
      </c>
      <c r="F144">
        <v>101</v>
      </c>
      <c r="G144">
        <v>1493</v>
      </c>
      <c r="H144">
        <v>151</v>
      </c>
      <c r="I144">
        <v>0</v>
      </c>
      <c r="J144">
        <v>40</v>
      </c>
    </row>
    <row r="145" spans="2:11" x14ac:dyDescent="0.35">
      <c r="B145" t="s">
        <v>326</v>
      </c>
      <c r="C145" t="s">
        <v>1175</v>
      </c>
      <c r="D145" t="s">
        <v>1152</v>
      </c>
      <c r="E145">
        <v>2</v>
      </c>
      <c r="F145">
        <v>4</v>
      </c>
      <c r="G145">
        <v>15</v>
      </c>
      <c r="H145">
        <v>4</v>
      </c>
      <c r="I145">
        <v>0</v>
      </c>
    </row>
    <row r="146" spans="2:11" x14ac:dyDescent="0.35">
      <c r="B146" t="s">
        <v>326</v>
      </c>
      <c r="C146" t="s">
        <v>1172</v>
      </c>
      <c r="D146" t="s">
        <v>1159</v>
      </c>
      <c r="E146">
        <v>7</v>
      </c>
      <c r="F146">
        <v>15</v>
      </c>
      <c r="G146">
        <v>116</v>
      </c>
      <c r="H146">
        <v>26</v>
      </c>
      <c r="I146">
        <v>0</v>
      </c>
      <c r="J146">
        <v>4</v>
      </c>
    </row>
    <row r="147" spans="2:11" x14ac:dyDescent="0.35">
      <c r="B147" t="s">
        <v>327</v>
      </c>
      <c r="C147" t="s">
        <v>1176</v>
      </c>
      <c r="D147" t="s">
        <v>1154</v>
      </c>
      <c r="E147">
        <v>14</v>
      </c>
      <c r="F147">
        <v>25</v>
      </c>
      <c r="G147">
        <v>216</v>
      </c>
      <c r="H147">
        <v>23</v>
      </c>
      <c r="I147">
        <v>4</v>
      </c>
      <c r="J147">
        <v>5</v>
      </c>
      <c r="K147">
        <v>282</v>
      </c>
    </row>
    <row r="148" spans="2:11" x14ac:dyDescent="0.35">
      <c r="B148" t="s">
        <v>365</v>
      </c>
      <c r="C148" t="s">
        <v>1174</v>
      </c>
      <c r="D148" t="s">
        <v>1164</v>
      </c>
      <c r="E148">
        <v>27</v>
      </c>
      <c r="F148">
        <v>259</v>
      </c>
      <c r="G148">
        <v>173</v>
      </c>
      <c r="H148">
        <v>222</v>
      </c>
      <c r="I148">
        <v>2</v>
      </c>
      <c r="K148">
        <v>683</v>
      </c>
    </row>
    <row r="149" spans="2:11" x14ac:dyDescent="0.35">
      <c r="B149" t="s">
        <v>366</v>
      </c>
      <c r="C149" t="s">
        <v>1177</v>
      </c>
      <c r="D149" t="s">
        <v>1153</v>
      </c>
      <c r="E149">
        <v>141</v>
      </c>
      <c r="F149">
        <v>272</v>
      </c>
      <c r="G149">
        <v>2548</v>
      </c>
      <c r="H149">
        <v>91</v>
      </c>
      <c r="I149">
        <v>10</v>
      </c>
      <c r="K149">
        <v>3062</v>
      </c>
    </row>
    <row r="150" spans="2:11" x14ac:dyDescent="0.35">
      <c r="B150" t="s">
        <v>341</v>
      </c>
      <c r="C150" t="s">
        <v>1169</v>
      </c>
      <c r="D150" t="s">
        <v>1151</v>
      </c>
      <c r="E150">
        <v>0</v>
      </c>
      <c r="F150">
        <v>49</v>
      </c>
      <c r="G150">
        <v>225</v>
      </c>
      <c r="H150">
        <v>52</v>
      </c>
      <c r="I150">
        <v>3</v>
      </c>
      <c r="K150">
        <v>329</v>
      </c>
    </row>
    <row r="151" spans="2:11" x14ac:dyDescent="0.35">
      <c r="B151" t="s">
        <v>341</v>
      </c>
      <c r="C151" t="s">
        <v>1168</v>
      </c>
      <c r="D151" t="s">
        <v>1161</v>
      </c>
      <c r="E151">
        <v>0</v>
      </c>
      <c r="F151">
        <v>38</v>
      </c>
      <c r="G151">
        <v>145</v>
      </c>
      <c r="H151">
        <v>56</v>
      </c>
      <c r="I151">
        <v>4</v>
      </c>
      <c r="K151">
        <v>243</v>
      </c>
    </row>
    <row r="152" spans="2:11" x14ac:dyDescent="0.35">
      <c r="B152" t="s">
        <v>342</v>
      </c>
      <c r="C152" t="s">
        <v>1180</v>
      </c>
      <c r="D152" t="s">
        <v>1155</v>
      </c>
      <c r="E152">
        <v>6</v>
      </c>
      <c r="F152">
        <v>12</v>
      </c>
      <c r="G152">
        <v>63</v>
      </c>
      <c r="H152">
        <v>21</v>
      </c>
      <c r="I152">
        <v>2</v>
      </c>
      <c r="K152">
        <v>104</v>
      </c>
    </row>
    <row r="153" spans="2:11" x14ac:dyDescent="0.35">
      <c r="B153" t="s">
        <v>342</v>
      </c>
      <c r="C153" t="s">
        <v>1181</v>
      </c>
      <c r="D153" t="s">
        <v>1157</v>
      </c>
      <c r="E153">
        <v>5</v>
      </c>
      <c r="F153">
        <v>35</v>
      </c>
      <c r="G153">
        <v>219</v>
      </c>
      <c r="H153">
        <v>70</v>
      </c>
      <c r="I153">
        <v>3</v>
      </c>
      <c r="K153">
        <v>332</v>
      </c>
    </row>
    <row r="154" spans="2:11" x14ac:dyDescent="0.35">
      <c r="B154" t="s">
        <v>214</v>
      </c>
      <c r="C154" t="s">
        <v>1170</v>
      </c>
      <c r="D154" t="s">
        <v>1156</v>
      </c>
      <c r="E154">
        <v>0</v>
      </c>
      <c r="F154">
        <v>70</v>
      </c>
      <c r="G154">
        <v>734</v>
      </c>
      <c r="H154">
        <v>209</v>
      </c>
      <c r="I154">
        <v>17</v>
      </c>
      <c r="K154">
        <v>1030</v>
      </c>
    </row>
    <row r="155" spans="2:11" x14ac:dyDescent="0.35">
      <c r="B155" t="s">
        <v>214</v>
      </c>
      <c r="C155" t="s">
        <v>1175</v>
      </c>
      <c r="D155" t="s">
        <v>1152</v>
      </c>
      <c r="E155">
        <v>1</v>
      </c>
      <c r="F155">
        <v>2</v>
      </c>
      <c r="G155">
        <v>23</v>
      </c>
      <c r="H155">
        <v>5</v>
      </c>
      <c r="I155">
        <v>0</v>
      </c>
      <c r="K155">
        <v>31</v>
      </c>
    </row>
    <row r="156" spans="2:11" x14ac:dyDescent="0.35">
      <c r="B156" t="s">
        <v>313</v>
      </c>
      <c r="C156" t="s">
        <v>1180</v>
      </c>
      <c r="D156" t="s">
        <v>1155</v>
      </c>
      <c r="E156">
        <v>6</v>
      </c>
      <c r="F156">
        <v>8</v>
      </c>
      <c r="G156">
        <v>42</v>
      </c>
      <c r="H156">
        <v>13</v>
      </c>
      <c r="I156">
        <v>2</v>
      </c>
      <c r="K156">
        <v>71</v>
      </c>
    </row>
    <row r="157" spans="2:11" x14ac:dyDescent="0.35">
      <c r="B157" t="s">
        <v>313</v>
      </c>
      <c r="C157" t="s">
        <v>1168</v>
      </c>
      <c r="D157" t="s">
        <v>1161</v>
      </c>
      <c r="E157">
        <v>0</v>
      </c>
      <c r="F157">
        <v>23</v>
      </c>
      <c r="G157">
        <v>51</v>
      </c>
      <c r="H157">
        <v>41</v>
      </c>
      <c r="I157">
        <v>2</v>
      </c>
    </row>
    <row r="158" spans="2:11" x14ac:dyDescent="0.35">
      <c r="B158" t="s">
        <v>319</v>
      </c>
      <c r="C158" t="s">
        <v>1176</v>
      </c>
      <c r="D158" t="s">
        <v>1154</v>
      </c>
      <c r="E158">
        <v>6</v>
      </c>
      <c r="F158">
        <v>22</v>
      </c>
      <c r="G158">
        <v>174</v>
      </c>
      <c r="H158">
        <v>12</v>
      </c>
      <c r="I158">
        <v>3</v>
      </c>
      <c r="J158">
        <v>1</v>
      </c>
      <c r="K158">
        <v>217</v>
      </c>
    </row>
    <row r="159" spans="2:11" x14ac:dyDescent="0.35">
      <c r="B159" t="s">
        <v>319</v>
      </c>
      <c r="C159" t="s">
        <v>1175</v>
      </c>
      <c r="D159" t="s">
        <v>1152</v>
      </c>
      <c r="E159">
        <v>1</v>
      </c>
      <c r="F159">
        <v>2</v>
      </c>
      <c r="G159">
        <v>6</v>
      </c>
      <c r="H159">
        <v>1</v>
      </c>
      <c r="I159">
        <v>0</v>
      </c>
    </row>
    <row r="160" spans="2:11" x14ac:dyDescent="0.35">
      <c r="B160" t="s">
        <v>321</v>
      </c>
      <c r="C160" t="s">
        <v>1176</v>
      </c>
      <c r="D160" t="s">
        <v>1154</v>
      </c>
      <c r="E160">
        <v>4</v>
      </c>
      <c r="F160">
        <v>23</v>
      </c>
      <c r="G160">
        <v>193</v>
      </c>
      <c r="H160">
        <v>16</v>
      </c>
      <c r="I160">
        <v>1</v>
      </c>
      <c r="J160">
        <v>1</v>
      </c>
      <c r="K160">
        <v>237</v>
      </c>
    </row>
    <row r="161" spans="2:11" x14ac:dyDescent="0.35">
      <c r="B161" t="s">
        <v>321</v>
      </c>
      <c r="C161" t="s">
        <v>1179</v>
      </c>
      <c r="D161" t="s">
        <v>1160</v>
      </c>
      <c r="E161">
        <v>7</v>
      </c>
      <c r="F161">
        <v>80</v>
      </c>
      <c r="G161">
        <v>173</v>
      </c>
      <c r="H161">
        <v>28</v>
      </c>
      <c r="I161">
        <v>0</v>
      </c>
      <c r="J161">
        <v>2</v>
      </c>
    </row>
    <row r="162" spans="2:11" x14ac:dyDescent="0.35">
      <c r="B162" t="s">
        <v>321</v>
      </c>
      <c r="C162" t="s">
        <v>1174</v>
      </c>
      <c r="D162" t="s">
        <v>1164</v>
      </c>
      <c r="E162">
        <v>26</v>
      </c>
      <c r="F162">
        <v>60</v>
      </c>
      <c r="G162">
        <v>77</v>
      </c>
      <c r="H162">
        <v>24</v>
      </c>
      <c r="I162">
        <v>3</v>
      </c>
      <c r="J162">
        <v>3</v>
      </c>
      <c r="K162">
        <v>190</v>
      </c>
    </row>
    <row r="163" spans="2:11" x14ac:dyDescent="0.35">
      <c r="B163" t="s">
        <v>321</v>
      </c>
      <c r="C163" t="s">
        <v>1168</v>
      </c>
      <c r="D163" t="s">
        <v>1161</v>
      </c>
      <c r="E163">
        <v>0</v>
      </c>
      <c r="F163">
        <v>20</v>
      </c>
      <c r="G163">
        <v>45</v>
      </c>
      <c r="H163">
        <v>30</v>
      </c>
      <c r="I163">
        <v>5</v>
      </c>
      <c r="J163">
        <v>0</v>
      </c>
    </row>
    <row r="164" spans="2:11" x14ac:dyDescent="0.35">
      <c r="B164" t="s">
        <v>326</v>
      </c>
      <c r="C164" t="s">
        <v>1173</v>
      </c>
      <c r="D164" t="s">
        <v>1162</v>
      </c>
      <c r="E164">
        <v>0</v>
      </c>
      <c r="F164">
        <v>2</v>
      </c>
      <c r="G164">
        <v>10</v>
      </c>
      <c r="H164">
        <v>8</v>
      </c>
      <c r="I164">
        <v>0</v>
      </c>
    </row>
    <row r="165" spans="2:11" x14ac:dyDescent="0.35">
      <c r="B165" t="s">
        <v>327</v>
      </c>
      <c r="C165" t="s">
        <v>1178</v>
      </c>
      <c r="D165" t="s">
        <v>1158</v>
      </c>
      <c r="E165">
        <v>8</v>
      </c>
      <c r="F165">
        <v>39</v>
      </c>
      <c r="G165">
        <v>111</v>
      </c>
      <c r="H165">
        <v>85</v>
      </c>
      <c r="I165">
        <v>6</v>
      </c>
      <c r="K165">
        <v>249</v>
      </c>
    </row>
    <row r="166" spans="2:11" x14ac:dyDescent="0.35">
      <c r="B166" t="s">
        <v>466</v>
      </c>
      <c r="C166" t="s">
        <v>1170</v>
      </c>
      <c r="D166" t="s">
        <v>1156</v>
      </c>
      <c r="E166">
        <v>1</v>
      </c>
      <c r="F166">
        <v>115</v>
      </c>
      <c r="G166">
        <v>676</v>
      </c>
      <c r="H166">
        <v>134</v>
      </c>
      <c r="I166">
        <v>14</v>
      </c>
      <c r="J166">
        <v>60</v>
      </c>
      <c r="K166">
        <v>940</v>
      </c>
    </row>
    <row r="167" spans="2:11" x14ac:dyDescent="0.35">
      <c r="B167" t="s">
        <v>466</v>
      </c>
      <c r="C167" t="s">
        <v>1181</v>
      </c>
      <c r="D167" t="s">
        <v>1157</v>
      </c>
      <c r="E167">
        <v>2</v>
      </c>
      <c r="F167">
        <v>103</v>
      </c>
      <c r="G167">
        <v>124</v>
      </c>
      <c r="H167">
        <v>59</v>
      </c>
      <c r="I167">
        <v>2</v>
      </c>
      <c r="J167">
        <v>23</v>
      </c>
      <c r="K167">
        <v>290</v>
      </c>
    </row>
    <row r="168" spans="2:11" x14ac:dyDescent="0.35">
      <c r="B168" t="s">
        <v>466</v>
      </c>
      <c r="C168" t="s">
        <v>1169</v>
      </c>
      <c r="D168" t="s">
        <v>1151</v>
      </c>
      <c r="E168">
        <v>1</v>
      </c>
      <c r="F168">
        <v>46</v>
      </c>
      <c r="G168">
        <v>117</v>
      </c>
      <c r="H168">
        <v>41</v>
      </c>
      <c r="I168">
        <v>1</v>
      </c>
      <c r="J168">
        <v>18</v>
      </c>
      <c r="K168">
        <v>206</v>
      </c>
    </row>
    <row r="169" spans="2:11" x14ac:dyDescent="0.35">
      <c r="B169" t="s">
        <v>466</v>
      </c>
      <c r="C169" t="s">
        <v>1178</v>
      </c>
      <c r="D169" t="s">
        <v>1158</v>
      </c>
      <c r="E169">
        <v>6</v>
      </c>
      <c r="F169">
        <v>24</v>
      </c>
      <c r="G169">
        <v>88</v>
      </c>
      <c r="H169">
        <v>74</v>
      </c>
      <c r="I169">
        <v>3</v>
      </c>
      <c r="J169">
        <v>17</v>
      </c>
      <c r="K169">
        <v>195</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theme="3" tint="0.39997558519241921"/>
  </sheetPr>
  <dimension ref="A1:L54"/>
  <sheetViews>
    <sheetView showGridLines="0" workbookViewId="0">
      <pane ySplit="2" topLeftCell="A3" activePane="bottomLeft" state="frozen"/>
      <selection pane="bottomLeft"/>
    </sheetView>
  </sheetViews>
  <sheetFormatPr defaultRowHeight="14.5" x14ac:dyDescent="0.35"/>
  <cols>
    <col min="1" max="1" width="30.7265625" bestFit="1" customWidth="1"/>
    <col min="2" max="7" width="13.1796875" customWidth="1"/>
  </cols>
  <sheetData>
    <row r="1" spans="1:12" ht="21" customHeight="1" x14ac:dyDescent="0.35">
      <c r="A1" s="514" t="s">
        <v>1127</v>
      </c>
    </row>
    <row r="2" spans="1:12" ht="21.65" customHeight="1" x14ac:dyDescent="0.35">
      <c r="A2" s="499" t="s">
        <v>201</v>
      </c>
    </row>
    <row r="3" spans="1:12" x14ac:dyDescent="0.35">
      <c r="A3" s="25"/>
    </row>
    <row r="4" spans="1:12" ht="15.5" x14ac:dyDescent="0.35">
      <c r="A4" s="439" t="s">
        <v>1278</v>
      </c>
      <c r="B4" s="439"/>
    </row>
    <row r="5" spans="1:12" x14ac:dyDescent="0.35">
      <c r="A5" t="s">
        <v>202</v>
      </c>
      <c r="B5" t="s">
        <v>194</v>
      </c>
    </row>
    <row r="6" spans="1:12" x14ac:dyDescent="0.35">
      <c r="A6" t="s">
        <v>203</v>
      </c>
      <c r="B6" t="s">
        <v>204</v>
      </c>
    </row>
    <row r="7" spans="1:12" x14ac:dyDescent="0.35">
      <c r="A7" t="s">
        <v>205</v>
      </c>
      <c r="B7" t="s">
        <v>206</v>
      </c>
    </row>
    <row r="9" spans="1:12" x14ac:dyDescent="0.35">
      <c r="A9" s="403" t="s">
        <v>1279</v>
      </c>
      <c r="B9" s="404" t="s">
        <v>1280</v>
      </c>
      <c r="C9" s="404" t="s">
        <v>1281</v>
      </c>
      <c r="D9" s="404" t="s">
        <v>1282</v>
      </c>
      <c r="E9" s="404" t="s">
        <v>1283</v>
      </c>
      <c r="F9" s="404" t="s">
        <v>1284</v>
      </c>
      <c r="G9" s="404" t="s">
        <v>856</v>
      </c>
      <c r="H9" s="405" t="s">
        <v>340</v>
      </c>
    </row>
    <row r="10" spans="1:12" x14ac:dyDescent="0.35">
      <c r="A10" s="406" t="s">
        <v>1154</v>
      </c>
      <c r="B10" s="407">
        <f>GETPIVOTDATA("Sum of VL",riskpivot!$B$4,"PremisesType",A10)</f>
        <v>25</v>
      </c>
      <c r="C10" s="407">
        <f>GETPIVOTDATA("Sum of L",riskpivot!$B$4,"PremisesType",A10)</f>
        <v>26</v>
      </c>
      <c r="D10" s="407">
        <f>GETPIVOTDATA("Sum of M",riskpivot!$B$4,"PremisesType",A10)</f>
        <v>235</v>
      </c>
      <c r="E10" s="407">
        <f>GETPIVOTDATA("Sum of H",riskpivot!$B$4,"PremisesType",A10)</f>
        <v>15</v>
      </c>
      <c r="F10" s="407">
        <f>GETPIVOTDATA("Sum of VH",riskpivot!$B$4,"PremisesType",A10)</f>
        <v>2</v>
      </c>
      <c r="G10" s="407">
        <f>GETPIVOTDATA("Sum of Not Known",riskpivot!$B$4,"PremisesType",A10)</f>
        <v>17</v>
      </c>
      <c r="H10" s="408">
        <f>SUM(B10:G10)</f>
        <v>320</v>
      </c>
      <c r="I10" s="398"/>
      <c r="J10" s="398"/>
      <c r="K10" s="398"/>
      <c r="L10" s="398"/>
    </row>
    <row r="11" spans="1:12" x14ac:dyDescent="0.35">
      <c r="A11" s="406" t="s">
        <v>1150</v>
      </c>
      <c r="B11" s="407">
        <f>GETPIVOTDATA("Sum of VL",riskpivot!$B$4,"PremisesType",A11)</f>
        <v>113</v>
      </c>
      <c r="C11" s="407">
        <f>GETPIVOTDATA("Sum of L",riskpivot!$B$4,"PremisesType",A11)</f>
        <v>705</v>
      </c>
      <c r="D11" s="407">
        <f>GETPIVOTDATA("Sum of M",riskpivot!$B$4,"PremisesType",A11)</f>
        <v>512</v>
      </c>
      <c r="E11" s="407">
        <f>GETPIVOTDATA("Sum of H",riskpivot!$B$4,"PremisesType",A11)</f>
        <v>170</v>
      </c>
      <c r="F11" s="407">
        <f>GETPIVOTDATA("Sum of VH",riskpivot!$B$4,"PremisesType",A11)</f>
        <v>9</v>
      </c>
      <c r="G11" s="407">
        <f>GETPIVOTDATA("Sum of Not Known",riskpivot!$B$4,"PremisesType",A11)</f>
        <v>120</v>
      </c>
      <c r="H11" s="408">
        <f>SUM(B11:G11)</f>
        <v>1629</v>
      </c>
      <c r="I11" s="398"/>
      <c r="J11" s="398"/>
      <c r="K11" s="398"/>
      <c r="L11" s="398"/>
    </row>
    <row r="12" spans="1:12" x14ac:dyDescent="0.35">
      <c r="A12" s="406" t="s">
        <v>1153</v>
      </c>
      <c r="B12" s="407">
        <f>GETPIVOTDATA("Sum of VL",riskpivot!$B$4,"PremisesType",A12)</f>
        <v>45</v>
      </c>
      <c r="C12" s="407">
        <f>GETPIVOTDATA("Sum of L",riskpivot!$B$4,"PremisesType",A12)</f>
        <v>149</v>
      </c>
      <c r="D12" s="407">
        <f>GETPIVOTDATA("Sum of M",riskpivot!$B$4,"PremisesType",A12)</f>
        <v>1802</v>
      </c>
      <c r="E12" s="407">
        <f>GETPIVOTDATA("Sum of H",riskpivot!$B$4,"PremisesType",A12)</f>
        <v>150</v>
      </c>
      <c r="F12" s="407">
        <f>GETPIVOTDATA("Sum of VH",riskpivot!$B$4,"PremisesType",A12)</f>
        <v>1</v>
      </c>
      <c r="G12" s="407">
        <f>GETPIVOTDATA("Sum of Not Known",riskpivot!$B$4,"PremisesType",A12)</f>
        <v>253</v>
      </c>
      <c r="H12" s="408">
        <f t="shared" ref="H12:H24" si="0">SUM(B12:G12)</f>
        <v>2400</v>
      </c>
      <c r="I12" s="398"/>
      <c r="J12" s="398"/>
      <c r="K12" s="398"/>
      <c r="L12" s="398"/>
    </row>
    <row r="13" spans="1:12" x14ac:dyDescent="0.35">
      <c r="A13" s="406" t="s">
        <v>1155</v>
      </c>
      <c r="B13" s="407">
        <f>GETPIVOTDATA("Sum of VL",riskpivot!$B$4,"PremisesType",A13)</f>
        <v>5</v>
      </c>
      <c r="C13" s="407">
        <f>GETPIVOTDATA("Sum of L",riskpivot!$B$4,"PremisesType",A13)</f>
        <v>4</v>
      </c>
      <c r="D13" s="407">
        <f>GETPIVOTDATA("Sum of M",riskpivot!$B$4,"PremisesType",A13)</f>
        <v>33</v>
      </c>
      <c r="E13" s="407">
        <f>GETPIVOTDATA("Sum of H",riskpivot!$B$4,"PremisesType",A13)</f>
        <v>12</v>
      </c>
      <c r="F13" s="407">
        <f>GETPIVOTDATA("Sum of VH",riskpivot!$B$4,"PremisesType",A13)</f>
        <v>2</v>
      </c>
      <c r="G13" s="407">
        <f>GETPIVOTDATA("Sum of Not Known",riskpivot!$B$4,"PremisesType",A13)</f>
        <v>3</v>
      </c>
      <c r="H13" s="408">
        <f t="shared" si="0"/>
        <v>59</v>
      </c>
      <c r="I13" s="398"/>
      <c r="J13" s="398"/>
      <c r="K13" s="398"/>
      <c r="L13" s="398"/>
    </row>
    <row r="14" spans="1:12" x14ac:dyDescent="0.35">
      <c r="A14" s="406" t="s">
        <v>1156</v>
      </c>
      <c r="B14" s="407">
        <f>GETPIVOTDATA("Sum of VL",riskpivot!$B$4,"PremisesType",A14)</f>
        <v>1</v>
      </c>
      <c r="C14" s="407">
        <f>GETPIVOTDATA("Sum of L",riskpivot!$B$4,"PremisesType",A14)</f>
        <v>115</v>
      </c>
      <c r="D14" s="407">
        <f>GETPIVOTDATA("Sum of M",riskpivot!$B$4,"PremisesType",A14)</f>
        <v>676</v>
      </c>
      <c r="E14" s="407">
        <f>GETPIVOTDATA("Sum of H",riskpivot!$B$4,"PremisesType",A14)</f>
        <v>134</v>
      </c>
      <c r="F14" s="407">
        <f>GETPIVOTDATA("Sum of VH",riskpivot!$B$4,"PremisesType",A14)</f>
        <v>14</v>
      </c>
      <c r="G14" s="407">
        <f>GETPIVOTDATA("Sum of Not Known",riskpivot!$B$4,"PremisesType",A14)</f>
        <v>60</v>
      </c>
      <c r="H14" s="408">
        <f t="shared" si="0"/>
        <v>1000</v>
      </c>
      <c r="I14" s="398"/>
      <c r="J14" s="398"/>
      <c r="K14" s="398"/>
      <c r="L14" s="398"/>
    </row>
    <row r="15" spans="1:12" x14ac:dyDescent="0.35">
      <c r="A15" s="406" t="s">
        <v>1160</v>
      </c>
      <c r="B15" s="407">
        <f>GETPIVOTDATA("Sum of VL",riskpivot!$B$4,"PremisesType",A15)</f>
        <v>6</v>
      </c>
      <c r="C15" s="407">
        <f>GETPIVOTDATA("Sum of L",riskpivot!$B$4,"PremisesType",A15)</f>
        <v>574</v>
      </c>
      <c r="D15" s="407">
        <f>GETPIVOTDATA("Sum of M",riskpivot!$B$4,"PremisesType",A15)</f>
        <v>816</v>
      </c>
      <c r="E15" s="407">
        <f>GETPIVOTDATA("Sum of H",riskpivot!$B$4,"PremisesType",A15)</f>
        <v>78</v>
      </c>
      <c r="F15" s="407">
        <f>GETPIVOTDATA("Sum of VH",riskpivot!$B$4,"PremisesType",A15)</f>
        <v>0</v>
      </c>
      <c r="G15" s="407">
        <f>GETPIVOTDATA("Sum of Not Known",riskpivot!$B$4,"PremisesType",A15)</f>
        <v>98</v>
      </c>
      <c r="H15" s="408">
        <f t="shared" si="0"/>
        <v>1572</v>
      </c>
      <c r="I15" s="398"/>
      <c r="J15" s="398"/>
      <c r="K15" s="398"/>
      <c r="L15" s="398"/>
    </row>
    <row r="16" spans="1:12" x14ac:dyDescent="0.35">
      <c r="A16" s="406" t="s">
        <v>1152</v>
      </c>
      <c r="B16" s="407">
        <f>GETPIVOTDATA("Sum of VL",riskpivot!$B$4,"PremisesType",A16)</f>
        <v>1</v>
      </c>
      <c r="C16" s="407">
        <f>GETPIVOTDATA("Sum of L",riskpivot!$B$4,"PremisesType",A16)</f>
        <v>5</v>
      </c>
      <c r="D16" s="407">
        <f>GETPIVOTDATA("Sum of M",riskpivot!$B$4,"PremisesType",A16)</f>
        <v>14</v>
      </c>
      <c r="E16" s="407">
        <f>GETPIVOTDATA("Sum of H",riskpivot!$B$4,"PremisesType",A16)</f>
        <v>0</v>
      </c>
      <c r="F16" s="407">
        <f>GETPIVOTDATA("Sum of VH",riskpivot!$B$4,"PremisesType",A16)</f>
        <v>0</v>
      </c>
      <c r="G16" s="407">
        <f>GETPIVOTDATA("Sum of Not Known",riskpivot!$B$4,"PremisesType",A16)</f>
        <v>1</v>
      </c>
      <c r="H16" s="408">
        <f t="shared" si="0"/>
        <v>21</v>
      </c>
      <c r="I16" s="398"/>
      <c r="J16" s="398"/>
      <c r="K16" s="398"/>
      <c r="L16" s="398"/>
    </row>
    <row r="17" spans="1:12" x14ac:dyDescent="0.35">
      <c r="A17" s="406" t="s">
        <v>1162</v>
      </c>
      <c r="B17" s="407">
        <f>GETPIVOTDATA("Sum of VL",riskpivot!$B$4,"PremisesType",A17)</f>
        <v>1</v>
      </c>
      <c r="C17" s="407">
        <f>GETPIVOTDATA("Sum of L",riskpivot!$B$4,"PremisesType",A17)</f>
        <v>1</v>
      </c>
      <c r="D17" s="407">
        <f>GETPIVOTDATA("Sum of M",riskpivot!$B$4,"PremisesType",A17)</f>
        <v>22</v>
      </c>
      <c r="E17" s="407">
        <f>GETPIVOTDATA("Sum of H",riskpivot!$B$4,"PremisesType",A17)</f>
        <v>12</v>
      </c>
      <c r="F17" s="407">
        <f>GETPIVOTDATA("Sum of VH",riskpivot!$B$4,"PremisesType",A17)</f>
        <v>0</v>
      </c>
      <c r="G17" s="407">
        <f>GETPIVOTDATA("Sum of Not Known",riskpivot!$B$4,"PremisesType",A17)</f>
        <v>1</v>
      </c>
      <c r="H17" s="408">
        <f t="shared" si="0"/>
        <v>37</v>
      </c>
      <c r="I17" s="398"/>
      <c r="J17" s="398"/>
      <c r="K17" s="398"/>
      <c r="L17" s="398"/>
    </row>
    <row r="18" spans="1:12" x14ac:dyDescent="0.35">
      <c r="A18" s="406" t="s">
        <v>1157</v>
      </c>
      <c r="B18" s="407">
        <f>GETPIVOTDATA("Sum of VL",riskpivot!$B$4,"PremisesType",A18)</f>
        <v>2</v>
      </c>
      <c r="C18" s="407">
        <f>GETPIVOTDATA("Sum of L",riskpivot!$B$4,"PremisesType",A18)</f>
        <v>103</v>
      </c>
      <c r="D18" s="407">
        <f>GETPIVOTDATA("Sum of M",riskpivot!$B$4,"PremisesType",A18)</f>
        <v>124</v>
      </c>
      <c r="E18" s="407">
        <f>GETPIVOTDATA("Sum of H",riskpivot!$B$4,"PremisesType",A18)</f>
        <v>59</v>
      </c>
      <c r="F18" s="407">
        <f>GETPIVOTDATA("Sum of VH",riskpivot!$B$4,"PremisesType",A18)</f>
        <v>2</v>
      </c>
      <c r="G18" s="407">
        <f>GETPIVOTDATA("Sum of Not Known",riskpivot!$B$4,"PremisesType",A18)</f>
        <v>23</v>
      </c>
      <c r="H18" s="408">
        <f t="shared" si="0"/>
        <v>313</v>
      </c>
      <c r="I18" s="398"/>
      <c r="J18" s="398"/>
      <c r="K18" s="398"/>
      <c r="L18" s="398"/>
    </row>
    <row r="19" spans="1:12" x14ac:dyDescent="0.35">
      <c r="A19" s="406" t="s">
        <v>1163</v>
      </c>
      <c r="B19" s="407">
        <f>GETPIVOTDATA("Sum of VL",riskpivot!$B$4,"PremisesType",A19)</f>
        <v>32</v>
      </c>
      <c r="C19" s="407">
        <f>GETPIVOTDATA("Sum of L",riskpivot!$B$4,"PremisesType",A19)</f>
        <v>45</v>
      </c>
      <c r="D19" s="407">
        <f>GETPIVOTDATA("Sum of M",riskpivot!$B$4,"PremisesType",A19)</f>
        <v>184</v>
      </c>
      <c r="E19" s="407">
        <f>GETPIVOTDATA("Sum of H",riskpivot!$B$4,"PremisesType",A19)</f>
        <v>26</v>
      </c>
      <c r="F19" s="407">
        <f>GETPIVOTDATA("Sum of VH",riskpivot!$B$4,"PremisesType",A19)</f>
        <v>1</v>
      </c>
      <c r="G19" s="407">
        <f>GETPIVOTDATA("Sum of Not Known",riskpivot!$B$4,"PremisesType",A19)</f>
        <v>6</v>
      </c>
      <c r="H19" s="408">
        <f>SUM(B19:G19)</f>
        <v>294</v>
      </c>
      <c r="I19" s="398"/>
      <c r="J19" s="398"/>
      <c r="K19" s="398"/>
      <c r="L19" s="398"/>
    </row>
    <row r="20" spans="1:12" x14ac:dyDescent="0.35">
      <c r="A20" s="406" t="s">
        <v>1164</v>
      </c>
      <c r="B20" s="407">
        <f>GETPIVOTDATA("Sum of VL",riskpivot!$B$4,"PremisesType",A20)</f>
        <v>48</v>
      </c>
      <c r="C20" s="407">
        <f>GETPIVOTDATA("Sum of L",riskpivot!$B$4,"PremisesType",A20)</f>
        <v>76</v>
      </c>
      <c r="D20" s="407">
        <f>GETPIVOTDATA("Sum of M",riskpivot!$B$4,"PremisesType",A20)</f>
        <v>124</v>
      </c>
      <c r="E20" s="407">
        <f>GETPIVOTDATA("Sum of H",riskpivot!$B$4,"PremisesType",A20)</f>
        <v>51</v>
      </c>
      <c r="F20" s="407">
        <f>GETPIVOTDATA("Sum of VH",riskpivot!$B$4,"PremisesType",A20)</f>
        <v>1</v>
      </c>
      <c r="G20" s="407">
        <f>GETPIVOTDATA("Sum of Not Known",riskpivot!$B$4,"PremisesType",A20)</f>
        <v>49</v>
      </c>
      <c r="H20" s="408">
        <f t="shared" si="0"/>
        <v>349</v>
      </c>
      <c r="I20" s="398"/>
      <c r="J20" s="398"/>
      <c r="K20" s="398"/>
      <c r="L20" s="398"/>
    </row>
    <row r="21" spans="1:12" x14ac:dyDescent="0.35">
      <c r="A21" s="406" t="s">
        <v>1159</v>
      </c>
      <c r="B21" s="407">
        <f>GETPIVOTDATA("Sum of VL",riskpivot!$B$4,"PremisesType",A21)</f>
        <v>8</v>
      </c>
      <c r="C21" s="407">
        <f>GETPIVOTDATA("Sum of L",riskpivot!$B$4,"PremisesType",A21)</f>
        <v>15</v>
      </c>
      <c r="D21" s="407">
        <f>GETPIVOTDATA("Sum of M",riskpivot!$B$4,"PremisesType",A21)</f>
        <v>126</v>
      </c>
      <c r="E21" s="407">
        <f>GETPIVOTDATA("Sum of H",riskpivot!$B$4,"PremisesType",A21)</f>
        <v>42</v>
      </c>
      <c r="F21" s="407">
        <f>GETPIVOTDATA("Sum of VH",riskpivot!$B$4,"PremisesType",A21)</f>
        <v>1</v>
      </c>
      <c r="G21" s="407">
        <f>GETPIVOTDATA("Sum of Not Known",riskpivot!$B$4,"PremisesType",A21)</f>
        <v>17</v>
      </c>
      <c r="H21" s="408">
        <f t="shared" si="0"/>
        <v>209</v>
      </c>
      <c r="I21" s="398"/>
      <c r="J21" s="398"/>
      <c r="K21" s="398"/>
      <c r="L21" s="398"/>
    </row>
    <row r="22" spans="1:12" x14ac:dyDescent="0.35">
      <c r="A22" s="406" t="s">
        <v>1151</v>
      </c>
      <c r="B22" s="407">
        <f>GETPIVOTDATA("Sum of VL",riskpivot!$B$4,"PremisesType",A22)</f>
        <v>1</v>
      </c>
      <c r="C22" s="407">
        <f>GETPIVOTDATA("Sum of L",riskpivot!$B$4,"PremisesType",A22)</f>
        <v>46</v>
      </c>
      <c r="D22" s="407">
        <f>GETPIVOTDATA("Sum of M",riskpivot!$B$4,"PremisesType",A22)</f>
        <v>117</v>
      </c>
      <c r="E22" s="407">
        <f>GETPIVOTDATA("Sum of H",riskpivot!$B$4,"PremisesType",A22)</f>
        <v>41</v>
      </c>
      <c r="F22" s="407">
        <f>GETPIVOTDATA("Sum of VH",riskpivot!$B$4,"PremisesType",A22)</f>
        <v>1</v>
      </c>
      <c r="G22" s="407">
        <f>GETPIVOTDATA("Sum of Not Known",riskpivot!$B$4,"PremisesType",A22)</f>
        <v>18</v>
      </c>
      <c r="H22" s="408">
        <f t="shared" si="0"/>
        <v>224</v>
      </c>
      <c r="I22" s="398"/>
      <c r="J22" s="398"/>
      <c r="K22" s="398"/>
      <c r="L22" s="398"/>
    </row>
    <row r="23" spans="1:12" x14ac:dyDescent="0.35">
      <c r="A23" s="406" t="s">
        <v>1158</v>
      </c>
      <c r="B23" s="407">
        <f>GETPIVOTDATA("Sum of VL",riskpivot!$B$4,"PremisesType",A23)</f>
        <v>6</v>
      </c>
      <c r="C23" s="407">
        <f>GETPIVOTDATA("Sum of L",riskpivot!$B$4,"PremisesType",A23)</f>
        <v>24</v>
      </c>
      <c r="D23" s="407">
        <f>GETPIVOTDATA("Sum of M",riskpivot!$B$4,"PremisesType",A23)</f>
        <v>88</v>
      </c>
      <c r="E23" s="407">
        <f>GETPIVOTDATA("Sum of H",riskpivot!$B$4,"PremisesType",A23)</f>
        <v>74</v>
      </c>
      <c r="F23" s="407">
        <f>GETPIVOTDATA("Sum of VH",riskpivot!$B$4,"PremisesType",A23)</f>
        <v>3</v>
      </c>
      <c r="G23" s="407">
        <f>GETPIVOTDATA("Sum of Not Known",riskpivot!$B$4,"PremisesType",A23)</f>
        <v>17</v>
      </c>
      <c r="H23" s="408">
        <f t="shared" si="0"/>
        <v>212</v>
      </c>
      <c r="I23" s="398"/>
      <c r="J23" s="398"/>
      <c r="K23" s="398"/>
      <c r="L23" s="398"/>
    </row>
    <row r="24" spans="1:12" x14ac:dyDescent="0.35">
      <c r="A24" s="406" t="s">
        <v>1192</v>
      </c>
      <c r="B24" s="407">
        <f>GETPIVOTDATA("Sum of VL",riskpivot!$B$4,"PremisesType",A24)</f>
        <v>0</v>
      </c>
      <c r="C24" s="407">
        <f>GETPIVOTDATA("Sum of L",riskpivot!$B$4,"PremisesType",A24)</f>
        <v>38</v>
      </c>
      <c r="D24" s="407">
        <f>GETPIVOTDATA("Sum of M",riskpivot!$B$4,"PremisesType",A24)</f>
        <v>28</v>
      </c>
      <c r="E24" s="407">
        <f>GETPIVOTDATA("Sum of H",riskpivot!$B$4,"PremisesType",A24)</f>
        <v>46</v>
      </c>
      <c r="F24" s="407">
        <f>GETPIVOTDATA("Sum of VH",riskpivot!$B$4,"PremisesType",A24)</f>
        <v>9</v>
      </c>
      <c r="G24" s="407">
        <f>GETPIVOTDATA("Sum of Not Known",riskpivot!$B$4,"PremisesType",A24)</f>
        <v>8</v>
      </c>
      <c r="H24" s="408">
        <f t="shared" si="0"/>
        <v>129</v>
      </c>
      <c r="I24" s="398"/>
      <c r="J24" s="398"/>
      <c r="K24" s="398"/>
      <c r="L24" s="398"/>
    </row>
    <row r="25" spans="1:12" ht="15" thickBot="1" x14ac:dyDescent="0.4">
      <c r="A25" s="259" t="s">
        <v>618</v>
      </c>
      <c r="B25" s="409">
        <f>SUM(B10:B24)</f>
        <v>294</v>
      </c>
      <c r="C25" s="409">
        <f t="shared" ref="C25:G25" si="1">SUM(C10:C24)</f>
        <v>1926</v>
      </c>
      <c r="D25" s="409">
        <f t="shared" si="1"/>
        <v>4901</v>
      </c>
      <c r="E25" s="409">
        <f t="shared" si="1"/>
        <v>910</v>
      </c>
      <c r="F25" s="409">
        <f t="shared" si="1"/>
        <v>46</v>
      </c>
      <c r="G25" s="409">
        <f t="shared" si="1"/>
        <v>691</v>
      </c>
      <c r="H25" s="409">
        <f>SUM(H10:H24)</f>
        <v>8768</v>
      </c>
      <c r="I25" s="398"/>
      <c r="J25" s="398"/>
      <c r="K25" s="398"/>
      <c r="L25" s="398"/>
    </row>
    <row r="27" spans="1:12" x14ac:dyDescent="0.35">
      <c r="A27" s="334" t="s">
        <v>329</v>
      </c>
      <c r="B27" s="363"/>
      <c r="C27" s="363"/>
      <c r="D27" s="363"/>
      <c r="E27" s="363"/>
      <c r="F27" s="363"/>
      <c r="G27" s="363"/>
      <c r="H27" s="410"/>
    </row>
    <row r="28" spans="1:12" ht="32.25" customHeight="1" x14ac:dyDescent="0.35">
      <c r="A28" s="1010" t="s">
        <v>1285</v>
      </c>
      <c r="B28" s="1010"/>
      <c r="C28" s="1010"/>
      <c r="D28" s="1010"/>
      <c r="E28" s="1010"/>
      <c r="F28" s="1010"/>
      <c r="G28" s="1010"/>
      <c r="H28" s="1010"/>
    </row>
    <row r="30" spans="1:12" ht="15.5" x14ac:dyDescent="0.35">
      <c r="A30" s="439" t="s">
        <v>1286</v>
      </c>
      <c r="B30" s="439"/>
    </row>
    <row r="31" spans="1:12" x14ac:dyDescent="0.35">
      <c r="A31" t="s">
        <v>202</v>
      </c>
      <c r="B31" t="s">
        <v>195</v>
      </c>
    </row>
    <row r="32" spans="1:12" x14ac:dyDescent="0.35">
      <c r="A32" t="s">
        <v>203</v>
      </c>
      <c r="B32" t="s">
        <v>204</v>
      </c>
    </row>
    <row r="33" spans="1:8" x14ac:dyDescent="0.35">
      <c r="A33" t="s">
        <v>205</v>
      </c>
      <c r="B33" t="s">
        <v>206</v>
      </c>
    </row>
    <row r="35" spans="1:8" x14ac:dyDescent="0.35">
      <c r="A35" s="411" t="s">
        <v>1279</v>
      </c>
      <c r="B35" s="404" t="s">
        <v>1280</v>
      </c>
      <c r="C35" s="404" t="s">
        <v>1281</v>
      </c>
      <c r="D35" s="404" t="s">
        <v>1282</v>
      </c>
      <c r="E35" s="404" t="s">
        <v>1283</v>
      </c>
      <c r="F35" s="404" t="s">
        <v>1284</v>
      </c>
      <c r="G35" s="404" t="s">
        <v>856</v>
      </c>
      <c r="H35" s="79" t="s">
        <v>340</v>
      </c>
    </row>
    <row r="36" spans="1:8" x14ac:dyDescent="0.35">
      <c r="A36" s="412" t="s">
        <v>1154</v>
      </c>
      <c r="B36" s="769">
        <f t="shared" ref="B36:G37" si="2">B10/$H10*100</f>
        <v>7.8125</v>
      </c>
      <c r="C36" s="769">
        <f t="shared" si="2"/>
        <v>8.125</v>
      </c>
      <c r="D36" s="769">
        <f t="shared" si="2"/>
        <v>73.4375</v>
      </c>
      <c r="E36" s="769">
        <f t="shared" si="2"/>
        <v>4.6875</v>
      </c>
      <c r="F36" s="769">
        <f t="shared" si="2"/>
        <v>0.625</v>
      </c>
      <c r="G36" s="769">
        <f t="shared" si="2"/>
        <v>5.3125</v>
      </c>
      <c r="H36" s="770">
        <f t="shared" ref="H36" si="3">SUM(B36:F36)</f>
        <v>94.6875</v>
      </c>
    </row>
    <row r="37" spans="1:8" x14ac:dyDescent="0.35">
      <c r="A37" s="412" t="s">
        <v>1150</v>
      </c>
      <c r="B37" s="769">
        <f t="shared" si="2"/>
        <v>6.9367710251688157</v>
      </c>
      <c r="C37" s="769">
        <f t="shared" si="2"/>
        <v>43.278084714548804</v>
      </c>
      <c r="D37" s="769">
        <f t="shared" si="2"/>
        <v>31.430325352977285</v>
      </c>
      <c r="E37" s="769">
        <f t="shared" si="2"/>
        <v>10.435850214855739</v>
      </c>
      <c r="F37" s="769">
        <f t="shared" si="2"/>
        <v>0.55248618784530379</v>
      </c>
      <c r="G37" s="769">
        <f t="shared" si="2"/>
        <v>7.3664825046040523</v>
      </c>
      <c r="H37" s="770">
        <f t="shared" ref="H37:H50" si="4">SUM(B37:F37)</f>
        <v>92.633517495395949</v>
      </c>
    </row>
    <row r="38" spans="1:8" x14ac:dyDescent="0.35">
      <c r="A38" s="412" t="s">
        <v>1153</v>
      </c>
      <c r="B38" s="769">
        <f t="shared" ref="B38:G38" si="5">B12/$H12*100</f>
        <v>1.875</v>
      </c>
      <c r="C38" s="769">
        <f t="shared" si="5"/>
        <v>6.208333333333333</v>
      </c>
      <c r="D38" s="769">
        <f t="shared" si="5"/>
        <v>75.083333333333329</v>
      </c>
      <c r="E38" s="769">
        <f t="shared" si="5"/>
        <v>6.25</v>
      </c>
      <c r="F38" s="769">
        <f t="shared" si="5"/>
        <v>4.1666666666666671E-2</v>
      </c>
      <c r="G38" s="769">
        <f t="shared" si="5"/>
        <v>10.541666666666668</v>
      </c>
      <c r="H38" s="770">
        <f t="shared" si="4"/>
        <v>89.458333333333329</v>
      </c>
    </row>
    <row r="39" spans="1:8" x14ac:dyDescent="0.35">
      <c r="A39" s="412" t="s">
        <v>1155</v>
      </c>
      <c r="B39" s="769">
        <f t="shared" ref="B39:G39" si="6">B13/$H13*100</f>
        <v>8.4745762711864394</v>
      </c>
      <c r="C39" s="769">
        <f t="shared" si="6"/>
        <v>6.7796610169491522</v>
      </c>
      <c r="D39" s="769">
        <f t="shared" si="6"/>
        <v>55.932203389830505</v>
      </c>
      <c r="E39" s="769">
        <f t="shared" si="6"/>
        <v>20.33898305084746</v>
      </c>
      <c r="F39" s="769">
        <f t="shared" si="6"/>
        <v>3.3898305084745761</v>
      </c>
      <c r="G39" s="769">
        <f t="shared" si="6"/>
        <v>5.0847457627118651</v>
      </c>
      <c r="H39" s="770">
        <f t="shared" si="4"/>
        <v>94.915254237288124</v>
      </c>
    </row>
    <row r="40" spans="1:8" x14ac:dyDescent="0.35">
      <c r="A40" s="412" t="s">
        <v>1156</v>
      </c>
      <c r="B40" s="769">
        <f t="shared" ref="B40:G40" si="7">B14/$H14*100</f>
        <v>0.1</v>
      </c>
      <c r="C40" s="769">
        <f t="shared" si="7"/>
        <v>11.5</v>
      </c>
      <c r="D40" s="769">
        <f t="shared" si="7"/>
        <v>67.600000000000009</v>
      </c>
      <c r="E40" s="769">
        <f t="shared" si="7"/>
        <v>13.4</v>
      </c>
      <c r="F40" s="769">
        <f t="shared" si="7"/>
        <v>1.4000000000000001</v>
      </c>
      <c r="G40" s="769">
        <f t="shared" si="7"/>
        <v>6</v>
      </c>
      <c r="H40" s="770">
        <f t="shared" si="4"/>
        <v>94.000000000000014</v>
      </c>
    </row>
    <row r="41" spans="1:8" x14ac:dyDescent="0.35">
      <c r="A41" s="412" t="s">
        <v>1160</v>
      </c>
      <c r="B41" s="769">
        <f t="shared" ref="B41:G41" si="8">B15/$H15*100</f>
        <v>0.38167938931297707</v>
      </c>
      <c r="C41" s="769">
        <f t="shared" si="8"/>
        <v>36.513994910941477</v>
      </c>
      <c r="D41" s="769">
        <f t="shared" si="8"/>
        <v>51.908396946564885</v>
      </c>
      <c r="E41" s="769">
        <f t="shared" si="8"/>
        <v>4.9618320610687023</v>
      </c>
      <c r="F41" s="769">
        <f t="shared" si="8"/>
        <v>0</v>
      </c>
      <c r="G41" s="769">
        <f t="shared" si="8"/>
        <v>6.2340966921119598</v>
      </c>
      <c r="H41" s="770">
        <f t="shared" si="4"/>
        <v>93.765903307888053</v>
      </c>
    </row>
    <row r="42" spans="1:8" x14ac:dyDescent="0.35">
      <c r="A42" s="412" t="s">
        <v>1152</v>
      </c>
      <c r="B42" s="769">
        <f t="shared" ref="B42:G42" si="9">B16/$H16*100</f>
        <v>4.7619047619047619</v>
      </c>
      <c r="C42" s="769">
        <f t="shared" si="9"/>
        <v>23.809523809523807</v>
      </c>
      <c r="D42" s="769">
        <f t="shared" si="9"/>
        <v>66.666666666666657</v>
      </c>
      <c r="E42" s="769">
        <f t="shared" si="9"/>
        <v>0</v>
      </c>
      <c r="F42" s="769">
        <f t="shared" si="9"/>
        <v>0</v>
      </c>
      <c r="G42" s="769">
        <f t="shared" si="9"/>
        <v>4.7619047619047619</v>
      </c>
      <c r="H42" s="770">
        <f t="shared" si="4"/>
        <v>95.238095238095227</v>
      </c>
    </row>
    <row r="43" spans="1:8" x14ac:dyDescent="0.35">
      <c r="A43" s="412" t="s">
        <v>1162</v>
      </c>
      <c r="B43" s="769">
        <f t="shared" ref="B43:G43" si="10">B17/$H17*100</f>
        <v>2.7027027027027026</v>
      </c>
      <c r="C43" s="769">
        <f t="shared" si="10"/>
        <v>2.7027027027027026</v>
      </c>
      <c r="D43" s="769">
        <f t="shared" si="10"/>
        <v>59.45945945945946</v>
      </c>
      <c r="E43" s="769">
        <f t="shared" si="10"/>
        <v>32.432432432432435</v>
      </c>
      <c r="F43" s="769">
        <f t="shared" si="10"/>
        <v>0</v>
      </c>
      <c r="G43" s="769">
        <f t="shared" si="10"/>
        <v>2.7027027027027026</v>
      </c>
      <c r="H43" s="770">
        <f t="shared" si="4"/>
        <v>97.297297297297305</v>
      </c>
    </row>
    <row r="44" spans="1:8" x14ac:dyDescent="0.35">
      <c r="A44" s="412" t="s">
        <v>1157</v>
      </c>
      <c r="B44" s="769">
        <f t="shared" ref="B44:G44" si="11">B18/$H18*100</f>
        <v>0.63897763578274758</v>
      </c>
      <c r="C44" s="769">
        <f t="shared" si="11"/>
        <v>32.907348242811501</v>
      </c>
      <c r="D44" s="769">
        <f t="shared" si="11"/>
        <v>39.616613418530349</v>
      </c>
      <c r="E44" s="769">
        <f t="shared" si="11"/>
        <v>18.849840255591054</v>
      </c>
      <c r="F44" s="769">
        <f t="shared" si="11"/>
        <v>0.63897763578274758</v>
      </c>
      <c r="G44" s="769">
        <f t="shared" si="11"/>
        <v>7.3482428115015974</v>
      </c>
      <c r="H44" s="770">
        <f t="shared" si="4"/>
        <v>92.651757188498394</v>
      </c>
    </row>
    <row r="45" spans="1:8" x14ac:dyDescent="0.35">
      <c r="A45" s="412" t="s">
        <v>1163</v>
      </c>
      <c r="B45" s="769">
        <f t="shared" ref="B45:G45" si="12">B19/$H19*100</f>
        <v>10.884353741496598</v>
      </c>
      <c r="C45" s="769">
        <f t="shared" si="12"/>
        <v>15.306122448979592</v>
      </c>
      <c r="D45" s="769">
        <f t="shared" si="12"/>
        <v>62.585034013605444</v>
      </c>
      <c r="E45" s="769">
        <f t="shared" si="12"/>
        <v>8.8435374149659864</v>
      </c>
      <c r="F45" s="769">
        <f t="shared" si="12"/>
        <v>0.3401360544217687</v>
      </c>
      <c r="G45" s="769">
        <f t="shared" si="12"/>
        <v>2.0408163265306123</v>
      </c>
      <c r="H45" s="770">
        <f t="shared" si="4"/>
        <v>97.959183673469383</v>
      </c>
    </row>
    <row r="46" spans="1:8" x14ac:dyDescent="0.35">
      <c r="A46" s="412" t="s">
        <v>1164</v>
      </c>
      <c r="B46" s="769">
        <f t="shared" ref="B46:G46" si="13">B20/$H20*100</f>
        <v>13.753581661891118</v>
      </c>
      <c r="C46" s="769">
        <f t="shared" si="13"/>
        <v>21.776504297994272</v>
      </c>
      <c r="D46" s="769">
        <f t="shared" si="13"/>
        <v>35.53008595988539</v>
      </c>
      <c r="E46" s="769">
        <f t="shared" si="13"/>
        <v>14.613180515759314</v>
      </c>
      <c r="F46" s="769">
        <f t="shared" si="13"/>
        <v>0.28653295128939826</v>
      </c>
      <c r="G46" s="769">
        <f t="shared" si="13"/>
        <v>14.040114613180515</v>
      </c>
      <c r="H46" s="770">
        <f t="shared" si="4"/>
        <v>85.959885386819494</v>
      </c>
    </row>
    <row r="47" spans="1:8" x14ac:dyDescent="0.35">
      <c r="A47" s="412" t="s">
        <v>1159</v>
      </c>
      <c r="B47" s="769">
        <f t="shared" ref="B47:G47" si="14">B21/$H21*100</f>
        <v>3.8277511961722488</v>
      </c>
      <c r="C47" s="769">
        <f t="shared" si="14"/>
        <v>7.1770334928229662</v>
      </c>
      <c r="D47" s="769">
        <f t="shared" si="14"/>
        <v>60.28708133971292</v>
      </c>
      <c r="E47" s="769">
        <f t="shared" si="14"/>
        <v>20.095693779904305</v>
      </c>
      <c r="F47" s="769">
        <f t="shared" si="14"/>
        <v>0.4784688995215311</v>
      </c>
      <c r="G47" s="769">
        <f t="shared" si="14"/>
        <v>8.133971291866029</v>
      </c>
      <c r="H47" s="770">
        <f t="shared" si="4"/>
        <v>91.866028708133982</v>
      </c>
    </row>
    <row r="48" spans="1:8" x14ac:dyDescent="0.35">
      <c r="A48" s="412" t="s">
        <v>1151</v>
      </c>
      <c r="B48" s="769">
        <f t="shared" ref="B48:G48" si="15">B22/$H22*100</f>
        <v>0.4464285714285714</v>
      </c>
      <c r="C48" s="769">
        <f t="shared" si="15"/>
        <v>20.535714285714285</v>
      </c>
      <c r="D48" s="769">
        <f t="shared" si="15"/>
        <v>52.232142857142861</v>
      </c>
      <c r="E48" s="769">
        <f t="shared" si="15"/>
        <v>18.303571428571427</v>
      </c>
      <c r="F48" s="769">
        <f t="shared" si="15"/>
        <v>0.4464285714285714</v>
      </c>
      <c r="G48" s="769">
        <f t="shared" si="15"/>
        <v>8.0357142857142865</v>
      </c>
      <c r="H48" s="770">
        <f t="shared" si="4"/>
        <v>91.964285714285722</v>
      </c>
    </row>
    <row r="49" spans="1:8" x14ac:dyDescent="0.35">
      <c r="A49" s="412" t="s">
        <v>1158</v>
      </c>
      <c r="B49" s="769">
        <f t="shared" ref="B49:G49" si="16">B23/$H23*100</f>
        <v>2.8301886792452833</v>
      </c>
      <c r="C49" s="769">
        <f t="shared" si="16"/>
        <v>11.320754716981133</v>
      </c>
      <c r="D49" s="769">
        <f t="shared" si="16"/>
        <v>41.509433962264154</v>
      </c>
      <c r="E49" s="769">
        <f t="shared" si="16"/>
        <v>34.905660377358487</v>
      </c>
      <c r="F49" s="769">
        <f t="shared" si="16"/>
        <v>1.4150943396226416</v>
      </c>
      <c r="G49" s="769">
        <f t="shared" si="16"/>
        <v>8.0188679245283012</v>
      </c>
      <c r="H49" s="770">
        <f t="shared" si="4"/>
        <v>91.981132075471692</v>
      </c>
    </row>
    <row r="50" spans="1:8" x14ac:dyDescent="0.35">
      <c r="A50" s="412" t="s">
        <v>1192</v>
      </c>
      <c r="B50" s="769">
        <f t="shared" ref="B50:F50" si="17">B24/$H24*100</f>
        <v>0</v>
      </c>
      <c r="C50" s="769">
        <f t="shared" si="17"/>
        <v>29.457364341085274</v>
      </c>
      <c r="D50" s="769">
        <f t="shared" si="17"/>
        <v>21.705426356589147</v>
      </c>
      <c r="E50" s="769">
        <f t="shared" si="17"/>
        <v>35.65891472868217</v>
      </c>
      <c r="F50" s="769">
        <f t="shared" si="17"/>
        <v>6.9767441860465116</v>
      </c>
      <c r="G50" s="769">
        <f>G24/$H24*100</f>
        <v>6.2015503875968996</v>
      </c>
      <c r="H50" s="770">
        <f t="shared" si="4"/>
        <v>93.798449612403118</v>
      </c>
    </row>
    <row r="51" spans="1:8" ht="15" thickBot="1" x14ac:dyDescent="0.4">
      <c r="A51" s="413" t="s">
        <v>618</v>
      </c>
      <c r="B51" s="771">
        <f>B25/$H$25*100</f>
        <v>3.3531021897810218</v>
      </c>
      <c r="C51" s="771">
        <f>C25/$H$25*100</f>
        <v>21.966240875912408</v>
      </c>
      <c r="D51" s="771">
        <f>D25/$H$25*100</f>
        <v>55.896441605839421</v>
      </c>
      <c r="E51" s="771">
        <f>E25/$H$25*100</f>
        <v>10.378649635036496</v>
      </c>
      <c r="F51" s="771">
        <f>F25/$H$25*100</f>
        <v>0.52463503649635035</v>
      </c>
      <c r="G51" s="772">
        <f>G25/$H25*100</f>
        <v>7.8809306569343072</v>
      </c>
      <c r="H51" s="773">
        <f>SUM(B51:G51)</f>
        <v>100</v>
      </c>
    </row>
    <row r="53" spans="1:8" x14ac:dyDescent="0.35">
      <c r="A53" s="412" t="s">
        <v>329</v>
      </c>
    </row>
    <row r="54" spans="1:8" ht="30" customHeight="1" x14ac:dyDescent="0.35">
      <c r="A54" s="1010" t="s">
        <v>1285</v>
      </c>
      <c r="B54" s="1010"/>
      <c r="C54" s="1010"/>
      <c r="D54" s="1010"/>
      <c r="E54" s="1010"/>
      <c r="F54" s="1010"/>
      <c r="G54" s="1010"/>
      <c r="H54" s="1010"/>
    </row>
  </sheetData>
  <sheetProtection algorithmName="SHA-512" hashValue="01u1p/2lHMRe4riACUF9tA4ZeKpPJ8mC/lF9V/PD8EMveN8JzBcxymeiY5DoO7hYQyPPmsclbYTiNI9/7y5aYA==" saltValue="dnn+wQTmmds5cVhtsCYxeQ==" spinCount="100000" sheet="1" scenarios="1" formatCells="0" sort="0" autoFilter="0" pivotTables="0"/>
  <mergeCells count="2">
    <mergeCell ref="A28:H28"/>
    <mergeCell ref="A54:H54"/>
  </mergeCells>
  <hyperlinks>
    <hyperlink ref="A2" location="'Table of Contents'!A1" display="Back to Table of Contents" xr:uid="{00000000-0004-0000-B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4CC50-461A-48A6-B6F7-F060CB834AC6}">
  <dimension ref="A3:N17"/>
  <sheetViews>
    <sheetView topLeftCell="D1" workbookViewId="0">
      <selection activeCell="E7" sqref="E7"/>
    </sheetView>
  </sheetViews>
  <sheetFormatPr defaultRowHeight="14.5" x14ac:dyDescent="0.35"/>
  <cols>
    <col min="1" max="1" width="12.453125" bestFit="1" customWidth="1"/>
    <col min="2" max="2" width="24.1796875" bestFit="1" customWidth="1"/>
    <col min="3" max="3" width="21.54296875" bestFit="1" customWidth="1"/>
    <col min="4" max="4" width="25" bestFit="1" customWidth="1"/>
    <col min="5" max="5" width="15.453125" bestFit="1" customWidth="1"/>
    <col min="6" max="6" width="28.54296875" bestFit="1" customWidth="1"/>
    <col min="7" max="7" width="29" bestFit="1" customWidth="1"/>
    <col min="8" max="8" width="12" bestFit="1" customWidth="1"/>
    <col min="9" max="9" width="21.1796875" bestFit="1" customWidth="1"/>
    <col min="10" max="10" width="28.81640625" bestFit="1" customWidth="1"/>
    <col min="11" max="11" width="23.453125" bestFit="1" customWidth="1"/>
    <col min="12" max="12" width="23.54296875" bestFit="1" customWidth="1"/>
    <col min="13" max="13" width="51.453125" bestFit="1" customWidth="1"/>
    <col min="14" max="14" width="28.7265625" bestFit="1" customWidth="1"/>
  </cols>
  <sheetData>
    <row r="3" spans="1:14" x14ac:dyDescent="0.35">
      <c r="A3" s="387" t="s">
        <v>350</v>
      </c>
      <c r="B3" t="s">
        <v>453</v>
      </c>
      <c r="C3" t="s">
        <v>454</v>
      </c>
      <c r="D3" t="s">
        <v>455</v>
      </c>
      <c r="E3" t="s">
        <v>456</v>
      </c>
      <c r="F3" t="s">
        <v>457</v>
      </c>
      <c r="G3" t="s">
        <v>458</v>
      </c>
      <c r="H3" t="s">
        <v>459</v>
      </c>
      <c r="I3" t="s">
        <v>460</v>
      </c>
      <c r="J3" t="s">
        <v>461</v>
      </c>
      <c r="K3" t="s">
        <v>462</v>
      </c>
      <c r="L3" t="s">
        <v>463</v>
      </c>
      <c r="M3" t="s">
        <v>464</v>
      </c>
      <c r="N3" t="s">
        <v>465</v>
      </c>
    </row>
    <row r="4" spans="1:14" x14ac:dyDescent="0.35">
      <c r="A4" s="388" t="s">
        <v>363</v>
      </c>
      <c r="B4">
        <v>465</v>
      </c>
      <c r="C4">
        <v>28</v>
      </c>
      <c r="D4">
        <v>37</v>
      </c>
      <c r="E4">
        <v>22</v>
      </c>
      <c r="F4">
        <v>15</v>
      </c>
      <c r="G4">
        <v>30</v>
      </c>
      <c r="H4">
        <v>23</v>
      </c>
      <c r="I4">
        <v>620</v>
      </c>
      <c r="K4">
        <v>59</v>
      </c>
      <c r="L4">
        <v>31</v>
      </c>
      <c r="M4">
        <v>805</v>
      </c>
      <c r="N4">
        <v>1515</v>
      </c>
    </row>
    <row r="5" spans="1:14" x14ac:dyDescent="0.35">
      <c r="A5" s="388" t="s">
        <v>364</v>
      </c>
      <c r="B5">
        <v>452</v>
      </c>
      <c r="C5">
        <v>31</v>
      </c>
      <c r="D5">
        <v>21</v>
      </c>
      <c r="F5">
        <v>19</v>
      </c>
      <c r="G5">
        <v>29</v>
      </c>
      <c r="H5">
        <v>25</v>
      </c>
      <c r="I5">
        <v>577</v>
      </c>
      <c r="K5">
        <v>65</v>
      </c>
      <c r="L5">
        <v>31</v>
      </c>
      <c r="M5">
        <v>628</v>
      </c>
      <c r="N5">
        <v>1301</v>
      </c>
    </row>
    <row r="6" spans="1:14" x14ac:dyDescent="0.35">
      <c r="A6" s="388" t="s">
        <v>365</v>
      </c>
      <c r="B6">
        <v>449</v>
      </c>
      <c r="C6">
        <v>14</v>
      </c>
      <c r="D6">
        <v>23</v>
      </c>
      <c r="E6">
        <v>25</v>
      </c>
      <c r="F6">
        <v>16</v>
      </c>
      <c r="G6">
        <v>36</v>
      </c>
      <c r="H6">
        <v>24</v>
      </c>
      <c r="I6">
        <v>587</v>
      </c>
      <c r="K6">
        <v>85</v>
      </c>
      <c r="L6">
        <v>27</v>
      </c>
      <c r="M6">
        <v>875</v>
      </c>
      <c r="N6">
        <v>1574</v>
      </c>
    </row>
    <row r="7" spans="1:14" x14ac:dyDescent="0.35">
      <c r="A7" s="388" t="s">
        <v>366</v>
      </c>
      <c r="B7">
        <v>438</v>
      </c>
      <c r="C7">
        <v>12</v>
      </c>
      <c r="D7">
        <v>14</v>
      </c>
      <c r="E7">
        <v>24</v>
      </c>
      <c r="F7">
        <v>18</v>
      </c>
      <c r="G7">
        <v>39</v>
      </c>
      <c r="H7">
        <v>47</v>
      </c>
      <c r="I7">
        <v>592</v>
      </c>
      <c r="K7">
        <v>65</v>
      </c>
      <c r="L7">
        <v>42</v>
      </c>
      <c r="M7">
        <v>811</v>
      </c>
      <c r="N7">
        <v>1510</v>
      </c>
    </row>
    <row r="8" spans="1:14" x14ac:dyDescent="0.35">
      <c r="A8" s="388" t="s">
        <v>341</v>
      </c>
      <c r="B8">
        <v>418</v>
      </c>
      <c r="C8">
        <v>26</v>
      </c>
      <c r="D8">
        <v>43</v>
      </c>
      <c r="E8">
        <v>26</v>
      </c>
      <c r="F8">
        <v>17</v>
      </c>
      <c r="G8">
        <v>34</v>
      </c>
      <c r="H8">
        <v>68</v>
      </c>
      <c r="I8">
        <v>632</v>
      </c>
      <c r="K8">
        <v>65</v>
      </c>
      <c r="L8">
        <v>62</v>
      </c>
      <c r="M8">
        <v>788</v>
      </c>
      <c r="N8">
        <v>1547</v>
      </c>
    </row>
    <row r="9" spans="1:14" x14ac:dyDescent="0.35">
      <c r="A9" s="388" t="s">
        <v>342</v>
      </c>
      <c r="B9">
        <v>417</v>
      </c>
      <c r="C9">
        <v>25</v>
      </c>
      <c r="D9">
        <v>43</v>
      </c>
      <c r="E9">
        <v>27</v>
      </c>
      <c r="F9">
        <v>20</v>
      </c>
      <c r="G9">
        <v>41</v>
      </c>
      <c r="H9">
        <v>59</v>
      </c>
      <c r="I9">
        <v>632</v>
      </c>
      <c r="J9">
        <v>95</v>
      </c>
      <c r="K9">
        <v>74</v>
      </c>
      <c r="L9">
        <v>64</v>
      </c>
      <c r="M9">
        <v>641</v>
      </c>
      <c r="N9">
        <v>1506</v>
      </c>
    </row>
    <row r="10" spans="1:14" x14ac:dyDescent="0.35">
      <c r="A10" s="388" t="s">
        <v>214</v>
      </c>
      <c r="B10">
        <v>431</v>
      </c>
      <c r="C10">
        <v>28</v>
      </c>
      <c r="D10">
        <v>42</v>
      </c>
      <c r="E10">
        <v>39</v>
      </c>
      <c r="F10">
        <v>25</v>
      </c>
      <c r="G10">
        <v>39</v>
      </c>
      <c r="H10">
        <v>62</v>
      </c>
      <c r="I10">
        <v>666</v>
      </c>
      <c r="J10">
        <v>198</v>
      </c>
      <c r="K10">
        <v>90</v>
      </c>
      <c r="L10">
        <v>65</v>
      </c>
      <c r="M10">
        <v>532</v>
      </c>
      <c r="N10">
        <v>1551</v>
      </c>
    </row>
    <row r="11" spans="1:14" x14ac:dyDescent="0.35">
      <c r="A11" s="388" t="s">
        <v>313</v>
      </c>
      <c r="B11">
        <v>421</v>
      </c>
      <c r="C11">
        <v>26</v>
      </c>
      <c r="D11">
        <v>39</v>
      </c>
      <c r="E11">
        <v>41</v>
      </c>
      <c r="F11">
        <v>29</v>
      </c>
      <c r="G11">
        <v>36</v>
      </c>
      <c r="H11">
        <v>63</v>
      </c>
      <c r="I11">
        <v>655</v>
      </c>
      <c r="J11">
        <v>285</v>
      </c>
      <c r="K11">
        <v>86</v>
      </c>
      <c r="L11">
        <v>71</v>
      </c>
      <c r="M11">
        <v>470</v>
      </c>
      <c r="N11">
        <v>1567</v>
      </c>
    </row>
    <row r="12" spans="1:14" x14ac:dyDescent="0.35">
      <c r="A12" s="388" t="s">
        <v>319</v>
      </c>
      <c r="B12">
        <v>445</v>
      </c>
      <c r="C12">
        <v>25</v>
      </c>
      <c r="D12">
        <v>38</v>
      </c>
      <c r="E12">
        <v>24</v>
      </c>
      <c r="F12">
        <v>28</v>
      </c>
      <c r="G12">
        <v>30</v>
      </c>
      <c r="H12">
        <v>60</v>
      </c>
      <c r="I12">
        <v>650</v>
      </c>
      <c r="J12">
        <v>335</v>
      </c>
      <c r="K12">
        <v>94</v>
      </c>
      <c r="L12">
        <v>61</v>
      </c>
      <c r="M12">
        <v>491</v>
      </c>
      <c r="N12">
        <v>1631</v>
      </c>
    </row>
    <row r="13" spans="1:14" x14ac:dyDescent="0.35">
      <c r="A13" s="388" t="s">
        <v>321</v>
      </c>
      <c r="B13">
        <v>427</v>
      </c>
      <c r="C13">
        <v>25</v>
      </c>
      <c r="D13">
        <v>23</v>
      </c>
      <c r="E13">
        <v>25</v>
      </c>
      <c r="F13">
        <v>28</v>
      </c>
      <c r="G13">
        <v>30</v>
      </c>
      <c r="H13">
        <v>77</v>
      </c>
      <c r="I13">
        <v>635</v>
      </c>
      <c r="J13">
        <v>313</v>
      </c>
      <c r="K13">
        <v>109</v>
      </c>
      <c r="L13">
        <v>60</v>
      </c>
      <c r="M13">
        <v>560</v>
      </c>
      <c r="N13">
        <v>1677</v>
      </c>
    </row>
    <row r="14" spans="1:14" x14ac:dyDescent="0.35">
      <c r="A14" s="388" t="s">
        <v>326</v>
      </c>
      <c r="B14">
        <v>429</v>
      </c>
      <c r="C14">
        <v>25</v>
      </c>
      <c r="D14">
        <v>23</v>
      </c>
      <c r="E14">
        <v>24</v>
      </c>
      <c r="F14">
        <v>28</v>
      </c>
      <c r="G14">
        <v>31</v>
      </c>
      <c r="H14">
        <v>77</v>
      </c>
      <c r="I14">
        <v>637</v>
      </c>
      <c r="J14">
        <v>319</v>
      </c>
      <c r="K14">
        <v>90</v>
      </c>
      <c r="L14">
        <v>55</v>
      </c>
      <c r="M14">
        <v>527</v>
      </c>
      <c r="N14">
        <v>1628</v>
      </c>
    </row>
    <row r="15" spans="1:14" x14ac:dyDescent="0.35">
      <c r="A15" s="388" t="s">
        <v>327</v>
      </c>
      <c r="B15">
        <v>424</v>
      </c>
      <c r="C15">
        <v>16</v>
      </c>
      <c r="D15">
        <v>21</v>
      </c>
      <c r="E15">
        <v>24</v>
      </c>
      <c r="F15">
        <v>28</v>
      </c>
      <c r="G15">
        <v>35</v>
      </c>
      <c r="H15">
        <v>73</v>
      </c>
      <c r="I15">
        <v>621</v>
      </c>
      <c r="J15">
        <v>327</v>
      </c>
      <c r="K15">
        <v>85</v>
      </c>
      <c r="L15">
        <v>61</v>
      </c>
      <c r="M15">
        <v>491</v>
      </c>
      <c r="N15">
        <v>1585</v>
      </c>
    </row>
    <row r="16" spans="1:14" x14ac:dyDescent="0.35">
      <c r="A16" s="388" t="s">
        <v>466</v>
      </c>
      <c r="B16">
        <v>424</v>
      </c>
      <c r="C16">
        <v>16</v>
      </c>
      <c r="D16">
        <v>19</v>
      </c>
      <c r="E16">
        <v>24</v>
      </c>
      <c r="F16">
        <v>28</v>
      </c>
      <c r="G16">
        <v>30</v>
      </c>
      <c r="H16">
        <v>89</v>
      </c>
      <c r="I16">
        <v>630</v>
      </c>
      <c r="J16">
        <v>329</v>
      </c>
      <c r="K16">
        <v>83</v>
      </c>
      <c r="L16">
        <v>61</v>
      </c>
      <c r="M16">
        <v>473</v>
      </c>
      <c r="N16">
        <v>1576</v>
      </c>
    </row>
    <row r="17" spans="1:14" x14ac:dyDescent="0.35">
      <c r="A17" s="388" t="s">
        <v>357</v>
      </c>
      <c r="B17">
        <v>5640</v>
      </c>
      <c r="C17">
        <v>297</v>
      </c>
      <c r="D17">
        <v>386</v>
      </c>
      <c r="E17">
        <v>325</v>
      </c>
      <c r="F17">
        <v>299</v>
      </c>
      <c r="G17">
        <v>440</v>
      </c>
      <c r="H17">
        <v>747</v>
      </c>
      <c r="I17">
        <v>8134</v>
      </c>
      <c r="J17">
        <v>2201</v>
      </c>
      <c r="K17">
        <v>1050</v>
      </c>
      <c r="L17">
        <v>691</v>
      </c>
      <c r="M17">
        <v>8092</v>
      </c>
      <c r="N17">
        <v>20168</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1127</v>
      </c>
      <c r="B1" s="514"/>
      <c r="C1" s="514"/>
    </row>
    <row r="2" spans="1:8" ht="15.5" x14ac:dyDescent="0.35">
      <c r="A2" s="499" t="s">
        <v>201</v>
      </c>
      <c r="B2" s="441"/>
      <c r="C2" s="441"/>
    </row>
    <row r="4" spans="1:8" ht="15.5" x14ac:dyDescent="0.35">
      <c r="A4" s="1012" t="s">
        <v>1287</v>
      </c>
      <c r="B4" s="1012"/>
      <c r="C4" s="1012"/>
      <c r="D4" s="1012"/>
      <c r="E4" s="1012"/>
      <c r="F4" s="1012"/>
      <c r="G4" s="1012"/>
      <c r="H4" s="1012"/>
    </row>
    <row r="5" spans="1:8" x14ac:dyDescent="0.35">
      <c r="A5" s="561" t="s">
        <v>451</v>
      </c>
    </row>
    <row r="6" spans="1:8" x14ac:dyDescent="0.35">
      <c r="A6" s="561" t="s">
        <v>197</v>
      </c>
    </row>
  </sheetData>
  <sheetProtection algorithmName="SHA-512" hashValue="1dIuLgtrar7/NPfZWc8PS1SdZ/V/jDNJjZoYhhG15dnl4uIw2ObsqQHdLPcNnZzBHUL1GxvQT2/v6rxuynSysg==" saltValue="FAw53NRGmy3G6AaLy2GJDA==" spinCount="100000" sheet="1" scenarios="1" formatCells="0" sort="0" autoFilter="0" pivotTables="0"/>
  <mergeCells count="1">
    <mergeCell ref="A4:H4"/>
  </mergeCells>
  <hyperlinks>
    <hyperlink ref="A2" location="'Table of Contents'!A1" display="Back to Table of Contents" xr:uid="{00000000-0004-0000-B300-000000000000}"/>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514" t="s">
        <v>1127</v>
      </c>
      <c r="B1" s="514"/>
      <c r="C1" s="514"/>
    </row>
    <row r="2" spans="1:8" ht="15.5" x14ac:dyDescent="0.35">
      <c r="A2" s="499" t="s">
        <v>201</v>
      </c>
      <c r="B2" s="441"/>
      <c r="C2" s="441"/>
    </row>
    <row r="4" spans="1:8" ht="15.5" x14ac:dyDescent="0.35">
      <c r="A4" s="1012" t="s">
        <v>1288</v>
      </c>
      <c r="B4" s="1012"/>
      <c r="C4" s="1012"/>
      <c r="D4" s="1012"/>
      <c r="E4" s="1012"/>
      <c r="F4" s="1012"/>
      <c r="G4" s="1012"/>
      <c r="H4" s="1012"/>
    </row>
    <row r="5" spans="1:8" x14ac:dyDescent="0.35">
      <c r="A5" s="561" t="s">
        <v>451</v>
      </c>
    </row>
    <row r="6" spans="1:8" x14ac:dyDescent="0.35">
      <c r="A6" s="561" t="s">
        <v>198</v>
      </c>
    </row>
  </sheetData>
  <sheetProtection algorithmName="SHA-512" hashValue="6V2yeRNxe6PhfU4HRSNCqLL3ysep0KCd3TKehIUhxspMPlBZJa7N69LcJFe30XN6zQQgIdwvf8RuG8Te+8zo/g==" saltValue="q8gSZGYdOQQ84/nZh+b6sw==" spinCount="100000" sheet="1" scenarios="1" formatCells="0" sort="0" autoFilter="0" pivotTables="0"/>
  <mergeCells count="1">
    <mergeCell ref="A4:H4"/>
  </mergeCells>
  <hyperlinks>
    <hyperlink ref="A2" location="'Table of Contents'!A1" display="Back to Table of Contents" xr:uid="{00000000-0004-0000-B4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3" tint="0.39997558519241921"/>
  </sheetPr>
  <dimension ref="A1:H6"/>
  <sheetViews>
    <sheetView showGridLines="0" workbookViewId="0"/>
  </sheetViews>
  <sheetFormatPr defaultRowHeight="14.5" x14ac:dyDescent="0.35"/>
  <sheetData>
    <row r="1" spans="1:8" ht="15.5" x14ac:dyDescent="0.35">
      <c r="A1" s="514" t="s">
        <v>1127</v>
      </c>
      <c r="B1" s="514"/>
      <c r="C1" s="514"/>
    </row>
    <row r="2" spans="1:8" ht="15.5" x14ac:dyDescent="0.35">
      <c r="A2" s="499" t="s">
        <v>201</v>
      </c>
      <c r="B2" s="441"/>
      <c r="C2" s="441"/>
    </row>
    <row r="4" spans="1:8" ht="15.5" x14ac:dyDescent="0.35">
      <c r="A4" s="1012" t="s">
        <v>1289</v>
      </c>
      <c r="B4" s="1012"/>
      <c r="C4" s="1012"/>
      <c r="D4" s="1012"/>
      <c r="E4" s="1012"/>
      <c r="F4" s="1012"/>
      <c r="G4" s="1012"/>
      <c r="H4" s="1012"/>
    </row>
    <row r="5" spans="1:8" x14ac:dyDescent="0.35">
      <c r="A5" s="561" t="s">
        <v>451</v>
      </c>
    </row>
    <row r="6" spans="1:8" x14ac:dyDescent="0.35">
      <c r="A6" s="561" t="s">
        <v>200</v>
      </c>
    </row>
  </sheetData>
  <sheetProtection algorithmName="SHA-512" hashValue="G9sU0857tNFJvJqao2/Z4+BstBIDQyqI5zg4I0gDcrgtmbJsJFsEaQuaXbeUOkqy2Q4G0tuI0aST9iXSAOc5+w==" saltValue="Fcq2kxeWN2l7au1/Se+ulw==" spinCount="100000" sheet="1" scenarios="1" formatCells="0" sort="0" autoFilter="0" pivotTables="0"/>
  <mergeCells count="1">
    <mergeCell ref="A4:H4"/>
  </mergeCells>
  <hyperlinks>
    <hyperlink ref="A2" location="'Table of Contents'!A1" display="Back to Table of Contents" xr:uid="{00000000-0004-0000-B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10"/>
  <sheetViews>
    <sheetView showGridLines="0" zoomScaleNormal="100" workbookViewId="0">
      <pane ySplit="5" topLeftCell="A6" activePane="bottomLeft" state="frozen"/>
      <selection pane="bottomLeft"/>
    </sheetView>
  </sheetViews>
  <sheetFormatPr defaultRowHeight="14.5" x14ac:dyDescent="0.35"/>
  <cols>
    <col min="1" max="1" width="34.7265625" customWidth="1"/>
    <col min="2" max="2" width="38.81640625" bestFit="1" customWidth="1"/>
    <col min="3" max="4" width="18.54296875" bestFit="1" customWidth="1"/>
    <col min="5" max="5" width="19.26953125" bestFit="1" customWidth="1"/>
    <col min="6" max="6" width="8.81640625" customWidth="1"/>
    <col min="7" max="7" width="15.54296875" bestFit="1" customWidth="1"/>
    <col min="8" max="8" width="11.453125" customWidth="1"/>
  </cols>
  <sheetData>
    <row r="1" spans="1:8" ht="15.5" x14ac:dyDescent="0.35">
      <c r="A1" s="421" t="s">
        <v>18</v>
      </c>
    </row>
    <row r="3" spans="1:8" x14ac:dyDescent="0.35">
      <c r="A3" t="s">
        <v>19</v>
      </c>
    </row>
    <row r="5" spans="1:8" s="312" customFormat="1" x14ac:dyDescent="0.35">
      <c r="A5" s="312" t="s">
        <v>20</v>
      </c>
      <c r="E5" s="312" t="s">
        <v>21</v>
      </c>
      <c r="F5" s="312" t="s">
        <v>22</v>
      </c>
      <c r="G5" s="312" t="s">
        <v>23</v>
      </c>
      <c r="H5" s="596"/>
    </row>
    <row r="6" spans="1:8" x14ac:dyDescent="0.35">
      <c r="A6" s="312" t="s">
        <v>24</v>
      </c>
      <c r="E6" t="s">
        <v>25</v>
      </c>
      <c r="F6" s="499" t="s">
        <v>26</v>
      </c>
      <c r="G6" t="s">
        <v>27</v>
      </c>
    </row>
    <row r="7" spans="1:8" x14ac:dyDescent="0.35">
      <c r="A7" s="312" t="s">
        <v>28</v>
      </c>
      <c r="B7" t="s">
        <v>29</v>
      </c>
      <c r="E7" t="s">
        <v>30</v>
      </c>
      <c r="F7" s="499" t="s">
        <v>26</v>
      </c>
      <c r="G7" t="s">
        <v>31</v>
      </c>
    </row>
    <row r="8" spans="1:8" x14ac:dyDescent="0.35">
      <c r="B8" t="s">
        <v>29</v>
      </c>
      <c r="C8" t="s">
        <v>32</v>
      </c>
      <c r="E8" t="s">
        <v>30</v>
      </c>
      <c r="F8" s="499" t="s">
        <v>26</v>
      </c>
      <c r="G8" t="s">
        <v>33</v>
      </c>
    </row>
    <row r="9" spans="1:8" x14ac:dyDescent="0.35">
      <c r="B9" t="s">
        <v>34</v>
      </c>
      <c r="E9" t="s">
        <v>30</v>
      </c>
      <c r="F9" s="499" t="s">
        <v>26</v>
      </c>
      <c r="G9" t="s">
        <v>35</v>
      </c>
    </row>
    <row r="10" spans="1:8" x14ac:dyDescent="0.35">
      <c r="B10" t="s">
        <v>34</v>
      </c>
      <c r="C10" t="s">
        <v>32</v>
      </c>
      <c r="E10" t="s">
        <v>30</v>
      </c>
      <c r="F10" s="499" t="s">
        <v>26</v>
      </c>
      <c r="G10" t="s">
        <v>36</v>
      </c>
    </row>
    <row r="11" spans="1:8" x14ac:dyDescent="0.35">
      <c r="B11" t="s">
        <v>37</v>
      </c>
      <c r="E11" t="s">
        <v>30</v>
      </c>
      <c r="F11" s="591" t="s">
        <v>26</v>
      </c>
      <c r="G11" t="s">
        <v>38</v>
      </c>
    </row>
    <row r="12" spans="1:8" x14ac:dyDescent="0.35">
      <c r="B12" t="s">
        <v>39</v>
      </c>
      <c r="E12" t="s">
        <v>30</v>
      </c>
      <c r="F12" s="591" t="s">
        <v>26</v>
      </c>
      <c r="G12" t="s">
        <v>40</v>
      </c>
    </row>
    <row r="13" spans="1:8" x14ac:dyDescent="0.35">
      <c r="A13" s="312" t="s">
        <v>41</v>
      </c>
      <c r="B13" t="s">
        <v>42</v>
      </c>
      <c r="E13" t="s">
        <v>30</v>
      </c>
      <c r="F13" s="499" t="s">
        <v>26</v>
      </c>
      <c r="G13" t="s">
        <v>43</v>
      </c>
    </row>
    <row r="14" spans="1:8" x14ac:dyDescent="0.35">
      <c r="B14" t="s">
        <v>42</v>
      </c>
      <c r="C14" t="s">
        <v>32</v>
      </c>
      <c r="E14" t="s">
        <v>30</v>
      </c>
      <c r="F14" s="499" t="s">
        <v>26</v>
      </c>
      <c r="G14" t="s">
        <v>44</v>
      </c>
    </row>
    <row r="15" spans="1:8" x14ac:dyDescent="0.35">
      <c r="B15" t="s">
        <v>34</v>
      </c>
      <c r="E15" t="s">
        <v>45</v>
      </c>
      <c r="F15" s="499" t="s">
        <v>26</v>
      </c>
      <c r="G15" t="s">
        <v>46</v>
      </c>
    </row>
    <row r="16" spans="1:8" x14ac:dyDescent="0.35">
      <c r="A16" s="312" t="s">
        <v>47</v>
      </c>
      <c r="B16" t="s">
        <v>48</v>
      </c>
      <c r="E16" t="s">
        <v>30</v>
      </c>
      <c r="F16" s="499" t="s">
        <v>26</v>
      </c>
      <c r="G16" t="s">
        <v>49</v>
      </c>
    </row>
    <row r="17" spans="1:7" x14ac:dyDescent="0.35">
      <c r="B17" t="s">
        <v>48</v>
      </c>
      <c r="C17" t="s">
        <v>32</v>
      </c>
      <c r="E17" t="s">
        <v>30</v>
      </c>
      <c r="F17" s="499" t="s">
        <v>26</v>
      </c>
      <c r="G17" t="s">
        <v>50</v>
      </c>
    </row>
    <row r="18" spans="1:7" x14ac:dyDescent="0.35">
      <c r="A18" s="312" t="s">
        <v>51</v>
      </c>
      <c r="B18" t="s">
        <v>52</v>
      </c>
      <c r="E18" t="s">
        <v>53</v>
      </c>
      <c r="F18" s="499" t="s">
        <v>26</v>
      </c>
      <c r="G18" t="s">
        <v>54</v>
      </c>
    </row>
    <row r="19" spans="1:7" x14ac:dyDescent="0.35">
      <c r="B19" t="s">
        <v>52</v>
      </c>
      <c r="E19" t="s">
        <v>55</v>
      </c>
      <c r="F19" s="499" t="s">
        <v>26</v>
      </c>
      <c r="G19" t="s">
        <v>56</v>
      </c>
    </row>
    <row r="20" spans="1:7" x14ac:dyDescent="0.35">
      <c r="B20" t="s">
        <v>57</v>
      </c>
      <c r="C20" t="s">
        <v>58</v>
      </c>
      <c r="E20" t="s">
        <v>53</v>
      </c>
      <c r="F20" s="499" t="s">
        <v>26</v>
      </c>
      <c r="G20" t="s">
        <v>59</v>
      </c>
    </row>
    <row r="21" spans="1:7" x14ac:dyDescent="0.35">
      <c r="B21" t="s">
        <v>57</v>
      </c>
      <c r="C21" t="s">
        <v>58</v>
      </c>
      <c r="D21" t="s">
        <v>60</v>
      </c>
      <c r="E21" t="s">
        <v>53</v>
      </c>
      <c r="F21" s="499" t="s">
        <v>26</v>
      </c>
      <c r="G21" t="s">
        <v>61</v>
      </c>
    </row>
    <row r="22" spans="1:7" x14ac:dyDescent="0.35">
      <c r="B22" t="s">
        <v>52</v>
      </c>
      <c r="C22" t="s">
        <v>62</v>
      </c>
      <c r="E22" t="s">
        <v>53</v>
      </c>
      <c r="F22" s="499" t="s">
        <v>26</v>
      </c>
      <c r="G22" t="s">
        <v>63</v>
      </c>
    </row>
    <row r="23" spans="1:7" x14ac:dyDescent="0.35">
      <c r="B23" t="s">
        <v>52</v>
      </c>
      <c r="C23" t="s">
        <v>62</v>
      </c>
      <c r="E23" t="s">
        <v>55</v>
      </c>
      <c r="F23" s="499" t="s">
        <v>26</v>
      </c>
      <c r="G23" t="s">
        <v>64</v>
      </c>
    </row>
    <row r="24" spans="1:7" x14ac:dyDescent="0.35">
      <c r="B24" t="s">
        <v>52</v>
      </c>
      <c r="C24" t="s">
        <v>65</v>
      </c>
      <c r="E24" t="s">
        <v>53</v>
      </c>
      <c r="F24" s="499" t="s">
        <v>26</v>
      </c>
      <c r="G24" t="s">
        <v>66</v>
      </c>
    </row>
    <row r="25" spans="1:7" x14ac:dyDescent="0.35">
      <c r="B25" t="s">
        <v>52</v>
      </c>
      <c r="C25" t="s">
        <v>60</v>
      </c>
      <c r="E25" t="s">
        <v>53</v>
      </c>
      <c r="F25" s="499" t="s">
        <v>26</v>
      </c>
      <c r="G25" t="s">
        <v>67</v>
      </c>
    </row>
    <row r="26" spans="1:7" x14ac:dyDescent="0.35">
      <c r="B26" t="s">
        <v>52</v>
      </c>
      <c r="C26" t="s">
        <v>68</v>
      </c>
      <c r="E26" t="s">
        <v>53</v>
      </c>
      <c r="F26" s="499" t="s">
        <v>26</v>
      </c>
      <c r="G26" t="s">
        <v>69</v>
      </c>
    </row>
    <row r="27" spans="1:7" x14ac:dyDescent="0.35">
      <c r="B27" t="s">
        <v>57</v>
      </c>
      <c r="C27" t="s">
        <v>68</v>
      </c>
      <c r="D27" t="s">
        <v>58</v>
      </c>
      <c r="E27" t="s">
        <v>53</v>
      </c>
      <c r="F27" s="499" t="s">
        <v>26</v>
      </c>
      <c r="G27" t="s">
        <v>70</v>
      </c>
    </row>
    <row r="28" spans="1:7" x14ac:dyDescent="0.35">
      <c r="B28" t="s">
        <v>57</v>
      </c>
      <c r="C28" t="s">
        <v>68</v>
      </c>
      <c r="D28" t="s">
        <v>65</v>
      </c>
      <c r="E28" t="s">
        <v>53</v>
      </c>
      <c r="F28" s="499" t="s">
        <v>26</v>
      </c>
      <c r="G28" t="s">
        <v>71</v>
      </c>
    </row>
    <row r="29" spans="1:7" x14ac:dyDescent="0.35">
      <c r="B29" t="s">
        <v>57</v>
      </c>
      <c r="C29" t="s">
        <v>68</v>
      </c>
      <c r="D29" t="s">
        <v>60</v>
      </c>
      <c r="E29" t="s">
        <v>53</v>
      </c>
      <c r="F29" s="499" t="s">
        <v>26</v>
      </c>
      <c r="G29" t="s">
        <v>72</v>
      </c>
    </row>
    <row r="30" spans="1:7" x14ac:dyDescent="0.35">
      <c r="B30" t="s">
        <v>73</v>
      </c>
      <c r="C30" t="s">
        <v>68</v>
      </c>
      <c r="D30" t="s">
        <v>60</v>
      </c>
      <c r="E30" t="s">
        <v>53</v>
      </c>
      <c r="F30" s="499" t="s">
        <v>26</v>
      </c>
      <c r="G30" t="s">
        <v>74</v>
      </c>
    </row>
    <row r="31" spans="1:7" x14ac:dyDescent="0.35">
      <c r="B31" t="s">
        <v>75</v>
      </c>
      <c r="C31" t="s">
        <v>68</v>
      </c>
      <c r="D31" t="s">
        <v>60</v>
      </c>
      <c r="E31" t="s">
        <v>53</v>
      </c>
      <c r="F31" s="499" t="s">
        <v>26</v>
      </c>
      <c r="G31" t="s">
        <v>76</v>
      </c>
    </row>
    <row r="32" spans="1:7" x14ac:dyDescent="0.35">
      <c r="B32" t="s">
        <v>77</v>
      </c>
      <c r="C32" t="s">
        <v>68</v>
      </c>
      <c r="D32" t="s">
        <v>60</v>
      </c>
      <c r="E32" t="s">
        <v>53</v>
      </c>
      <c r="F32" s="499" t="s">
        <v>26</v>
      </c>
      <c r="G32" t="s">
        <v>78</v>
      </c>
    </row>
    <row r="33" spans="2:7" x14ac:dyDescent="0.35">
      <c r="B33" t="s">
        <v>79</v>
      </c>
      <c r="C33" t="s">
        <v>68</v>
      </c>
      <c r="D33" t="s">
        <v>60</v>
      </c>
      <c r="E33" t="s">
        <v>53</v>
      </c>
      <c r="F33" s="499" t="s">
        <v>26</v>
      </c>
      <c r="G33" t="s">
        <v>80</v>
      </c>
    </row>
    <row r="34" spans="2:7" x14ac:dyDescent="0.35">
      <c r="B34" t="s">
        <v>57</v>
      </c>
      <c r="C34" t="s">
        <v>68</v>
      </c>
      <c r="D34" t="s">
        <v>60</v>
      </c>
      <c r="E34" t="s">
        <v>55</v>
      </c>
      <c r="F34" s="499" t="s">
        <v>26</v>
      </c>
      <c r="G34" t="s">
        <v>81</v>
      </c>
    </row>
    <row r="35" spans="2:7" x14ac:dyDescent="0.35">
      <c r="B35" t="s">
        <v>73</v>
      </c>
      <c r="C35" t="s">
        <v>68</v>
      </c>
      <c r="D35" t="s">
        <v>60</v>
      </c>
      <c r="E35" t="s">
        <v>55</v>
      </c>
      <c r="F35" s="499" t="s">
        <v>26</v>
      </c>
      <c r="G35" t="s">
        <v>82</v>
      </c>
    </row>
    <row r="36" spans="2:7" x14ac:dyDescent="0.35">
      <c r="B36" t="s">
        <v>75</v>
      </c>
      <c r="C36" t="s">
        <v>68</v>
      </c>
      <c r="D36" t="s">
        <v>60</v>
      </c>
      <c r="E36" t="s">
        <v>55</v>
      </c>
      <c r="F36" s="499" t="s">
        <v>26</v>
      </c>
      <c r="G36" t="s">
        <v>83</v>
      </c>
    </row>
    <row r="37" spans="2:7" x14ac:dyDescent="0.35">
      <c r="B37" t="s">
        <v>77</v>
      </c>
      <c r="C37" t="s">
        <v>68</v>
      </c>
      <c r="D37" t="s">
        <v>60</v>
      </c>
      <c r="E37" t="s">
        <v>55</v>
      </c>
      <c r="F37" s="499" t="s">
        <v>26</v>
      </c>
      <c r="G37" t="s">
        <v>84</v>
      </c>
    </row>
    <row r="38" spans="2:7" x14ac:dyDescent="0.35">
      <c r="B38" t="s">
        <v>52</v>
      </c>
      <c r="C38" t="s">
        <v>85</v>
      </c>
      <c r="E38" t="s">
        <v>53</v>
      </c>
      <c r="F38" s="499" t="s">
        <v>26</v>
      </c>
      <c r="G38" t="s">
        <v>86</v>
      </c>
    </row>
    <row r="39" spans="2:7" x14ac:dyDescent="0.35">
      <c r="B39" t="s">
        <v>52</v>
      </c>
      <c r="C39" t="s">
        <v>85</v>
      </c>
      <c r="E39" t="s">
        <v>53</v>
      </c>
      <c r="F39" s="499" t="s">
        <v>26</v>
      </c>
      <c r="G39" t="s">
        <v>87</v>
      </c>
    </row>
    <row r="40" spans="2:7" x14ac:dyDescent="0.35">
      <c r="B40" t="s">
        <v>52</v>
      </c>
      <c r="C40" t="s">
        <v>85</v>
      </c>
      <c r="D40" t="s">
        <v>68</v>
      </c>
      <c r="E40" t="s">
        <v>53</v>
      </c>
      <c r="F40" s="499" t="s">
        <v>26</v>
      </c>
      <c r="G40" t="s">
        <v>88</v>
      </c>
    </row>
    <row r="41" spans="2:7" x14ac:dyDescent="0.35">
      <c r="B41" t="s">
        <v>52</v>
      </c>
      <c r="C41" t="s">
        <v>85</v>
      </c>
      <c r="D41" t="s">
        <v>68</v>
      </c>
      <c r="E41" t="s">
        <v>55</v>
      </c>
      <c r="F41" s="499" t="s">
        <v>26</v>
      </c>
      <c r="G41" t="s">
        <v>89</v>
      </c>
    </row>
    <row r="42" spans="2:7" x14ac:dyDescent="0.35">
      <c r="B42" t="s">
        <v>52</v>
      </c>
      <c r="C42" t="s">
        <v>90</v>
      </c>
      <c r="E42" t="s">
        <v>53</v>
      </c>
      <c r="F42" s="499" t="s">
        <v>26</v>
      </c>
      <c r="G42" t="s">
        <v>91</v>
      </c>
    </row>
    <row r="43" spans="2:7" x14ac:dyDescent="0.35">
      <c r="B43" t="s">
        <v>52</v>
      </c>
      <c r="C43" t="s">
        <v>90</v>
      </c>
      <c r="E43" t="s">
        <v>92</v>
      </c>
      <c r="F43" s="499" t="s">
        <v>26</v>
      </c>
      <c r="G43" t="s">
        <v>93</v>
      </c>
    </row>
    <row r="44" spans="2:7" x14ac:dyDescent="0.35">
      <c r="B44" t="s">
        <v>52</v>
      </c>
      <c r="C44" t="s">
        <v>94</v>
      </c>
      <c r="E44" t="s">
        <v>53</v>
      </c>
      <c r="F44" s="499" t="s">
        <v>26</v>
      </c>
      <c r="G44" t="s">
        <v>95</v>
      </c>
    </row>
    <row r="45" spans="2:7" x14ac:dyDescent="0.35">
      <c r="B45" t="s">
        <v>52</v>
      </c>
      <c r="C45" t="s">
        <v>94</v>
      </c>
      <c r="E45" t="s">
        <v>92</v>
      </c>
      <c r="F45" s="499" t="s">
        <v>26</v>
      </c>
      <c r="G45" t="s">
        <v>96</v>
      </c>
    </row>
    <row r="46" spans="2:7" x14ac:dyDescent="0.35">
      <c r="B46" t="s">
        <v>52</v>
      </c>
      <c r="C46" t="s">
        <v>97</v>
      </c>
      <c r="E46" t="s">
        <v>92</v>
      </c>
      <c r="F46" s="499" t="s">
        <v>26</v>
      </c>
      <c r="G46" t="s">
        <v>98</v>
      </c>
    </row>
    <row r="47" spans="2:7" x14ac:dyDescent="0.35">
      <c r="B47" t="s">
        <v>52</v>
      </c>
      <c r="C47" t="s">
        <v>99</v>
      </c>
      <c r="E47" t="s">
        <v>92</v>
      </c>
      <c r="F47" s="499" t="s">
        <v>26</v>
      </c>
      <c r="G47" t="s">
        <v>100</v>
      </c>
    </row>
    <row r="48" spans="2:7" x14ac:dyDescent="0.35">
      <c r="B48" t="s">
        <v>52</v>
      </c>
      <c r="C48" t="s">
        <v>101</v>
      </c>
      <c r="E48" t="s">
        <v>92</v>
      </c>
      <c r="F48" s="499" t="s">
        <v>26</v>
      </c>
      <c r="G48" t="s">
        <v>102</v>
      </c>
    </row>
    <row r="49" spans="1:8" x14ac:dyDescent="0.35">
      <c r="B49" t="s">
        <v>103</v>
      </c>
      <c r="C49" t="s">
        <v>90</v>
      </c>
      <c r="E49" t="s">
        <v>30</v>
      </c>
      <c r="F49" s="499" t="s">
        <v>26</v>
      </c>
      <c r="G49" t="s">
        <v>104</v>
      </c>
    </row>
    <row r="50" spans="1:8" x14ac:dyDescent="0.35">
      <c r="B50" t="s">
        <v>103</v>
      </c>
      <c r="C50" t="s">
        <v>85</v>
      </c>
      <c r="E50" t="s">
        <v>30</v>
      </c>
      <c r="F50" s="499" t="s">
        <v>26</v>
      </c>
      <c r="G50" t="s">
        <v>105</v>
      </c>
    </row>
    <row r="51" spans="1:8" x14ac:dyDescent="0.35">
      <c r="B51" t="s">
        <v>103</v>
      </c>
      <c r="C51" t="s">
        <v>97</v>
      </c>
      <c r="E51" t="s">
        <v>30</v>
      </c>
      <c r="F51" s="499" t="s">
        <v>26</v>
      </c>
      <c r="G51" t="s">
        <v>106</v>
      </c>
    </row>
    <row r="52" spans="1:8" x14ac:dyDescent="0.35">
      <c r="B52" t="s">
        <v>103</v>
      </c>
      <c r="C52" t="s">
        <v>99</v>
      </c>
      <c r="E52" t="s">
        <v>30</v>
      </c>
      <c r="F52" s="499" t="s">
        <v>26</v>
      </c>
      <c r="G52" t="s">
        <v>107</v>
      </c>
    </row>
    <row r="53" spans="1:8" x14ac:dyDescent="0.35">
      <c r="B53" t="s">
        <v>108</v>
      </c>
      <c r="C53" t="s">
        <v>109</v>
      </c>
      <c r="E53" t="s">
        <v>30</v>
      </c>
      <c r="F53" s="499" t="s">
        <v>26</v>
      </c>
      <c r="G53" t="s">
        <v>110</v>
      </c>
    </row>
    <row r="54" spans="1:8" x14ac:dyDescent="0.35">
      <c r="A54" s="312" t="s">
        <v>111</v>
      </c>
      <c r="B54" t="s">
        <v>52</v>
      </c>
      <c r="E54" t="s">
        <v>53</v>
      </c>
      <c r="F54" s="499" t="s">
        <v>26</v>
      </c>
      <c r="G54" t="s">
        <v>112</v>
      </c>
    </row>
    <row r="55" spans="1:8" x14ac:dyDescent="0.35">
      <c r="B55" t="s">
        <v>52</v>
      </c>
      <c r="E55" t="s">
        <v>55</v>
      </c>
      <c r="F55" s="499" t="s">
        <v>26</v>
      </c>
      <c r="G55" t="s">
        <v>113</v>
      </c>
    </row>
    <row r="56" spans="1:8" x14ac:dyDescent="0.35">
      <c r="B56" t="s">
        <v>52</v>
      </c>
      <c r="C56" t="s">
        <v>85</v>
      </c>
      <c r="E56" t="s">
        <v>53</v>
      </c>
      <c r="F56" s="499" t="s">
        <v>26</v>
      </c>
      <c r="G56" t="s">
        <v>114</v>
      </c>
    </row>
    <row r="57" spans="1:8" x14ac:dyDescent="0.35">
      <c r="B57" t="s">
        <v>52</v>
      </c>
      <c r="C57" t="s">
        <v>90</v>
      </c>
      <c r="E57" t="s">
        <v>53</v>
      </c>
      <c r="F57" s="499" t="s">
        <v>26</v>
      </c>
      <c r="G57" t="s">
        <v>115</v>
      </c>
      <c r="H57" s="561"/>
    </row>
    <row r="58" spans="1:8" x14ac:dyDescent="0.35">
      <c r="B58" t="s">
        <v>52</v>
      </c>
      <c r="C58" t="s">
        <v>94</v>
      </c>
      <c r="E58" t="s">
        <v>53</v>
      </c>
      <c r="F58" s="499" t="s">
        <v>26</v>
      </c>
      <c r="G58" t="s">
        <v>116</v>
      </c>
      <c r="H58" s="561"/>
    </row>
    <row r="59" spans="1:8" x14ac:dyDescent="0.35">
      <c r="A59" s="312" t="s">
        <v>117</v>
      </c>
      <c r="B59" t="s">
        <v>118</v>
      </c>
      <c r="E59" t="s">
        <v>30</v>
      </c>
      <c r="F59" s="499" t="s">
        <v>26</v>
      </c>
      <c r="G59" t="s">
        <v>119</v>
      </c>
    </row>
    <row r="60" spans="1:8" x14ac:dyDescent="0.35">
      <c r="B60" t="s">
        <v>120</v>
      </c>
      <c r="E60" t="s">
        <v>30</v>
      </c>
      <c r="F60" s="499" t="s">
        <v>26</v>
      </c>
      <c r="G60" t="s">
        <v>121</v>
      </c>
    </row>
    <row r="61" spans="1:8" x14ac:dyDescent="0.35">
      <c r="B61" t="s">
        <v>118</v>
      </c>
      <c r="C61" t="s">
        <v>32</v>
      </c>
      <c r="E61" t="s">
        <v>30</v>
      </c>
      <c r="F61" s="499" t="s">
        <v>26</v>
      </c>
      <c r="G61" t="s">
        <v>122</v>
      </c>
    </row>
    <row r="62" spans="1:8" x14ac:dyDescent="0.35">
      <c r="A62" s="312" t="s">
        <v>123</v>
      </c>
      <c r="B62" t="s">
        <v>124</v>
      </c>
      <c r="E62" t="s">
        <v>30</v>
      </c>
      <c r="F62" s="499" t="s">
        <v>26</v>
      </c>
      <c r="G62" t="s">
        <v>125</v>
      </c>
    </row>
    <row r="63" spans="1:8" x14ac:dyDescent="0.35">
      <c r="B63" t="s">
        <v>126</v>
      </c>
      <c r="E63" t="s">
        <v>30</v>
      </c>
      <c r="F63" s="499" t="s">
        <v>26</v>
      </c>
      <c r="G63" t="s">
        <v>127</v>
      </c>
      <c r="H63" s="561"/>
    </row>
    <row r="64" spans="1:8" x14ac:dyDescent="0.35">
      <c r="B64" t="s">
        <v>128</v>
      </c>
      <c r="C64" t="s">
        <v>32</v>
      </c>
      <c r="E64" t="s">
        <v>30</v>
      </c>
      <c r="F64" s="499" t="s">
        <v>26</v>
      </c>
      <c r="G64" t="s">
        <v>129</v>
      </c>
      <c r="H64" s="561"/>
    </row>
    <row r="65" spans="1:7" x14ac:dyDescent="0.35">
      <c r="A65" s="312" t="s">
        <v>130</v>
      </c>
      <c r="B65" t="s">
        <v>131</v>
      </c>
      <c r="E65" t="s">
        <v>30</v>
      </c>
      <c r="F65" s="499" t="s">
        <v>26</v>
      </c>
      <c r="G65" t="s">
        <v>132</v>
      </c>
    </row>
    <row r="66" spans="1:7" x14ac:dyDescent="0.35">
      <c r="B66" t="s">
        <v>131</v>
      </c>
      <c r="E66" t="s">
        <v>133</v>
      </c>
      <c r="F66" s="499" t="s">
        <v>26</v>
      </c>
      <c r="G66" t="s">
        <v>134</v>
      </c>
    </row>
    <row r="67" spans="1:7" x14ac:dyDescent="0.35">
      <c r="B67" t="s">
        <v>135</v>
      </c>
      <c r="E67" t="s">
        <v>136</v>
      </c>
      <c r="F67" s="499" t="s">
        <v>26</v>
      </c>
      <c r="G67" t="s">
        <v>137</v>
      </c>
    </row>
    <row r="68" spans="1:7" x14ac:dyDescent="0.35">
      <c r="B68" t="s">
        <v>138</v>
      </c>
      <c r="E68" t="s">
        <v>30</v>
      </c>
      <c r="F68" s="499" t="s">
        <v>26</v>
      </c>
      <c r="G68" t="s">
        <v>139</v>
      </c>
    </row>
    <row r="69" spans="1:7" x14ac:dyDescent="0.35">
      <c r="B69" t="s">
        <v>138</v>
      </c>
      <c r="C69" t="s">
        <v>140</v>
      </c>
      <c r="E69" t="s">
        <v>30</v>
      </c>
      <c r="F69" s="499" t="s">
        <v>26</v>
      </c>
      <c r="G69" t="s">
        <v>141</v>
      </c>
    </row>
    <row r="70" spans="1:7" x14ac:dyDescent="0.35">
      <c r="B70" t="s">
        <v>138</v>
      </c>
      <c r="E70" t="s">
        <v>92</v>
      </c>
      <c r="F70" s="499" t="s">
        <v>26</v>
      </c>
      <c r="G70" t="s">
        <v>142</v>
      </c>
    </row>
    <row r="71" spans="1:7" x14ac:dyDescent="0.35">
      <c r="B71" t="s">
        <v>138</v>
      </c>
      <c r="C71" t="s">
        <v>140</v>
      </c>
      <c r="E71" t="s">
        <v>92</v>
      </c>
      <c r="F71" s="499" t="s">
        <v>26</v>
      </c>
      <c r="G71" t="s">
        <v>143</v>
      </c>
    </row>
    <row r="72" spans="1:7" x14ac:dyDescent="0.35">
      <c r="B72" t="s">
        <v>144</v>
      </c>
      <c r="C72" t="s">
        <v>90</v>
      </c>
      <c r="E72" t="s">
        <v>30</v>
      </c>
      <c r="F72" s="499" t="s">
        <v>26</v>
      </c>
      <c r="G72" t="s">
        <v>145</v>
      </c>
    </row>
    <row r="73" spans="1:7" x14ac:dyDescent="0.35">
      <c r="B73" t="s">
        <v>144</v>
      </c>
      <c r="C73" t="s">
        <v>90</v>
      </c>
      <c r="E73" t="s">
        <v>92</v>
      </c>
      <c r="F73" s="499" t="s">
        <v>26</v>
      </c>
      <c r="G73" t="s">
        <v>146</v>
      </c>
    </row>
    <row r="74" spans="1:7" x14ac:dyDescent="0.35">
      <c r="B74" t="s">
        <v>147</v>
      </c>
      <c r="E74" t="s">
        <v>30</v>
      </c>
      <c r="F74" s="591" t="s">
        <v>26</v>
      </c>
      <c r="G74" t="s">
        <v>148</v>
      </c>
    </row>
    <row r="75" spans="1:7" x14ac:dyDescent="0.35">
      <c r="B75" t="s">
        <v>149</v>
      </c>
      <c r="E75" t="s">
        <v>30</v>
      </c>
      <c r="F75" s="591" t="s">
        <v>26</v>
      </c>
      <c r="G75" t="s">
        <v>150</v>
      </c>
    </row>
    <row r="76" spans="1:7" x14ac:dyDescent="0.35">
      <c r="B76" t="s">
        <v>149</v>
      </c>
      <c r="E76" t="s">
        <v>92</v>
      </c>
      <c r="F76" s="591" t="s">
        <v>26</v>
      </c>
      <c r="G76" t="s">
        <v>151</v>
      </c>
    </row>
    <row r="77" spans="1:7" x14ac:dyDescent="0.35">
      <c r="B77" t="s">
        <v>149</v>
      </c>
      <c r="C77" t="s">
        <v>152</v>
      </c>
      <c r="E77" t="s">
        <v>30</v>
      </c>
      <c r="F77" s="591" t="s">
        <v>26</v>
      </c>
      <c r="G77" t="s">
        <v>153</v>
      </c>
    </row>
    <row r="78" spans="1:7" x14ac:dyDescent="0.35">
      <c r="B78" t="s">
        <v>149</v>
      </c>
      <c r="C78" t="s">
        <v>140</v>
      </c>
      <c r="E78" t="s">
        <v>133</v>
      </c>
      <c r="F78" s="591" t="s">
        <v>26</v>
      </c>
      <c r="G78" t="s">
        <v>154</v>
      </c>
    </row>
    <row r="79" spans="1:7" x14ac:dyDescent="0.35">
      <c r="B79" t="s">
        <v>149</v>
      </c>
      <c r="C79" t="s">
        <v>140</v>
      </c>
      <c r="E79" t="s">
        <v>92</v>
      </c>
      <c r="F79" s="591" t="s">
        <v>26</v>
      </c>
      <c r="G79" t="s">
        <v>155</v>
      </c>
    </row>
    <row r="80" spans="1:7" x14ac:dyDescent="0.35">
      <c r="B80" t="s">
        <v>149</v>
      </c>
      <c r="C80" t="s">
        <v>140</v>
      </c>
      <c r="D80" t="s">
        <v>156</v>
      </c>
      <c r="E80" t="s">
        <v>92</v>
      </c>
      <c r="F80" s="591" t="s">
        <v>26</v>
      </c>
      <c r="G80" t="s">
        <v>157</v>
      </c>
    </row>
    <row r="81" spans="1:7" x14ac:dyDescent="0.35">
      <c r="B81" t="s">
        <v>158</v>
      </c>
      <c r="E81" t="s">
        <v>30</v>
      </c>
      <c r="F81" s="591" t="s">
        <v>26</v>
      </c>
      <c r="G81" t="s">
        <v>159</v>
      </c>
    </row>
    <row r="82" spans="1:7" x14ac:dyDescent="0.35">
      <c r="B82" t="s">
        <v>158</v>
      </c>
      <c r="E82" t="s">
        <v>92</v>
      </c>
      <c r="F82" s="499" t="s">
        <v>26</v>
      </c>
      <c r="G82" t="s">
        <v>160</v>
      </c>
    </row>
    <row r="83" spans="1:7" x14ac:dyDescent="0.35">
      <c r="B83" t="s">
        <v>131</v>
      </c>
      <c r="C83" t="s">
        <v>32</v>
      </c>
      <c r="E83" t="s">
        <v>30</v>
      </c>
      <c r="F83" s="499" t="s">
        <v>26</v>
      </c>
      <c r="G83" t="s">
        <v>161</v>
      </c>
    </row>
    <row r="84" spans="1:7" x14ac:dyDescent="0.35">
      <c r="B84" t="s">
        <v>131</v>
      </c>
      <c r="C84" t="s">
        <v>32</v>
      </c>
      <c r="E84" t="s">
        <v>92</v>
      </c>
      <c r="F84" s="499" t="s">
        <v>26</v>
      </c>
      <c r="G84" t="s">
        <v>162</v>
      </c>
    </row>
    <row r="85" spans="1:7" x14ac:dyDescent="0.35">
      <c r="B85" t="s">
        <v>163</v>
      </c>
      <c r="C85" t="s">
        <v>32</v>
      </c>
      <c r="E85" t="s">
        <v>136</v>
      </c>
      <c r="F85" s="499" t="s">
        <v>26</v>
      </c>
      <c r="G85" t="s">
        <v>164</v>
      </c>
    </row>
    <row r="86" spans="1:7" x14ac:dyDescent="0.35">
      <c r="A86" s="312" t="s">
        <v>165</v>
      </c>
      <c r="B86" t="s">
        <v>163</v>
      </c>
      <c r="E86" t="s">
        <v>30</v>
      </c>
      <c r="F86" s="499" t="s">
        <v>26</v>
      </c>
      <c r="G86" t="s">
        <v>166</v>
      </c>
    </row>
    <row r="87" spans="1:7" x14ac:dyDescent="0.35">
      <c r="B87" t="s">
        <v>140</v>
      </c>
      <c r="E87" t="s">
        <v>30</v>
      </c>
      <c r="F87" s="499" t="s">
        <v>26</v>
      </c>
      <c r="G87" t="s">
        <v>167</v>
      </c>
    </row>
    <row r="88" spans="1:7" x14ac:dyDescent="0.35">
      <c r="B88" t="s">
        <v>144</v>
      </c>
      <c r="E88" t="s">
        <v>92</v>
      </c>
      <c r="F88" s="499" t="s">
        <v>26</v>
      </c>
      <c r="G88" t="s">
        <v>168</v>
      </c>
    </row>
    <row r="89" spans="1:7" x14ac:dyDescent="0.35">
      <c r="B89" t="s">
        <v>149</v>
      </c>
      <c r="E89" t="s">
        <v>92</v>
      </c>
      <c r="F89" s="499" t="s">
        <v>26</v>
      </c>
      <c r="G89" t="s">
        <v>169</v>
      </c>
    </row>
    <row r="90" spans="1:7" x14ac:dyDescent="0.35">
      <c r="B90" t="s">
        <v>149</v>
      </c>
      <c r="C90" t="s">
        <v>152</v>
      </c>
      <c r="E90" t="s">
        <v>92</v>
      </c>
      <c r="F90" s="499" t="s">
        <v>26</v>
      </c>
      <c r="G90" t="s">
        <v>170</v>
      </c>
    </row>
    <row r="91" spans="1:7" x14ac:dyDescent="0.35">
      <c r="B91" t="s">
        <v>149</v>
      </c>
      <c r="C91" t="s">
        <v>152</v>
      </c>
      <c r="E91" t="s">
        <v>133</v>
      </c>
      <c r="F91" s="499" t="s">
        <v>26</v>
      </c>
      <c r="G91" t="s">
        <v>171</v>
      </c>
    </row>
    <row r="92" spans="1:7" x14ac:dyDescent="0.35">
      <c r="B92" t="s">
        <v>149</v>
      </c>
      <c r="C92" t="s">
        <v>152</v>
      </c>
      <c r="D92" t="s">
        <v>156</v>
      </c>
      <c r="E92" t="s">
        <v>92</v>
      </c>
      <c r="F92" s="499" t="s">
        <v>26</v>
      </c>
      <c r="G92" t="s">
        <v>172</v>
      </c>
    </row>
    <row r="93" spans="1:7" x14ac:dyDescent="0.35">
      <c r="B93" t="s">
        <v>149</v>
      </c>
      <c r="C93" t="s">
        <v>152</v>
      </c>
      <c r="D93" t="s">
        <v>156</v>
      </c>
      <c r="E93" t="s">
        <v>173</v>
      </c>
      <c r="F93" s="499" t="s">
        <v>26</v>
      </c>
      <c r="G93" t="s">
        <v>174</v>
      </c>
    </row>
    <row r="94" spans="1:7" x14ac:dyDescent="0.35">
      <c r="B94" t="s">
        <v>158</v>
      </c>
      <c r="E94" t="s">
        <v>92</v>
      </c>
      <c r="F94" s="499" t="s">
        <v>26</v>
      </c>
      <c r="G94" t="s">
        <v>175</v>
      </c>
    </row>
    <row r="95" spans="1:7" x14ac:dyDescent="0.35">
      <c r="B95" t="s">
        <v>32</v>
      </c>
      <c r="E95" t="s">
        <v>92</v>
      </c>
      <c r="F95" s="499" t="s">
        <v>26</v>
      </c>
      <c r="G95" t="s">
        <v>176</v>
      </c>
    </row>
    <row r="96" spans="1:7" x14ac:dyDescent="0.35">
      <c r="B96" t="s">
        <v>32</v>
      </c>
      <c r="E96" t="s">
        <v>45</v>
      </c>
      <c r="F96" s="499" t="s">
        <v>26</v>
      </c>
      <c r="G96" t="s">
        <v>177</v>
      </c>
    </row>
    <row r="97" spans="1:7" x14ac:dyDescent="0.35">
      <c r="B97" t="s">
        <v>32</v>
      </c>
      <c r="C97" t="s">
        <v>152</v>
      </c>
      <c r="E97" t="s">
        <v>45</v>
      </c>
      <c r="F97" s="499" t="s">
        <v>26</v>
      </c>
      <c r="G97" t="s">
        <v>178</v>
      </c>
    </row>
    <row r="98" spans="1:7" x14ac:dyDescent="0.35">
      <c r="B98" t="s">
        <v>32</v>
      </c>
      <c r="E98" t="s">
        <v>92</v>
      </c>
      <c r="F98" s="499" t="s">
        <v>26</v>
      </c>
      <c r="G98" t="s">
        <v>179</v>
      </c>
    </row>
    <row r="99" spans="1:7" x14ac:dyDescent="0.35">
      <c r="A99" s="312" t="s">
        <v>180</v>
      </c>
      <c r="B99" t="s">
        <v>181</v>
      </c>
      <c r="E99" t="s">
        <v>30</v>
      </c>
      <c r="F99" s="499" t="s">
        <v>26</v>
      </c>
      <c r="G99" t="s">
        <v>182</v>
      </c>
    </row>
    <row r="100" spans="1:7" x14ac:dyDescent="0.35">
      <c r="B100" t="s">
        <v>183</v>
      </c>
      <c r="C100" t="s">
        <v>184</v>
      </c>
      <c r="E100" t="s">
        <v>30</v>
      </c>
      <c r="F100" s="499" t="s">
        <v>26</v>
      </c>
      <c r="G100" t="s">
        <v>185</v>
      </c>
    </row>
    <row r="101" spans="1:7" x14ac:dyDescent="0.35">
      <c r="B101" t="s">
        <v>183</v>
      </c>
      <c r="C101" t="s">
        <v>184</v>
      </c>
      <c r="D101" t="s">
        <v>32</v>
      </c>
      <c r="E101" t="s">
        <v>30</v>
      </c>
      <c r="F101" s="499" t="s">
        <v>26</v>
      </c>
      <c r="G101" t="s">
        <v>186</v>
      </c>
    </row>
    <row r="102" spans="1:7" x14ac:dyDescent="0.35">
      <c r="B102" t="s">
        <v>187</v>
      </c>
      <c r="E102" t="s">
        <v>30</v>
      </c>
      <c r="F102" s="499" t="s">
        <v>26</v>
      </c>
      <c r="G102" t="s">
        <v>188</v>
      </c>
    </row>
    <row r="103" spans="1:7" x14ac:dyDescent="0.35">
      <c r="B103" t="s">
        <v>187</v>
      </c>
      <c r="C103" t="s">
        <v>184</v>
      </c>
      <c r="E103" t="s">
        <v>30</v>
      </c>
      <c r="F103" s="499" t="s">
        <v>26</v>
      </c>
      <c r="G103" t="s">
        <v>189</v>
      </c>
    </row>
    <row r="104" spans="1:7" x14ac:dyDescent="0.35">
      <c r="B104" t="s">
        <v>187</v>
      </c>
      <c r="C104" t="s">
        <v>184</v>
      </c>
      <c r="D104" t="s">
        <v>32</v>
      </c>
      <c r="E104" t="s">
        <v>30</v>
      </c>
      <c r="F104" s="499" t="s">
        <v>26</v>
      </c>
      <c r="G104" t="s">
        <v>190</v>
      </c>
    </row>
    <row r="105" spans="1:7" x14ac:dyDescent="0.35">
      <c r="B105" t="s">
        <v>191</v>
      </c>
      <c r="E105" t="s">
        <v>30</v>
      </c>
      <c r="F105" s="499" t="s">
        <v>26</v>
      </c>
      <c r="G105" t="s">
        <v>192</v>
      </c>
    </row>
    <row r="106" spans="1:7" x14ac:dyDescent="0.35">
      <c r="B106" t="s">
        <v>183</v>
      </c>
      <c r="C106" t="s">
        <v>193</v>
      </c>
      <c r="E106" t="s">
        <v>30</v>
      </c>
      <c r="F106" s="499" t="s">
        <v>26</v>
      </c>
      <c r="G106" t="s">
        <v>194</v>
      </c>
    </row>
    <row r="107" spans="1:7" x14ac:dyDescent="0.35">
      <c r="B107" t="s">
        <v>183</v>
      </c>
      <c r="C107" t="s">
        <v>193</v>
      </c>
      <c r="E107" t="s">
        <v>92</v>
      </c>
      <c r="F107" s="499" t="s">
        <v>26</v>
      </c>
      <c r="G107" t="s">
        <v>195</v>
      </c>
    </row>
    <row r="108" spans="1:7" x14ac:dyDescent="0.35">
      <c r="A108" s="312" t="s">
        <v>196</v>
      </c>
      <c r="B108" t="s">
        <v>181</v>
      </c>
      <c r="E108" t="s">
        <v>30</v>
      </c>
      <c r="F108" s="499" t="s">
        <v>26</v>
      </c>
      <c r="G108" t="s">
        <v>197</v>
      </c>
    </row>
    <row r="109" spans="1:7" x14ac:dyDescent="0.35">
      <c r="B109" t="s">
        <v>183</v>
      </c>
      <c r="C109" t="s">
        <v>193</v>
      </c>
      <c r="E109" t="s">
        <v>30</v>
      </c>
      <c r="F109" s="499" t="s">
        <v>26</v>
      </c>
      <c r="G109" t="s">
        <v>198</v>
      </c>
    </row>
    <row r="110" spans="1:7" x14ac:dyDescent="0.35">
      <c r="B110" t="s">
        <v>183</v>
      </c>
      <c r="C110" t="s">
        <v>199</v>
      </c>
      <c r="E110" t="s">
        <v>30</v>
      </c>
      <c r="F110" s="499" t="s">
        <v>26</v>
      </c>
      <c r="G110" t="s">
        <v>200</v>
      </c>
    </row>
  </sheetData>
  <sheetProtection algorithmName="SHA-512" hashValue="geGFgFwdq9IIwri9p7eNnab7bPzn2Byx09B1hDUoqRikHYmmr9aa8sY0V9G8k7BGT9tOmG0pz8iax2arG4OyvA==" saltValue="v8wZBVq73DhmIC8+Ka098g==" spinCount="100000" sheet="1" scenarios="1" formatCells="0" sort="0" autoFilter="0" pivotTables="0"/>
  <hyperlinks>
    <hyperlink ref="F6" location="Structure!A4" display="link" xr:uid="{00000000-0004-0000-0100-000000000000}"/>
    <hyperlink ref="F7" location="'Crewing Model'!A4" display="link" xr:uid="{00000000-0004-0000-0100-000001000000}"/>
    <hyperlink ref="F8" location="'Crewing Model - Area'!A4" display="link" xr:uid="{00000000-0004-0000-0100-000002000000}"/>
    <hyperlink ref="F9" location="'Primary Crewing'!A4" display="link" xr:uid="{00000000-0004-0000-0100-000003000000}"/>
    <hyperlink ref="F10" location="'Primary Crewing - Area'!A4" display="link" xr:uid="{00000000-0004-0000-0100-000004000000}"/>
    <hyperlink ref="F13" location="'Chart - Station Type'!A4" display="link" xr:uid="{00000000-0004-0000-0100-000005000000}"/>
    <hyperlink ref="F14" location="'Chart - Area'!A4" display="link" xr:uid="{00000000-0004-0000-0100-000006000000}"/>
    <hyperlink ref="F15" location="'Chart - Map'!A4" display="link" xr:uid="{00000000-0004-0000-0100-000007000000}"/>
    <hyperlink ref="F16" location="Vehicles!A4" display="link" xr:uid="{00000000-0004-0000-0100-000008000000}"/>
    <hyperlink ref="F17" location="'Appliances LA'!A4" display="link" xr:uid="{00000000-0004-0000-0100-000009000000}"/>
    <hyperlink ref="F18" location="Staffing!A4" display="link" xr:uid="{00000000-0004-0000-0100-00000A000000}"/>
    <hyperlink ref="F19" location="Staffing!A37" display="link" xr:uid="{00000000-0004-0000-0100-00000B000000}"/>
    <hyperlink ref="F22" location="Department!A4" display="link" xr:uid="{00000000-0004-0000-0100-00000C000000}"/>
    <hyperlink ref="F23" location="Department!A132" display="link" xr:uid="{00000000-0004-0000-0100-00000D000000}"/>
    <hyperlink ref="F24" location="'Geographic Structure'!A4" display="link" xr:uid="{00000000-0004-0000-0100-00000E000000}"/>
    <hyperlink ref="F25" location="'Staff - Small Area'!A4" display="link" xr:uid="{00000000-0004-0000-0100-00000F000000}"/>
    <hyperlink ref="F26" location="Role!A4" display="link" xr:uid="{00000000-0004-0000-0100-000010000000}"/>
    <hyperlink ref="F28" location="'Role - Area'!A4" display="link" xr:uid="{00000000-0004-0000-0100-000011000000}"/>
    <hyperlink ref="F29" location="'WT Role - Area'!A4" display="link" xr:uid="{00000000-0004-0000-0100-000012000000}"/>
    <hyperlink ref="F30" location="'RDS Role - Area'!A4" display="link" xr:uid="{00000000-0004-0000-0100-000013000000}"/>
    <hyperlink ref="F31" location="'C&amp;S Role - Area'!A4" display="link" xr:uid="{00000000-0004-0000-0100-000014000000}"/>
    <hyperlink ref="F32" location="'C&amp;S Role - Area'!A19" display="link" xr:uid="{00000000-0004-0000-0100-000015000000}"/>
    <hyperlink ref="F33" location="'Vol Role - Area'!A4" display="link" xr:uid="{00000000-0004-0000-0100-000016000000}"/>
    <hyperlink ref="F34" location="'WT FTE Role - Area'!A4" display="link" xr:uid="{00000000-0004-0000-0100-000017000000}"/>
    <hyperlink ref="F35" location="'RDS FTE Role - Area'!A4" display="link" xr:uid="{00000000-0004-0000-0100-000018000000}"/>
    <hyperlink ref="F36" location="'C&amp;S FTE Role - Area'!A4" display="link" xr:uid="{00000000-0004-0000-0100-000019000000}"/>
    <hyperlink ref="F37" location="'C&amp;S FTE Role - Area'!A17" display="link" xr:uid="{00000000-0004-0000-0100-00001A000000}"/>
    <hyperlink ref="F38" location="'Sex Timeseries'!A4" display="link" xr:uid="{00000000-0004-0000-0100-00001B000000}"/>
    <hyperlink ref="F39" location="Sex!A4" display="link" xr:uid="{00000000-0004-0000-0100-00001C000000}"/>
    <hyperlink ref="F40" location="'Sex and Role'!A4" display="link" xr:uid="{00000000-0004-0000-0100-00001D000000}"/>
    <hyperlink ref="F41" location="'FTE Sex and Role'!A4" display="link" xr:uid="{00000000-0004-0000-0100-00001E000000}"/>
    <hyperlink ref="F42" location="Age!A4" display="link" xr:uid="{00000000-0004-0000-0100-00001F000000}"/>
    <hyperlink ref="F43" location="Age!A31" display="link" xr:uid="{00000000-0004-0000-0100-000020000000}"/>
    <hyperlink ref="F44" location="'Service Length'!A4" display="link" xr:uid="{00000000-0004-0000-0100-000021000000}"/>
    <hyperlink ref="F45" location="'Service Length'!A25" display="link" xr:uid="{00000000-0004-0000-0100-000022000000}"/>
    <hyperlink ref="F46" location="Ethnicity!A4" display="link" xr:uid="{00000000-0004-0000-0100-000023000000}"/>
    <hyperlink ref="F47" location="Disability!A4" display="link" xr:uid="{00000000-0004-0000-0100-000024000000}"/>
    <hyperlink ref="F48" location="Disability!A29" display="link" xr:uid="{00000000-0004-0000-0100-000025000000}"/>
    <hyperlink ref="F49" location="'Entrants - Demographics'!A4" display="link" xr:uid="{00000000-0004-0000-0100-000026000000}"/>
    <hyperlink ref="F50" location="'Entrants - Demographics'!A29" display="link" xr:uid="{00000000-0004-0000-0100-000027000000}"/>
    <hyperlink ref="F51" location="'Entrants - Demographics'!A44" display="link" xr:uid="{00000000-0004-0000-0100-000028000000}"/>
    <hyperlink ref="F52" location="'Entrants - Demographics'!A60" display="link" xr:uid="{00000000-0004-0000-0100-000029000000}"/>
    <hyperlink ref="F53" location="Leavers!A4" display="link" xr:uid="{00000000-0004-0000-0100-00002A000000}"/>
    <hyperlink ref="F54" location="'Chart Headcount'!A4" display="link" xr:uid="{00000000-0004-0000-0100-00002B000000}"/>
    <hyperlink ref="F55" location="'Chart FTE'!A4" display="link" xr:uid="{00000000-0004-0000-0100-00002C000000}"/>
    <hyperlink ref="F56" location="'Chart Sex'!A4" display="link" xr:uid="{00000000-0004-0000-0100-00002D000000}"/>
    <hyperlink ref="F57" location="'Chart Age'!A4" display="link" xr:uid="{00000000-0004-0000-0100-00002E000000}"/>
    <hyperlink ref="F59" location="Attacks!A4" display="link" xr:uid="{00000000-0004-0000-0100-00002F000000}"/>
    <hyperlink ref="F60" location="Attacks!A25" display="link" xr:uid="{00000000-0004-0000-0100-000030000000}"/>
    <hyperlink ref="F61" location="'Attacks - Area'!A4" display="link" xr:uid="{00000000-0004-0000-0100-000031000000}"/>
    <hyperlink ref="F62" location="'Chart - Attacks'!A4" display="link" xr:uid="{00000000-0004-0000-0100-000032000000}"/>
    <hyperlink ref="F63" location="'Chart - Injuries'!A4" display="link" xr:uid="{00000000-0004-0000-0100-000033000000}"/>
    <hyperlink ref="F65" location="HFSVs!A4" display="link" xr:uid="{00000000-0004-0000-0100-000034000000}"/>
    <hyperlink ref="F66" location="HFSVs!A40" display="link" xr:uid="{00000000-0004-0000-0100-000035000000}"/>
    <hyperlink ref="F67" location="HFSVs!A68" display="link" xr:uid="{00000000-0004-0000-0100-000036000000}"/>
    <hyperlink ref="F68" location="'Distinct Properties'!A4" display="link" xr:uid="{00000000-0004-0000-0100-000037000000}"/>
    <hyperlink ref="F69" location="'Distinct Properties'!A28" display="link" xr:uid="{00000000-0004-0000-0100-000038000000}"/>
    <hyperlink ref="F70" location="'Distinct Propert. Popul.'!A4" display="link" xr:uid="{00000000-0004-0000-0100-000039000000}"/>
    <hyperlink ref="F71" location="'Distinct Propert. Popul.'!A28" display="link" xr:uid="{00000000-0004-0000-0100-00003A000000}"/>
    <hyperlink ref="F72" location="Residents!A4" display="link" xr:uid="{00000000-0004-0000-0100-00003B000000}"/>
    <hyperlink ref="F73" location="Residents!A27" display="link" xr:uid="{00000000-0004-0000-0100-00003C000000}"/>
    <hyperlink ref="F75" location="'SIMD-Visits'!A4" display="link" xr:uid="{00000000-0004-0000-0100-00003D000000}"/>
    <hyperlink ref="F76" location="'SIMD-Visits'!A29" display="link" xr:uid="{00000000-0004-0000-0100-00003E000000}"/>
    <hyperlink ref="F81" location="Rurality!A4" display="link" xr:uid="{00000000-0004-0000-0100-00003F000000}"/>
    <hyperlink ref="F82" location="Rurality!A27" display="link" xr:uid="{00000000-0004-0000-0100-000040000000}"/>
    <hyperlink ref="F83" location="'HFSVs LA'!A4" display="link" xr:uid="{00000000-0004-0000-0100-000041000000}"/>
    <hyperlink ref="F84" location="'Outcome LA'!A4" display="link" xr:uid="{00000000-0004-0000-0100-000042000000}"/>
    <hyperlink ref="F85" location="'Rate LA'!A4" display="link" xr:uid="{00000000-0004-0000-0100-000043000000}"/>
    <hyperlink ref="F86" location="'Chart HFSVs'!A4" display="link" xr:uid="{00000000-0004-0000-0100-000044000000}"/>
    <hyperlink ref="F87" location="'Chart Alarms'!A4" display="link" xr:uid="{00000000-0004-0000-0100-000045000000}"/>
    <hyperlink ref="F88" location="'Chart Residents'!A4" display="link" xr:uid="{00000000-0004-0000-0100-000046000000}"/>
    <hyperlink ref="F94" location="'Chart Rurality'!A4" display="link" xr:uid="{00000000-0004-0000-0100-000047000000}"/>
    <hyperlink ref="F95" location="'Chart LA'!A4" display="link" xr:uid="{00000000-0004-0000-0100-000048000000}"/>
    <hyperlink ref="F99" location="Workflows!A4" display="link" xr:uid="{00000000-0004-0000-0100-000049000000}"/>
    <hyperlink ref="F100" location="Audits!A4" display="link" xr:uid="{00000000-0004-0000-0100-00004A000000}"/>
    <hyperlink ref="F101" location="'Audits LA'!A4" display="link" xr:uid="{00000000-0004-0000-0100-00004B000000}"/>
    <hyperlink ref="F102" location="'Audits Outcome'!A4" display="link" xr:uid="{00000000-0004-0000-0100-00004C000000}"/>
    <hyperlink ref="F103" location="'Audits Outcome'!A35" display="link" xr:uid="{00000000-0004-0000-0100-00004D000000}"/>
    <hyperlink ref="F104" location="'Audits Outcome LA'!A4" display="link" xr:uid="{00000000-0004-0000-0100-00004E000000}"/>
    <hyperlink ref="F105" location="Notices!A4" display="link" xr:uid="{00000000-0004-0000-0100-00004F000000}"/>
    <hyperlink ref="F106" location="Risk!A4" display="link" xr:uid="{00000000-0004-0000-0100-000050000000}"/>
    <hyperlink ref="F107" location="Risk!A30" display="link" xr:uid="{00000000-0004-0000-0100-000051000000}"/>
    <hyperlink ref="F108" location="'Chart Workflows'!A4" display="link" xr:uid="{00000000-0004-0000-0100-000052000000}"/>
    <hyperlink ref="F109" location="'Chart Audits'!A4" display="link" xr:uid="{00000000-0004-0000-0100-000053000000}"/>
    <hyperlink ref="F11" location="'Crewing Level'!A4" display="link" xr:uid="{00000000-0004-0000-0100-000054000000}"/>
    <hyperlink ref="F12" location="Capabilities!A4" display="link" xr:uid="{00000000-0004-0000-0100-000055000000}"/>
    <hyperlink ref="F58" location="'Chart Service Length'!A4" display="link" xr:uid="{00000000-0004-0000-0100-000056000000}"/>
    <hyperlink ref="F20" location="DutySystem!A4" display="link" xr:uid="{00000000-0004-0000-0100-000057000000}"/>
    <hyperlink ref="F21" location="'DutySytem LA'!A4" display="link" xr:uid="{00000000-0004-0000-0100-000058000000}"/>
    <hyperlink ref="F27" location="'Role DutySystem'!A4" display="link" xr:uid="{00000000-0004-0000-0100-000059000000}"/>
    <hyperlink ref="F64" location="'Chart - AttacksMap'!A4" display="link" xr:uid="{00000000-0004-0000-0100-00005A000000}"/>
    <hyperlink ref="F110" location="'Chart Audit Share'!A4" display="link" xr:uid="{00000000-0004-0000-0100-00005B000000}"/>
    <hyperlink ref="F74" location="Tenure!A4" display="link" xr:uid="{00000000-0004-0000-0100-00005C000000}"/>
    <hyperlink ref="F77" location="'SIMD-Alarms'!A4" display="link" xr:uid="{00000000-0004-0000-0100-00005D000000}"/>
    <hyperlink ref="F78" location="'SIMD-Alarms'!A30" display="link" xr:uid="{00000000-0004-0000-0100-00005E000000}"/>
    <hyperlink ref="F79" location="'SIMD-%Alarm'!A4" display="link" xr:uid="{00000000-0004-0000-0100-00005F000000}"/>
    <hyperlink ref="F80" location="'SIMD-%Alarm'!A29" display="link" xr:uid="{00000000-0004-0000-0100-000060000000}"/>
    <hyperlink ref="F89" location="'Chart SIMD'!A4" display="link" xr:uid="{00000000-0004-0000-0100-000061000000}"/>
    <hyperlink ref="F90" location="'Chart SIMD Alarms'!A4" display="link" xr:uid="{00000000-0004-0000-0100-000062000000}"/>
    <hyperlink ref="F91" location="'Chart SIMD AlarmRate'!A4" display="link" xr:uid="{00000000-0004-0000-0100-000063000000}"/>
    <hyperlink ref="F92" location="'Chart SIMD OwnerOcc'!A4" display="link" xr:uid="{00000000-0004-0000-0100-000064000000}"/>
    <hyperlink ref="F93" location="'Chart SIMD OwnerYears'!A4" display="link" xr:uid="{00000000-0004-0000-0100-000065000000}"/>
    <hyperlink ref="F96" location="'Chart Map'!A4" display="link" xr:uid="{00000000-0004-0000-0100-000066000000}"/>
    <hyperlink ref="F97" location="'Chart Alarms Map'!A4" display="link" xr:uid="{00000000-0004-0000-0100-000067000000}"/>
    <hyperlink ref="F98" location="'Chart %Install'!A4" display="link" xr:uid="{00000000-0004-0000-0100-000068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4"/>
  <sheetViews>
    <sheetView workbookViewId="0">
      <selection activeCell="C6" sqref="C6"/>
    </sheetView>
  </sheetViews>
  <sheetFormatPr defaultRowHeight="14.5" x14ac:dyDescent="0.35"/>
  <cols>
    <col min="1" max="1" width="7.453125" bestFit="1" customWidth="1"/>
    <col min="2" max="2" width="20.1796875" bestFit="1" customWidth="1"/>
    <col min="3" max="3" width="17.453125" bestFit="1" customWidth="1"/>
    <col min="4" max="4" width="20.81640625" bestFit="1" customWidth="1"/>
    <col min="5" max="5" width="11.453125" bestFit="1" customWidth="1"/>
    <col min="6" max="6" width="24.453125" bestFit="1" customWidth="1"/>
    <col min="7" max="7" width="24.81640625" bestFit="1" customWidth="1"/>
    <col min="8" max="8" width="8" bestFit="1" customWidth="1"/>
    <col min="9" max="9" width="16.81640625" bestFit="1" customWidth="1"/>
    <col min="10" max="10" width="24.7265625" bestFit="1" customWidth="1"/>
    <col min="11" max="11" width="19.26953125" bestFit="1" customWidth="1"/>
    <col min="12" max="12" width="19.453125" bestFit="1" customWidth="1"/>
    <col min="13" max="13" width="47.26953125" bestFit="1" customWidth="1"/>
    <col min="14" max="14" width="24.54296875" bestFit="1" customWidth="1"/>
  </cols>
  <sheetData>
    <row r="1" spans="1:14" x14ac:dyDescent="0.35">
      <c r="A1" t="s">
        <v>207</v>
      </c>
      <c r="B1" t="s">
        <v>467</v>
      </c>
      <c r="C1" t="s">
        <v>468</v>
      </c>
      <c r="D1" t="s">
        <v>469</v>
      </c>
      <c r="E1" t="s">
        <v>470</v>
      </c>
      <c r="F1" t="s">
        <v>471</v>
      </c>
      <c r="G1" t="s">
        <v>472</v>
      </c>
      <c r="H1" t="s">
        <v>473</v>
      </c>
      <c r="I1" t="s">
        <v>474</v>
      </c>
      <c r="J1" t="s">
        <v>475</v>
      </c>
      <c r="K1" t="s">
        <v>476</v>
      </c>
      <c r="L1" t="s">
        <v>477</v>
      </c>
      <c r="M1" t="s">
        <v>478</v>
      </c>
      <c r="N1" t="s">
        <v>479</v>
      </c>
    </row>
    <row r="2" spans="1:14" x14ac:dyDescent="0.35">
      <c r="A2" t="s">
        <v>363</v>
      </c>
      <c r="B2">
        <v>465</v>
      </c>
      <c r="C2">
        <v>28</v>
      </c>
      <c r="D2">
        <v>37</v>
      </c>
      <c r="E2">
        <v>22</v>
      </c>
      <c r="F2">
        <v>15</v>
      </c>
      <c r="G2">
        <v>30</v>
      </c>
      <c r="H2">
        <v>23</v>
      </c>
      <c r="I2">
        <v>620</v>
      </c>
      <c r="K2">
        <v>59</v>
      </c>
      <c r="L2">
        <v>31</v>
      </c>
      <c r="M2">
        <v>805</v>
      </c>
      <c r="N2">
        <v>1515</v>
      </c>
    </row>
    <row r="3" spans="1:14" x14ac:dyDescent="0.35">
      <c r="A3" t="s">
        <v>364</v>
      </c>
      <c r="B3">
        <v>452</v>
      </c>
      <c r="C3">
        <v>31</v>
      </c>
      <c r="D3">
        <v>21</v>
      </c>
      <c r="F3">
        <v>19</v>
      </c>
      <c r="G3">
        <v>29</v>
      </c>
      <c r="H3">
        <v>25</v>
      </c>
      <c r="I3">
        <v>577</v>
      </c>
      <c r="K3">
        <v>65</v>
      </c>
      <c r="L3">
        <v>31</v>
      </c>
      <c r="M3">
        <v>628</v>
      </c>
      <c r="N3">
        <v>1301</v>
      </c>
    </row>
    <row r="4" spans="1:14" x14ac:dyDescent="0.35">
      <c r="A4" t="s">
        <v>365</v>
      </c>
      <c r="B4">
        <v>449</v>
      </c>
      <c r="C4">
        <v>14</v>
      </c>
      <c r="D4">
        <v>23</v>
      </c>
      <c r="E4">
        <v>25</v>
      </c>
      <c r="F4">
        <v>16</v>
      </c>
      <c r="G4">
        <v>36</v>
      </c>
      <c r="H4">
        <v>24</v>
      </c>
      <c r="I4">
        <v>587</v>
      </c>
      <c r="K4">
        <v>85</v>
      </c>
      <c r="L4">
        <v>27</v>
      </c>
      <c r="M4">
        <v>875</v>
      </c>
      <c r="N4">
        <v>1574</v>
      </c>
    </row>
    <row r="5" spans="1:14" x14ac:dyDescent="0.35">
      <c r="A5" t="s">
        <v>366</v>
      </c>
      <c r="B5">
        <v>438</v>
      </c>
      <c r="C5">
        <v>12</v>
      </c>
      <c r="D5">
        <v>14</v>
      </c>
      <c r="E5">
        <v>24</v>
      </c>
      <c r="F5">
        <v>18</v>
      </c>
      <c r="G5">
        <v>39</v>
      </c>
      <c r="H5">
        <v>47</v>
      </c>
      <c r="I5">
        <v>592</v>
      </c>
      <c r="K5">
        <v>65</v>
      </c>
      <c r="L5">
        <v>42</v>
      </c>
      <c r="M5">
        <v>811</v>
      </c>
      <c r="N5">
        <v>1510</v>
      </c>
    </row>
    <row r="6" spans="1:14" x14ac:dyDescent="0.35">
      <c r="A6" t="s">
        <v>341</v>
      </c>
      <c r="B6">
        <v>418</v>
      </c>
      <c r="C6">
        <v>26</v>
      </c>
      <c r="D6">
        <v>43</v>
      </c>
      <c r="E6">
        <v>26</v>
      </c>
      <c r="F6">
        <v>17</v>
      </c>
      <c r="G6">
        <v>34</v>
      </c>
      <c r="H6">
        <v>68</v>
      </c>
      <c r="I6">
        <v>632</v>
      </c>
      <c r="K6">
        <v>65</v>
      </c>
      <c r="L6">
        <v>62</v>
      </c>
      <c r="M6">
        <v>788</v>
      </c>
      <c r="N6">
        <v>1547</v>
      </c>
    </row>
    <row r="7" spans="1:14" x14ac:dyDescent="0.35">
      <c r="A7" t="s">
        <v>342</v>
      </c>
      <c r="B7">
        <v>417</v>
      </c>
      <c r="C7">
        <v>25</v>
      </c>
      <c r="D7">
        <v>43</v>
      </c>
      <c r="E7">
        <v>27</v>
      </c>
      <c r="F7">
        <v>20</v>
      </c>
      <c r="G7">
        <v>41</v>
      </c>
      <c r="H7">
        <v>59</v>
      </c>
      <c r="I7">
        <v>632</v>
      </c>
      <c r="J7">
        <v>95</v>
      </c>
      <c r="K7">
        <v>74</v>
      </c>
      <c r="L7">
        <v>64</v>
      </c>
      <c r="M7">
        <v>641</v>
      </c>
      <c r="N7">
        <v>1506</v>
      </c>
    </row>
    <row r="8" spans="1:14" x14ac:dyDescent="0.35">
      <c r="A8" t="s">
        <v>214</v>
      </c>
      <c r="B8">
        <v>431</v>
      </c>
      <c r="C8">
        <v>28</v>
      </c>
      <c r="D8">
        <v>42</v>
      </c>
      <c r="E8">
        <v>39</v>
      </c>
      <c r="F8">
        <v>25</v>
      </c>
      <c r="G8">
        <v>39</v>
      </c>
      <c r="H8">
        <v>62</v>
      </c>
      <c r="I8">
        <v>666</v>
      </c>
      <c r="J8">
        <v>198</v>
      </c>
      <c r="K8">
        <v>90</v>
      </c>
      <c r="L8">
        <v>65</v>
      </c>
      <c r="M8">
        <v>532</v>
      </c>
      <c r="N8">
        <v>1551</v>
      </c>
    </row>
    <row r="9" spans="1:14" x14ac:dyDescent="0.35">
      <c r="A9" t="s">
        <v>313</v>
      </c>
      <c r="B9">
        <v>421</v>
      </c>
      <c r="C9">
        <v>26</v>
      </c>
      <c r="D9">
        <v>39</v>
      </c>
      <c r="E9">
        <v>41</v>
      </c>
      <c r="F9">
        <v>29</v>
      </c>
      <c r="G9">
        <v>36</v>
      </c>
      <c r="H9">
        <v>63</v>
      </c>
      <c r="I9">
        <v>655</v>
      </c>
      <c r="J9">
        <v>285</v>
      </c>
      <c r="K9">
        <v>86</v>
      </c>
      <c r="L9">
        <v>71</v>
      </c>
      <c r="M9">
        <v>470</v>
      </c>
      <c r="N9">
        <v>1567</v>
      </c>
    </row>
    <row r="10" spans="1:14" x14ac:dyDescent="0.35">
      <c r="A10" t="s">
        <v>319</v>
      </c>
      <c r="B10">
        <v>445</v>
      </c>
      <c r="C10">
        <v>25</v>
      </c>
      <c r="D10">
        <v>38</v>
      </c>
      <c r="E10">
        <v>24</v>
      </c>
      <c r="F10">
        <v>28</v>
      </c>
      <c r="G10">
        <v>30</v>
      </c>
      <c r="H10">
        <v>60</v>
      </c>
      <c r="I10">
        <v>650</v>
      </c>
      <c r="J10">
        <v>335</v>
      </c>
      <c r="K10">
        <v>94</v>
      </c>
      <c r="L10">
        <v>61</v>
      </c>
      <c r="M10">
        <v>491</v>
      </c>
      <c r="N10">
        <v>1631</v>
      </c>
    </row>
    <row r="11" spans="1:14" x14ac:dyDescent="0.35">
      <c r="A11" t="s">
        <v>321</v>
      </c>
      <c r="B11">
        <v>427</v>
      </c>
      <c r="C11">
        <v>25</v>
      </c>
      <c r="D11">
        <v>23</v>
      </c>
      <c r="E11">
        <v>25</v>
      </c>
      <c r="F11">
        <v>28</v>
      </c>
      <c r="G11">
        <v>30</v>
      </c>
      <c r="H11">
        <v>77</v>
      </c>
      <c r="I11">
        <v>635</v>
      </c>
      <c r="J11">
        <v>313</v>
      </c>
      <c r="K11">
        <v>109</v>
      </c>
      <c r="L11">
        <v>60</v>
      </c>
      <c r="M11">
        <v>560</v>
      </c>
      <c r="N11">
        <v>1677</v>
      </c>
    </row>
    <row r="12" spans="1:14" x14ac:dyDescent="0.35">
      <c r="A12" t="s">
        <v>326</v>
      </c>
      <c r="B12">
        <v>429</v>
      </c>
      <c r="C12">
        <v>25</v>
      </c>
      <c r="D12">
        <v>23</v>
      </c>
      <c r="E12">
        <v>24</v>
      </c>
      <c r="F12">
        <v>28</v>
      </c>
      <c r="G12">
        <v>31</v>
      </c>
      <c r="H12">
        <v>77</v>
      </c>
      <c r="I12">
        <v>637</v>
      </c>
      <c r="J12">
        <v>319</v>
      </c>
      <c r="K12">
        <v>90</v>
      </c>
      <c r="L12">
        <v>55</v>
      </c>
      <c r="M12">
        <v>527</v>
      </c>
      <c r="N12">
        <v>1628</v>
      </c>
    </row>
    <row r="13" spans="1:14" x14ac:dyDescent="0.35">
      <c r="A13" t="s">
        <v>327</v>
      </c>
      <c r="B13">
        <v>424</v>
      </c>
      <c r="C13">
        <v>16</v>
      </c>
      <c r="D13">
        <v>21</v>
      </c>
      <c r="E13">
        <v>24</v>
      </c>
      <c r="F13">
        <v>28</v>
      </c>
      <c r="G13">
        <v>35</v>
      </c>
      <c r="H13">
        <v>73</v>
      </c>
      <c r="I13">
        <v>621</v>
      </c>
      <c r="J13">
        <v>327</v>
      </c>
      <c r="K13">
        <v>85</v>
      </c>
      <c r="L13">
        <v>61</v>
      </c>
      <c r="M13">
        <v>491</v>
      </c>
      <c r="N13">
        <v>1585</v>
      </c>
    </row>
    <row r="14" spans="1:14" x14ac:dyDescent="0.35">
      <c r="A14" t="s">
        <v>466</v>
      </c>
      <c r="B14">
        <v>424</v>
      </c>
      <c r="C14">
        <v>16</v>
      </c>
      <c r="D14">
        <v>19</v>
      </c>
      <c r="E14">
        <v>24</v>
      </c>
      <c r="F14">
        <v>28</v>
      </c>
      <c r="G14">
        <v>30</v>
      </c>
      <c r="H14">
        <v>89</v>
      </c>
      <c r="I14">
        <v>630</v>
      </c>
      <c r="J14">
        <v>329</v>
      </c>
      <c r="K14">
        <v>83</v>
      </c>
      <c r="L14">
        <v>61</v>
      </c>
      <c r="M14">
        <v>473</v>
      </c>
      <c r="N14">
        <v>1576</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D9B3FF"/>
    <pageSetUpPr fitToPage="1"/>
  </sheetPr>
  <dimension ref="A1:AC34"/>
  <sheetViews>
    <sheetView showGridLines="0" zoomScaleNormal="100" workbookViewId="0">
      <pane ySplit="2" topLeftCell="A3" activePane="bottomLeft" state="frozen"/>
      <selection pane="bottomLeft" sqref="A1:J1"/>
    </sheetView>
  </sheetViews>
  <sheetFormatPr defaultRowHeight="14.5" x14ac:dyDescent="0.35"/>
  <cols>
    <col min="1" max="1" width="17.81640625" customWidth="1"/>
    <col min="2" max="6" width="10.26953125" customWidth="1"/>
    <col min="7" max="7" width="14" customWidth="1"/>
    <col min="8" max="8" width="12.453125" customWidth="1"/>
    <col min="9" max="9" width="10.453125" customWidth="1"/>
    <col min="10" max="10" width="10.54296875" customWidth="1"/>
    <col min="11" max="11" width="11" customWidth="1"/>
    <col min="12" max="12" width="12.453125" customWidth="1"/>
    <col min="13" max="13" width="11.54296875" customWidth="1"/>
    <col min="14" max="14" width="10.453125" customWidth="1"/>
    <col min="15" max="15" width="10.81640625" customWidth="1"/>
    <col min="16" max="16" width="10.7265625" customWidth="1"/>
    <col min="18" max="18" width="10" customWidth="1"/>
  </cols>
  <sheetData>
    <row r="1" spans="1:19" ht="15.5" x14ac:dyDescent="0.35">
      <c r="A1" s="1011" t="s">
        <v>480</v>
      </c>
      <c r="B1" s="1011"/>
      <c r="C1" s="1011"/>
      <c r="D1" s="1011"/>
      <c r="E1" s="1011"/>
      <c r="F1" s="1011"/>
      <c r="G1" s="1011"/>
      <c r="H1" s="1011"/>
      <c r="I1" s="1011"/>
      <c r="J1" s="1011"/>
    </row>
    <row r="2" spans="1:19" ht="17.5" x14ac:dyDescent="0.35">
      <c r="A2" s="499" t="s">
        <v>201</v>
      </c>
      <c r="B2" s="1"/>
      <c r="C2" s="1"/>
      <c r="D2" s="1"/>
      <c r="E2" s="1"/>
      <c r="F2" s="1"/>
      <c r="G2" s="1"/>
      <c r="H2" s="1"/>
      <c r="I2" s="1"/>
      <c r="J2" s="1"/>
    </row>
    <row r="3" spans="1:19" ht="17.5" x14ac:dyDescent="0.35">
      <c r="A3" s="1"/>
      <c r="B3" s="1"/>
      <c r="C3" s="1"/>
      <c r="D3" s="1"/>
      <c r="E3" s="1"/>
      <c r="F3" s="1"/>
      <c r="G3" s="1"/>
      <c r="H3" s="1"/>
      <c r="I3" s="1"/>
      <c r="J3" s="1"/>
    </row>
    <row r="4" spans="1:19" ht="15.5" x14ac:dyDescent="0.35">
      <c r="A4" s="439" t="s">
        <v>481</v>
      </c>
      <c r="B4" s="439"/>
      <c r="C4" s="439"/>
      <c r="D4" s="439"/>
      <c r="E4" s="439"/>
      <c r="F4" s="439"/>
      <c r="G4" s="439"/>
      <c r="H4" s="439"/>
      <c r="I4" s="439"/>
      <c r="J4" s="439"/>
    </row>
    <row r="5" spans="1:19" x14ac:dyDescent="0.35">
      <c r="A5" t="s">
        <v>202</v>
      </c>
      <c r="B5" t="s">
        <v>49</v>
      </c>
    </row>
    <row r="6" spans="1:19" x14ac:dyDescent="0.35">
      <c r="A6" t="s">
        <v>203</v>
      </c>
      <c r="B6" t="s">
        <v>204</v>
      </c>
    </row>
    <row r="7" spans="1:19" x14ac:dyDescent="0.35">
      <c r="A7" t="s">
        <v>205</v>
      </c>
      <c r="B7" t="s">
        <v>206</v>
      </c>
    </row>
    <row r="9" spans="1:19" ht="30" customHeight="1" x14ac:dyDescent="0.35">
      <c r="A9" s="197"/>
      <c r="B9" s="130"/>
      <c r="C9" s="130"/>
      <c r="D9" s="130"/>
      <c r="E9" s="130"/>
      <c r="F9" s="130"/>
      <c r="G9" s="130"/>
      <c r="H9" s="130"/>
      <c r="I9" s="198" t="s">
        <v>482</v>
      </c>
      <c r="J9" s="182"/>
      <c r="K9" s="199"/>
      <c r="L9" s="199"/>
      <c r="M9" s="323" t="s">
        <v>483</v>
      </c>
      <c r="N9" s="783"/>
      <c r="O9" s="233"/>
      <c r="Q9" s="233"/>
      <c r="S9" s="233"/>
    </row>
    <row r="10" spans="1:19" ht="15.5" x14ac:dyDescent="0.35">
      <c r="A10" s="197"/>
      <c r="B10" s="139"/>
      <c r="C10" s="139"/>
      <c r="D10" s="139"/>
      <c r="F10" s="551" t="s">
        <v>484</v>
      </c>
      <c r="G10" s="130"/>
      <c r="H10" s="130"/>
      <c r="K10" s="552"/>
      <c r="L10" s="550"/>
      <c r="M10" s="782"/>
      <c r="N10" s="784"/>
      <c r="Q10" s="233"/>
      <c r="S10" s="233"/>
    </row>
    <row r="11" spans="1:19" ht="58.5" x14ac:dyDescent="0.35">
      <c r="A11" s="200" t="s">
        <v>207</v>
      </c>
      <c r="B11" s="201" t="s">
        <v>467</v>
      </c>
      <c r="C11" s="201" t="s">
        <v>468</v>
      </c>
      <c r="D11" s="201" t="s">
        <v>469</v>
      </c>
      <c r="E11" s="416" t="s">
        <v>470</v>
      </c>
      <c r="F11" s="201" t="s">
        <v>471</v>
      </c>
      <c r="G11" s="201" t="s">
        <v>472</v>
      </c>
      <c r="H11" s="417" t="s">
        <v>473</v>
      </c>
      <c r="I11" s="553" t="s">
        <v>474</v>
      </c>
      <c r="J11" s="643" t="s">
        <v>475</v>
      </c>
      <c r="K11" s="201" t="s">
        <v>476</v>
      </c>
      <c r="L11" s="201" t="s">
        <v>477</v>
      </c>
      <c r="M11" s="553" t="s">
        <v>485</v>
      </c>
      <c r="N11" s="554" t="s">
        <v>486</v>
      </c>
      <c r="S11" s="418"/>
    </row>
    <row r="12" spans="1:19" x14ac:dyDescent="0.35">
      <c r="A12" s="176" t="s">
        <v>363</v>
      </c>
      <c r="B12" s="707">
        <f>GETPIVOTDATA("Sum of Pumping Appliances",VehiclesPivot!$A$3,"Year",A12)</f>
        <v>465</v>
      </c>
      <c r="C12" s="707">
        <f>GETPIVOTDATA("Sum of Aerial Appliances",VehiclesPivot!$A$3,"Year",A12)</f>
        <v>28</v>
      </c>
      <c r="D12" s="708">
        <f>GETPIVOTDATA("Sum of Resilience Appliances",VehiclesPivot!$A$3,"Year",A12)</f>
        <v>37</v>
      </c>
      <c r="E12" s="707">
        <f>GETPIVOTDATA("Sum of Fire Boats",VehiclesPivot!$A$3,"Year",A12)</f>
        <v>22</v>
      </c>
      <c r="F12" s="707">
        <f>GETPIVOTDATA("Sum of Vehicles for Rescue Work",VehiclesPivot!$A$3,"Year",A12)</f>
        <v>15</v>
      </c>
      <c r="G12" s="707">
        <f>GETPIVOTDATA("Sum of Small Firefighting Vehicles",VehiclesPivot!$A$3,"Year",A12)</f>
        <v>30</v>
      </c>
      <c r="H12" s="708">
        <f>GETPIVOTDATA("Sum of Other",VehiclesPivot!$A$3,"Year",A12)</f>
        <v>23</v>
      </c>
      <c r="I12" s="711">
        <f>GETPIVOTDATA("Sum of Total Appliances",VehiclesPivot!$A$3,"Year",A12)</f>
        <v>620</v>
      </c>
      <c r="J12" s="709"/>
      <c r="K12" s="707">
        <f>GETPIVOTDATA("Sum of Reserve Appliances",VehiclesPivot!$A$3,"Year",A12)</f>
        <v>59</v>
      </c>
      <c r="L12" s="708">
        <f>GETPIVOTDATA("Sum of Training Appliances",VehiclesPivot!$A$3,"Year",A12)</f>
        <v>31</v>
      </c>
      <c r="M12" s="710">
        <f>GETPIVOTDATA("Sum of Other Fleet Vehicles (excl Officer Response Vehicles)",VehiclesPivot!$A$3,"Year",A12)</f>
        <v>805</v>
      </c>
      <c r="N12" s="808">
        <f>GETPIVOTDATA("Sum of Total Vehicles (incl boats)",VehiclesPivot!$A$3,"Year",A12)</f>
        <v>1515</v>
      </c>
      <c r="P12" s="369"/>
      <c r="S12" s="117"/>
    </row>
    <row r="13" spans="1:19" x14ac:dyDescent="0.35">
      <c r="A13" s="176" t="s">
        <v>364</v>
      </c>
      <c r="B13" s="707">
        <f>GETPIVOTDATA("Sum of Pumping Appliances",VehiclesPivot!$A$3,"Year",A13)</f>
        <v>452</v>
      </c>
      <c r="C13" s="707">
        <f>GETPIVOTDATA("Sum of Aerial Appliances",VehiclesPivot!$A$3,"Year",A13)</f>
        <v>31</v>
      </c>
      <c r="D13" s="711">
        <f>GETPIVOTDATA("Sum of Resilience Appliances",VehiclesPivot!$A$3,"Year",A13)</f>
        <v>21</v>
      </c>
      <c r="E13" s="805">
        <f>GETPIVOTDATA("Sum of Fire Boats",VehiclesPivot!$A$3,"Year",A13)</f>
        <v>0</v>
      </c>
      <c r="F13" s="707">
        <f>GETPIVOTDATA("Sum of Vehicles for Rescue Work",VehiclesPivot!$A$3,"Year",A13)</f>
        <v>19</v>
      </c>
      <c r="G13" s="707">
        <f>GETPIVOTDATA("Sum of Small Firefighting Vehicles",VehiclesPivot!$A$3,"Year",A13)</f>
        <v>29</v>
      </c>
      <c r="H13" s="711">
        <f>GETPIVOTDATA("Sum of Other",VehiclesPivot!$A$3,"Year",A13)</f>
        <v>25</v>
      </c>
      <c r="I13" s="714">
        <f>GETPIVOTDATA("Sum of Total Appliances",VehiclesPivot!$A$3,"Year",A13)</f>
        <v>577</v>
      </c>
      <c r="J13" s="713"/>
      <c r="K13" s="707">
        <f>GETPIVOTDATA("Sum of Reserve Appliances",VehiclesPivot!$A$3,"Year",A13)</f>
        <v>65</v>
      </c>
      <c r="L13" s="711">
        <f>GETPIVOTDATA("Sum of Training Appliances",VehiclesPivot!$A$3,"Year",A13)</f>
        <v>31</v>
      </c>
      <c r="M13" s="712">
        <f>GETPIVOTDATA("Sum of Other Fleet Vehicles (excl Officer Response Vehicles)",VehiclesPivot!$A$3,"Year",A13)</f>
        <v>628</v>
      </c>
      <c r="N13" s="750">
        <f>GETPIVOTDATA("Sum of Total Vehicles (incl boats)",VehiclesPivot!$A$3,"Year",A13)</f>
        <v>1301</v>
      </c>
      <c r="S13" s="117"/>
    </row>
    <row r="14" spans="1:19" x14ac:dyDescent="0.35">
      <c r="A14" s="176" t="s">
        <v>365</v>
      </c>
      <c r="B14" s="707">
        <f>GETPIVOTDATA("Sum of Pumping Appliances",VehiclesPivot!$A$3,"Year",A14)</f>
        <v>449</v>
      </c>
      <c r="C14" s="707">
        <f>GETPIVOTDATA("Sum of Aerial Appliances",VehiclesPivot!$A$3,"Year",A14)</f>
        <v>14</v>
      </c>
      <c r="D14" s="711">
        <f>GETPIVOTDATA("Sum of Resilience Appliances",VehiclesPivot!$A$3,"Year",A14)</f>
        <v>23</v>
      </c>
      <c r="E14" s="707">
        <f>GETPIVOTDATA("Sum of Fire Boats",VehiclesPivot!$A$3,"Year",A14)</f>
        <v>25</v>
      </c>
      <c r="F14" s="707">
        <f>GETPIVOTDATA("Sum of Vehicles for Rescue Work",VehiclesPivot!$A$3,"Year",A14)</f>
        <v>16</v>
      </c>
      <c r="G14" s="707">
        <f>GETPIVOTDATA("Sum of Small Firefighting Vehicles",VehiclesPivot!$A$3,"Year",A14)</f>
        <v>36</v>
      </c>
      <c r="H14" s="711">
        <f>GETPIVOTDATA("Sum of Other",VehiclesPivot!$A$3,"Year",A14)</f>
        <v>24</v>
      </c>
      <c r="I14" s="711">
        <f>GETPIVOTDATA("Sum of Total Appliances",VehiclesPivot!$A$3,"Year",A14)</f>
        <v>587</v>
      </c>
      <c r="J14" s="713"/>
      <c r="K14" s="707">
        <f>GETPIVOTDATA("Sum of Reserve Appliances",VehiclesPivot!$A$3,"Year",A14)</f>
        <v>85</v>
      </c>
      <c r="L14" s="711">
        <f>GETPIVOTDATA("Sum of Training Appliances",VehiclesPivot!$A$3,"Year",A14)</f>
        <v>27</v>
      </c>
      <c r="M14" s="712">
        <f>GETPIVOTDATA("Sum of Other Fleet Vehicles (excl Officer Response Vehicles)",VehiclesPivot!$A$3,"Year",A14)</f>
        <v>875</v>
      </c>
      <c r="N14" s="750">
        <f>GETPIVOTDATA("Sum of Total Vehicles (incl boats)",VehiclesPivot!$A$3,"Year",A14)</f>
        <v>1574</v>
      </c>
      <c r="S14" s="117"/>
    </row>
    <row r="15" spans="1:19" x14ac:dyDescent="0.35">
      <c r="A15" s="176" t="s">
        <v>366</v>
      </c>
      <c r="B15" s="707">
        <f>GETPIVOTDATA("Sum of Pumping Appliances",VehiclesPivot!$A$3,"Year",A15)</f>
        <v>438</v>
      </c>
      <c r="C15" s="707">
        <f>GETPIVOTDATA("Sum of Aerial Appliances",VehiclesPivot!$A$3,"Year",A15)</f>
        <v>12</v>
      </c>
      <c r="D15" s="714">
        <f>GETPIVOTDATA("Sum of Resilience Appliances",VehiclesPivot!$A$3,"Year",A15)</f>
        <v>14</v>
      </c>
      <c r="E15" s="707">
        <f>GETPIVOTDATA("Sum of Fire Boats",VehiclesPivot!$A$3,"Year",A15)</f>
        <v>24</v>
      </c>
      <c r="F15" s="707">
        <f>GETPIVOTDATA("Sum of Vehicles for Rescue Work",VehiclesPivot!$A$3,"Year",A15)</f>
        <v>18</v>
      </c>
      <c r="G15" s="707">
        <f>GETPIVOTDATA("Sum of Small Firefighting Vehicles",VehiclesPivot!$A$3,"Year",A15)</f>
        <v>39</v>
      </c>
      <c r="H15" s="711">
        <f>GETPIVOTDATA("Sum of Other",VehiclesPivot!$A$3,"Year",A15)</f>
        <v>47</v>
      </c>
      <c r="I15" s="711">
        <f>GETPIVOTDATA("Sum of Total Appliances",VehiclesPivot!$A$3,"Year",A15)</f>
        <v>592</v>
      </c>
      <c r="J15" s="713"/>
      <c r="K15" s="707">
        <f>GETPIVOTDATA("Sum of Reserve Appliances",VehiclesPivot!$A$3,"Year",A15)</f>
        <v>65</v>
      </c>
      <c r="L15" s="711">
        <f>GETPIVOTDATA("Sum of Training Appliances",VehiclesPivot!$A$3,"Year",A15)</f>
        <v>42</v>
      </c>
      <c r="M15" s="712">
        <f>GETPIVOTDATA("Sum of Other Fleet Vehicles (excl Officer Response Vehicles)",VehiclesPivot!$A$3,"Year",A15)</f>
        <v>811</v>
      </c>
      <c r="N15" s="750">
        <f>GETPIVOTDATA("Sum of Total Vehicles (incl boats)",VehiclesPivot!$A$3,"Year",A15)</f>
        <v>1510</v>
      </c>
      <c r="S15" s="117"/>
    </row>
    <row r="16" spans="1:19" x14ac:dyDescent="0.35">
      <c r="A16" s="176" t="s">
        <v>341</v>
      </c>
      <c r="B16" s="707">
        <f>GETPIVOTDATA("Sum of Pumping Appliances",VehiclesPivot!$A$3,"Year",A16)</f>
        <v>418</v>
      </c>
      <c r="C16" s="707">
        <f>GETPIVOTDATA("Sum of Aerial Appliances",VehiclesPivot!$A$3,"Year",A16)</f>
        <v>26</v>
      </c>
      <c r="D16" s="711">
        <f>GETPIVOTDATA("Sum of Resilience Appliances",VehiclesPivot!$A$3,"Year",A16)</f>
        <v>43</v>
      </c>
      <c r="E16" s="707">
        <f>GETPIVOTDATA("Sum of Fire Boats",VehiclesPivot!$A$3,"Year",A16)</f>
        <v>26</v>
      </c>
      <c r="F16" s="707">
        <f>GETPIVOTDATA("Sum of Vehicles for Rescue Work",VehiclesPivot!$A$3,"Year",A16)</f>
        <v>17</v>
      </c>
      <c r="G16" s="707">
        <f>GETPIVOTDATA("Sum of Small Firefighting Vehicles",VehiclesPivot!$A$3,"Year",A16)</f>
        <v>34</v>
      </c>
      <c r="H16" s="711">
        <f>GETPIVOTDATA("Sum of Other",VehiclesPivot!$A$3,"Year",A16)</f>
        <v>68</v>
      </c>
      <c r="I16" s="711">
        <f>GETPIVOTDATA("Sum of Total Appliances",VehiclesPivot!$A$3,"Year",A16)</f>
        <v>632</v>
      </c>
      <c r="J16" s="713"/>
      <c r="K16" s="707">
        <f>GETPIVOTDATA("Sum of Reserve Appliances",VehiclesPivot!$A$3,"Year",A16)</f>
        <v>65</v>
      </c>
      <c r="L16" s="711">
        <f>GETPIVOTDATA("Sum of Training Appliances",VehiclesPivot!$A$3,"Year",A16)</f>
        <v>62</v>
      </c>
      <c r="M16" s="712">
        <f>GETPIVOTDATA("Sum of Other Fleet Vehicles (excl Officer Response Vehicles)",VehiclesPivot!$A$3,"Year",A16)</f>
        <v>788</v>
      </c>
      <c r="N16" s="750">
        <f>GETPIVOTDATA("Sum of Total Vehicles (incl boats)",VehiclesPivot!$A$3,"Year",A16)</f>
        <v>1547</v>
      </c>
      <c r="S16" s="117"/>
    </row>
    <row r="17" spans="1:29" x14ac:dyDescent="0.35">
      <c r="A17" s="176" t="s">
        <v>342</v>
      </c>
      <c r="B17" s="707">
        <f>GETPIVOTDATA("Sum of Pumping Appliances",VehiclesPivot!$A$3,"Year",A17)</f>
        <v>417</v>
      </c>
      <c r="C17" s="707">
        <f>GETPIVOTDATA("Sum of Aerial Appliances",VehiclesPivot!$A$3,"Year",A17)</f>
        <v>25</v>
      </c>
      <c r="D17" s="711">
        <f>GETPIVOTDATA("Sum of Resilience Appliances",VehiclesPivot!$A$3,"Year",A17)</f>
        <v>43</v>
      </c>
      <c r="E17" s="707">
        <f>GETPIVOTDATA("Sum of Fire Boats",VehiclesPivot!$A$3,"Year",A17)</f>
        <v>27</v>
      </c>
      <c r="F17" s="707">
        <f>GETPIVOTDATA("Sum of Vehicles for Rescue Work",VehiclesPivot!$A$3,"Year",A17)</f>
        <v>20</v>
      </c>
      <c r="G17" s="707">
        <f>GETPIVOTDATA("Sum of Small Firefighting Vehicles",VehiclesPivot!$A$3,"Year",A17)</f>
        <v>41</v>
      </c>
      <c r="H17" s="711">
        <f>GETPIVOTDATA("Sum of Other",VehiclesPivot!$A$3,"Year",A17)</f>
        <v>59</v>
      </c>
      <c r="I17" s="711">
        <f>GETPIVOTDATA("Sum of Total Appliances",VehiclesPivot!$A$3,"Year",A17)</f>
        <v>632</v>
      </c>
      <c r="J17" s="712">
        <f>GETPIVOTDATA("Sum of Officer Response Vehicles",VehiclesPivot!$A$3,"Year",A17)</f>
        <v>95</v>
      </c>
      <c r="K17" s="707">
        <f>GETPIVOTDATA("Sum of Reserve Appliances",VehiclesPivot!$A$3,"Year",A17)</f>
        <v>74</v>
      </c>
      <c r="L17" s="711">
        <f>GETPIVOTDATA("Sum of Training Appliances",VehiclesPivot!$A$3,"Year",A17)</f>
        <v>64</v>
      </c>
      <c r="M17" s="712">
        <f>GETPIVOTDATA("Sum of Other Fleet Vehicles (excl Officer Response Vehicles)",VehiclesPivot!$A$3,"Year",A17)</f>
        <v>641</v>
      </c>
      <c r="N17" s="750">
        <f>GETPIVOTDATA("Sum of Total Vehicles (incl boats)",VehiclesPivot!$A$3,"Year",A17)</f>
        <v>1506</v>
      </c>
      <c r="P17" s="369"/>
      <c r="S17" s="117"/>
    </row>
    <row r="18" spans="1:29" x14ac:dyDescent="0.35">
      <c r="A18" s="176" t="s">
        <v>214</v>
      </c>
      <c r="B18" s="707">
        <f>GETPIVOTDATA("Sum of Pumping Appliances",VehiclesPivot!$A$3,"Year",A18)</f>
        <v>431</v>
      </c>
      <c r="C18" s="707">
        <f>GETPIVOTDATA("Sum of Aerial Appliances",VehiclesPivot!$A$3,"Year",A18)</f>
        <v>28</v>
      </c>
      <c r="D18" s="711">
        <f>GETPIVOTDATA("Sum of Resilience Appliances",VehiclesPivot!$A$3,"Year",A18)</f>
        <v>42</v>
      </c>
      <c r="E18" s="707">
        <f>GETPIVOTDATA("Sum of Fire Boats",VehiclesPivot!$A$3,"Year",A18)</f>
        <v>39</v>
      </c>
      <c r="F18" s="707">
        <f>GETPIVOTDATA("Sum of Vehicles for Rescue Work",VehiclesPivot!$A$3,"Year",A18)</f>
        <v>25</v>
      </c>
      <c r="G18" s="707">
        <f>GETPIVOTDATA("Sum of Small Firefighting Vehicles",VehiclesPivot!$A$3,"Year",A18)</f>
        <v>39</v>
      </c>
      <c r="H18" s="711">
        <f>GETPIVOTDATA("Sum of Other",VehiclesPivot!$A$3,"Year",A18)</f>
        <v>62</v>
      </c>
      <c r="I18" s="711">
        <f>GETPIVOTDATA("Sum of Total Appliances",VehiclesPivot!$A$3,"Year",A18)</f>
        <v>666</v>
      </c>
      <c r="J18" s="712">
        <f>GETPIVOTDATA("Sum of Officer Response Vehicles",VehiclesPivot!$A$3,"Year",A18)</f>
        <v>198</v>
      </c>
      <c r="K18" s="707">
        <f>GETPIVOTDATA("Sum of Reserve Appliances",VehiclesPivot!$A$3,"Year",A18)</f>
        <v>90</v>
      </c>
      <c r="L18" s="711">
        <f>GETPIVOTDATA("Sum of Training Appliances",VehiclesPivot!$A$3,"Year",A18)</f>
        <v>65</v>
      </c>
      <c r="M18" s="712">
        <f>GETPIVOTDATA("Sum of Other Fleet Vehicles (excl Officer Response Vehicles)",VehiclesPivot!$A$3,"Year",A18)</f>
        <v>532</v>
      </c>
      <c r="N18" s="750">
        <f>GETPIVOTDATA("Sum of Total Vehicles (incl boats)",VehiclesPivot!$A$3,"Year",A18)</f>
        <v>1551</v>
      </c>
      <c r="P18" s="369"/>
      <c r="S18" s="117"/>
    </row>
    <row r="19" spans="1:29" x14ac:dyDescent="0.35">
      <c r="A19" s="176" t="s">
        <v>313</v>
      </c>
      <c r="B19" s="707">
        <f>GETPIVOTDATA("Sum of Pumping Appliances",VehiclesPivot!$A$3,"Year",A19)</f>
        <v>421</v>
      </c>
      <c r="C19" s="707">
        <f>GETPIVOTDATA("Sum of Aerial Appliances",VehiclesPivot!$A$3,"Year",A19)</f>
        <v>26</v>
      </c>
      <c r="D19" s="711">
        <f>GETPIVOTDATA("Sum of Resilience Appliances",VehiclesPivot!$A$3,"Year",A19)</f>
        <v>39</v>
      </c>
      <c r="E19" s="707">
        <f>GETPIVOTDATA("Sum of Fire Boats",VehiclesPivot!$A$3,"Year",A19)</f>
        <v>41</v>
      </c>
      <c r="F19" s="707">
        <f>GETPIVOTDATA("Sum of Vehicles for Rescue Work",VehiclesPivot!$A$3,"Year",A19)</f>
        <v>29</v>
      </c>
      <c r="G19" s="707">
        <f>GETPIVOTDATA("Sum of Small Firefighting Vehicles",VehiclesPivot!$A$3,"Year",A19)</f>
        <v>36</v>
      </c>
      <c r="H19" s="711">
        <f>GETPIVOTDATA("Sum of Other",VehiclesPivot!$A$3,"Year",A19)</f>
        <v>63</v>
      </c>
      <c r="I19" s="711">
        <f>GETPIVOTDATA("Sum of Total Appliances",VehiclesPivot!$A$3,"Year",A19)</f>
        <v>655</v>
      </c>
      <c r="J19" s="806">
        <f>GETPIVOTDATA("Sum of Officer Response Vehicles",VehiclesPivot!$A$3,"Year",A19)</f>
        <v>285</v>
      </c>
      <c r="K19" s="707">
        <f>GETPIVOTDATA("Sum of Reserve Appliances",VehiclesPivot!$A$3,"Year",A19)</f>
        <v>86</v>
      </c>
      <c r="L19" s="711">
        <f>GETPIVOTDATA("Sum of Training Appliances",VehiclesPivot!$A$3,"Year",A19)</f>
        <v>71</v>
      </c>
      <c r="M19" s="806">
        <f>GETPIVOTDATA("Sum of Other Fleet Vehicles (excl Officer Response Vehicles)",VehiclesPivot!$A$3,"Year",A19)</f>
        <v>470</v>
      </c>
      <c r="N19" s="750">
        <f>GETPIVOTDATA("Sum of Total Vehicles (incl boats)",VehiclesPivot!$A$3,"Year",A19)</f>
        <v>1567</v>
      </c>
      <c r="P19" s="369"/>
      <c r="S19" s="117"/>
    </row>
    <row r="20" spans="1:29" x14ac:dyDescent="0.35">
      <c r="A20" s="176" t="s">
        <v>319</v>
      </c>
      <c r="B20" s="707">
        <f>GETPIVOTDATA("Sum of Pumping Appliances",VehiclesPivot!$A$3,"Year",A20)</f>
        <v>445</v>
      </c>
      <c r="C20" s="707">
        <f>GETPIVOTDATA("Sum of Aerial Appliances",VehiclesPivot!$A$3,"Year",A20)</f>
        <v>25</v>
      </c>
      <c r="D20" s="711">
        <f>GETPIVOTDATA("Sum of Resilience Appliances",VehiclesPivot!$A$3,"Year",A20)</f>
        <v>38</v>
      </c>
      <c r="E20" s="707">
        <f>GETPIVOTDATA("Sum of Fire Boats",VehiclesPivot!$A$3,"Year",A20)</f>
        <v>24</v>
      </c>
      <c r="F20" s="707">
        <f>GETPIVOTDATA("Sum of Vehicles for Rescue Work",VehiclesPivot!$A$3,"Year",A20)</f>
        <v>28</v>
      </c>
      <c r="G20" s="707">
        <f>GETPIVOTDATA("Sum of Small Firefighting Vehicles",VehiclesPivot!$A$3,"Year",A20)</f>
        <v>30</v>
      </c>
      <c r="H20" s="711">
        <f>GETPIVOTDATA("Sum of Other",VehiclesPivot!$A$3,"Year",A20)</f>
        <v>60</v>
      </c>
      <c r="I20" s="711">
        <f>GETPIVOTDATA("Sum of Total Appliances",VehiclesPivot!$A$3,"Year",A20)</f>
        <v>650</v>
      </c>
      <c r="J20" s="806">
        <f>GETPIVOTDATA("Sum of Officer Response Vehicles",VehiclesPivot!$A$3,"Year",A20)</f>
        <v>335</v>
      </c>
      <c r="K20" s="707">
        <f>GETPIVOTDATA("Sum of Reserve Appliances",VehiclesPivot!$A$3,"Year",A20)</f>
        <v>94</v>
      </c>
      <c r="L20" s="711">
        <f>GETPIVOTDATA("Sum of Training Appliances",VehiclesPivot!$A$3,"Year",A20)</f>
        <v>61</v>
      </c>
      <c r="M20" s="806">
        <f>GETPIVOTDATA("Sum of Other Fleet Vehicles (excl Officer Response Vehicles)",VehiclesPivot!$A$3,"Year",A20)</f>
        <v>491</v>
      </c>
      <c r="N20" s="750">
        <f>GETPIVOTDATA("Sum of Total Vehicles (incl boats)",VehiclesPivot!$A$3,"Year",A20)</f>
        <v>1631</v>
      </c>
      <c r="S20" s="117"/>
    </row>
    <row r="21" spans="1:29" s="325" customFormat="1" ht="15" thickBot="1" x14ac:dyDescent="0.4">
      <c r="A21" s="172" t="s">
        <v>321</v>
      </c>
      <c r="B21" s="707">
        <f>GETPIVOTDATA("Sum of Pumping Appliances",VehiclesPivot!$A$3,"Year",A21)</f>
        <v>427</v>
      </c>
      <c r="C21" s="707">
        <f>GETPIVOTDATA("Sum of Aerial Appliances",VehiclesPivot!$A$3,"Year",A21)</f>
        <v>25</v>
      </c>
      <c r="D21" s="711">
        <f>GETPIVOTDATA("Sum of Resilience Appliances",VehiclesPivot!$A$3,"Year",A21)</f>
        <v>23</v>
      </c>
      <c r="E21" s="707">
        <f>GETPIVOTDATA("Sum of Fire Boats",VehiclesPivot!$A$3,"Year",A21)</f>
        <v>25</v>
      </c>
      <c r="F21" s="707">
        <f>GETPIVOTDATA("Sum of Vehicles for Rescue Work",VehiclesPivot!$A$3,"Year",A21)</f>
        <v>28</v>
      </c>
      <c r="G21" s="707">
        <f>GETPIVOTDATA("Sum of Small Firefighting Vehicles",VehiclesPivot!$A$3,"Year",A21)</f>
        <v>30</v>
      </c>
      <c r="H21" s="711">
        <f>GETPIVOTDATA("Sum of Other",VehiclesPivot!$A$3,"Year",A21)</f>
        <v>77</v>
      </c>
      <c r="I21" s="711">
        <f>GETPIVOTDATA("Sum of Total Appliances",VehiclesPivot!$A$3,"Year",A21)</f>
        <v>635</v>
      </c>
      <c r="J21" s="806">
        <f>GETPIVOTDATA("Sum of Officer Response Vehicles",VehiclesPivot!$A$3,"Year",A21)</f>
        <v>313</v>
      </c>
      <c r="K21" s="707">
        <f>GETPIVOTDATA("Sum of Reserve Appliances",VehiclesPivot!$A$3,"Year",A21)</f>
        <v>109</v>
      </c>
      <c r="L21" s="711">
        <f>GETPIVOTDATA("Sum of Training Appliances",VehiclesPivot!$A$3,"Year",A21)</f>
        <v>60</v>
      </c>
      <c r="M21" s="806">
        <f>GETPIVOTDATA("Sum of Other Fleet Vehicles (excl Officer Response Vehicles)",VehiclesPivot!$A$3,"Year",A21)</f>
        <v>560</v>
      </c>
      <c r="N21" s="750">
        <f>GETPIVOTDATA("Sum of Total Vehicles (incl boats)",VehiclesPivot!$A$3,"Year",A21)</f>
        <v>1677</v>
      </c>
      <c r="O21" s="25"/>
      <c r="P21"/>
      <c r="Q21" s="25"/>
      <c r="R21" s="25"/>
      <c r="S21" s="25"/>
      <c r="T21"/>
      <c r="U21"/>
      <c r="V21"/>
      <c r="W21"/>
      <c r="X21"/>
      <c r="Y21"/>
      <c r="Z21"/>
      <c r="AA21"/>
      <c r="AB21"/>
      <c r="AC21"/>
    </row>
    <row r="22" spans="1:29" x14ac:dyDescent="0.35">
      <c r="A22" s="172" t="s">
        <v>326</v>
      </c>
      <c r="B22" s="707">
        <f>GETPIVOTDATA("Sum of Pumping Appliances",VehiclesPivot!$A$3,"Year",A22)</f>
        <v>429</v>
      </c>
      <c r="C22" s="707">
        <f>GETPIVOTDATA("Sum of Aerial Appliances",VehiclesPivot!$A$3,"Year",A22)</f>
        <v>25</v>
      </c>
      <c r="D22" s="711">
        <f>GETPIVOTDATA("Sum of Resilience Appliances",VehiclesPivot!$A$3,"Year",A22)</f>
        <v>23</v>
      </c>
      <c r="E22" s="707">
        <f>GETPIVOTDATA("Sum of Fire Boats",VehiclesPivot!$A$3,"Year",A22)</f>
        <v>24</v>
      </c>
      <c r="F22" s="707">
        <f>GETPIVOTDATA("Sum of Vehicles for Rescue Work",VehiclesPivot!$A$3,"Year",A22)</f>
        <v>28</v>
      </c>
      <c r="G22" s="707">
        <f>GETPIVOTDATA("Sum of Small Firefighting Vehicles",VehiclesPivot!$A$3,"Year",A22)</f>
        <v>31</v>
      </c>
      <c r="H22" s="711">
        <f>GETPIVOTDATA("Sum of Other",VehiclesPivot!$A$3,"Year",A22)</f>
        <v>77</v>
      </c>
      <c r="I22" s="939">
        <f>GETPIVOTDATA("Sum of Total Appliances",VehiclesPivot!$A$3,"Year",A22)</f>
        <v>637</v>
      </c>
      <c r="J22" s="806">
        <f>GETPIVOTDATA("Sum of Officer Response Vehicles",VehiclesPivot!$A$3,"Year",A22)</f>
        <v>319</v>
      </c>
      <c r="K22" s="707">
        <f>GETPIVOTDATA("Sum of Reserve Appliances",VehiclesPivot!$A$3,"Year",A22)</f>
        <v>90</v>
      </c>
      <c r="L22" s="711">
        <f>GETPIVOTDATA("Sum of Training Appliances",VehiclesPivot!$A$3,"Year",A22)</f>
        <v>55</v>
      </c>
      <c r="M22" s="806">
        <f>GETPIVOTDATA("Sum of Other Fleet Vehicles (excl Officer Response Vehicles)",VehiclesPivot!$A$3,"Year",A22)</f>
        <v>527</v>
      </c>
      <c r="N22" s="750">
        <f>GETPIVOTDATA("Sum of Total Vehicles (incl boats)",VehiclesPivot!$A$3,"Year",A22)</f>
        <v>1628</v>
      </c>
      <c r="O22" s="25"/>
      <c r="Q22" s="25"/>
      <c r="R22" s="25"/>
      <c r="S22" s="25"/>
    </row>
    <row r="23" spans="1:29" x14ac:dyDescent="0.35">
      <c r="A23" s="172" t="s">
        <v>327</v>
      </c>
      <c r="B23" s="707">
        <f>GETPIVOTDATA("Sum of Pumping Appliances",VehiclesPivot!$A$3,"Year",A23)</f>
        <v>424</v>
      </c>
      <c r="C23" s="707">
        <f>GETPIVOTDATA("Sum of Aerial Appliances",VehiclesPivot!$A$3,"Year",A23)</f>
        <v>16</v>
      </c>
      <c r="D23" s="711">
        <f>GETPIVOTDATA("Sum of Resilience Appliances",VehiclesPivot!$A$3,"Year",A23)</f>
        <v>21</v>
      </c>
      <c r="E23" s="707">
        <f>GETPIVOTDATA("Sum of Fire Boats",VehiclesPivot!$A$3,"Year",A23)</f>
        <v>24</v>
      </c>
      <c r="F23" s="707">
        <f>GETPIVOTDATA("Sum of Vehicles for Rescue Work",VehiclesPivot!$A$3,"Year",A23)</f>
        <v>28</v>
      </c>
      <c r="G23" s="707">
        <f>GETPIVOTDATA("Sum of Small Firefighting Vehicles",VehiclesPivot!$A$3,"Year",A23)</f>
        <v>35</v>
      </c>
      <c r="H23" s="711">
        <f>GETPIVOTDATA("Sum of Other",VehiclesPivot!$A$3,"Year",A23)</f>
        <v>73</v>
      </c>
      <c r="I23" s="939">
        <f>GETPIVOTDATA("Sum of Total Appliances",VehiclesPivot!$A$3,"Year",A23)</f>
        <v>621</v>
      </c>
      <c r="J23" s="806">
        <f>GETPIVOTDATA("Sum of Officer Response Vehicles",VehiclesPivot!$A$3,"Year",A23)</f>
        <v>327</v>
      </c>
      <c r="K23" s="707">
        <f>GETPIVOTDATA("Sum of Reserve Appliances",VehiclesPivot!$A$3,"Year",A23)</f>
        <v>85</v>
      </c>
      <c r="L23" s="711">
        <f>GETPIVOTDATA("Sum of Training Appliances",VehiclesPivot!$A$3,"Year",A23)</f>
        <v>61</v>
      </c>
      <c r="M23" s="806">
        <f>GETPIVOTDATA("Sum of Other Fleet Vehicles (excl Officer Response Vehicles)",VehiclesPivot!$A$3,"Year",A23)</f>
        <v>491</v>
      </c>
      <c r="N23" s="750">
        <f>GETPIVOTDATA("Sum of Total Vehicles (incl boats)",VehiclesPivot!$A$3,"Year",A23)</f>
        <v>1585</v>
      </c>
      <c r="O23" s="25"/>
      <c r="Q23" s="25"/>
      <c r="R23" s="25"/>
      <c r="S23" s="25"/>
    </row>
    <row r="24" spans="1:29" ht="15" thickBot="1" x14ac:dyDescent="0.4">
      <c r="A24" s="659" t="s">
        <v>466</v>
      </c>
      <c r="B24" s="715">
        <f>GETPIVOTDATA("Sum of Pumping Appliances",VehiclesPivot!$A$3,"Year",A24)</f>
        <v>424</v>
      </c>
      <c r="C24" s="715">
        <f>GETPIVOTDATA("Sum of Aerial Appliances",VehiclesPivot!$A$3,"Year",A24)</f>
        <v>16</v>
      </c>
      <c r="D24" s="716">
        <f>GETPIVOTDATA("Sum of Resilience Appliances",VehiclesPivot!$A$3,"Year",A24)</f>
        <v>19</v>
      </c>
      <c r="E24" s="715">
        <f>GETPIVOTDATA("Sum of Fire Boats",VehiclesPivot!$A$3,"Year",A24)</f>
        <v>24</v>
      </c>
      <c r="F24" s="715">
        <f>GETPIVOTDATA("Sum of Vehicles for Rescue Work",VehiclesPivot!$A$3,"Year",A24)</f>
        <v>28</v>
      </c>
      <c r="G24" s="715">
        <f>GETPIVOTDATA("Sum of Small Firefighting Vehicles",VehiclesPivot!$A$3,"Year",A24)</f>
        <v>30</v>
      </c>
      <c r="H24" s="716">
        <f>GETPIVOTDATA("Sum of Other",VehiclesPivot!$A$3,"Year",A24)</f>
        <v>89</v>
      </c>
      <c r="I24" s="940">
        <f>GETPIVOTDATA("Sum of Total Appliances",VehiclesPivot!$A$3,"Year",A24)</f>
        <v>630</v>
      </c>
      <c r="J24" s="807">
        <f>GETPIVOTDATA("Sum of Officer Response Vehicles",VehiclesPivot!$A$3,"Year",A24)</f>
        <v>329</v>
      </c>
      <c r="K24" s="715">
        <f>GETPIVOTDATA("Sum of Reserve Appliances",VehiclesPivot!$A$3,"Year",A24)</f>
        <v>83</v>
      </c>
      <c r="L24" s="716">
        <f>GETPIVOTDATA("Sum of Training Appliances",VehiclesPivot!$A$3,"Year",A24)</f>
        <v>61</v>
      </c>
      <c r="M24" s="807">
        <f>GETPIVOTDATA("Sum of Other Fleet Vehicles (excl Officer Response Vehicles)",VehiclesPivot!$A$3,"Year",A24)</f>
        <v>473</v>
      </c>
      <c r="N24" s="751">
        <f>GETPIVOTDATA("Sum of Total Vehicles (incl boats)",VehiclesPivot!$A$3,"Year",A24)</f>
        <v>1576</v>
      </c>
      <c r="O24" s="25"/>
      <c r="Q24" s="25"/>
      <c r="R24" s="25"/>
      <c r="S24" s="25"/>
    </row>
    <row r="25" spans="1:29" x14ac:dyDescent="0.35">
      <c r="A25" s="172"/>
      <c r="B25" s="25"/>
      <c r="C25" s="25"/>
      <c r="D25" s="25"/>
      <c r="E25" s="25"/>
      <c r="F25" s="25"/>
      <c r="G25" s="25"/>
      <c r="H25" s="25"/>
      <c r="I25" s="25"/>
      <c r="J25" s="25"/>
      <c r="K25" s="25"/>
      <c r="L25" s="25"/>
      <c r="M25" s="25"/>
      <c r="N25" s="25"/>
      <c r="O25" s="25"/>
      <c r="Q25" s="25"/>
      <c r="R25" s="25"/>
      <c r="S25" s="25"/>
    </row>
    <row r="26" spans="1:29" x14ac:dyDescent="0.35">
      <c r="A26" s="312" t="s">
        <v>329</v>
      </c>
      <c r="I26" s="131"/>
    </row>
    <row r="27" spans="1:29" ht="30.75" customHeight="1" x14ac:dyDescent="0.35">
      <c r="A27" s="1010" t="s">
        <v>487</v>
      </c>
      <c r="B27" s="1010"/>
      <c r="C27" s="1010"/>
      <c r="D27" s="1010"/>
      <c r="E27" s="1010"/>
      <c r="F27" s="1010"/>
      <c r="G27" s="1010"/>
      <c r="H27" s="1010"/>
      <c r="I27" s="1010"/>
      <c r="J27" s="1010"/>
      <c r="K27" s="1010"/>
      <c r="L27" s="1010"/>
      <c r="M27" s="1010"/>
      <c r="N27" s="1010"/>
    </row>
    <row r="28" spans="1:29" ht="15" customHeight="1" x14ac:dyDescent="0.35">
      <c r="A28" s="388" t="s">
        <v>488</v>
      </c>
      <c r="B28" s="415"/>
      <c r="C28" s="415"/>
      <c r="D28" s="415"/>
      <c r="E28" s="415"/>
      <c r="F28" s="415"/>
      <c r="G28" s="415"/>
      <c r="H28" s="415"/>
      <c r="I28" s="415"/>
      <c r="J28" s="415"/>
      <c r="K28" s="415"/>
      <c r="L28" s="415"/>
      <c r="M28" s="415"/>
      <c r="N28" s="415"/>
    </row>
    <row r="29" spans="1:29" ht="30" customHeight="1" x14ac:dyDescent="0.35">
      <c r="A29" s="1010" t="s">
        <v>489</v>
      </c>
      <c r="B29" s="1010"/>
      <c r="C29" s="1010"/>
      <c r="D29" s="1010"/>
      <c r="E29" s="1010"/>
      <c r="F29" s="1010"/>
      <c r="G29" s="1010"/>
      <c r="H29" s="1010"/>
      <c r="I29" s="1010"/>
      <c r="J29" s="1010"/>
      <c r="K29" s="1010"/>
      <c r="L29" s="1010"/>
      <c r="M29" s="1010"/>
      <c r="N29" s="1010"/>
    </row>
    <row r="30" spans="1:29" ht="45" customHeight="1" x14ac:dyDescent="0.35">
      <c r="A30" s="1010" t="s">
        <v>490</v>
      </c>
      <c r="B30" s="1010"/>
      <c r="C30" s="1010"/>
      <c r="D30" s="1010"/>
      <c r="E30" s="1010"/>
      <c r="F30" s="1010"/>
      <c r="G30" s="1010"/>
      <c r="H30" s="1010"/>
      <c r="I30" s="1010"/>
      <c r="J30" s="1010"/>
      <c r="K30" s="1010"/>
      <c r="L30" s="1010"/>
      <c r="M30" s="1010"/>
      <c r="N30" s="1010"/>
      <c r="O30" s="460"/>
      <c r="P30" s="460"/>
      <c r="Q30" s="460"/>
      <c r="R30" s="460"/>
    </row>
    <row r="31" spans="1:29" ht="45" customHeight="1" x14ac:dyDescent="0.35">
      <c r="A31" s="1010" t="s">
        <v>491</v>
      </c>
      <c r="B31" s="1010"/>
      <c r="C31" s="1010"/>
      <c r="D31" s="1010"/>
      <c r="E31" s="1010"/>
      <c r="F31" s="1010"/>
      <c r="G31" s="1010"/>
      <c r="H31" s="1010"/>
      <c r="I31" s="1010"/>
      <c r="J31" s="1010"/>
      <c r="K31" s="1010"/>
      <c r="L31" s="1010"/>
      <c r="M31" s="1010"/>
      <c r="N31" s="1010"/>
      <c r="S31" s="415"/>
    </row>
    <row r="32" spans="1:29" x14ac:dyDescent="0.35">
      <c r="S32" s="415"/>
    </row>
    <row r="34" spans="1:1" x14ac:dyDescent="0.35">
      <c r="A34" s="339"/>
    </row>
  </sheetData>
  <sheetProtection algorithmName="SHA-512" hashValue="4ZkV6ZBEN0nQdpIqYjxHvrLGxwY5yCWWfM61OldmnzFjtw1g+IDfaXUwpyBgAuiW5BrWfkz7hKleGw9VegNYbA==" saltValue="ymtKYKrqaQKF8w439Y3P8w==" spinCount="100000" sheet="1" scenarios="1" formatCells="0" sort="0" autoFilter="0" pivotTables="0"/>
  <mergeCells count="5">
    <mergeCell ref="A1:J1"/>
    <mergeCell ref="A27:N27"/>
    <mergeCell ref="A29:N29"/>
    <mergeCell ref="A30:N30"/>
    <mergeCell ref="A31:N31"/>
  </mergeCells>
  <hyperlinks>
    <hyperlink ref="A2" location="'Table of Contents'!A1" display="Back to Table of Contents" xr:uid="{00000000-0004-0000-1300-000000000000}"/>
  </hyperlinks>
  <pageMargins left="0.70866141732283472" right="0.70866141732283472" top="0.74803149606299213" bottom="0.74803149606299213" header="0.31496062992125984" footer="0.31496062992125984"/>
  <pageSetup paperSize="9" scale="7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9B3FF"/>
  </sheetPr>
  <dimension ref="A1:H36"/>
  <sheetViews>
    <sheetView topLeftCell="C1" workbookViewId="0">
      <selection activeCell="D15" sqref="D15"/>
    </sheetView>
  </sheetViews>
  <sheetFormatPr defaultRowHeight="14.5" x14ac:dyDescent="0.35"/>
  <cols>
    <col min="1" max="1" width="20.81640625" bestFit="1" customWidth="1"/>
    <col min="2" max="2" width="24.90625" bestFit="1" customWidth="1"/>
    <col min="3" max="3" width="22.36328125" bestFit="1" customWidth="1"/>
    <col min="4" max="4" width="29.453125" bestFit="1" customWidth="1"/>
    <col min="5" max="5" width="30.36328125" bestFit="1" customWidth="1"/>
    <col min="6" max="6" width="23" bestFit="1" customWidth="1"/>
    <col min="7" max="7" width="26.1796875" bestFit="1" customWidth="1"/>
    <col min="8" max="8" width="21.54296875" bestFit="1" customWidth="1"/>
  </cols>
  <sheetData>
    <row r="1" spans="1:8" x14ac:dyDescent="0.35">
      <c r="A1" s="387" t="s">
        <v>207</v>
      </c>
      <c r="B1" t="s">
        <v>466</v>
      </c>
    </row>
    <row r="3" spans="1:8" x14ac:dyDescent="0.35">
      <c r="A3" s="387" t="s">
        <v>350</v>
      </c>
      <c r="B3" t="s">
        <v>453</v>
      </c>
      <c r="C3" t="s">
        <v>454</v>
      </c>
      <c r="D3" t="s">
        <v>457</v>
      </c>
      <c r="E3" t="s">
        <v>458</v>
      </c>
      <c r="F3" t="s">
        <v>492</v>
      </c>
      <c r="G3" t="s">
        <v>455</v>
      </c>
      <c r="H3" t="s">
        <v>460</v>
      </c>
    </row>
    <row r="4" spans="1:8" x14ac:dyDescent="0.35">
      <c r="A4" s="388" t="s">
        <v>216</v>
      </c>
      <c r="B4">
        <v>7</v>
      </c>
      <c r="C4">
        <v>1</v>
      </c>
      <c r="D4">
        <v>2</v>
      </c>
      <c r="E4">
        <v>0</v>
      </c>
      <c r="F4">
        <v>4</v>
      </c>
      <c r="G4">
        <v>3</v>
      </c>
      <c r="H4">
        <v>17</v>
      </c>
    </row>
    <row r="5" spans="1:8" x14ac:dyDescent="0.35">
      <c r="A5" s="388" t="s">
        <v>221</v>
      </c>
      <c r="B5">
        <v>32</v>
      </c>
      <c r="C5">
        <v>0</v>
      </c>
      <c r="D5">
        <v>0</v>
      </c>
      <c r="E5">
        <v>0</v>
      </c>
      <c r="F5">
        <v>5</v>
      </c>
      <c r="G5">
        <v>1</v>
      </c>
      <c r="H5">
        <v>38</v>
      </c>
    </row>
    <row r="6" spans="1:8" x14ac:dyDescent="0.35">
      <c r="A6" s="388" t="s">
        <v>225</v>
      </c>
      <c r="B6">
        <v>11</v>
      </c>
      <c r="C6">
        <v>0</v>
      </c>
      <c r="D6">
        <v>0</v>
      </c>
      <c r="E6">
        <v>0</v>
      </c>
      <c r="F6">
        <v>1</v>
      </c>
      <c r="G6">
        <v>0</v>
      </c>
      <c r="H6">
        <v>12</v>
      </c>
    </row>
    <row r="7" spans="1:8" x14ac:dyDescent="0.35">
      <c r="A7" s="388" t="s">
        <v>229</v>
      </c>
      <c r="B7">
        <v>25</v>
      </c>
      <c r="C7">
        <v>1</v>
      </c>
      <c r="D7">
        <v>1</v>
      </c>
      <c r="E7">
        <v>17</v>
      </c>
      <c r="F7">
        <v>4</v>
      </c>
      <c r="G7">
        <v>0</v>
      </c>
      <c r="H7">
        <v>48</v>
      </c>
    </row>
    <row r="8" spans="1:8" x14ac:dyDescent="0.35">
      <c r="A8" s="388" t="s">
        <v>235</v>
      </c>
      <c r="B8">
        <v>12</v>
      </c>
      <c r="C8">
        <v>2</v>
      </c>
      <c r="D8">
        <v>3</v>
      </c>
      <c r="E8">
        <v>0</v>
      </c>
      <c r="F8">
        <v>3</v>
      </c>
      <c r="G8">
        <v>4</v>
      </c>
      <c r="H8">
        <v>24</v>
      </c>
    </row>
    <row r="9" spans="1:8" x14ac:dyDescent="0.35">
      <c r="A9" s="388" t="s">
        <v>241</v>
      </c>
      <c r="B9">
        <v>3</v>
      </c>
      <c r="C9">
        <v>0</v>
      </c>
      <c r="D9">
        <v>0</v>
      </c>
      <c r="E9">
        <v>0</v>
      </c>
      <c r="F9">
        <v>1</v>
      </c>
      <c r="G9">
        <v>0</v>
      </c>
      <c r="H9">
        <v>4</v>
      </c>
    </row>
    <row r="10" spans="1:8" x14ac:dyDescent="0.35">
      <c r="A10" s="388" t="s">
        <v>245</v>
      </c>
      <c r="B10">
        <v>21</v>
      </c>
      <c r="C10">
        <v>1</v>
      </c>
      <c r="D10">
        <v>3</v>
      </c>
      <c r="E10">
        <v>0</v>
      </c>
      <c r="F10">
        <v>2</v>
      </c>
      <c r="G10">
        <v>0</v>
      </c>
      <c r="H10">
        <v>27</v>
      </c>
    </row>
    <row r="11" spans="1:8" x14ac:dyDescent="0.35">
      <c r="A11" s="388" t="s">
        <v>248</v>
      </c>
      <c r="B11">
        <v>7</v>
      </c>
      <c r="C11">
        <v>1</v>
      </c>
      <c r="D11">
        <v>1</v>
      </c>
      <c r="E11">
        <v>0</v>
      </c>
      <c r="F11">
        <v>6</v>
      </c>
      <c r="G11">
        <v>2</v>
      </c>
      <c r="H11">
        <v>17</v>
      </c>
    </row>
    <row r="12" spans="1:8" x14ac:dyDescent="0.35">
      <c r="A12" s="388" t="s">
        <v>250</v>
      </c>
      <c r="B12">
        <v>9</v>
      </c>
      <c r="C12">
        <v>1</v>
      </c>
      <c r="D12">
        <v>0</v>
      </c>
      <c r="E12">
        <v>0</v>
      </c>
      <c r="F12">
        <v>0</v>
      </c>
      <c r="G12">
        <v>1</v>
      </c>
      <c r="H12">
        <v>11</v>
      </c>
    </row>
    <row r="13" spans="1:8" x14ac:dyDescent="0.35">
      <c r="A13" s="388" t="s">
        <v>254</v>
      </c>
      <c r="B13">
        <v>3</v>
      </c>
      <c r="C13">
        <v>0</v>
      </c>
      <c r="D13">
        <v>0</v>
      </c>
      <c r="E13">
        <v>0</v>
      </c>
      <c r="F13">
        <v>1</v>
      </c>
      <c r="G13">
        <v>2</v>
      </c>
      <c r="H13">
        <v>6</v>
      </c>
    </row>
    <row r="14" spans="1:8" x14ac:dyDescent="0.35">
      <c r="A14" s="388" t="s">
        <v>256</v>
      </c>
      <c r="B14">
        <v>8</v>
      </c>
      <c r="C14">
        <v>0</v>
      </c>
      <c r="D14">
        <v>0</v>
      </c>
      <c r="E14">
        <v>0</v>
      </c>
      <c r="F14">
        <v>1</v>
      </c>
      <c r="G14">
        <v>0</v>
      </c>
      <c r="H14">
        <v>9</v>
      </c>
    </row>
    <row r="15" spans="1:8" x14ac:dyDescent="0.35">
      <c r="A15" s="388" t="s">
        <v>260</v>
      </c>
      <c r="B15">
        <v>2</v>
      </c>
      <c r="C15">
        <v>0</v>
      </c>
      <c r="D15">
        <v>0</v>
      </c>
      <c r="E15">
        <v>0</v>
      </c>
      <c r="F15">
        <v>0</v>
      </c>
      <c r="G15">
        <v>0</v>
      </c>
      <c r="H15">
        <v>2</v>
      </c>
    </row>
    <row r="16" spans="1:8" x14ac:dyDescent="0.35">
      <c r="A16" s="388" t="s">
        <v>264</v>
      </c>
      <c r="B16">
        <v>9</v>
      </c>
      <c r="C16">
        <v>1</v>
      </c>
      <c r="D16">
        <v>0</v>
      </c>
      <c r="E16">
        <v>0</v>
      </c>
      <c r="F16">
        <v>5</v>
      </c>
      <c r="G16">
        <v>1</v>
      </c>
      <c r="H16">
        <v>16</v>
      </c>
    </row>
    <row r="17" spans="1:8" x14ac:dyDescent="0.35">
      <c r="A17" s="388" t="s">
        <v>268</v>
      </c>
      <c r="B17">
        <v>18</v>
      </c>
      <c r="C17">
        <v>1</v>
      </c>
      <c r="D17">
        <v>2</v>
      </c>
      <c r="E17">
        <v>0</v>
      </c>
      <c r="F17">
        <v>4</v>
      </c>
      <c r="G17">
        <v>0</v>
      </c>
      <c r="H17">
        <v>25</v>
      </c>
    </row>
    <row r="18" spans="1:8" x14ac:dyDescent="0.35">
      <c r="A18" s="388" t="s">
        <v>271</v>
      </c>
      <c r="B18">
        <v>17</v>
      </c>
      <c r="C18">
        <v>2</v>
      </c>
      <c r="D18">
        <v>3</v>
      </c>
      <c r="E18">
        <v>0</v>
      </c>
      <c r="F18">
        <v>5</v>
      </c>
      <c r="G18">
        <v>0</v>
      </c>
      <c r="H18">
        <v>27</v>
      </c>
    </row>
    <row r="19" spans="1:8" x14ac:dyDescent="0.35">
      <c r="A19" s="388" t="s">
        <v>274</v>
      </c>
      <c r="B19">
        <v>64</v>
      </c>
      <c r="C19">
        <v>1</v>
      </c>
      <c r="D19">
        <v>3</v>
      </c>
      <c r="E19">
        <v>5</v>
      </c>
      <c r="F19">
        <v>6</v>
      </c>
      <c r="G19">
        <v>1</v>
      </c>
      <c r="H19">
        <v>80</v>
      </c>
    </row>
    <row r="20" spans="1:8" x14ac:dyDescent="0.35">
      <c r="A20" s="388" t="s">
        <v>278</v>
      </c>
      <c r="B20">
        <v>6</v>
      </c>
      <c r="C20">
        <v>1</v>
      </c>
      <c r="D20">
        <v>0</v>
      </c>
      <c r="E20">
        <v>0</v>
      </c>
      <c r="F20">
        <v>0</v>
      </c>
      <c r="G20">
        <v>0</v>
      </c>
      <c r="H20">
        <v>7</v>
      </c>
    </row>
    <row r="21" spans="1:8" x14ac:dyDescent="0.35">
      <c r="A21" s="388" t="s">
        <v>280</v>
      </c>
      <c r="B21">
        <v>2</v>
      </c>
      <c r="C21">
        <v>0</v>
      </c>
      <c r="D21">
        <v>0</v>
      </c>
      <c r="E21">
        <v>0</v>
      </c>
      <c r="F21">
        <v>1</v>
      </c>
      <c r="G21">
        <v>0</v>
      </c>
      <c r="H21">
        <v>3</v>
      </c>
    </row>
    <row r="22" spans="1:8" x14ac:dyDescent="0.35">
      <c r="A22" s="388" t="s">
        <v>282</v>
      </c>
      <c r="B22">
        <v>15</v>
      </c>
      <c r="C22">
        <v>0</v>
      </c>
      <c r="D22">
        <v>1</v>
      </c>
      <c r="E22">
        <v>1</v>
      </c>
      <c r="F22">
        <v>5</v>
      </c>
      <c r="G22">
        <v>1</v>
      </c>
      <c r="H22">
        <v>23</v>
      </c>
    </row>
    <row r="23" spans="1:8" x14ac:dyDescent="0.35">
      <c r="A23" s="388" t="s">
        <v>284</v>
      </c>
      <c r="B23">
        <v>15</v>
      </c>
      <c r="C23">
        <v>0</v>
      </c>
      <c r="D23">
        <v>0</v>
      </c>
      <c r="E23">
        <v>0</v>
      </c>
      <c r="F23">
        <v>3</v>
      </c>
      <c r="G23">
        <v>0</v>
      </c>
      <c r="H23">
        <v>18</v>
      </c>
    </row>
    <row r="24" spans="1:8" x14ac:dyDescent="0.35">
      <c r="A24" s="388" t="s">
        <v>288</v>
      </c>
      <c r="B24">
        <v>16</v>
      </c>
      <c r="C24">
        <v>0</v>
      </c>
      <c r="D24">
        <v>0</v>
      </c>
      <c r="E24">
        <v>1</v>
      </c>
      <c r="F24">
        <v>4</v>
      </c>
      <c r="G24">
        <v>0</v>
      </c>
      <c r="H24">
        <v>21</v>
      </c>
    </row>
    <row r="25" spans="1:8" x14ac:dyDescent="0.35">
      <c r="A25" s="388" t="s">
        <v>290</v>
      </c>
      <c r="B25">
        <v>9</v>
      </c>
      <c r="C25">
        <v>1</v>
      </c>
      <c r="D25">
        <v>1</v>
      </c>
      <c r="E25">
        <v>0</v>
      </c>
      <c r="F25">
        <v>4</v>
      </c>
      <c r="G25">
        <v>1</v>
      </c>
      <c r="H25">
        <v>16</v>
      </c>
    </row>
    <row r="26" spans="1:8" x14ac:dyDescent="0.35">
      <c r="A26" s="388" t="s">
        <v>293</v>
      </c>
      <c r="B26">
        <v>15</v>
      </c>
      <c r="C26">
        <v>0</v>
      </c>
      <c r="D26">
        <v>0</v>
      </c>
      <c r="E26">
        <v>1</v>
      </c>
      <c r="F26">
        <v>0</v>
      </c>
      <c r="G26">
        <v>0</v>
      </c>
      <c r="H26">
        <v>16</v>
      </c>
    </row>
    <row r="27" spans="1:8" x14ac:dyDescent="0.35">
      <c r="A27" s="388" t="s">
        <v>295</v>
      </c>
      <c r="B27">
        <v>15</v>
      </c>
      <c r="C27">
        <v>1</v>
      </c>
      <c r="D27">
        <v>1</v>
      </c>
      <c r="E27">
        <v>3</v>
      </c>
      <c r="F27">
        <v>3</v>
      </c>
      <c r="G27">
        <v>0</v>
      </c>
      <c r="H27">
        <v>23</v>
      </c>
    </row>
    <row r="28" spans="1:8" x14ac:dyDescent="0.35">
      <c r="A28" s="388" t="s">
        <v>297</v>
      </c>
      <c r="B28">
        <v>5</v>
      </c>
      <c r="C28">
        <v>1</v>
      </c>
      <c r="D28">
        <v>0</v>
      </c>
      <c r="E28">
        <v>0</v>
      </c>
      <c r="F28">
        <v>4</v>
      </c>
      <c r="G28">
        <v>0</v>
      </c>
      <c r="H28">
        <v>10</v>
      </c>
    </row>
    <row r="29" spans="1:8" x14ac:dyDescent="0.35">
      <c r="A29" s="388" t="s">
        <v>299</v>
      </c>
      <c r="B29">
        <v>17</v>
      </c>
      <c r="C29">
        <v>0</v>
      </c>
      <c r="D29">
        <v>2</v>
      </c>
      <c r="E29">
        <v>0</v>
      </c>
      <c r="F29">
        <v>2</v>
      </c>
      <c r="G29">
        <v>0</v>
      </c>
      <c r="H29">
        <v>21</v>
      </c>
    </row>
    <row r="30" spans="1:8" x14ac:dyDescent="0.35">
      <c r="A30" s="388" t="s">
        <v>301</v>
      </c>
      <c r="B30">
        <v>16</v>
      </c>
      <c r="C30">
        <v>0</v>
      </c>
      <c r="D30">
        <v>0</v>
      </c>
      <c r="E30">
        <v>1</v>
      </c>
      <c r="F30">
        <v>1</v>
      </c>
      <c r="G30">
        <v>0</v>
      </c>
      <c r="H30">
        <v>18</v>
      </c>
    </row>
    <row r="31" spans="1:8" x14ac:dyDescent="0.35">
      <c r="A31" s="388" t="s">
        <v>303</v>
      </c>
      <c r="B31">
        <v>8</v>
      </c>
      <c r="C31">
        <v>0</v>
      </c>
      <c r="D31">
        <v>1</v>
      </c>
      <c r="E31">
        <v>0</v>
      </c>
      <c r="F31">
        <v>0</v>
      </c>
      <c r="G31">
        <v>0</v>
      </c>
      <c r="H31">
        <v>9</v>
      </c>
    </row>
    <row r="32" spans="1:8" x14ac:dyDescent="0.35">
      <c r="A32" s="388" t="s">
        <v>305</v>
      </c>
      <c r="B32">
        <v>15</v>
      </c>
      <c r="C32">
        <v>0</v>
      </c>
      <c r="D32">
        <v>2</v>
      </c>
      <c r="E32">
        <v>0</v>
      </c>
      <c r="F32">
        <v>5</v>
      </c>
      <c r="G32">
        <v>1</v>
      </c>
      <c r="H32">
        <v>23</v>
      </c>
    </row>
    <row r="33" spans="1:8" x14ac:dyDescent="0.35">
      <c r="A33" s="388" t="s">
        <v>308</v>
      </c>
      <c r="B33">
        <v>9</v>
      </c>
      <c r="C33">
        <v>0</v>
      </c>
      <c r="D33">
        <v>1</v>
      </c>
      <c r="E33">
        <v>1</v>
      </c>
      <c r="F33">
        <v>5</v>
      </c>
      <c r="G33">
        <v>0</v>
      </c>
      <c r="H33">
        <v>16</v>
      </c>
    </row>
    <row r="34" spans="1:8" x14ac:dyDescent="0.35">
      <c r="A34" s="388" t="s">
        <v>310</v>
      </c>
      <c r="B34">
        <v>5</v>
      </c>
      <c r="C34">
        <v>0</v>
      </c>
      <c r="D34">
        <v>0</v>
      </c>
      <c r="E34">
        <v>0</v>
      </c>
      <c r="F34">
        <v>3</v>
      </c>
      <c r="G34">
        <v>1</v>
      </c>
      <c r="H34">
        <v>9</v>
      </c>
    </row>
    <row r="35" spans="1:8" x14ac:dyDescent="0.35">
      <c r="A35" s="388" t="s">
        <v>312</v>
      </c>
      <c r="B35">
        <v>8</v>
      </c>
      <c r="C35">
        <v>0</v>
      </c>
      <c r="D35">
        <v>1</v>
      </c>
      <c r="E35">
        <v>0</v>
      </c>
      <c r="F35">
        <v>1</v>
      </c>
      <c r="G35">
        <v>0</v>
      </c>
      <c r="H35">
        <v>10</v>
      </c>
    </row>
    <row r="36" spans="1:8" x14ac:dyDescent="0.35">
      <c r="A36" s="388" t="s">
        <v>357</v>
      </c>
      <c r="B36">
        <v>424</v>
      </c>
      <c r="C36">
        <v>16</v>
      </c>
      <c r="D36">
        <v>28</v>
      </c>
      <c r="E36">
        <v>30</v>
      </c>
      <c r="F36">
        <v>89</v>
      </c>
      <c r="G36">
        <v>19</v>
      </c>
      <c r="H36">
        <v>606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9B3FF"/>
  </sheetPr>
  <dimension ref="A1:J225"/>
  <sheetViews>
    <sheetView workbookViewId="0">
      <selection activeCell="D11" sqref="D11"/>
    </sheetView>
  </sheetViews>
  <sheetFormatPr defaultRowHeight="14.5" x14ac:dyDescent="0.35"/>
  <cols>
    <col min="1" max="1" width="7.453125" bestFit="1" customWidth="1"/>
    <col min="2" max="2" width="9.81640625" bestFit="1" customWidth="1"/>
    <col min="3" max="3" width="20.453125" bestFit="1" customWidth="1"/>
    <col min="4" max="4" width="20.1796875" bestFit="1" customWidth="1"/>
    <col min="5" max="5" width="17.453125" bestFit="1" customWidth="1"/>
    <col min="6" max="6" width="20.81640625" bestFit="1" customWidth="1"/>
    <col min="7" max="7" width="24.453125" bestFit="1" customWidth="1"/>
    <col min="8" max="8" width="24.81640625" bestFit="1" customWidth="1"/>
    <col min="9" max="9" width="18.54296875" bestFit="1" customWidth="1"/>
    <col min="10" max="10" width="16.81640625" bestFit="1" customWidth="1"/>
  </cols>
  <sheetData>
    <row r="1" spans="1:10" x14ac:dyDescent="0.35">
      <c r="A1" t="s">
        <v>207</v>
      </c>
      <c r="B1" t="s">
        <v>208</v>
      </c>
      <c r="C1" t="s">
        <v>347</v>
      </c>
      <c r="D1" t="s">
        <v>467</v>
      </c>
      <c r="E1" t="s">
        <v>468</v>
      </c>
      <c r="F1" t="s">
        <v>469</v>
      </c>
      <c r="G1" t="s">
        <v>471</v>
      </c>
      <c r="H1" t="s">
        <v>472</v>
      </c>
      <c r="I1" t="s">
        <v>493</v>
      </c>
      <c r="J1" t="s">
        <v>474</v>
      </c>
    </row>
    <row r="2" spans="1:10" x14ac:dyDescent="0.35">
      <c r="A2" t="s">
        <v>313</v>
      </c>
      <c r="B2" t="s">
        <v>220</v>
      </c>
      <c r="C2" t="s">
        <v>221</v>
      </c>
      <c r="D2">
        <v>31</v>
      </c>
      <c r="E2">
        <v>0</v>
      </c>
      <c r="F2">
        <v>1</v>
      </c>
      <c r="G2">
        <v>1</v>
      </c>
      <c r="H2">
        <v>0</v>
      </c>
      <c r="I2">
        <v>5</v>
      </c>
      <c r="J2">
        <v>38</v>
      </c>
    </row>
    <row r="3" spans="1:10" x14ac:dyDescent="0.35">
      <c r="A3" t="s">
        <v>326</v>
      </c>
      <c r="B3" t="s">
        <v>224</v>
      </c>
      <c r="C3" t="s">
        <v>225</v>
      </c>
      <c r="D3">
        <v>11</v>
      </c>
      <c r="E3">
        <v>0</v>
      </c>
      <c r="F3">
        <v>1</v>
      </c>
      <c r="G3">
        <v>0</v>
      </c>
      <c r="H3">
        <v>0</v>
      </c>
      <c r="I3">
        <v>1</v>
      </c>
      <c r="J3">
        <v>13</v>
      </c>
    </row>
    <row r="4" spans="1:10" x14ac:dyDescent="0.35">
      <c r="A4" t="s">
        <v>214</v>
      </c>
      <c r="B4" t="s">
        <v>249</v>
      </c>
      <c r="C4" t="s">
        <v>250</v>
      </c>
      <c r="D4">
        <v>9</v>
      </c>
      <c r="E4">
        <v>1</v>
      </c>
      <c r="F4">
        <v>1</v>
      </c>
      <c r="G4">
        <v>0</v>
      </c>
      <c r="H4">
        <v>0</v>
      </c>
      <c r="I4">
        <v>0</v>
      </c>
      <c r="J4">
        <v>11</v>
      </c>
    </row>
    <row r="5" spans="1:10" x14ac:dyDescent="0.35">
      <c r="A5" t="s">
        <v>326</v>
      </c>
      <c r="B5" t="s">
        <v>255</v>
      </c>
      <c r="C5" t="s">
        <v>256</v>
      </c>
      <c r="D5">
        <v>8</v>
      </c>
      <c r="E5">
        <v>0</v>
      </c>
      <c r="F5">
        <v>0</v>
      </c>
      <c r="G5">
        <v>0</v>
      </c>
      <c r="H5">
        <v>0</v>
      </c>
      <c r="I5">
        <v>0</v>
      </c>
      <c r="J5">
        <v>8</v>
      </c>
    </row>
    <row r="6" spans="1:10" x14ac:dyDescent="0.35">
      <c r="A6" t="s">
        <v>214</v>
      </c>
      <c r="B6" t="s">
        <v>259</v>
      </c>
      <c r="C6" t="s">
        <v>260</v>
      </c>
      <c r="D6">
        <v>2</v>
      </c>
      <c r="E6">
        <v>0</v>
      </c>
      <c r="F6">
        <v>0</v>
      </c>
      <c r="G6">
        <v>0</v>
      </c>
      <c r="H6">
        <v>0</v>
      </c>
      <c r="I6">
        <v>0</v>
      </c>
      <c r="J6">
        <v>2</v>
      </c>
    </row>
    <row r="7" spans="1:10" x14ac:dyDescent="0.35">
      <c r="A7" t="s">
        <v>214</v>
      </c>
      <c r="B7" t="s">
        <v>279</v>
      </c>
      <c r="C7" t="s">
        <v>280</v>
      </c>
      <c r="D7">
        <v>2</v>
      </c>
      <c r="E7">
        <v>0</v>
      </c>
      <c r="F7">
        <v>0</v>
      </c>
      <c r="G7">
        <v>0</v>
      </c>
      <c r="H7">
        <v>0</v>
      </c>
      <c r="I7">
        <v>1</v>
      </c>
      <c r="J7">
        <v>3</v>
      </c>
    </row>
    <row r="8" spans="1:10" x14ac:dyDescent="0.35">
      <c r="A8" t="s">
        <v>321</v>
      </c>
      <c r="B8" t="s">
        <v>279</v>
      </c>
      <c r="C8" t="s">
        <v>280</v>
      </c>
      <c r="D8">
        <v>2</v>
      </c>
      <c r="E8">
        <v>0</v>
      </c>
      <c r="F8">
        <v>0</v>
      </c>
      <c r="G8">
        <v>0</v>
      </c>
      <c r="H8">
        <v>0</v>
      </c>
      <c r="I8">
        <v>1</v>
      </c>
      <c r="J8">
        <v>3</v>
      </c>
    </row>
    <row r="9" spans="1:10" x14ac:dyDescent="0.35">
      <c r="A9" t="s">
        <v>313</v>
      </c>
      <c r="B9" t="s">
        <v>283</v>
      </c>
      <c r="C9" t="s">
        <v>284</v>
      </c>
      <c r="D9">
        <v>16</v>
      </c>
      <c r="E9">
        <v>0</v>
      </c>
      <c r="F9">
        <v>0</v>
      </c>
      <c r="G9">
        <v>0</v>
      </c>
      <c r="H9">
        <v>1</v>
      </c>
      <c r="I9">
        <v>0</v>
      </c>
      <c r="J9">
        <v>17</v>
      </c>
    </row>
    <row r="10" spans="1:10" x14ac:dyDescent="0.35">
      <c r="A10" t="s">
        <v>319</v>
      </c>
      <c r="B10" t="s">
        <v>283</v>
      </c>
      <c r="C10" t="s">
        <v>284</v>
      </c>
      <c r="D10">
        <v>15</v>
      </c>
      <c r="E10">
        <v>0</v>
      </c>
      <c r="F10">
        <v>0</v>
      </c>
      <c r="G10">
        <v>0</v>
      </c>
      <c r="H10">
        <v>0</v>
      </c>
      <c r="I10">
        <v>0</v>
      </c>
      <c r="J10">
        <v>15</v>
      </c>
    </row>
    <row r="11" spans="1:10" x14ac:dyDescent="0.35">
      <c r="A11" t="s">
        <v>326</v>
      </c>
      <c r="B11" t="s">
        <v>283</v>
      </c>
      <c r="C11" t="s">
        <v>284</v>
      </c>
      <c r="D11">
        <v>18</v>
      </c>
      <c r="E11">
        <v>0</v>
      </c>
      <c r="F11">
        <v>0</v>
      </c>
      <c r="G11">
        <v>0</v>
      </c>
      <c r="H11">
        <v>0</v>
      </c>
      <c r="I11">
        <v>1</v>
      </c>
      <c r="J11">
        <v>19</v>
      </c>
    </row>
    <row r="12" spans="1:10" x14ac:dyDescent="0.35">
      <c r="A12" t="s">
        <v>466</v>
      </c>
      <c r="B12" t="s">
        <v>283</v>
      </c>
      <c r="C12" t="s">
        <v>284</v>
      </c>
      <c r="D12">
        <v>15</v>
      </c>
      <c r="E12">
        <v>0</v>
      </c>
      <c r="F12">
        <v>0</v>
      </c>
      <c r="G12">
        <v>0</v>
      </c>
      <c r="H12">
        <v>0</v>
      </c>
      <c r="I12">
        <v>3</v>
      </c>
      <c r="J12">
        <v>18</v>
      </c>
    </row>
    <row r="13" spans="1:10" x14ac:dyDescent="0.35">
      <c r="A13" t="s">
        <v>321</v>
      </c>
      <c r="B13" t="s">
        <v>287</v>
      </c>
      <c r="C13" t="s">
        <v>288</v>
      </c>
      <c r="D13">
        <v>16</v>
      </c>
      <c r="E13">
        <v>0</v>
      </c>
      <c r="F13">
        <v>1</v>
      </c>
      <c r="G13">
        <v>0</v>
      </c>
      <c r="H13">
        <v>1</v>
      </c>
      <c r="I13">
        <v>2</v>
      </c>
      <c r="J13">
        <v>20</v>
      </c>
    </row>
    <row r="14" spans="1:10" x14ac:dyDescent="0.35">
      <c r="A14" t="s">
        <v>214</v>
      </c>
      <c r="B14" t="s">
        <v>298</v>
      </c>
      <c r="C14" t="s">
        <v>299</v>
      </c>
      <c r="D14">
        <v>17</v>
      </c>
      <c r="E14">
        <v>0</v>
      </c>
      <c r="F14">
        <v>0</v>
      </c>
      <c r="G14">
        <v>2</v>
      </c>
      <c r="H14">
        <v>0</v>
      </c>
      <c r="I14">
        <v>1</v>
      </c>
      <c r="J14">
        <v>20</v>
      </c>
    </row>
    <row r="15" spans="1:10" x14ac:dyDescent="0.35">
      <c r="A15" t="s">
        <v>214</v>
      </c>
      <c r="B15" t="s">
        <v>309</v>
      </c>
      <c r="C15" t="s">
        <v>310</v>
      </c>
      <c r="D15">
        <v>4</v>
      </c>
      <c r="E15">
        <v>1</v>
      </c>
      <c r="F15">
        <v>1</v>
      </c>
      <c r="G15">
        <v>0</v>
      </c>
      <c r="H15">
        <v>0</v>
      </c>
      <c r="I15">
        <v>1</v>
      </c>
      <c r="J15">
        <v>7</v>
      </c>
    </row>
    <row r="16" spans="1:10" x14ac:dyDescent="0.35">
      <c r="A16" t="s">
        <v>319</v>
      </c>
      <c r="B16" t="s">
        <v>224</v>
      </c>
      <c r="C16" t="s">
        <v>225</v>
      </c>
      <c r="D16">
        <v>11</v>
      </c>
      <c r="E16">
        <v>0</v>
      </c>
      <c r="F16">
        <v>1</v>
      </c>
      <c r="G16">
        <v>0</v>
      </c>
      <c r="H16">
        <v>0</v>
      </c>
      <c r="I16">
        <v>1</v>
      </c>
      <c r="J16">
        <v>13</v>
      </c>
    </row>
    <row r="17" spans="1:10" x14ac:dyDescent="0.35">
      <c r="A17" t="s">
        <v>214</v>
      </c>
      <c r="B17" t="s">
        <v>240</v>
      </c>
      <c r="C17" t="s">
        <v>241</v>
      </c>
      <c r="D17">
        <v>3</v>
      </c>
      <c r="E17">
        <v>0</v>
      </c>
      <c r="F17">
        <v>0</v>
      </c>
      <c r="G17">
        <v>1</v>
      </c>
      <c r="H17">
        <v>0</v>
      </c>
      <c r="I17">
        <v>1</v>
      </c>
      <c r="J17">
        <v>5</v>
      </c>
    </row>
    <row r="18" spans="1:10" x14ac:dyDescent="0.35">
      <c r="A18" t="s">
        <v>326</v>
      </c>
      <c r="B18" t="s">
        <v>240</v>
      </c>
      <c r="C18" t="s">
        <v>241</v>
      </c>
      <c r="D18">
        <v>3</v>
      </c>
      <c r="E18">
        <v>0</v>
      </c>
      <c r="F18">
        <v>0</v>
      </c>
      <c r="G18">
        <v>0</v>
      </c>
      <c r="H18">
        <v>0</v>
      </c>
      <c r="I18">
        <v>1</v>
      </c>
      <c r="J18">
        <v>4</v>
      </c>
    </row>
    <row r="19" spans="1:10" x14ac:dyDescent="0.35">
      <c r="A19" t="s">
        <v>326</v>
      </c>
      <c r="B19" t="s">
        <v>244</v>
      </c>
      <c r="C19" t="s">
        <v>245</v>
      </c>
      <c r="D19">
        <v>20</v>
      </c>
      <c r="E19">
        <v>1</v>
      </c>
      <c r="F19">
        <v>0</v>
      </c>
      <c r="G19">
        <v>3</v>
      </c>
      <c r="H19">
        <v>0</v>
      </c>
      <c r="I19">
        <v>3</v>
      </c>
      <c r="J19">
        <v>27</v>
      </c>
    </row>
    <row r="20" spans="1:10" x14ac:dyDescent="0.35">
      <c r="A20" t="s">
        <v>319</v>
      </c>
      <c r="B20" t="s">
        <v>247</v>
      </c>
      <c r="C20" t="s">
        <v>248</v>
      </c>
      <c r="D20">
        <v>7</v>
      </c>
      <c r="E20">
        <v>2</v>
      </c>
      <c r="F20">
        <v>8</v>
      </c>
      <c r="G20">
        <v>1</v>
      </c>
      <c r="H20">
        <v>0</v>
      </c>
      <c r="I20">
        <v>2</v>
      </c>
      <c r="J20">
        <v>20</v>
      </c>
    </row>
    <row r="21" spans="1:10" x14ac:dyDescent="0.35">
      <c r="A21" t="s">
        <v>326</v>
      </c>
      <c r="B21" t="s">
        <v>247</v>
      </c>
      <c r="C21" t="s">
        <v>248</v>
      </c>
      <c r="D21">
        <v>7</v>
      </c>
      <c r="E21">
        <v>2</v>
      </c>
      <c r="F21">
        <v>2</v>
      </c>
      <c r="G21">
        <v>1</v>
      </c>
      <c r="H21">
        <v>0</v>
      </c>
      <c r="I21">
        <v>7</v>
      </c>
      <c r="J21">
        <v>19</v>
      </c>
    </row>
    <row r="22" spans="1:10" x14ac:dyDescent="0.35">
      <c r="A22" t="s">
        <v>313</v>
      </c>
      <c r="B22" t="s">
        <v>315</v>
      </c>
      <c r="C22" t="s">
        <v>271</v>
      </c>
      <c r="D22">
        <v>19</v>
      </c>
      <c r="E22">
        <v>3</v>
      </c>
      <c r="F22">
        <v>0</v>
      </c>
      <c r="G22">
        <v>3</v>
      </c>
      <c r="H22">
        <v>0</v>
      </c>
      <c r="I22">
        <v>3</v>
      </c>
      <c r="J22">
        <v>28</v>
      </c>
    </row>
    <row r="23" spans="1:10" x14ac:dyDescent="0.35">
      <c r="A23" t="s">
        <v>319</v>
      </c>
      <c r="B23" t="s">
        <v>273</v>
      </c>
      <c r="C23" t="s">
        <v>274</v>
      </c>
      <c r="D23">
        <v>65</v>
      </c>
      <c r="E23">
        <v>1</v>
      </c>
      <c r="F23">
        <v>2</v>
      </c>
      <c r="G23">
        <v>3</v>
      </c>
      <c r="H23">
        <v>3</v>
      </c>
      <c r="I23">
        <v>2</v>
      </c>
      <c r="J23">
        <v>76</v>
      </c>
    </row>
    <row r="24" spans="1:10" x14ac:dyDescent="0.35">
      <c r="A24" t="s">
        <v>321</v>
      </c>
      <c r="B24" t="s">
        <v>273</v>
      </c>
      <c r="C24" t="s">
        <v>274</v>
      </c>
      <c r="D24">
        <v>65</v>
      </c>
      <c r="E24">
        <v>1</v>
      </c>
      <c r="F24">
        <v>1</v>
      </c>
      <c r="G24">
        <v>3</v>
      </c>
      <c r="H24">
        <v>2</v>
      </c>
      <c r="I24">
        <v>2</v>
      </c>
      <c r="J24">
        <v>74</v>
      </c>
    </row>
    <row r="25" spans="1:10" x14ac:dyDescent="0.35">
      <c r="A25" t="s">
        <v>319</v>
      </c>
      <c r="B25" t="s">
        <v>277</v>
      </c>
      <c r="C25" t="s">
        <v>278</v>
      </c>
      <c r="D25">
        <v>6</v>
      </c>
      <c r="E25">
        <v>1</v>
      </c>
      <c r="F25">
        <v>0</v>
      </c>
      <c r="G25">
        <v>0</v>
      </c>
      <c r="H25">
        <v>0</v>
      </c>
      <c r="I25">
        <v>0</v>
      </c>
      <c r="J25">
        <v>7</v>
      </c>
    </row>
    <row r="26" spans="1:10" x14ac:dyDescent="0.35">
      <c r="A26" t="s">
        <v>326</v>
      </c>
      <c r="B26" t="s">
        <v>277</v>
      </c>
      <c r="C26" t="s">
        <v>278</v>
      </c>
      <c r="D26">
        <v>6</v>
      </c>
      <c r="E26">
        <v>1</v>
      </c>
      <c r="F26">
        <v>0</v>
      </c>
      <c r="G26">
        <v>0</v>
      </c>
      <c r="H26">
        <v>0</v>
      </c>
      <c r="I26">
        <v>0</v>
      </c>
      <c r="J26">
        <v>7</v>
      </c>
    </row>
    <row r="27" spans="1:10" x14ac:dyDescent="0.35">
      <c r="A27" t="s">
        <v>327</v>
      </c>
      <c r="B27" t="s">
        <v>279</v>
      </c>
      <c r="C27" t="s">
        <v>280</v>
      </c>
      <c r="D27">
        <v>2</v>
      </c>
      <c r="E27">
        <v>0</v>
      </c>
      <c r="F27">
        <v>0</v>
      </c>
      <c r="G27">
        <v>0</v>
      </c>
      <c r="H27">
        <v>0</v>
      </c>
      <c r="I27">
        <v>1</v>
      </c>
      <c r="J27">
        <v>3</v>
      </c>
    </row>
    <row r="28" spans="1:10" x14ac:dyDescent="0.35">
      <c r="A28" t="s">
        <v>466</v>
      </c>
      <c r="B28" t="s">
        <v>279</v>
      </c>
      <c r="C28" t="s">
        <v>280</v>
      </c>
      <c r="D28">
        <v>2</v>
      </c>
      <c r="E28">
        <v>0</v>
      </c>
      <c r="F28">
        <v>0</v>
      </c>
      <c r="G28">
        <v>0</v>
      </c>
      <c r="H28">
        <v>0</v>
      </c>
      <c r="I28">
        <v>1</v>
      </c>
      <c r="J28">
        <v>3</v>
      </c>
    </row>
    <row r="29" spans="1:10" x14ac:dyDescent="0.35">
      <c r="A29" t="s">
        <v>321</v>
      </c>
      <c r="B29" t="s">
        <v>283</v>
      </c>
      <c r="C29" t="s">
        <v>284</v>
      </c>
      <c r="D29">
        <v>16</v>
      </c>
      <c r="E29">
        <v>0</v>
      </c>
      <c r="F29">
        <v>0</v>
      </c>
      <c r="G29">
        <v>0</v>
      </c>
      <c r="H29">
        <v>0</v>
      </c>
      <c r="I29">
        <v>1</v>
      </c>
      <c r="J29">
        <v>17</v>
      </c>
    </row>
    <row r="30" spans="1:10" x14ac:dyDescent="0.35">
      <c r="A30" t="s">
        <v>319</v>
      </c>
      <c r="B30" t="s">
        <v>296</v>
      </c>
      <c r="C30" t="s">
        <v>297</v>
      </c>
      <c r="D30">
        <v>5</v>
      </c>
      <c r="E30">
        <v>2</v>
      </c>
      <c r="F30">
        <v>0</v>
      </c>
      <c r="G30">
        <v>0</v>
      </c>
      <c r="H30">
        <v>0</v>
      </c>
      <c r="I30">
        <v>3</v>
      </c>
      <c r="J30">
        <v>10</v>
      </c>
    </row>
    <row r="31" spans="1:10" x14ac:dyDescent="0.35">
      <c r="A31" t="s">
        <v>313</v>
      </c>
      <c r="B31" t="s">
        <v>298</v>
      </c>
      <c r="C31" t="s">
        <v>299</v>
      </c>
      <c r="D31">
        <v>17</v>
      </c>
      <c r="E31">
        <v>0</v>
      </c>
      <c r="F31">
        <v>0</v>
      </c>
      <c r="G31">
        <v>2</v>
      </c>
      <c r="H31">
        <v>0</v>
      </c>
      <c r="I31">
        <v>1</v>
      </c>
      <c r="J31">
        <v>20</v>
      </c>
    </row>
    <row r="32" spans="1:10" x14ac:dyDescent="0.35">
      <c r="A32" t="s">
        <v>313</v>
      </c>
      <c r="B32" t="s">
        <v>300</v>
      </c>
      <c r="C32" t="s">
        <v>301</v>
      </c>
      <c r="D32">
        <v>14</v>
      </c>
      <c r="E32">
        <v>0</v>
      </c>
      <c r="F32">
        <v>0</v>
      </c>
      <c r="G32">
        <v>0</v>
      </c>
      <c r="H32">
        <v>1</v>
      </c>
      <c r="I32">
        <v>1</v>
      </c>
      <c r="J32">
        <v>16</v>
      </c>
    </row>
    <row r="33" spans="1:10" x14ac:dyDescent="0.35">
      <c r="A33" t="s">
        <v>214</v>
      </c>
      <c r="B33" t="s">
        <v>220</v>
      </c>
      <c r="C33" t="s">
        <v>221</v>
      </c>
      <c r="D33">
        <v>31</v>
      </c>
      <c r="E33">
        <v>0</v>
      </c>
      <c r="F33">
        <v>1</v>
      </c>
      <c r="G33">
        <v>0</v>
      </c>
      <c r="H33">
        <v>0</v>
      </c>
      <c r="I33">
        <v>5</v>
      </c>
      <c r="J33">
        <v>37</v>
      </c>
    </row>
    <row r="34" spans="1:10" x14ac:dyDescent="0.35">
      <c r="A34" t="s">
        <v>326</v>
      </c>
      <c r="B34" t="s">
        <v>220</v>
      </c>
      <c r="C34" t="s">
        <v>221</v>
      </c>
      <c r="D34">
        <v>32</v>
      </c>
      <c r="E34">
        <v>0</v>
      </c>
      <c r="F34">
        <v>1</v>
      </c>
      <c r="G34">
        <v>0</v>
      </c>
      <c r="H34">
        <v>0</v>
      </c>
      <c r="I34">
        <v>4</v>
      </c>
      <c r="J34">
        <v>37</v>
      </c>
    </row>
    <row r="35" spans="1:10" x14ac:dyDescent="0.35">
      <c r="A35" t="s">
        <v>327</v>
      </c>
      <c r="B35" t="s">
        <v>224</v>
      </c>
      <c r="C35" t="s">
        <v>225</v>
      </c>
      <c r="D35">
        <v>12</v>
      </c>
      <c r="E35">
        <v>0</v>
      </c>
      <c r="F35">
        <v>1</v>
      </c>
      <c r="G35">
        <v>0</v>
      </c>
      <c r="H35">
        <v>0</v>
      </c>
      <c r="I35">
        <v>1</v>
      </c>
      <c r="J35">
        <v>14</v>
      </c>
    </row>
    <row r="36" spans="1:10" x14ac:dyDescent="0.35">
      <c r="A36" t="s">
        <v>466</v>
      </c>
      <c r="B36" t="s">
        <v>224</v>
      </c>
      <c r="C36" t="s">
        <v>225</v>
      </c>
      <c r="D36">
        <v>11</v>
      </c>
      <c r="E36">
        <v>0</v>
      </c>
      <c r="F36">
        <v>0</v>
      </c>
      <c r="G36">
        <v>0</v>
      </c>
      <c r="H36">
        <v>0</v>
      </c>
      <c r="I36">
        <v>1</v>
      </c>
      <c r="J36">
        <v>12</v>
      </c>
    </row>
    <row r="37" spans="1:10" x14ac:dyDescent="0.35">
      <c r="A37" t="s">
        <v>321</v>
      </c>
      <c r="B37" t="s">
        <v>228</v>
      </c>
      <c r="C37" t="s">
        <v>229</v>
      </c>
      <c r="D37">
        <v>25</v>
      </c>
      <c r="E37">
        <v>1</v>
      </c>
      <c r="F37">
        <v>0</v>
      </c>
      <c r="G37">
        <v>1</v>
      </c>
      <c r="H37">
        <v>17</v>
      </c>
      <c r="I37">
        <v>4</v>
      </c>
      <c r="J37">
        <v>48</v>
      </c>
    </row>
    <row r="38" spans="1:10" x14ac:dyDescent="0.35">
      <c r="A38" t="s">
        <v>214</v>
      </c>
      <c r="B38" t="s">
        <v>244</v>
      </c>
      <c r="C38" t="s">
        <v>245</v>
      </c>
      <c r="D38">
        <v>22</v>
      </c>
      <c r="E38">
        <v>1</v>
      </c>
      <c r="F38">
        <v>0</v>
      </c>
      <c r="G38">
        <v>3</v>
      </c>
      <c r="H38">
        <v>0</v>
      </c>
      <c r="I38">
        <v>4</v>
      </c>
      <c r="J38">
        <v>30</v>
      </c>
    </row>
    <row r="39" spans="1:10" x14ac:dyDescent="0.35">
      <c r="A39" t="s">
        <v>214</v>
      </c>
      <c r="B39" t="s">
        <v>253</v>
      </c>
      <c r="C39" t="s">
        <v>254</v>
      </c>
      <c r="D39">
        <v>3</v>
      </c>
      <c r="E39">
        <v>0</v>
      </c>
      <c r="F39">
        <v>2</v>
      </c>
      <c r="G39">
        <v>0</v>
      </c>
      <c r="H39">
        <v>0</v>
      </c>
      <c r="I39">
        <v>0</v>
      </c>
      <c r="J39">
        <v>5</v>
      </c>
    </row>
    <row r="40" spans="1:10" x14ac:dyDescent="0.35">
      <c r="A40" t="s">
        <v>214</v>
      </c>
      <c r="B40" t="s">
        <v>263</v>
      </c>
      <c r="C40" t="s">
        <v>264</v>
      </c>
      <c r="D40">
        <v>10</v>
      </c>
      <c r="E40">
        <v>1</v>
      </c>
      <c r="F40">
        <v>2</v>
      </c>
      <c r="G40">
        <v>0</v>
      </c>
      <c r="H40">
        <v>0</v>
      </c>
      <c r="I40">
        <v>4</v>
      </c>
      <c r="J40">
        <v>17</v>
      </c>
    </row>
    <row r="41" spans="1:10" x14ac:dyDescent="0.35">
      <c r="A41" t="s">
        <v>326</v>
      </c>
      <c r="B41" t="s">
        <v>263</v>
      </c>
      <c r="C41" t="s">
        <v>264</v>
      </c>
      <c r="D41">
        <v>9</v>
      </c>
      <c r="E41">
        <v>1</v>
      </c>
      <c r="F41">
        <v>1</v>
      </c>
      <c r="G41">
        <v>0</v>
      </c>
      <c r="H41">
        <v>0</v>
      </c>
      <c r="I41">
        <v>5</v>
      </c>
      <c r="J41">
        <v>16</v>
      </c>
    </row>
    <row r="42" spans="1:10" x14ac:dyDescent="0.35">
      <c r="A42" t="s">
        <v>321</v>
      </c>
      <c r="B42" t="s">
        <v>315</v>
      </c>
      <c r="C42" t="s">
        <v>271</v>
      </c>
      <c r="D42">
        <v>19</v>
      </c>
      <c r="E42">
        <v>3</v>
      </c>
      <c r="F42">
        <v>0</v>
      </c>
      <c r="G42">
        <v>3</v>
      </c>
      <c r="H42">
        <v>0</v>
      </c>
      <c r="I42">
        <v>6</v>
      </c>
      <c r="J42">
        <v>31</v>
      </c>
    </row>
    <row r="43" spans="1:10" x14ac:dyDescent="0.35">
      <c r="A43" t="s">
        <v>327</v>
      </c>
      <c r="B43" t="s">
        <v>273</v>
      </c>
      <c r="C43" t="s">
        <v>274</v>
      </c>
      <c r="D43">
        <v>64</v>
      </c>
      <c r="E43">
        <v>1</v>
      </c>
      <c r="F43">
        <v>2</v>
      </c>
      <c r="G43">
        <v>3</v>
      </c>
      <c r="H43">
        <v>6</v>
      </c>
      <c r="I43">
        <v>2</v>
      </c>
      <c r="J43">
        <v>78</v>
      </c>
    </row>
    <row r="44" spans="1:10" x14ac:dyDescent="0.35">
      <c r="A44" t="s">
        <v>466</v>
      </c>
      <c r="B44" t="s">
        <v>273</v>
      </c>
      <c r="C44" t="s">
        <v>274</v>
      </c>
      <c r="D44">
        <v>64</v>
      </c>
      <c r="E44">
        <v>1</v>
      </c>
      <c r="F44">
        <v>1</v>
      </c>
      <c r="G44">
        <v>3</v>
      </c>
      <c r="H44">
        <v>5</v>
      </c>
      <c r="I44">
        <v>6</v>
      </c>
      <c r="J44">
        <v>80</v>
      </c>
    </row>
    <row r="45" spans="1:10" x14ac:dyDescent="0.35">
      <c r="A45" t="s">
        <v>327</v>
      </c>
      <c r="B45" t="s">
        <v>277</v>
      </c>
      <c r="C45" t="s">
        <v>278</v>
      </c>
      <c r="D45">
        <v>6</v>
      </c>
      <c r="E45">
        <v>1</v>
      </c>
      <c r="F45">
        <v>0</v>
      </c>
      <c r="G45">
        <v>0</v>
      </c>
      <c r="H45">
        <v>0</v>
      </c>
      <c r="I45">
        <v>0</v>
      </c>
      <c r="J45">
        <v>7</v>
      </c>
    </row>
    <row r="46" spans="1:10" x14ac:dyDescent="0.35">
      <c r="A46" t="s">
        <v>466</v>
      </c>
      <c r="B46" t="s">
        <v>277</v>
      </c>
      <c r="C46" t="s">
        <v>278</v>
      </c>
      <c r="D46">
        <v>6</v>
      </c>
      <c r="E46">
        <v>1</v>
      </c>
      <c r="F46">
        <v>0</v>
      </c>
      <c r="G46">
        <v>0</v>
      </c>
      <c r="H46">
        <v>0</v>
      </c>
      <c r="I46">
        <v>0</v>
      </c>
      <c r="J46">
        <v>7</v>
      </c>
    </row>
    <row r="47" spans="1:10" x14ac:dyDescent="0.35">
      <c r="A47" t="s">
        <v>319</v>
      </c>
      <c r="B47" t="s">
        <v>279</v>
      </c>
      <c r="C47" t="s">
        <v>280</v>
      </c>
      <c r="D47">
        <v>3</v>
      </c>
      <c r="E47">
        <v>0</v>
      </c>
      <c r="F47">
        <v>0</v>
      </c>
      <c r="G47">
        <v>0</v>
      </c>
      <c r="H47">
        <v>0</v>
      </c>
      <c r="I47">
        <v>1</v>
      </c>
      <c r="J47">
        <v>4</v>
      </c>
    </row>
    <row r="48" spans="1:10" x14ac:dyDescent="0.35">
      <c r="A48" t="s">
        <v>214</v>
      </c>
      <c r="B48" t="s">
        <v>281</v>
      </c>
      <c r="C48" t="s">
        <v>282</v>
      </c>
      <c r="D48">
        <v>13</v>
      </c>
      <c r="E48">
        <v>0</v>
      </c>
      <c r="F48">
        <v>1</v>
      </c>
      <c r="G48">
        <v>0</v>
      </c>
      <c r="H48">
        <v>2</v>
      </c>
      <c r="I48">
        <v>3</v>
      </c>
      <c r="J48">
        <v>19</v>
      </c>
    </row>
    <row r="49" spans="1:10" x14ac:dyDescent="0.35">
      <c r="A49" t="s">
        <v>327</v>
      </c>
      <c r="B49" t="s">
        <v>283</v>
      </c>
      <c r="C49" t="s">
        <v>284</v>
      </c>
      <c r="D49">
        <v>16</v>
      </c>
      <c r="E49">
        <v>0</v>
      </c>
      <c r="F49">
        <v>0</v>
      </c>
      <c r="G49">
        <v>0</v>
      </c>
      <c r="H49">
        <v>0</v>
      </c>
      <c r="I49">
        <v>1</v>
      </c>
      <c r="J49">
        <v>17</v>
      </c>
    </row>
    <row r="50" spans="1:10" x14ac:dyDescent="0.35">
      <c r="A50" t="s">
        <v>313</v>
      </c>
      <c r="B50" t="s">
        <v>287</v>
      </c>
      <c r="C50" t="s">
        <v>288</v>
      </c>
      <c r="D50">
        <v>16</v>
      </c>
      <c r="E50">
        <v>0</v>
      </c>
      <c r="F50">
        <v>1</v>
      </c>
      <c r="G50">
        <v>0</v>
      </c>
      <c r="H50">
        <v>1</v>
      </c>
      <c r="I50">
        <v>2</v>
      </c>
      <c r="J50">
        <v>20</v>
      </c>
    </row>
    <row r="51" spans="1:10" x14ac:dyDescent="0.35">
      <c r="A51" t="s">
        <v>321</v>
      </c>
      <c r="B51" t="s">
        <v>317</v>
      </c>
      <c r="C51" t="s">
        <v>290</v>
      </c>
      <c r="D51">
        <v>9</v>
      </c>
      <c r="E51">
        <v>2</v>
      </c>
      <c r="F51">
        <v>2</v>
      </c>
      <c r="G51">
        <v>1</v>
      </c>
      <c r="H51">
        <v>0</v>
      </c>
      <c r="I51">
        <v>4</v>
      </c>
      <c r="J51">
        <v>18</v>
      </c>
    </row>
    <row r="52" spans="1:10" x14ac:dyDescent="0.35">
      <c r="A52" t="s">
        <v>319</v>
      </c>
      <c r="B52" t="s">
        <v>292</v>
      </c>
      <c r="C52" t="s">
        <v>293</v>
      </c>
      <c r="D52">
        <v>15</v>
      </c>
      <c r="E52">
        <v>0</v>
      </c>
      <c r="F52">
        <v>0</v>
      </c>
      <c r="G52">
        <v>0</v>
      </c>
      <c r="H52">
        <v>1</v>
      </c>
      <c r="I52">
        <v>0</v>
      </c>
      <c r="J52">
        <v>16</v>
      </c>
    </row>
    <row r="53" spans="1:10" x14ac:dyDescent="0.35">
      <c r="A53" t="s">
        <v>326</v>
      </c>
      <c r="B53" t="s">
        <v>292</v>
      </c>
      <c r="C53" t="s">
        <v>293</v>
      </c>
      <c r="D53">
        <v>16</v>
      </c>
      <c r="E53">
        <v>0</v>
      </c>
      <c r="F53">
        <v>0</v>
      </c>
      <c r="G53">
        <v>0</v>
      </c>
      <c r="H53">
        <v>2</v>
      </c>
      <c r="I53">
        <v>0</v>
      </c>
      <c r="J53">
        <v>18</v>
      </c>
    </row>
    <row r="54" spans="1:10" x14ac:dyDescent="0.35">
      <c r="A54" t="s">
        <v>214</v>
      </c>
      <c r="B54" t="s">
        <v>494</v>
      </c>
      <c r="C54" t="s">
        <v>295</v>
      </c>
      <c r="D54">
        <v>16</v>
      </c>
      <c r="E54">
        <v>1</v>
      </c>
      <c r="F54">
        <v>2</v>
      </c>
      <c r="G54">
        <v>1</v>
      </c>
      <c r="H54">
        <v>3</v>
      </c>
      <c r="I54">
        <v>0</v>
      </c>
      <c r="J54">
        <v>23</v>
      </c>
    </row>
    <row r="55" spans="1:10" x14ac:dyDescent="0.35">
      <c r="A55" t="s">
        <v>327</v>
      </c>
      <c r="B55" t="s">
        <v>296</v>
      </c>
      <c r="C55" t="s">
        <v>297</v>
      </c>
      <c r="D55">
        <v>5</v>
      </c>
      <c r="E55">
        <v>1</v>
      </c>
      <c r="F55">
        <v>0</v>
      </c>
      <c r="G55">
        <v>0</v>
      </c>
      <c r="H55">
        <v>0</v>
      </c>
      <c r="I55">
        <v>3</v>
      </c>
      <c r="J55">
        <v>9</v>
      </c>
    </row>
    <row r="56" spans="1:10" x14ac:dyDescent="0.35">
      <c r="A56" t="s">
        <v>466</v>
      </c>
      <c r="B56" t="s">
        <v>296</v>
      </c>
      <c r="C56" t="s">
        <v>297</v>
      </c>
      <c r="D56">
        <v>5</v>
      </c>
      <c r="E56">
        <v>1</v>
      </c>
      <c r="F56">
        <v>0</v>
      </c>
      <c r="G56">
        <v>0</v>
      </c>
      <c r="H56">
        <v>0</v>
      </c>
      <c r="I56">
        <v>4</v>
      </c>
      <c r="J56">
        <v>10</v>
      </c>
    </row>
    <row r="57" spans="1:10" x14ac:dyDescent="0.35">
      <c r="A57" t="s">
        <v>214</v>
      </c>
      <c r="B57" t="s">
        <v>302</v>
      </c>
      <c r="C57" t="s">
        <v>303</v>
      </c>
      <c r="D57">
        <v>7</v>
      </c>
      <c r="E57">
        <v>1</v>
      </c>
      <c r="F57">
        <v>0</v>
      </c>
      <c r="G57">
        <v>1</v>
      </c>
      <c r="H57">
        <v>0</v>
      </c>
      <c r="I57">
        <v>0</v>
      </c>
      <c r="J57">
        <v>9</v>
      </c>
    </row>
    <row r="58" spans="1:10" x14ac:dyDescent="0.35">
      <c r="A58" t="s">
        <v>313</v>
      </c>
      <c r="B58" t="s">
        <v>304</v>
      </c>
      <c r="C58" t="s">
        <v>305</v>
      </c>
      <c r="D58">
        <v>14</v>
      </c>
      <c r="E58">
        <v>1</v>
      </c>
      <c r="F58">
        <v>1</v>
      </c>
      <c r="G58">
        <v>2</v>
      </c>
      <c r="H58">
        <v>0</v>
      </c>
      <c r="I58">
        <v>5</v>
      </c>
      <c r="J58">
        <v>23</v>
      </c>
    </row>
    <row r="59" spans="1:10" x14ac:dyDescent="0.35">
      <c r="A59" t="s">
        <v>313</v>
      </c>
      <c r="B59" t="s">
        <v>309</v>
      </c>
      <c r="C59" t="s">
        <v>310</v>
      </c>
      <c r="D59">
        <v>4</v>
      </c>
      <c r="E59">
        <v>1</v>
      </c>
      <c r="F59">
        <v>1</v>
      </c>
      <c r="G59">
        <v>0</v>
      </c>
      <c r="H59">
        <v>0</v>
      </c>
      <c r="I59">
        <v>1</v>
      </c>
      <c r="J59">
        <v>7</v>
      </c>
    </row>
    <row r="60" spans="1:10" x14ac:dyDescent="0.35">
      <c r="A60" t="s">
        <v>313</v>
      </c>
      <c r="B60" t="s">
        <v>311</v>
      </c>
      <c r="C60" t="s">
        <v>312</v>
      </c>
      <c r="D60">
        <v>8</v>
      </c>
      <c r="E60">
        <v>0</v>
      </c>
      <c r="F60">
        <v>0</v>
      </c>
      <c r="G60">
        <v>1</v>
      </c>
      <c r="H60">
        <v>0</v>
      </c>
      <c r="I60">
        <v>1</v>
      </c>
      <c r="J60">
        <v>10</v>
      </c>
    </row>
    <row r="61" spans="1:10" x14ac:dyDescent="0.35">
      <c r="A61" t="s">
        <v>327</v>
      </c>
      <c r="B61" t="s">
        <v>215</v>
      </c>
      <c r="C61" t="s">
        <v>216</v>
      </c>
      <c r="D61">
        <v>7</v>
      </c>
      <c r="E61">
        <v>1</v>
      </c>
      <c r="F61">
        <v>3</v>
      </c>
      <c r="G61">
        <v>2</v>
      </c>
      <c r="H61">
        <v>0</v>
      </c>
      <c r="I61">
        <v>4</v>
      </c>
      <c r="J61">
        <v>17</v>
      </c>
    </row>
    <row r="62" spans="1:10" x14ac:dyDescent="0.35">
      <c r="A62" t="s">
        <v>466</v>
      </c>
      <c r="B62" t="s">
        <v>215</v>
      </c>
      <c r="C62" t="s">
        <v>216</v>
      </c>
      <c r="D62">
        <v>7</v>
      </c>
      <c r="E62">
        <v>1</v>
      </c>
      <c r="F62">
        <v>3</v>
      </c>
      <c r="G62">
        <v>2</v>
      </c>
      <c r="H62">
        <v>0</v>
      </c>
      <c r="I62">
        <v>4</v>
      </c>
      <c r="J62">
        <v>17</v>
      </c>
    </row>
    <row r="63" spans="1:10" x14ac:dyDescent="0.35">
      <c r="A63" t="s">
        <v>214</v>
      </c>
      <c r="B63" t="s">
        <v>224</v>
      </c>
      <c r="C63" t="s">
        <v>225</v>
      </c>
      <c r="D63">
        <v>11</v>
      </c>
      <c r="E63">
        <v>0</v>
      </c>
      <c r="F63">
        <v>1</v>
      </c>
      <c r="G63">
        <v>0</v>
      </c>
      <c r="H63">
        <v>0</v>
      </c>
      <c r="I63">
        <v>1</v>
      </c>
      <c r="J63">
        <v>13</v>
      </c>
    </row>
    <row r="64" spans="1:10" x14ac:dyDescent="0.35">
      <c r="A64" t="s">
        <v>313</v>
      </c>
      <c r="B64" t="s">
        <v>228</v>
      </c>
      <c r="C64" t="s">
        <v>229</v>
      </c>
      <c r="D64">
        <v>24</v>
      </c>
      <c r="E64">
        <v>1</v>
      </c>
      <c r="F64">
        <v>0</v>
      </c>
      <c r="G64">
        <v>1</v>
      </c>
      <c r="H64">
        <v>17</v>
      </c>
      <c r="I64">
        <v>4</v>
      </c>
      <c r="J64">
        <v>47</v>
      </c>
    </row>
    <row r="65" spans="1:10" x14ac:dyDescent="0.35">
      <c r="A65" t="s">
        <v>313</v>
      </c>
      <c r="B65" t="s">
        <v>234</v>
      </c>
      <c r="C65" t="s">
        <v>235</v>
      </c>
      <c r="D65">
        <v>12</v>
      </c>
      <c r="E65">
        <v>3</v>
      </c>
      <c r="F65">
        <v>5</v>
      </c>
      <c r="G65">
        <v>2</v>
      </c>
      <c r="H65">
        <v>0</v>
      </c>
      <c r="I65">
        <v>3</v>
      </c>
      <c r="J65">
        <v>25</v>
      </c>
    </row>
    <row r="66" spans="1:10" x14ac:dyDescent="0.35">
      <c r="A66" t="s">
        <v>326</v>
      </c>
      <c r="B66" t="s">
        <v>234</v>
      </c>
      <c r="C66" t="s">
        <v>235</v>
      </c>
      <c r="D66">
        <v>12</v>
      </c>
      <c r="E66">
        <v>3</v>
      </c>
      <c r="F66">
        <v>4</v>
      </c>
      <c r="G66">
        <v>3</v>
      </c>
      <c r="H66">
        <v>0</v>
      </c>
      <c r="I66">
        <v>4</v>
      </c>
      <c r="J66">
        <v>26</v>
      </c>
    </row>
    <row r="67" spans="1:10" x14ac:dyDescent="0.35">
      <c r="A67" t="s">
        <v>327</v>
      </c>
      <c r="B67" t="s">
        <v>244</v>
      </c>
      <c r="C67" t="s">
        <v>245</v>
      </c>
      <c r="D67">
        <v>21</v>
      </c>
      <c r="E67">
        <v>1</v>
      </c>
      <c r="F67">
        <v>0</v>
      </c>
      <c r="G67">
        <v>3</v>
      </c>
      <c r="H67">
        <v>0</v>
      </c>
      <c r="I67">
        <v>3</v>
      </c>
      <c r="J67">
        <v>28</v>
      </c>
    </row>
    <row r="68" spans="1:10" x14ac:dyDescent="0.35">
      <c r="A68" t="s">
        <v>466</v>
      </c>
      <c r="B68" t="s">
        <v>244</v>
      </c>
      <c r="C68" t="s">
        <v>245</v>
      </c>
      <c r="D68">
        <v>21</v>
      </c>
      <c r="E68">
        <v>1</v>
      </c>
      <c r="F68">
        <v>0</v>
      </c>
      <c r="G68">
        <v>3</v>
      </c>
      <c r="H68">
        <v>0</v>
      </c>
      <c r="I68">
        <v>2</v>
      </c>
      <c r="J68">
        <v>27</v>
      </c>
    </row>
    <row r="69" spans="1:10" x14ac:dyDescent="0.35">
      <c r="A69" t="s">
        <v>214</v>
      </c>
      <c r="B69" t="s">
        <v>247</v>
      </c>
      <c r="C69" t="s">
        <v>248</v>
      </c>
      <c r="D69">
        <v>7</v>
      </c>
      <c r="E69">
        <v>2</v>
      </c>
      <c r="F69">
        <v>8</v>
      </c>
      <c r="G69">
        <v>1</v>
      </c>
      <c r="H69">
        <v>0</v>
      </c>
      <c r="I69">
        <v>2</v>
      </c>
      <c r="J69">
        <v>20</v>
      </c>
    </row>
    <row r="70" spans="1:10" x14ac:dyDescent="0.35">
      <c r="A70" t="s">
        <v>327</v>
      </c>
      <c r="B70" t="s">
        <v>247</v>
      </c>
      <c r="C70" t="s">
        <v>248</v>
      </c>
      <c r="D70">
        <v>7</v>
      </c>
      <c r="E70">
        <v>1</v>
      </c>
      <c r="F70">
        <v>2</v>
      </c>
      <c r="G70">
        <v>1</v>
      </c>
      <c r="H70">
        <v>0</v>
      </c>
      <c r="I70">
        <v>7</v>
      </c>
      <c r="J70">
        <v>18</v>
      </c>
    </row>
    <row r="71" spans="1:10" x14ac:dyDescent="0.35">
      <c r="A71" t="s">
        <v>466</v>
      </c>
      <c r="B71" t="s">
        <v>247</v>
      </c>
      <c r="C71" t="s">
        <v>248</v>
      </c>
      <c r="D71">
        <v>7</v>
      </c>
      <c r="E71">
        <v>1</v>
      </c>
      <c r="F71">
        <v>2</v>
      </c>
      <c r="G71">
        <v>1</v>
      </c>
      <c r="H71">
        <v>0</v>
      </c>
      <c r="I71">
        <v>6</v>
      </c>
      <c r="J71">
        <v>17</v>
      </c>
    </row>
    <row r="72" spans="1:10" x14ac:dyDescent="0.35">
      <c r="A72" t="s">
        <v>321</v>
      </c>
      <c r="B72" t="s">
        <v>253</v>
      </c>
      <c r="C72" t="s">
        <v>254</v>
      </c>
      <c r="D72">
        <v>3</v>
      </c>
      <c r="E72">
        <v>0</v>
      </c>
      <c r="F72">
        <v>2</v>
      </c>
      <c r="G72">
        <v>0</v>
      </c>
      <c r="H72">
        <v>0</v>
      </c>
      <c r="I72">
        <v>0</v>
      </c>
      <c r="J72">
        <v>5</v>
      </c>
    </row>
    <row r="73" spans="1:10" x14ac:dyDescent="0.35">
      <c r="A73" t="s">
        <v>214</v>
      </c>
      <c r="B73" t="s">
        <v>255</v>
      </c>
      <c r="C73" t="s">
        <v>256</v>
      </c>
      <c r="D73">
        <v>9</v>
      </c>
      <c r="E73">
        <v>0</v>
      </c>
      <c r="F73">
        <v>0</v>
      </c>
      <c r="G73">
        <v>0</v>
      </c>
      <c r="H73">
        <v>0</v>
      </c>
      <c r="I73">
        <v>0</v>
      </c>
      <c r="J73">
        <v>9</v>
      </c>
    </row>
    <row r="74" spans="1:10" x14ac:dyDescent="0.35">
      <c r="A74" t="s">
        <v>326</v>
      </c>
      <c r="B74" t="s">
        <v>267</v>
      </c>
      <c r="C74" t="s">
        <v>268</v>
      </c>
      <c r="D74">
        <v>20</v>
      </c>
      <c r="E74">
        <v>2</v>
      </c>
      <c r="F74">
        <v>0</v>
      </c>
      <c r="G74">
        <v>2</v>
      </c>
      <c r="H74">
        <v>0</v>
      </c>
      <c r="I74">
        <v>6</v>
      </c>
      <c r="J74">
        <v>30</v>
      </c>
    </row>
    <row r="75" spans="1:10" x14ac:dyDescent="0.35">
      <c r="A75" t="s">
        <v>214</v>
      </c>
      <c r="B75" t="s">
        <v>315</v>
      </c>
      <c r="C75" t="s">
        <v>271</v>
      </c>
      <c r="D75">
        <v>18</v>
      </c>
      <c r="E75">
        <v>4</v>
      </c>
      <c r="F75">
        <v>0</v>
      </c>
      <c r="G75">
        <v>3</v>
      </c>
      <c r="H75">
        <v>0</v>
      </c>
      <c r="I75">
        <v>3</v>
      </c>
      <c r="J75">
        <v>28</v>
      </c>
    </row>
    <row r="76" spans="1:10" x14ac:dyDescent="0.35">
      <c r="A76" t="s">
        <v>319</v>
      </c>
      <c r="B76" t="s">
        <v>315</v>
      </c>
      <c r="C76" t="s">
        <v>271</v>
      </c>
      <c r="D76">
        <v>29</v>
      </c>
      <c r="E76">
        <v>3</v>
      </c>
      <c r="F76">
        <v>0</v>
      </c>
      <c r="G76">
        <v>3</v>
      </c>
      <c r="H76">
        <v>0</v>
      </c>
      <c r="I76">
        <v>4</v>
      </c>
      <c r="J76">
        <v>39</v>
      </c>
    </row>
    <row r="77" spans="1:10" x14ac:dyDescent="0.35">
      <c r="A77" t="s">
        <v>214</v>
      </c>
      <c r="B77" t="s">
        <v>277</v>
      </c>
      <c r="C77" t="s">
        <v>278</v>
      </c>
      <c r="D77">
        <v>7</v>
      </c>
      <c r="E77">
        <v>1</v>
      </c>
      <c r="F77">
        <v>0</v>
      </c>
      <c r="G77">
        <v>0</v>
      </c>
      <c r="H77">
        <v>0</v>
      </c>
      <c r="I77">
        <v>0</v>
      </c>
      <c r="J77">
        <v>8</v>
      </c>
    </row>
    <row r="78" spans="1:10" x14ac:dyDescent="0.35">
      <c r="A78" t="s">
        <v>326</v>
      </c>
      <c r="B78" t="s">
        <v>279</v>
      </c>
      <c r="C78" t="s">
        <v>280</v>
      </c>
      <c r="D78">
        <v>2</v>
      </c>
      <c r="E78">
        <v>0</v>
      </c>
      <c r="F78">
        <v>0</v>
      </c>
      <c r="G78">
        <v>0</v>
      </c>
      <c r="H78">
        <v>0</v>
      </c>
      <c r="I78">
        <v>1</v>
      </c>
      <c r="J78">
        <v>3</v>
      </c>
    </row>
    <row r="79" spans="1:10" x14ac:dyDescent="0.35">
      <c r="A79" t="s">
        <v>326</v>
      </c>
      <c r="B79" t="s">
        <v>287</v>
      </c>
      <c r="C79" t="s">
        <v>288</v>
      </c>
      <c r="D79">
        <v>16</v>
      </c>
      <c r="E79">
        <v>0</v>
      </c>
      <c r="F79">
        <v>1</v>
      </c>
      <c r="G79">
        <v>0</v>
      </c>
      <c r="H79">
        <v>1</v>
      </c>
      <c r="I79">
        <v>2</v>
      </c>
      <c r="J79">
        <v>20</v>
      </c>
    </row>
    <row r="80" spans="1:10" x14ac:dyDescent="0.35">
      <c r="A80" t="s">
        <v>313</v>
      </c>
      <c r="B80" t="s">
        <v>317</v>
      </c>
      <c r="C80" t="s">
        <v>290</v>
      </c>
      <c r="D80">
        <v>8</v>
      </c>
      <c r="E80">
        <v>1</v>
      </c>
      <c r="F80">
        <v>2</v>
      </c>
      <c r="G80">
        <v>1</v>
      </c>
      <c r="H80">
        <v>0</v>
      </c>
      <c r="I80">
        <v>3</v>
      </c>
      <c r="J80">
        <v>15</v>
      </c>
    </row>
    <row r="81" spans="1:10" x14ac:dyDescent="0.35">
      <c r="A81" t="s">
        <v>319</v>
      </c>
      <c r="B81" t="s">
        <v>317</v>
      </c>
      <c r="C81" t="s">
        <v>290</v>
      </c>
      <c r="D81">
        <v>8</v>
      </c>
      <c r="E81">
        <v>2</v>
      </c>
      <c r="F81">
        <v>2</v>
      </c>
      <c r="G81">
        <v>1</v>
      </c>
      <c r="H81">
        <v>0</v>
      </c>
      <c r="I81">
        <v>3</v>
      </c>
      <c r="J81">
        <v>16</v>
      </c>
    </row>
    <row r="82" spans="1:10" x14ac:dyDescent="0.35">
      <c r="A82" t="s">
        <v>327</v>
      </c>
      <c r="B82" t="s">
        <v>494</v>
      </c>
      <c r="C82" t="s">
        <v>295</v>
      </c>
      <c r="D82">
        <v>15</v>
      </c>
      <c r="E82">
        <v>1</v>
      </c>
      <c r="F82">
        <v>0</v>
      </c>
      <c r="G82">
        <v>1</v>
      </c>
      <c r="H82">
        <v>3</v>
      </c>
      <c r="I82">
        <v>1</v>
      </c>
      <c r="J82">
        <v>21</v>
      </c>
    </row>
    <row r="83" spans="1:10" x14ac:dyDescent="0.35">
      <c r="A83" t="s">
        <v>466</v>
      </c>
      <c r="B83" t="s">
        <v>494</v>
      </c>
      <c r="C83" t="s">
        <v>295</v>
      </c>
      <c r="D83">
        <v>15</v>
      </c>
      <c r="E83">
        <v>1</v>
      </c>
      <c r="F83">
        <v>0</v>
      </c>
      <c r="G83">
        <v>1</v>
      </c>
      <c r="H83">
        <v>3</v>
      </c>
      <c r="I83">
        <v>3</v>
      </c>
      <c r="J83">
        <v>23</v>
      </c>
    </row>
    <row r="84" spans="1:10" x14ac:dyDescent="0.35">
      <c r="A84" t="s">
        <v>313</v>
      </c>
      <c r="B84" t="s">
        <v>296</v>
      </c>
      <c r="C84" t="s">
        <v>297</v>
      </c>
      <c r="D84">
        <v>4</v>
      </c>
      <c r="E84">
        <v>2</v>
      </c>
      <c r="F84">
        <v>0</v>
      </c>
      <c r="G84">
        <v>0</v>
      </c>
      <c r="H84">
        <v>0</v>
      </c>
      <c r="I84">
        <v>3</v>
      </c>
      <c r="J84">
        <v>9</v>
      </c>
    </row>
    <row r="85" spans="1:10" x14ac:dyDescent="0.35">
      <c r="A85" t="s">
        <v>214</v>
      </c>
      <c r="B85" t="s">
        <v>300</v>
      </c>
      <c r="C85" t="s">
        <v>301</v>
      </c>
      <c r="D85">
        <v>16</v>
      </c>
      <c r="E85">
        <v>0</v>
      </c>
      <c r="F85">
        <v>0</v>
      </c>
      <c r="G85">
        <v>0</v>
      </c>
      <c r="H85">
        <v>1</v>
      </c>
      <c r="I85">
        <v>1</v>
      </c>
      <c r="J85">
        <v>18</v>
      </c>
    </row>
    <row r="86" spans="1:10" x14ac:dyDescent="0.35">
      <c r="A86" t="s">
        <v>466</v>
      </c>
      <c r="B86" t="s">
        <v>302</v>
      </c>
      <c r="C86" t="s">
        <v>303</v>
      </c>
      <c r="D86">
        <v>8</v>
      </c>
      <c r="E86">
        <v>0</v>
      </c>
      <c r="F86">
        <v>0</v>
      </c>
      <c r="G86">
        <v>1</v>
      </c>
      <c r="H86">
        <v>0</v>
      </c>
      <c r="I86">
        <v>0</v>
      </c>
      <c r="J86">
        <v>9</v>
      </c>
    </row>
    <row r="87" spans="1:10" x14ac:dyDescent="0.35">
      <c r="A87" t="s">
        <v>321</v>
      </c>
      <c r="B87" t="s">
        <v>304</v>
      </c>
      <c r="C87" t="s">
        <v>305</v>
      </c>
      <c r="D87">
        <v>14</v>
      </c>
      <c r="E87">
        <v>1</v>
      </c>
      <c r="F87">
        <v>1</v>
      </c>
      <c r="G87">
        <v>2</v>
      </c>
      <c r="H87">
        <v>0</v>
      </c>
      <c r="I87">
        <v>6</v>
      </c>
      <c r="J87">
        <v>24</v>
      </c>
    </row>
    <row r="88" spans="1:10" x14ac:dyDescent="0.35">
      <c r="A88" t="s">
        <v>321</v>
      </c>
      <c r="B88" t="s">
        <v>307</v>
      </c>
      <c r="C88" t="s">
        <v>308</v>
      </c>
      <c r="D88">
        <v>9</v>
      </c>
      <c r="E88">
        <v>0</v>
      </c>
      <c r="F88">
        <v>0</v>
      </c>
      <c r="G88">
        <v>1</v>
      </c>
      <c r="H88">
        <v>2</v>
      </c>
      <c r="I88">
        <v>3</v>
      </c>
      <c r="J88">
        <v>15</v>
      </c>
    </row>
    <row r="89" spans="1:10" x14ac:dyDescent="0.35">
      <c r="A89" t="s">
        <v>319</v>
      </c>
      <c r="B89" t="s">
        <v>311</v>
      </c>
      <c r="C89" t="s">
        <v>312</v>
      </c>
      <c r="D89">
        <v>9</v>
      </c>
      <c r="E89">
        <v>0</v>
      </c>
      <c r="F89">
        <v>0</v>
      </c>
      <c r="G89">
        <v>1</v>
      </c>
      <c r="H89">
        <v>0</v>
      </c>
      <c r="I89">
        <v>1</v>
      </c>
      <c r="J89">
        <v>11</v>
      </c>
    </row>
    <row r="90" spans="1:10" x14ac:dyDescent="0.35">
      <c r="A90" t="s">
        <v>321</v>
      </c>
      <c r="B90" t="s">
        <v>311</v>
      </c>
      <c r="C90" t="s">
        <v>312</v>
      </c>
      <c r="D90">
        <v>8</v>
      </c>
      <c r="E90">
        <v>0</v>
      </c>
      <c r="F90">
        <v>0</v>
      </c>
      <c r="G90">
        <v>1</v>
      </c>
      <c r="H90">
        <v>0</v>
      </c>
      <c r="I90">
        <v>1</v>
      </c>
      <c r="J90">
        <v>10</v>
      </c>
    </row>
    <row r="91" spans="1:10" x14ac:dyDescent="0.35">
      <c r="A91" t="s">
        <v>326</v>
      </c>
      <c r="B91" t="s">
        <v>215</v>
      </c>
      <c r="C91" t="s">
        <v>216</v>
      </c>
      <c r="D91">
        <v>7</v>
      </c>
      <c r="E91">
        <v>1</v>
      </c>
      <c r="F91">
        <v>4</v>
      </c>
      <c r="G91">
        <v>2</v>
      </c>
      <c r="H91">
        <v>0</v>
      </c>
      <c r="I91">
        <v>4</v>
      </c>
      <c r="J91">
        <v>18</v>
      </c>
    </row>
    <row r="92" spans="1:10" x14ac:dyDescent="0.35">
      <c r="A92" t="s">
        <v>321</v>
      </c>
      <c r="B92" t="s">
        <v>220</v>
      </c>
      <c r="C92" t="s">
        <v>221</v>
      </c>
      <c r="D92">
        <v>31</v>
      </c>
      <c r="E92">
        <v>0</v>
      </c>
      <c r="F92">
        <v>1</v>
      </c>
      <c r="G92">
        <v>0</v>
      </c>
      <c r="H92">
        <v>0</v>
      </c>
      <c r="I92">
        <v>4</v>
      </c>
      <c r="J92">
        <v>36</v>
      </c>
    </row>
    <row r="93" spans="1:10" x14ac:dyDescent="0.35">
      <c r="A93" t="s">
        <v>326</v>
      </c>
      <c r="B93" t="s">
        <v>228</v>
      </c>
      <c r="C93" t="s">
        <v>229</v>
      </c>
      <c r="D93">
        <v>25</v>
      </c>
      <c r="E93">
        <v>1</v>
      </c>
      <c r="F93">
        <v>0</v>
      </c>
      <c r="G93">
        <v>1</v>
      </c>
      <c r="H93">
        <v>17</v>
      </c>
      <c r="I93">
        <v>5</v>
      </c>
      <c r="J93">
        <v>49</v>
      </c>
    </row>
    <row r="94" spans="1:10" x14ac:dyDescent="0.35">
      <c r="A94" t="s">
        <v>321</v>
      </c>
      <c r="B94" t="s">
        <v>240</v>
      </c>
      <c r="C94" t="s">
        <v>241</v>
      </c>
      <c r="D94">
        <v>3</v>
      </c>
      <c r="E94">
        <v>0</v>
      </c>
      <c r="F94">
        <v>0</v>
      </c>
      <c r="G94">
        <v>1</v>
      </c>
      <c r="H94">
        <v>0</v>
      </c>
      <c r="I94">
        <v>1</v>
      </c>
      <c r="J94">
        <v>5</v>
      </c>
    </row>
    <row r="95" spans="1:10" x14ac:dyDescent="0.35">
      <c r="A95" t="s">
        <v>319</v>
      </c>
      <c r="B95" t="s">
        <v>249</v>
      </c>
      <c r="C95" t="s">
        <v>250</v>
      </c>
      <c r="D95">
        <v>10</v>
      </c>
      <c r="E95">
        <v>1</v>
      </c>
      <c r="F95">
        <v>1</v>
      </c>
      <c r="G95">
        <v>0</v>
      </c>
      <c r="H95">
        <v>0</v>
      </c>
      <c r="I95">
        <v>0</v>
      </c>
      <c r="J95">
        <v>12</v>
      </c>
    </row>
    <row r="96" spans="1:10" x14ac:dyDescent="0.35">
      <c r="A96" t="s">
        <v>321</v>
      </c>
      <c r="B96" t="s">
        <v>249</v>
      </c>
      <c r="C96" t="s">
        <v>250</v>
      </c>
      <c r="D96">
        <v>9</v>
      </c>
      <c r="E96">
        <v>1</v>
      </c>
      <c r="F96">
        <v>1</v>
      </c>
      <c r="G96">
        <v>0</v>
      </c>
      <c r="H96">
        <v>0</v>
      </c>
      <c r="I96">
        <v>0</v>
      </c>
      <c r="J96">
        <v>11</v>
      </c>
    </row>
    <row r="97" spans="1:10" x14ac:dyDescent="0.35">
      <c r="A97" t="s">
        <v>327</v>
      </c>
      <c r="B97" t="s">
        <v>249</v>
      </c>
      <c r="C97" t="s">
        <v>250</v>
      </c>
      <c r="D97">
        <v>9</v>
      </c>
      <c r="E97">
        <v>1</v>
      </c>
      <c r="F97">
        <v>1</v>
      </c>
      <c r="G97">
        <v>0</v>
      </c>
      <c r="H97">
        <v>0</v>
      </c>
      <c r="I97">
        <v>0</v>
      </c>
      <c r="J97">
        <v>11</v>
      </c>
    </row>
    <row r="98" spans="1:10" x14ac:dyDescent="0.35">
      <c r="A98" t="s">
        <v>466</v>
      </c>
      <c r="B98" t="s">
        <v>249</v>
      </c>
      <c r="C98" t="s">
        <v>250</v>
      </c>
      <c r="D98">
        <v>9</v>
      </c>
      <c r="E98">
        <v>1</v>
      </c>
      <c r="F98">
        <v>1</v>
      </c>
      <c r="G98">
        <v>0</v>
      </c>
      <c r="H98">
        <v>0</v>
      </c>
      <c r="I98">
        <v>0</v>
      </c>
      <c r="J98">
        <v>11</v>
      </c>
    </row>
    <row r="99" spans="1:10" x14ac:dyDescent="0.35">
      <c r="A99" t="s">
        <v>319</v>
      </c>
      <c r="B99" t="s">
        <v>253</v>
      </c>
      <c r="C99" t="s">
        <v>254</v>
      </c>
      <c r="D99">
        <v>3</v>
      </c>
      <c r="E99">
        <v>0</v>
      </c>
      <c r="F99">
        <v>2</v>
      </c>
      <c r="G99">
        <v>0</v>
      </c>
      <c r="H99">
        <v>0</v>
      </c>
      <c r="I99">
        <v>0</v>
      </c>
      <c r="J99">
        <v>5</v>
      </c>
    </row>
    <row r="100" spans="1:10" x14ac:dyDescent="0.35">
      <c r="A100" t="s">
        <v>326</v>
      </c>
      <c r="B100" t="s">
        <v>253</v>
      </c>
      <c r="C100" t="s">
        <v>254</v>
      </c>
      <c r="D100">
        <v>3</v>
      </c>
      <c r="E100">
        <v>0</v>
      </c>
      <c r="F100">
        <v>2</v>
      </c>
      <c r="G100">
        <v>0</v>
      </c>
      <c r="H100">
        <v>0</v>
      </c>
      <c r="I100">
        <v>0</v>
      </c>
      <c r="J100">
        <v>5</v>
      </c>
    </row>
    <row r="101" spans="1:10" x14ac:dyDescent="0.35">
      <c r="A101" t="s">
        <v>466</v>
      </c>
      <c r="B101" t="s">
        <v>253</v>
      </c>
      <c r="C101" t="s">
        <v>254</v>
      </c>
      <c r="D101">
        <v>3</v>
      </c>
      <c r="E101">
        <v>0</v>
      </c>
      <c r="F101">
        <v>2</v>
      </c>
      <c r="G101">
        <v>0</v>
      </c>
      <c r="H101">
        <v>0</v>
      </c>
      <c r="I101">
        <v>1</v>
      </c>
      <c r="J101">
        <v>6</v>
      </c>
    </row>
    <row r="102" spans="1:10" x14ac:dyDescent="0.35">
      <c r="A102" t="s">
        <v>319</v>
      </c>
      <c r="B102" t="s">
        <v>259</v>
      </c>
      <c r="C102" t="s">
        <v>260</v>
      </c>
      <c r="D102">
        <v>2</v>
      </c>
      <c r="E102">
        <v>0</v>
      </c>
      <c r="F102">
        <v>0</v>
      </c>
      <c r="G102">
        <v>0</v>
      </c>
      <c r="H102">
        <v>0</v>
      </c>
      <c r="I102">
        <v>0</v>
      </c>
      <c r="J102">
        <v>2</v>
      </c>
    </row>
    <row r="103" spans="1:10" x14ac:dyDescent="0.35">
      <c r="A103" t="s">
        <v>326</v>
      </c>
      <c r="B103" t="s">
        <v>259</v>
      </c>
      <c r="C103" t="s">
        <v>260</v>
      </c>
      <c r="D103">
        <v>2</v>
      </c>
      <c r="E103">
        <v>0</v>
      </c>
      <c r="F103">
        <v>0</v>
      </c>
      <c r="G103">
        <v>0</v>
      </c>
      <c r="H103">
        <v>0</v>
      </c>
      <c r="I103">
        <v>0</v>
      </c>
      <c r="J103">
        <v>2</v>
      </c>
    </row>
    <row r="104" spans="1:10" x14ac:dyDescent="0.35">
      <c r="A104" t="s">
        <v>321</v>
      </c>
      <c r="B104" t="s">
        <v>263</v>
      </c>
      <c r="C104" t="s">
        <v>264</v>
      </c>
      <c r="D104">
        <v>9</v>
      </c>
      <c r="E104">
        <v>1</v>
      </c>
      <c r="F104">
        <v>1</v>
      </c>
      <c r="G104">
        <v>0</v>
      </c>
      <c r="H104">
        <v>0</v>
      </c>
      <c r="I104">
        <v>5</v>
      </c>
      <c r="J104">
        <v>16</v>
      </c>
    </row>
    <row r="105" spans="1:10" x14ac:dyDescent="0.35">
      <c r="A105" t="s">
        <v>326</v>
      </c>
      <c r="B105" t="s">
        <v>315</v>
      </c>
      <c r="C105" t="s">
        <v>271</v>
      </c>
      <c r="D105">
        <v>19</v>
      </c>
      <c r="E105">
        <v>3</v>
      </c>
      <c r="F105">
        <v>0</v>
      </c>
      <c r="G105">
        <v>3</v>
      </c>
      <c r="H105">
        <v>0</v>
      </c>
      <c r="I105">
        <v>6</v>
      </c>
      <c r="J105">
        <v>31</v>
      </c>
    </row>
    <row r="106" spans="1:10" x14ac:dyDescent="0.35">
      <c r="A106" t="s">
        <v>313</v>
      </c>
      <c r="B106" t="s">
        <v>277</v>
      </c>
      <c r="C106" t="s">
        <v>278</v>
      </c>
      <c r="D106">
        <v>6</v>
      </c>
      <c r="E106">
        <v>1</v>
      </c>
      <c r="F106">
        <v>0</v>
      </c>
      <c r="G106">
        <v>0</v>
      </c>
      <c r="H106">
        <v>0</v>
      </c>
      <c r="I106">
        <v>0</v>
      </c>
      <c r="J106">
        <v>7</v>
      </c>
    </row>
    <row r="107" spans="1:10" x14ac:dyDescent="0.35">
      <c r="A107" t="s">
        <v>313</v>
      </c>
      <c r="B107" t="s">
        <v>279</v>
      </c>
      <c r="C107" t="s">
        <v>280</v>
      </c>
      <c r="D107">
        <v>2</v>
      </c>
      <c r="E107">
        <v>0</v>
      </c>
      <c r="F107">
        <v>0</v>
      </c>
      <c r="G107">
        <v>0</v>
      </c>
      <c r="H107">
        <v>0</v>
      </c>
      <c r="I107">
        <v>1</v>
      </c>
      <c r="J107">
        <v>3</v>
      </c>
    </row>
    <row r="108" spans="1:10" x14ac:dyDescent="0.35">
      <c r="A108" t="s">
        <v>214</v>
      </c>
      <c r="B108" t="s">
        <v>283</v>
      </c>
      <c r="C108" t="s">
        <v>284</v>
      </c>
      <c r="D108">
        <v>17</v>
      </c>
      <c r="E108">
        <v>0</v>
      </c>
      <c r="F108">
        <v>0</v>
      </c>
      <c r="G108">
        <v>0</v>
      </c>
      <c r="H108">
        <v>1</v>
      </c>
      <c r="I108">
        <v>0</v>
      </c>
      <c r="J108">
        <v>18</v>
      </c>
    </row>
    <row r="109" spans="1:10" x14ac:dyDescent="0.35">
      <c r="A109" t="s">
        <v>214</v>
      </c>
      <c r="B109" t="s">
        <v>317</v>
      </c>
      <c r="C109" t="s">
        <v>290</v>
      </c>
      <c r="D109">
        <v>8</v>
      </c>
      <c r="E109">
        <v>2</v>
      </c>
      <c r="F109">
        <v>2</v>
      </c>
      <c r="G109">
        <v>1</v>
      </c>
      <c r="H109">
        <v>0</v>
      </c>
      <c r="I109">
        <v>2</v>
      </c>
      <c r="J109">
        <v>15</v>
      </c>
    </row>
    <row r="110" spans="1:10" x14ac:dyDescent="0.35">
      <c r="A110" t="s">
        <v>321</v>
      </c>
      <c r="B110" t="s">
        <v>494</v>
      </c>
      <c r="C110" t="s">
        <v>295</v>
      </c>
      <c r="D110">
        <v>15</v>
      </c>
      <c r="E110">
        <v>1</v>
      </c>
      <c r="F110">
        <v>0</v>
      </c>
      <c r="G110">
        <v>1</v>
      </c>
      <c r="H110">
        <v>3</v>
      </c>
      <c r="I110">
        <v>1</v>
      </c>
      <c r="J110">
        <v>21</v>
      </c>
    </row>
    <row r="111" spans="1:10" x14ac:dyDescent="0.35">
      <c r="A111" t="s">
        <v>319</v>
      </c>
      <c r="B111" t="s">
        <v>298</v>
      </c>
      <c r="C111" t="s">
        <v>299</v>
      </c>
      <c r="D111">
        <v>17</v>
      </c>
      <c r="E111">
        <v>0</v>
      </c>
      <c r="F111">
        <v>0</v>
      </c>
      <c r="G111">
        <v>2</v>
      </c>
      <c r="H111">
        <v>0</v>
      </c>
      <c r="I111">
        <v>1</v>
      </c>
      <c r="J111">
        <v>20</v>
      </c>
    </row>
    <row r="112" spans="1:10" x14ac:dyDescent="0.35">
      <c r="A112" t="s">
        <v>327</v>
      </c>
      <c r="B112" t="s">
        <v>298</v>
      </c>
      <c r="C112" t="s">
        <v>299</v>
      </c>
      <c r="D112">
        <v>18</v>
      </c>
      <c r="E112">
        <v>0</v>
      </c>
      <c r="F112">
        <v>0</v>
      </c>
      <c r="G112">
        <v>2</v>
      </c>
      <c r="H112">
        <v>0</v>
      </c>
      <c r="I112">
        <v>2</v>
      </c>
      <c r="J112">
        <v>22</v>
      </c>
    </row>
    <row r="113" spans="1:10" x14ac:dyDescent="0.35">
      <c r="A113" t="s">
        <v>466</v>
      </c>
      <c r="B113" t="s">
        <v>298</v>
      </c>
      <c r="C113" t="s">
        <v>299</v>
      </c>
      <c r="D113">
        <v>17</v>
      </c>
      <c r="E113">
        <v>0</v>
      </c>
      <c r="F113">
        <v>0</v>
      </c>
      <c r="G113">
        <v>2</v>
      </c>
      <c r="H113">
        <v>0</v>
      </c>
      <c r="I113">
        <v>2</v>
      </c>
      <c r="J113">
        <v>21</v>
      </c>
    </row>
    <row r="114" spans="1:10" x14ac:dyDescent="0.35">
      <c r="A114" t="s">
        <v>319</v>
      </c>
      <c r="B114" t="s">
        <v>300</v>
      </c>
      <c r="C114" t="s">
        <v>301</v>
      </c>
      <c r="D114">
        <v>16</v>
      </c>
      <c r="E114">
        <v>0</v>
      </c>
      <c r="F114">
        <v>0</v>
      </c>
      <c r="G114">
        <v>0</v>
      </c>
      <c r="H114">
        <v>1</v>
      </c>
      <c r="I114">
        <v>1</v>
      </c>
      <c r="J114">
        <v>18</v>
      </c>
    </row>
    <row r="115" spans="1:10" x14ac:dyDescent="0.35">
      <c r="A115" t="s">
        <v>327</v>
      </c>
      <c r="B115" t="s">
        <v>300</v>
      </c>
      <c r="C115" t="s">
        <v>301</v>
      </c>
      <c r="D115">
        <v>16</v>
      </c>
      <c r="E115">
        <v>0</v>
      </c>
      <c r="F115">
        <v>0</v>
      </c>
      <c r="G115">
        <v>0</v>
      </c>
      <c r="H115">
        <v>1</v>
      </c>
      <c r="I115">
        <v>1</v>
      </c>
      <c r="J115">
        <v>18</v>
      </c>
    </row>
    <row r="116" spans="1:10" x14ac:dyDescent="0.35">
      <c r="A116" t="s">
        <v>466</v>
      </c>
      <c r="B116" t="s">
        <v>300</v>
      </c>
      <c r="C116" t="s">
        <v>301</v>
      </c>
      <c r="D116">
        <v>16</v>
      </c>
      <c r="E116">
        <v>0</v>
      </c>
      <c r="F116">
        <v>0</v>
      </c>
      <c r="G116">
        <v>0</v>
      </c>
      <c r="H116">
        <v>1</v>
      </c>
      <c r="I116">
        <v>1</v>
      </c>
      <c r="J116">
        <v>18</v>
      </c>
    </row>
    <row r="117" spans="1:10" x14ac:dyDescent="0.35">
      <c r="A117" t="s">
        <v>313</v>
      </c>
      <c r="B117" t="s">
        <v>307</v>
      </c>
      <c r="C117" t="s">
        <v>308</v>
      </c>
      <c r="D117">
        <v>9</v>
      </c>
      <c r="E117">
        <v>0</v>
      </c>
      <c r="F117">
        <v>0</v>
      </c>
      <c r="G117">
        <v>2</v>
      </c>
      <c r="H117">
        <v>2</v>
      </c>
      <c r="I117">
        <v>3</v>
      </c>
      <c r="J117">
        <v>16</v>
      </c>
    </row>
    <row r="118" spans="1:10" x14ac:dyDescent="0.35">
      <c r="A118" t="s">
        <v>319</v>
      </c>
      <c r="B118" t="s">
        <v>307</v>
      </c>
      <c r="C118" t="s">
        <v>308</v>
      </c>
      <c r="D118">
        <v>9</v>
      </c>
      <c r="E118">
        <v>0</v>
      </c>
      <c r="F118">
        <v>0</v>
      </c>
      <c r="G118">
        <v>1</v>
      </c>
      <c r="H118">
        <v>2</v>
      </c>
      <c r="I118">
        <v>3</v>
      </c>
      <c r="J118">
        <v>15</v>
      </c>
    </row>
    <row r="119" spans="1:10" x14ac:dyDescent="0.35">
      <c r="A119" t="s">
        <v>327</v>
      </c>
      <c r="B119" t="s">
        <v>307</v>
      </c>
      <c r="C119" t="s">
        <v>308</v>
      </c>
      <c r="D119">
        <v>9</v>
      </c>
      <c r="E119">
        <v>0</v>
      </c>
      <c r="F119">
        <v>0</v>
      </c>
      <c r="G119">
        <v>1</v>
      </c>
      <c r="H119">
        <v>2</v>
      </c>
      <c r="I119">
        <v>4</v>
      </c>
      <c r="J119">
        <v>16</v>
      </c>
    </row>
    <row r="120" spans="1:10" x14ac:dyDescent="0.35">
      <c r="A120" t="s">
        <v>466</v>
      </c>
      <c r="B120" t="s">
        <v>307</v>
      </c>
      <c r="C120" t="s">
        <v>308</v>
      </c>
      <c r="D120">
        <v>9</v>
      </c>
      <c r="E120">
        <v>0</v>
      </c>
      <c r="F120">
        <v>0</v>
      </c>
      <c r="G120">
        <v>1</v>
      </c>
      <c r="H120">
        <v>1</v>
      </c>
      <c r="I120">
        <v>5</v>
      </c>
      <c r="J120">
        <v>16</v>
      </c>
    </row>
    <row r="121" spans="1:10" x14ac:dyDescent="0.35">
      <c r="A121" t="s">
        <v>319</v>
      </c>
      <c r="B121" t="s">
        <v>309</v>
      </c>
      <c r="C121" t="s">
        <v>310</v>
      </c>
      <c r="D121">
        <v>4</v>
      </c>
      <c r="E121">
        <v>1</v>
      </c>
      <c r="F121">
        <v>1</v>
      </c>
      <c r="G121">
        <v>0</v>
      </c>
      <c r="H121">
        <v>0</v>
      </c>
      <c r="I121">
        <v>1</v>
      </c>
      <c r="J121">
        <v>7</v>
      </c>
    </row>
    <row r="122" spans="1:10" x14ac:dyDescent="0.35">
      <c r="A122" t="s">
        <v>326</v>
      </c>
      <c r="B122" t="s">
        <v>309</v>
      </c>
      <c r="C122" t="s">
        <v>310</v>
      </c>
      <c r="D122">
        <v>4</v>
      </c>
      <c r="E122">
        <v>1</v>
      </c>
      <c r="F122">
        <v>1</v>
      </c>
      <c r="G122">
        <v>0</v>
      </c>
      <c r="H122">
        <v>0</v>
      </c>
      <c r="I122">
        <v>1</v>
      </c>
      <c r="J122">
        <v>7</v>
      </c>
    </row>
    <row r="123" spans="1:10" x14ac:dyDescent="0.35">
      <c r="A123" t="s">
        <v>326</v>
      </c>
      <c r="B123" t="s">
        <v>311</v>
      </c>
      <c r="C123" t="s">
        <v>312</v>
      </c>
      <c r="D123">
        <v>8</v>
      </c>
      <c r="E123">
        <v>0</v>
      </c>
      <c r="F123">
        <v>0</v>
      </c>
      <c r="G123">
        <v>1</v>
      </c>
      <c r="H123">
        <v>0</v>
      </c>
      <c r="I123">
        <v>1</v>
      </c>
      <c r="J123">
        <v>10</v>
      </c>
    </row>
    <row r="124" spans="1:10" x14ac:dyDescent="0.35">
      <c r="A124" t="s">
        <v>313</v>
      </c>
      <c r="B124" t="s">
        <v>215</v>
      </c>
      <c r="C124" t="s">
        <v>216</v>
      </c>
      <c r="D124">
        <v>9</v>
      </c>
      <c r="E124">
        <v>1</v>
      </c>
      <c r="F124">
        <v>6</v>
      </c>
      <c r="G124">
        <v>1</v>
      </c>
      <c r="H124">
        <v>0</v>
      </c>
      <c r="I124">
        <v>4</v>
      </c>
      <c r="J124">
        <v>21</v>
      </c>
    </row>
    <row r="125" spans="1:10" x14ac:dyDescent="0.35">
      <c r="A125" t="s">
        <v>319</v>
      </c>
      <c r="B125" t="s">
        <v>220</v>
      </c>
      <c r="C125" t="s">
        <v>221</v>
      </c>
      <c r="D125">
        <v>31</v>
      </c>
      <c r="E125">
        <v>0</v>
      </c>
      <c r="F125">
        <v>1</v>
      </c>
      <c r="G125">
        <v>0</v>
      </c>
      <c r="H125">
        <v>0</v>
      </c>
      <c r="I125">
        <v>4</v>
      </c>
      <c r="J125">
        <v>36</v>
      </c>
    </row>
    <row r="126" spans="1:10" x14ac:dyDescent="0.35">
      <c r="A126" t="s">
        <v>327</v>
      </c>
      <c r="B126" t="s">
        <v>220</v>
      </c>
      <c r="C126" t="s">
        <v>221</v>
      </c>
      <c r="D126">
        <v>31</v>
      </c>
      <c r="E126">
        <v>0</v>
      </c>
      <c r="F126">
        <v>1</v>
      </c>
      <c r="G126">
        <v>0</v>
      </c>
      <c r="H126">
        <v>0</v>
      </c>
      <c r="I126">
        <v>3</v>
      </c>
      <c r="J126">
        <v>35</v>
      </c>
    </row>
    <row r="127" spans="1:10" x14ac:dyDescent="0.35">
      <c r="A127" t="s">
        <v>466</v>
      </c>
      <c r="B127" t="s">
        <v>220</v>
      </c>
      <c r="C127" t="s">
        <v>221</v>
      </c>
      <c r="D127">
        <v>32</v>
      </c>
      <c r="E127">
        <v>0</v>
      </c>
      <c r="F127">
        <v>1</v>
      </c>
      <c r="G127">
        <v>0</v>
      </c>
      <c r="H127">
        <v>0</v>
      </c>
      <c r="I127">
        <v>5</v>
      </c>
      <c r="J127">
        <v>38</v>
      </c>
    </row>
    <row r="128" spans="1:10" x14ac:dyDescent="0.35">
      <c r="A128" t="s">
        <v>214</v>
      </c>
      <c r="B128" t="s">
        <v>228</v>
      </c>
      <c r="C128" t="s">
        <v>229</v>
      </c>
      <c r="D128">
        <v>25</v>
      </c>
      <c r="E128">
        <v>1</v>
      </c>
      <c r="F128">
        <v>0</v>
      </c>
      <c r="G128">
        <v>1</v>
      </c>
      <c r="H128">
        <v>20</v>
      </c>
      <c r="I128">
        <v>4</v>
      </c>
      <c r="J128">
        <v>51</v>
      </c>
    </row>
    <row r="129" spans="1:10" x14ac:dyDescent="0.35">
      <c r="A129" t="s">
        <v>319</v>
      </c>
      <c r="B129" t="s">
        <v>228</v>
      </c>
      <c r="C129" t="s">
        <v>229</v>
      </c>
      <c r="D129">
        <v>25</v>
      </c>
      <c r="E129">
        <v>1</v>
      </c>
      <c r="F129">
        <v>0</v>
      </c>
      <c r="G129">
        <v>1</v>
      </c>
      <c r="H129">
        <v>17</v>
      </c>
      <c r="I129">
        <v>4</v>
      </c>
      <c r="J129">
        <v>48</v>
      </c>
    </row>
    <row r="130" spans="1:10" x14ac:dyDescent="0.35">
      <c r="A130" t="s">
        <v>327</v>
      </c>
      <c r="B130" t="s">
        <v>228</v>
      </c>
      <c r="C130" t="s">
        <v>229</v>
      </c>
      <c r="D130">
        <v>26</v>
      </c>
      <c r="E130">
        <v>1</v>
      </c>
      <c r="F130">
        <v>0</v>
      </c>
      <c r="G130">
        <v>1</v>
      </c>
      <c r="H130">
        <v>17</v>
      </c>
      <c r="I130">
        <v>4</v>
      </c>
      <c r="J130">
        <v>49</v>
      </c>
    </row>
    <row r="131" spans="1:10" x14ac:dyDescent="0.35">
      <c r="A131" t="s">
        <v>466</v>
      </c>
      <c r="B131" t="s">
        <v>228</v>
      </c>
      <c r="C131" t="s">
        <v>229</v>
      </c>
      <c r="D131">
        <v>25</v>
      </c>
      <c r="E131">
        <v>1</v>
      </c>
      <c r="F131">
        <v>0</v>
      </c>
      <c r="G131">
        <v>1</v>
      </c>
      <c r="H131">
        <v>17</v>
      </c>
      <c r="I131">
        <v>4</v>
      </c>
      <c r="J131">
        <v>48</v>
      </c>
    </row>
    <row r="132" spans="1:10" x14ac:dyDescent="0.35">
      <c r="A132" t="s">
        <v>214</v>
      </c>
      <c r="B132" t="s">
        <v>234</v>
      </c>
      <c r="C132" t="s">
        <v>235</v>
      </c>
      <c r="D132">
        <v>12</v>
      </c>
      <c r="E132">
        <v>4</v>
      </c>
      <c r="F132">
        <v>6</v>
      </c>
      <c r="G132">
        <v>2</v>
      </c>
      <c r="H132">
        <v>0</v>
      </c>
      <c r="I132">
        <v>1</v>
      </c>
      <c r="J132">
        <v>25</v>
      </c>
    </row>
    <row r="133" spans="1:10" x14ac:dyDescent="0.35">
      <c r="A133" t="s">
        <v>319</v>
      </c>
      <c r="B133" t="s">
        <v>240</v>
      </c>
      <c r="C133" t="s">
        <v>241</v>
      </c>
      <c r="D133">
        <v>3</v>
      </c>
      <c r="E133">
        <v>0</v>
      </c>
      <c r="F133">
        <v>0</v>
      </c>
      <c r="G133">
        <v>1</v>
      </c>
      <c r="H133">
        <v>0</v>
      </c>
      <c r="I133">
        <v>1</v>
      </c>
      <c r="J133">
        <v>5</v>
      </c>
    </row>
    <row r="134" spans="1:10" x14ac:dyDescent="0.35">
      <c r="A134" t="s">
        <v>327</v>
      </c>
      <c r="B134" t="s">
        <v>240</v>
      </c>
      <c r="C134" t="s">
        <v>241</v>
      </c>
      <c r="D134">
        <v>3</v>
      </c>
      <c r="E134">
        <v>0</v>
      </c>
      <c r="F134">
        <v>0</v>
      </c>
      <c r="G134">
        <v>0</v>
      </c>
      <c r="H134">
        <v>0</v>
      </c>
      <c r="I134">
        <v>1</v>
      </c>
      <c r="J134">
        <v>4</v>
      </c>
    </row>
    <row r="135" spans="1:10" x14ac:dyDescent="0.35">
      <c r="A135" t="s">
        <v>466</v>
      </c>
      <c r="B135" t="s">
        <v>240</v>
      </c>
      <c r="C135" t="s">
        <v>241</v>
      </c>
      <c r="D135">
        <v>3</v>
      </c>
      <c r="E135">
        <v>0</v>
      </c>
      <c r="F135">
        <v>0</v>
      </c>
      <c r="G135">
        <v>0</v>
      </c>
      <c r="H135">
        <v>0</v>
      </c>
      <c r="I135">
        <v>1</v>
      </c>
      <c r="J135">
        <v>4</v>
      </c>
    </row>
    <row r="136" spans="1:10" x14ac:dyDescent="0.35">
      <c r="A136" t="s">
        <v>313</v>
      </c>
      <c r="B136" t="s">
        <v>247</v>
      </c>
      <c r="C136" t="s">
        <v>248</v>
      </c>
      <c r="D136">
        <v>7</v>
      </c>
      <c r="E136">
        <v>2</v>
      </c>
      <c r="F136">
        <v>7</v>
      </c>
      <c r="G136">
        <v>1</v>
      </c>
      <c r="H136">
        <v>0</v>
      </c>
      <c r="I136">
        <v>2</v>
      </c>
      <c r="J136">
        <v>19</v>
      </c>
    </row>
    <row r="137" spans="1:10" x14ac:dyDescent="0.35">
      <c r="A137" t="s">
        <v>313</v>
      </c>
      <c r="B137" t="s">
        <v>253</v>
      </c>
      <c r="C137" t="s">
        <v>254</v>
      </c>
      <c r="D137">
        <v>3</v>
      </c>
      <c r="E137">
        <v>0</v>
      </c>
      <c r="F137">
        <v>2</v>
      </c>
      <c r="G137">
        <v>0</v>
      </c>
      <c r="H137">
        <v>0</v>
      </c>
      <c r="I137">
        <v>0</v>
      </c>
      <c r="J137">
        <v>5</v>
      </c>
    </row>
    <row r="138" spans="1:10" x14ac:dyDescent="0.35">
      <c r="A138" t="s">
        <v>313</v>
      </c>
      <c r="B138" t="s">
        <v>255</v>
      </c>
      <c r="C138" t="s">
        <v>256</v>
      </c>
      <c r="D138">
        <v>9</v>
      </c>
      <c r="E138">
        <v>0</v>
      </c>
      <c r="F138">
        <v>0</v>
      </c>
      <c r="G138">
        <v>0</v>
      </c>
      <c r="H138">
        <v>0</v>
      </c>
      <c r="I138">
        <v>1</v>
      </c>
      <c r="J138">
        <v>10</v>
      </c>
    </row>
    <row r="139" spans="1:10" x14ac:dyDescent="0.35">
      <c r="A139" t="s">
        <v>321</v>
      </c>
      <c r="B139" t="s">
        <v>259</v>
      </c>
      <c r="C139" t="s">
        <v>260</v>
      </c>
      <c r="D139">
        <v>2</v>
      </c>
      <c r="E139">
        <v>0</v>
      </c>
      <c r="F139">
        <v>0</v>
      </c>
      <c r="G139">
        <v>0</v>
      </c>
      <c r="H139">
        <v>0</v>
      </c>
      <c r="I139">
        <v>1</v>
      </c>
      <c r="J139">
        <v>3</v>
      </c>
    </row>
    <row r="140" spans="1:10" x14ac:dyDescent="0.35">
      <c r="A140" t="s">
        <v>327</v>
      </c>
      <c r="B140" t="s">
        <v>259</v>
      </c>
      <c r="C140" t="s">
        <v>260</v>
      </c>
      <c r="D140">
        <v>2</v>
      </c>
      <c r="E140">
        <v>0</v>
      </c>
      <c r="F140">
        <v>0</v>
      </c>
      <c r="G140">
        <v>0</v>
      </c>
      <c r="H140">
        <v>0</v>
      </c>
      <c r="I140">
        <v>0</v>
      </c>
      <c r="J140">
        <v>2</v>
      </c>
    </row>
    <row r="141" spans="1:10" x14ac:dyDescent="0.35">
      <c r="A141" t="s">
        <v>466</v>
      </c>
      <c r="B141" t="s">
        <v>259</v>
      </c>
      <c r="C141" t="s">
        <v>260</v>
      </c>
      <c r="D141">
        <v>2</v>
      </c>
      <c r="E141">
        <v>0</v>
      </c>
      <c r="F141">
        <v>0</v>
      </c>
      <c r="G141">
        <v>0</v>
      </c>
      <c r="H141">
        <v>0</v>
      </c>
      <c r="I141">
        <v>0</v>
      </c>
      <c r="J141">
        <v>2</v>
      </c>
    </row>
    <row r="142" spans="1:10" x14ac:dyDescent="0.35">
      <c r="A142" t="s">
        <v>319</v>
      </c>
      <c r="B142" t="s">
        <v>263</v>
      </c>
      <c r="C142" t="s">
        <v>264</v>
      </c>
      <c r="D142">
        <v>9</v>
      </c>
      <c r="E142">
        <v>1</v>
      </c>
      <c r="F142">
        <v>2</v>
      </c>
      <c r="G142">
        <v>0</v>
      </c>
      <c r="H142">
        <v>0</v>
      </c>
      <c r="I142">
        <v>4</v>
      </c>
      <c r="J142">
        <v>16</v>
      </c>
    </row>
    <row r="143" spans="1:10" x14ac:dyDescent="0.35">
      <c r="A143" t="s">
        <v>327</v>
      </c>
      <c r="B143" t="s">
        <v>263</v>
      </c>
      <c r="C143" t="s">
        <v>264</v>
      </c>
      <c r="D143">
        <v>9</v>
      </c>
      <c r="E143">
        <v>1</v>
      </c>
      <c r="F143">
        <v>1</v>
      </c>
      <c r="G143">
        <v>0</v>
      </c>
      <c r="H143">
        <v>0</v>
      </c>
      <c r="I143">
        <v>5</v>
      </c>
      <c r="J143">
        <v>16</v>
      </c>
    </row>
    <row r="144" spans="1:10" x14ac:dyDescent="0.35">
      <c r="A144" t="s">
        <v>466</v>
      </c>
      <c r="B144" t="s">
        <v>263</v>
      </c>
      <c r="C144" t="s">
        <v>264</v>
      </c>
      <c r="D144">
        <v>9</v>
      </c>
      <c r="E144">
        <v>1</v>
      </c>
      <c r="F144">
        <v>1</v>
      </c>
      <c r="G144">
        <v>0</v>
      </c>
      <c r="H144">
        <v>0</v>
      </c>
      <c r="I144">
        <v>5</v>
      </c>
      <c r="J144">
        <v>16</v>
      </c>
    </row>
    <row r="145" spans="1:10" x14ac:dyDescent="0.35">
      <c r="A145" t="s">
        <v>214</v>
      </c>
      <c r="B145" t="s">
        <v>267</v>
      </c>
      <c r="C145" t="s">
        <v>268</v>
      </c>
      <c r="D145">
        <v>21</v>
      </c>
      <c r="E145">
        <v>2</v>
      </c>
      <c r="F145">
        <v>2</v>
      </c>
      <c r="G145">
        <v>1</v>
      </c>
      <c r="H145">
        <v>0</v>
      </c>
      <c r="I145">
        <v>5</v>
      </c>
      <c r="J145">
        <v>31</v>
      </c>
    </row>
    <row r="146" spans="1:10" x14ac:dyDescent="0.35">
      <c r="A146" t="s">
        <v>214</v>
      </c>
      <c r="B146" t="s">
        <v>273</v>
      </c>
      <c r="C146" t="s">
        <v>274</v>
      </c>
      <c r="D146">
        <v>68</v>
      </c>
      <c r="E146">
        <v>1</v>
      </c>
      <c r="F146">
        <v>4</v>
      </c>
      <c r="G146">
        <v>2</v>
      </c>
      <c r="H146">
        <v>8</v>
      </c>
      <c r="I146">
        <v>5</v>
      </c>
      <c r="J146">
        <v>88</v>
      </c>
    </row>
    <row r="147" spans="1:10" x14ac:dyDescent="0.35">
      <c r="A147" t="s">
        <v>214</v>
      </c>
      <c r="B147" t="s">
        <v>287</v>
      </c>
      <c r="C147" t="s">
        <v>288</v>
      </c>
      <c r="D147">
        <v>16</v>
      </c>
      <c r="E147">
        <v>0</v>
      </c>
      <c r="F147">
        <v>1</v>
      </c>
      <c r="G147">
        <v>0</v>
      </c>
      <c r="H147">
        <v>1</v>
      </c>
      <c r="I147">
        <v>2</v>
      </c>
      <c r="J147">
        <v>20</v>
      </c>
    </row>
    <row r="148" spans="1:10" x14ac:dyDescent="0.35">
      <c r="A148" t="s">
        <v>321</v>
      </c>
      <c r="B148" t="s">
        <v>292</v>
      </c>
      <c r="C148" t="s">
        <v>293</v>
      </c>
      <c r="D148">
        <v>15</v>
      </c>
      <c r="E148">
        <v>0</v>
      </c>
      <c r="F148">
        <v>0</v>
      </c>
      <c r="G148">
        <v>0</v>
      </c>
      <c r="H148">
        <v>2</v>
      </c>
      <c r="I148">
        <v>0</v>
      </c>
      <c r="J148">
        <v>17</v>
      </c>
    </row>
    <row r="149" spans="1:10" x14ac:dyDescent="0.35">
      <c r="A149" t="s">
        <v>327</v>
      </c>
      <c r="B149" t="s">
        <v>292</v>
      </c>
      <c r="C149" t="s">
        <v>293</v>
      </c>
      <c r="D149">
        <v>14</v>
      </c>
      <c r="E149">
        <v>0</v>
      </c>
      <c r="F149">
        <v>0</v>
      </c>
      <c r="G149">
        <v>0</v>
      </c>
      <c r="H149">
        <v>3</v>
      </c>
      <c r="I149">
        <v>0</v>
      </c>
      <c r="J149">
        <v>17</v>
      </c>
    </row>
    <row r="150" spans="1:10" x14ac:dyDescent="0.35">
      <c r="A150" t="s">
        <v>466</v>
      </c>
      <c r="B150" t="s">
        <v>292</v>
      </c>
      <c r="C150" t="s">
        <v>293</v>
      </c>
      <c r="D150">
        <v>15</v>
      </c>
      <c r="E150">
        <v>0</v>
      </c>
      <c r="F150">
        <v>0</v>
      </c>
      <c r="G150">
        <v>0</v>
      </c>
      <c r="H150">
        <v>1</v>
      </c>
      <c r="I150">
        <v>0</v>
      </c>
      <c r="J150">
        <v>16</v>
      </c>
    </row>
    <row r="151" spans="1:10" x14ac:dyDescent="0.35">
      <c r="A151" t="s">
        <v>321</v>
      </c>
      <c r="B151" t="s">
        <v>296</v>
      </c>
      <c r="C151" t="s">
        <v>297</v>
      </c>
      <c r="D151">
        <v>4</v>
      </c>
      <c r="E151">
        <v>2</v>
      </c>
      <c r="F151">
        <v>0</v>
      </c>
      <c r="G151">
        <v>0</v>
      </c>
      <c r="H151">
        <v>0</v>
      </c>
      <c r="I151">
        <v>2</v>
      </c>
      <c r="J151">
        <v>8</v>
      </c>
    </row>
    <row r="152" spans="1:10" x14ac:dyDescent="0.35">
      <c r="A152" t="s">
        <v>321</v>
      </c>
      <c r="B152" t="s">
        <v>298</v>
      </c>
      <c r="C152" t="s">
        <v>299</v>
      </c>
      <c r="D152">
        <v>19</v>
      </c>
      <c r="E152">
        <v>0</v>
      </c>
      <c r="F152">
        <v>0</v>
      </c>
      <c r="G152">
        <v>2</v>
      </c>
      <c r="H152">
        <v>0</v>
      </c>
      <c r="I152">
        <v>1</v>
      </c>
      <c r="J152">
        <v>22</v>
      </c>
    </row>
    <row r="153" spans="1:10" x14ac:dyDescent="0.35">
      <c r="A153" t="s">
        <v>326</v>
      </c>
      <c r="B153" t="s">
        <v>300</v>
      </c>
      <c r="C153" t="s">
        <v>301</v>
      </c>
      <c r="D153">
        <v>19</v>
      </c>
      <c r="E153">
        <v>0</v>
      </c>
      <c r="F153">
        <v>0</v>
      </c>
      <c r="G153">
        <v>0</v>
      </c>
      <c r="H153">
        <v>1</v>
      </c>
      <c r="I153">
        <v>1</v>
      </c>
      <c r="J153">
        <v>21</v>
      </c>
    </row>
    <row r="154" spans="1:10" x14ac:dyDescent="0.35">
      <c r="A154" t="s">
        <v>326</v>
      </c>
      <c r="B154" t="s">
        <v>307</v>
      </c>
      <c r="C154" t="s">
        <v>308</v>
      </c>
      <c r="D154">
        <v>9</v>
      </c>
      <c r="E154">
        <v>0</v>
      </c>
      <c r="F154">
        <v>0</v>
      </c>
      <c r="G154">
        <v>1</v>
      </c>
      <c r="H154">
        <v>2</v>
      </c>
      <c r="I154">
        <v>3</v>
      </c>
      <c r="J154">
        <v>15</v>
      </c>
    </row>
    <row r="155" spans="1:10" x14ac:dyDescent="0.35">
      <c r="A155" t="s">
        <v>321</v>
      </c>
      <c r="B155" t="s">
        <v>309</v>
      </c>
      <c r="C155" t="s">
        <v>310</v>
      </c>
      <c r="D155">
        <v>4</v>
      </c>
      <c r="E155">
        <v>1</v>
      </c>
      <c r="F155">
        <v>1</v>
      </c>
      <c r="G155">
        <v>0</v>
      </c>
      <c r="H155">
        <v>0</v>
      </c>
      <c r="I155">
        <v>1</v>
      </c>
      <c r="J155">
        <v>7</v>
      </c>
    </row>
    <row r="156" spans="1:10" x14ac:dyDescent="0.35">
      <c r="A156" t="s">
        <v>327</v>
      </c>
      <c r="B156" t="s">
        <v>309</v>
      </c>
      <c r="C156" t="s">
        <v>310</v>
      </c>
      <c r="D156">
        <v>5</v>
      </c>
      <c r="E156">
        <v>0</v>
      </c>
      <c r="F156">
        <v>1</v>
      </c>
      <c r="G156">
        <v>0</v>
      </c>
      <c r="H156">
        <v>0</v>
      </c>
      <c r="I156">
        <v>1</v>
      </c>
      <c r="J156">
        <v>7</v>
      </c>
    </row>
    <row r="157" spans="1:10" x14ac:dyDescent="0.35">
      <c r="A157" t="s">
        <v>466</v>
      </c>
      <c r="B157" t="s">
        <v>309</v>
      </c>
      <c r="C157" t="s">
        <v>310</v>
      </c>
      <c r="D157">
        <v>5</v>
      </c>
      <c r="E157">
        <v>0</v>
      </c>
      <c r="F157">
        <v>1</v>
      </c>
      <c r="G157">
        <v>0</v>
      </c>
      <c r="H157">
        <v>0</v>
      </c>
      <c r="I157">
        <v>3</v>
      </c>
      <c r="J157">
        <v>9</v>
      </c>
    </row>
    <row r="158" spans="1:10" x14ac:dyDescent="0.35">
      <c r="A158" t="s">
        <v>214</v>
      </c>
      <c r="B158" t="s">
        <v>215</v>
      </c>
      <c r="C158" t="s">
        <v>216</v>
      </c>
      <c r="D158">
        <v>8</v>
      </c>
      <c r="E158">
        <v>2</v>
      </c>
      <c r="F158">
        <v>6</v>
      </c>
      <c r="G158">
        <v>1</v>
      </c>
      <c r="H158">
        <v>0</v>
      </c>
      <c r="I158">
        <v>2</v>
      </c>
      <c r="J158">
        <v>19</v>
      </c>
    </row>
    <row r="159" spans="1:10" x14ac:dyDescent="0.35">
      <c r="A159" t="s">
        <v>313</v>
      </c>
      <c r="B159" t="s">
        <v>224</v>
      </c>
      <c r="C159" t="s">
        <v>225</v>
      </c>
      <c r="D159">
        <v>11</v>
      </c>
      <c r="E159">
        <v>0</v>
      </c>
      <c r="F159">
        <v>1</v>
      </c>
      <c r="G159">
        <v>0</v>
      </c>
      <c r="H159">
        <v>0</v>
      </c>
      <c r="I159">
        <v>1</v>
      </c>
      <c r="J159">
        <v>13</v>
      </c>
    </row>
    <row r="160" spans="1:10" x14ac:dyDescent="0.35">
      <c r="A160" t="s">
        <v>319</v>
      </c>
      <c r="B160" t="s">
        <v>234</v>
      </c>
      <c r="C160" t="s">
        <v>235</v>
      </c>
      <c r="D160">
        <v>19</v>
      </c>
      <c r="E160">
        <v>3</v>
      </c>
      <c r="F160">
        <v>5</v>
      </c>
      <c r="G160">
        <v>2</v>
      </c>
      <c r="H160">
        <v>0</v>
      </c>
      <c r="I160">
        <v>3</v>
      </c>
      <c r="J160">
        <v>32</v>
      </c>
    </row>
    <row r="161" spans="1:10" x14ac:dyDescent="0.35">
      <c r="A161" t="s">
        <v>321</v>
      </c>
      <c r="B161" t="s">
        <v>234</v>
      </c>
      <c r="C161" t="s">
        <v>235</v>
      </c>
      <c r="D161">
        <v>14</v>
      </c>
      <c r="E161">
        <v>3</v>
      </c>
      <c r="F161">
        <v>4</v>
      </c>
      <c r="G161">
        <v>2</v>
      </c>
      <c r="H161">
        <v>0</v>
      </c>
      <c r="I161">
        <v>4</v>
      </c>
      <c r="J161">
        <v>27</v>
      </c>
    </row>
    <row r="162" spans="1:10" x14ac:dyDescent="0.35">
      <c r="A162" t="s">
        <v>327</v>
      </c>
      <c r="B162" t="s">
        <v>234</v>
      </c>
      <c r="C162" t="s">
        <v>235</v>
      </c>
      <c r="D162">
        <v>12</v>
      </c>
      <c r="E162">
        <v>2</v>
      </c>
      <c r="F162">
        <v>4</v>
      </c>
      <c r="G162">
        <v>3</v>
      </c>
      <c r="H162">
        <v>0</v>
      </c>
      <c r="I162">
        <v>3</v>
      </c>
      <c r="J162">
        <v>24</v>
      </c>
    </row>
    <row r="163" spans="1:10" x14ac:dyDescent="0.35">
      <c r="A163" t="s">
        <v>466</v>
      </c>
      <c r="B163" t="s">
        <v>234</v>
      </c>
      <c r="C163" t="s">
        <v>235</v>
      </c>
      <c r="D163">
        <v>12</v>
      </c>
      <c r="E163">
        <v>2</v>
      </c>
      <c r="F163">
        <v>4</v>
      </c>
      <c r="G163">
        <v>3</v>
      </c>
      <c r="H163">
        <v>0</v>
      </c>
      <c r="I163">
        <v>3</v>
      </c>
      <c r="J163">
        <v>24</v>
      </c>
    </row>
    <row r="164" spans="1:10" x14ac:dyDescent="0.35">
      <c r="A164" t="s">
        <v>313</v>
      </c>
      <c r="B164" t="s">
        <v>240</v>
      </c>
      <c r="C164" t="s">
        <v>241</v>
      </c>
      <c r="D164">
        <v>2</v>
      </c>
      <c r="E164">
        <v>0</v>
      </c>
      <c r="F164">
        <v>0</v>
      </c>
      <c r="G164">
        <v>1</v>
      </c>
      <c r="H164">
        <v>0</v>
      </c>
      <c r="I164">
        <v>1</v>
      </c>
      <c r="J164">
        <v>4</v>
      </c>
    </row>
    <row r="165" spans="1:10" x14ac:dyDescent="0.35">
      <c r="A165" t="s">
        <v>313</v>
      </c>
      <c r="B165" t="s">
        <v>244</v>
      </c>
      <c r="C165" t="s">
        <v>245</v>
      </c>
      <c r="D165">
        <v>21</v>
      </c>
      <c r="E165">
        <v>1</v>
      </c>
      <c r="F165">
        <v>0</v>
      </c>
      <c r="G165">
        <v>3</v>
      </c>
      <c r="H165">
        <v>0</v>
      </c>
      <c r="I165">
        <v>3</v>
      </c>
      <c r="J165">
        <v>28</v>
      </c>
    </row>
    <row r="166" spans="1:10" x14ac:dyDescent="0.35">
      <c r="A166" t="s">
        <v>319</v>
      </c>
      <c r="B166" t="s">
        <v>255</v>
      </c>
      <c r="C166" t="s">
        <v>256</v>
      </c>
      <c r="D166">
        <v>9</v>
      </c>
      <c r="E166">
        <v>0</v>
      </c>
      <c r="F166">
        <v>0</v>
      </c>
      <c r="G166">
        <v>0</v>
      </c>
      <c r="H166">
        <v>0</v>
      </c>
      <c r="I166">
        <v>1</v>
      </c>
      <c r="J166">
        <v>10</v>
      </c>
    </row>
    <row r="167" spans="1:10" x14ac:dyDescent="0.35">
      <c r="A167" t="s">
        <v>327</v>
      </c>
      <c r="B167" t="s">
        <v>255</v>
      </c>
      <c r="C167" t="s">
        <v>256</v>
      </c>
      <c r="D167">
        <v>8</v>
      </c>
      <c r="E167">
        <v>0</v>
      </c>
      <c r="F167">
        <v>0</v>
      </c>
      <c r="G167">
        <v>0</v>
      </c>
      <c r="H167">
        <v>0</v>
      </c>
      <c r="I167">
        <v>0</v>
      </c>
      <c r="J167">
        <v>8</v>
      </c>
    </row>
    <row r="168" spans="1:10" x14ac:dyDescent="0.35">
      <c r="A168" t="s">
        <v>466</v>
      </c>
      <c r="B168" t="s">
        <v>255</v>
      </c>
      <c r="C168" t="s">
        <v>256</v>
      </c>
      <c r="D168">
        <v>8</v>
      </c>
      <c r="E168">
        <v>0</v>
      </c>
      <c r="F168">
        <v>0</v>
      </c>
      <c r="G168">
        <v>0</v>
      </c>
      <c r="H168">
        <v>0</v>
      </c>
      <c r="I168">
        <v>1</v>
      </c>
      <c r="J168">
        <v>9</v>
      </c>
    </row>
    <row r="169" spans="1:10" x14ac:dyDescent="0.35">
      <c r="A169" t="s">
        <v>313</v>
      </c>
      <c r="B169" t="s">
        <v>263</v>
      </c>
      <c r="C169" t="s">
        <v>264</v>
      </c>
      <c r="D169">
        <v>9</v>
      </c>
      <c r="E169">
        <v>2</v>
      </c>
      <c r="F169">
        <v>2</v>
      </c>
      <c r="G169">
        <v>0</v>
      </c>
      <c r="H169">
        <v>0</v>
      </c>
      <c r="I169">
        <v>5</v>
      </c>
      <c r="J169">
        <v>18</v>
      </c>
    </row>
    <row r="170" spans="1:10" x14ac:dyDescent="0.35">
      <c r="A170" t="s">
        <v>313</v>
      </c>
      <c r="B170" t="s">
        <v>267</v>
      </c>
      <c r="C170" t="s">
        <v>268</v>
      </c>
      <c r="D170">
        <v>19</v>
      </c>
      <c r="E170">
        <v>2</v>
      </c>
      <c r="F170">
        <v>2</v>
      </c>
      <c r="G170">
        <v>2</v>
      </c>
      <c r="H170">
        <v>0</v>
      </c>
      <c r="I170">
        <v>5</v>
      </c>
      <c r="J170">
        <v>30</v>
      </c>
    </row>
    <row r="171" spans="1:10" x14ac:dyDescent="0.35">
      <c r="A171" t="s">
        <v>319</v>
      </c>
      <c r="B171" t="s">
        <v>267</v>
      </c>
      <c r="C171" t="s">
        <v>268</v>
      </c>
      <c r="D171">
        <v>20</v>
      </c>
      <c r="E171">
        <v>2</v>
      </c>
      <c r="F171">
        <v>2</v>
      </c>
      <c r="G171">
        <v>2</v>
      </c>
      <c r="H171">
        <v>0</v>
      </c>
      <c r="I171">
        <v>4</v>
      </c>
      <c r="J171">
        <v>30</v>
      </c>
    </row>
    <row r="172" spans="1:10" x14ac:dyDescent="0.35">
      <c r="A172" t="s">
        <v>321</v>
      </c>
      <c r="B172" t="s">
        <v>267</v>
      </c>
      <c r="C172" t="s">
        <v>268</v>
      </c>
      <c r="D172">
        <v>21</v>
      </c>
      <c r="E172">
        <v>2</v>
      </c>
      <c r="F172">
        <v>0</v>
      </c>
      <c r="G172">
        <v>2</v>
      </c>
      <c r="H172">
        <v>0</v>
      </c>
      <c r="I172">
        <v>6</v>
      </c>
      <c r="J172">
        <v>31</v>
      </c>
    </row>
    <row r="173" spans="1:10" x14ac:dyDescent="0.35">
      <c r="A173" t="s">
        <v>327</v>
      </c>
      <c r="B173" t="s">
        <v>267</v>
      </c>
      <c r="C173" t="s">
        <v>268</v>
      </c>
      <c r="D173">
        <v>18</v>
      </c>
      <c r="E173">
        <v>1</v>
      </c>
      <c r="F173">
        <v>0</v>
      </c>
      <c r="G173">
        <v>2</v>
      </c>
      <c r="H173">
        <v>0</v>
      </c>
      <c r="I173">
        <v>5</v>
      </c>
      <c r="J173">
        <v>26</v>
      </c>
    </row>
    <row r="174" spans="1:10" x14ac:dyDescent="0.35">
      <c r="A174" t="s">
        <v>466</v>
      </c>
      <c r="B174" t="s">
        <v>267</v>
      </c>
      <c r="C174" t="s">
        <v>268</v>
      </c>
      <c r="D174">
        <v>18</v>
      </c>
      <c r="E174">
        <v>1</v>
      </c>
      <c r="F174">
        <v>0</v>
      </c>
      <c r="G174">
        <v>2</v>
      </c>
      <c r="H174">
        <v>0</v>
      </c>
      <c r="I174">
        <v>4</v>
      </c>
      <c r="J174">
        <v>25</v>
      </c>
    </row>
    <row r="175" spans="1:10" x14ac:dyDescent="0.35">
      <c r="A175" t="s">
        <v>321</v>
      </c>
      <c r="B175" t="s">
        <v>281</v>
      </c>
      <c r="C175" t="s">
        <v>282</v>
      </c>
      <c r="D175">
        <v>13</v>
      </c>
      <c r="E175">
        <v>0</v>
      </c>
      <c r="F175">
        <v>1</v>
      </c>
      <c r="G175">
        <v>1</v>
      </c>
      <c r="H175">
        <v>2</v>
      </c>
      <c r="I175">
        <v>4</v>
      </c>
      <c r="J175">
        <v>21</v>
      </c>
    </row>
    <row r="176" spans="1:10" x14ac:dyDescent="0.35">
      <c r="A176" t="s">
        <v>327</v>
      </c>
      <c r="B176" t="s">
        <v>281</v>
      </c>
      <c r="C176" t="s">
        <v>282</v>
      </c>
      <c r="D176">
        <v>13</v>
      </c>
      <c r="E176">
        <v>0</v>
      </c>
      <c r="F176">
        <v>1</v>
      </c>
      <c r="G176">
        <v>1</v>
      </c>
      <c r="H176">
        <v>2</v>
      </c>
      <c r="I176">
        <v>3</v>
      </c>
      <c r="J176">
        <v>20</v>
      </c>
    </row>
    <row r="177" spans="1:10" x14ac:dyDescent="0.35">
      <c r="A177" t="s">
        <v>466</v>
      </c>
      <c r="B177" t="s">
        <v>281</v>
      </c>
      <c r="C177" t="s">
        <v>282</v>
      </c>
      <c r="D177">
        <v>15</v>
      </c>
      <c r="E177">
        <v>0</v>
      </c>
      <c r="F177">
        <v>1</v>
      </c>
      <c r="G177">
        <v>1</v>
      </c>
      <c r="H177">
        <v>1</v>
      </c>
      <c r="I177">
        <v>5</v>
      </c>
      <c r="J177">
        <v>23</v>
      </c>
    </row>
    <row r="178" spans="1:10" x14ac:dyDescent="0.35">
      <c r="A178" t="s">
        <v>319</v>
      </c>
      <c r="B178" t="s">
        <v>287</v>
      </c>
      <c r="C178" t="s">
        <v>288</v>
      </c>
      <c r="D178">
        <v>17</v>
      </c>
      <c r="E178">
        <v>0</v>
      </c>
      <c r="F178">
        <v>1</v>
      </c>
      <c r="G178">
        <v>0</v>
      </c>
      <c r="H178">
        <v>1</v>
      </c>
      <c r="I178">
        <v>2</v>
      </c>
      <c r="J178">
        <v>21</v>
      </c>
    </row>
    <row r="179" spans="1:10" x14ac:dyDescent="0.35">
      <c r="A179" t="s">
        <v>327</v>
      </c>
      <c r="B179" t="s">
        <v>287</v>
      </c>
      <c r="C179" t="s">
        <v>288</v>
      </c>
      <c r="D179">
        <v>16</v>
      </c>
      <c r="E179">
        <v>0</v>
      </c>
      <c r="F179">
        <v>0</v>
      </c>
      <c r="G179">
        <v>0</v>
      </c>
      <c r="H179">
        <v>1</v>
      </c>
      <c r="I179">
        <v>2</v>
      </c>
      <c r="J179">
        <v>19</v>
      </c>
    </row>
    <row r="180" spans="1:10" x14ac:dyDescent="0.35">
      <c r="A180" t="s">
        <v>466</v>
      </c>
      <c r="B180" t="s">
        <v>287</v>
      </c>
      <c r="C180" t="s">
        <v>288</v>
      </c>
      <c r="D180">
        <v>16</v>
      </c>
      <c r="E180">
        <v>0</v>
      </c>
      <c r="F180">
        <v>0</v>
      </c>
      <c r="G180">
        <v>0</v>
      </c>
      <c r="H180">
        <v>1</v>
      </c>
      <c r="I180">
        <v>4</v>
      </c>
      <c r="J180">
        <v>21</v>
      </c>
    </row>
    <row r="181" spans="1:10" x14ac:dyDescent="0.35">
      <c r="A181" t="s">
        <v>326</v>
      </c>
      <c r="B181" t="s">
        <v>317</v>
      </c>
      <c r="C181" t="s">
        <v>290</v>
      </c>
      <c r="D181">
        <v>8</v>
      </c>
      <c r="E181">
        <v>2</v>
      </c>
      <c r="F181">
        <v>2</v>
      </c>
      <c r="G181">
        <v>1</v>
      </c>
      <c r="H181">
        <v>0</v>
      </c>
      <c r="I181">
        <v>4</v>
      </c>
      <c r="J181">
        <v>17</v>
      </c>
    </row>
    <row r="182" spans="1:10" x14ac:dyDescent="0.35">
      <c r="A182" t="s">
        <v>214</v>
      </c>
      <c r="B182" t="s">
        <v>292</v>
      </c>
      <c r="C182" t="s">
        <v>293</v>
      </c>
      <c r="D182">
        <v>14</v>
      </c>
      <c r="E182">
        <v>0</v>
      </c>
      <c r="F182">
        <v>0</v>
      </c>
      <c r="G182">
        <v>0</v>
      </c>
      <c r="H182">
        <v>1</v>
      </c>
      <c r="I182">
        <v>0</v>
      </c>
      <c r="J182">
        <v>15</v>
      </c>
    </row>
    <row r="183" spans="1:10" x14ac:dyDescent="0.35">
      <c r="A183" t="s">
        <v>214</v>
      </c>
      <c r="B183" t="s">
        <v>296</v>
      </c>
      <c r="C183" t="s">
        <v>297</v>
      </c>
      <c r="D183">
        <v>4</v>
      </c>
      <c r="E183">
        <v>2</v>
      </c>
      <c r="F183">
        <v>0</v>
      </c>
      <c r="G183">
        <v>0</v>
      </c>
      <c r="H183">
        <v>0</v>
      </c>
      <c r="I183">
        <v>4</v>
      </c>
      <c r="J183">
        <v>10</v>
      </c>
    </row>
    <row r="184" spans="1:10" x14ac:dyDescent="0.35">
      <c r="A184" t="s">
        <v>321</v>
      </c>
      <c r="B184" t="s">
        <v>302</v>
      </c>
      <c r="C184" t="s">
        <v>303</v>
      </c>
      <c r="D184">
        <v>7</v>
      </c>
      <c r="E184">
        <v>1</v>
      </c>
      <c r="F184">
        <v>0</v>
      </c>
      <c r="G184">
        <v>1</v>
      </c>
      <c r="H184">
        <v>0</v>
      </c>
      <c r="I184">
        <v>0</v>
      </c>
      <c r="J184">
        <v>9</v>
      </c>
    </row>
    <row r="185" spans="1:10" x14ac:dyDescent="0.35">
      <c r="A185" t="s">
        <v>327</v>
      </c>
      <c r="B185" t="s">
        <v>302</v>
      </c>
      <c r="C185" t="s">
        <v>303</v>
      </c>
      <c r="D185">
        <v>8</v>
      </c>
      <c r="E185">
        <v>0</v>
      </c>
      <c r="F185">
        <v>0</v>
      </c>
      <c r="G185">
        <v>1</v>
      </c>
      <c r="H185">
        <v>0</v>
      </c>
      <c r="I185">
        <v>0</v>
      </c>
      <c r="J185">
        <v>9</v>
      </c>
    </row>
    <row r="186" spans="1:10" x14ac:dyDescent="0.35">
      <c r="A186" t="s">
        <v>319</v>
      </c>
      <c r="B186" t="s">
        <v>304</v>
      </c>
      <c r="C186" t="s">
        <v>305</v>
      </c>
      <c r="D186">
        <v>15</v>
      </c>
      <c r="E186">
        <v>1</v>
      </c>
      <c r="F186">
        <v>1</v>
      </c>
      <c r="G186">
        <v>2</v>
      </c>
      <c r="H186">
        <v>0</v>
      </c>
      <c r="I186">
        <v>5</v>
      </c>
      <c r="J186">
        <v>24</v>
      </c>
    </row>
    <row r="187" spans="1:10" x14ac:dyDescent="0.35">
      <c r="A187" t="s">
        <v>326</v>
      </c>
      <c r="B187" t="s">
        <v>304</v>
      </c>
      <c r="C187" t="s">
        <v>305</v>
      </c>
      <c r="D187">
        <v>15</v>
      </c>
      <c r="E187">
        <v>1</v>
      </c>
      <c r="F187">
        <v>1</v>
      </c>
      <c r="G187">
        <v>2</v>
      </c>
      <c r="H187">
        <v>0</v>
      </c>
      <c r="I187">
        <v>5</v>
      </c>
      <c r="J187">
        <v>24</v>
      </c>
    </row>
    <row r="188" spans="1:10" x14ac:dyDescent="0.35">
      <c r="A188" t="s">
        <v>214</v>
      </c>
      <c r="B188" t="s">
        <v>311</v>
      </c>
      <c r="C188" t="s">
        <v>312</v>
      </c>
      <c r="D188">
        <v>8</v>
      </c>
      <c r="E188">
        <v>0</v>
      </c>
      <c r="F188">
        <v>1</v>
      </c>
      <c r="G188">
        <v>2</v>
      </c>
      <c r="H188">
        <v>0</v>
      </c>
      <c r="I188">
        <v>1</v>
      </c>
      <c r="J188">
        <v>12</v>
      </c>
    </row>
    <row r="189" spans="1:10" x14ac:dyDescent="0.35">
      <c r="A189" t="s">
        <v>319</v>
      </c>
      <c r="B189" t="s">
        <v>215</v>
      </c>
      <c r="C189" t="s">
        <v>216</v>
      </c>
      <c r="D189">
        <v>7</v>
      </c>
      <c r="E189">
        <v>1</v>
      </c>
      <c r="F189">
        <v>6</v>
      </c>
      <c r="G189">
        <v>2</v>
      </c>
      <c r="H189">
        <v>0</v>
      </c>
      <c r="I189">
        <v>2</v>
      </c>
      <c r="J189">
        <v>18</v>
      </c>
    </row>
    <row r="190" spans="1:10" x14ac:dyDescent="0.35">
      <c r="A190" t="s">
        <v>321</v>
      </c>
      <c r="B190" t="s">
        <v>215</v>
      </c>
      <c r="C190" t="s">
        <v>216</v>
      </c>
      <c r="D190">
        <v>7</v>
      </c>
      <c r="E190">
        <v>1</v>
      </c>
      <c r="F190">
        <v>4</v>
      </c>
      <c r="G190">
        <v>2</v>
      </c>
      <c r="H190">
        <v>0</v>
      </c>
      <c r="I190">
        <v>4</v>
      </c>
      <c r="J190">
        <v>18</v>
      </c>
    </row>
    <row r="191" spans="1:10" x14ac:dyDescent="0.35">
      <c r="A191" t="s">
        <v>321</v>
      </c>
      <c r="B191" t="s">
        <v>224</v>
      </c>
      <c r="C191" t="s">
        <v>225</v>
      </c>
      <c r="D191">
        <v>11</v>
      </c>
      <c r="E191">
        <v>0</v>
      </c>
      <c r="F191">
        <v>1</v>
      </c>
      <c r="G191">
        <v>0</v>
      </c>
      <c r="H191">
        <v>0</v>
      </c>
      <c r="I191">
        <v>1</v>
      </c>
      <c r="J191">
        <v>13</v>
      </c>
    </row>
    <row r="192" spans="1:10" x14ac:dyDescent="0.35">
      <c r="A192" t="s">
        <v>319</v>
      </c>
      <c r="B192" t="s">
        <v>244</v>
      </c>
      <c r="C192" t="s">
        <v>245</v>
      </c>
      <c r="D192">
        <v>21</v>
      </c>
      <c r="E192">
        <v>1</v>
      </c>
      <c r="F192">
        <v>0</v>
      </c>
      <c r="G192">
        <v>3</v>
      </c>
      <c r="H192">
        <v>0</v>
      </c>
      <c r="I192">
        <v>3</v>
      </c>
      <c r="J192">
        <v>28</v>
      </c>
    </row>
    <row r="193" spans="1:10" x14ac:dyDescent="0.35">
      <c r="A193" t="s">
        <v>321</v>
      </c>
      <c r="B193" t="s">
        <v>244</v>
      </c>
      <c r="C193" t="s">
        <v>245</v>
      </c>
      <c r="D193">
        <v>21</v>
      </c>
      <c r="E193">
        <v>1</v>
      </c>
      <c r="F193">
        <v>0</v>
      </c>
      <c r="G193">
        <v>3</v>
      </c>
      <c r="H193">
        <v>0</v>
      </c>
      <c r="I193">
        <v>3</v>
      </c>
      <c r="J193">
        <v>28</v>
      </c>
    </row>
    <row r="194" spans="1:10" x14ac:dyDescent="0.35">
      <c r="A194" t="s">
        <v>321</v>
      </c>
      <c r="B194" t="s">
        <v>247</v>
      </c>
      <c r="C194" t="s">
        <v>248</v>
      </c>
      <c r="D194">
        <v>7</v>
      </c>
      <c r="E194">
        <v>2</v>
      </c>
      <c r="F194">
        <v>2</v>
      </c>
      <c r="G194">
        <v>1</v>
      </c>
      <c r="H194">
        <v>0</v>
      </c>
      <c r="I194">
        <v>7</v>
      </c>
      <c r="J194">
        <v>19</v>
      </c>
    </row>
    <row r="195" spans="1:10" x14ac:dyDescent="0.35">
      <c r="A195" t="s">
        <v>313</v>
      </c>
      <c r="B195" t="s">
        <v>249</v>
      </c>
      <c r="C195" t="s">
        <v>250</v>
      </c>
      <c r="D195">
        <v>9</v>
      </c>
      <c r="E195">
        <v>1</v>
      </c>
      <c r="F195">
        <v>1</v>
      </c>
      <c r="G195">
        <v>0</v>
      </c>
      <c r="H195">
        <v>0</v>
      </c>
      <c r="I195">
        <v>0</v>
      </c>
      <c r="J195">
        <v>11</v>
      </c>
    </row>
    <row r="196" spans="1:10" x14ac:dyDescent="0.35">
      <c r="A196" t="s">
        <v>326</v>
      </c>
      <c r="B196" t="s">
        <v>249</v>
      </c>
      <c r="C196" t="s">
        <v>250</v>
      </c>
      <c r="D196">
        <v>9</v>
      </c>
      <c r="E196">
        <v>1</v>
      </c>
      <c r="F196">
        <v>1</v>
      </c>
      <c r="G196">
        <v>0</v>
      </c>
      <c r="H196">
        <v>0</v>
      </c>
      <c r="I196">
        <v>0</v>
      </c>
      <c r="J196">
        <v>11</v>
      </c>
    </row>
    <row r="197" spans="1:10" x14ac:dyDescent="0.35">
      <c r="A197" t="s">
        <v>327</v>
      </c>
      <c r="B197" t="s">
        <v>253</v>
      </c>
      <c r="C197" t="s">
        <v>254</v>
      </c>
      <c r="D197">
        <v>3</v>
      </c>
      <c r="E197">
        <v>0</v>
      </c>
      <c r="F197">
        <v>2</v>
      </c>
      <c r="G197">
        <v>0</v>
      </c>
      <c r="H197">
        <v>0</v>
      </c>
      <c r="I197">
        <v>1</v>
      </c>
      <c r="J197">
        <v>6</v>
      </c>
    </row>
    <row r="198" spans="1:10" x14ac:dyDescent="0.35">
      <c r="A198" t="s">
        <v>321</v>
      </c>
      <c r="B198" t="s">
        <v>255</v>
      </c>
      <c r="C198" t="s">
        <v>256</v>
      </c>
      <c r="D198">
        <v>8</v>
      </c>
      <c r="E198">
        <v>0</v>
      </c>
      <c r="F198">
        <v>0</v>
      </c>
      <c r="G198">
        <v>0</v>
      </c>
      <c r="H198">
        <v>0</v>
      </c>
      <c r="I198">
        <v>1</v>
      </c>
      <c r="J198">
        <v>9</v>
      </c>
    </row>
    <row r="199" spans="1:10" x14ac:dyDescent="0.35">
      <c r="A199" t="s">
        <v>313</v>
      </c>
      <c r="B199" t="s">
        <v>259</v>
      </c>
      <c r="C199" t="s">
        <v>260</v>
      </c>
      <c r="D199">
        <v>2</v>
      </c>
      <c r="E199">
        <v>0</v>
      </c>
      <c r="F199">
        <v>0</v>
      </c>
      <c r="G199">
        <v>0</v>
      </c>
      <c r="H199">
        <v>0</v>
      </c>
      <c r="I199">
        <v>0</v>
      </c>
      <c r="J199">
        <v>2</v>
      </c>
    </row>
    <row r="200" spans="1:10" x14ac:dyDescent="0.35">
      <c r="A200" t="s">
        <v>327</v>
      </c>
      <c r="B200" t="s">
        <v>315</v>
      </c>
      <c r="C200" t="s">
        <v>271</v>
      </c>
      <c r="D200">
        <v>17</v>
      </c>
      <c r="E200">
        <v>2</v>
      </c>
      <c r="F200">
        <v>0</v>
      </c>
      <c r="G200">
        <v>3</v>
      </c>
      <c r="H200">
        <v>0</v>
      </c>
      <c r="I200">
        <v>5</v>
      </c>
      <c r="J200">
        <v>27</v>
      </c>
    </row>
    <row r="201" spans="1:10" x14ac:dyDescent="0.35">
      <c r="A201" t="s">
        <v>466</v>
      </c>
      <c r="B201" t="s">
        <v>315</v>
      </c>
      <c r="C201" t="s">
        <v>271</v>
      </c>
      <c r="D201">
        <v>17</v>
      </c>
      <c r="E201">
        <v>2</v>
      </c>
      <c r="F201">
        <v>0</v>
      </c>
      <c r="G201">
        <v>3</v>
      </c>
      <c r="H201">
        <v>0</v>
      </c>
      <c r="I201">
        <v>5</v>
      </c>
      <c r="J201">
        <v>27</v>
      </c>
    </row>
    <row r="202" spans="1:10" x14ac:dyDescent="0.35">
      <c r="A202" t="s">
        <v>313</v>
      </c>
      <c r="B202" t="s">
        <v>273</v>
      </c>
      <c r="C202" t="s">
        <v>274</v>
      </c>
      <c r="D202">
        <v>65</v>
      </c>
      <c r="E202">
        <v>2</v>
      </c>
      <c r="F202">
        <v>3</v>
      </c>
      <c r="G202">
        <v>3</v>
      </c>
      <c r="H202">
        <v>8</v>
      </c>
      <c r="I202">
        <v>2</v>
      </c>
      <c r="J202">
        <v>83</v>
      </c>
    </row>
    <row r="203" spans="1:10" x14ac:dyDescent="0.35">
      <c r="A203" t="s">
        <v>326</v>
      </c>
      <c r="B203" t="s">
        <v>273</v>
      </c>
      <c r="C203" t="s">
        <v>274</v>
      </c>
      <c r="D203">
        <v>65</v>
      </c>
      <c r="E203">
        <v>1</v>
      </c>
      <c r="F203">
        <v>1</v>
      </c>
      <c r="G203">
        <v>3</v>
      </c>
      <c r="H203">
        <v>3</v>
      </c>
      <c r="I203">
        <v>2</v>
      </c>
      <c r="J203">
        <v>75</v>
      </c>
    </row>
    <row r="204" spans="1:10" x14ac:dyDescent="0.35">
      <c r="A204" t="s">
        <v>321</v>
      </c>
      <c r="B204" t="s">
        <v>277</v>
      </c>
      <c r="C204" t="s">
        <v>278</v>
      </c>
      <c r="D204">
        <v>6</v>
      </c>
      <c r="E204">
        <v>1</v>
      </c>
      <c r="F204">
        <v>0</v>
      </c>
      <c r="G204">
        <v>0</v>
      </c>
      <c r="H204">
        <v>0</v>
      </c>
      <c r="I204">
        <v>0</v>
      </c>
      <c r="J204">
        <v>7</v>
      </c>
    </row>
    <row r="205" spans="1:10" x14ac:dyDescent="0.35">
      <c r="A205" t="s">
        <v>313</v>
      </c>
      <c r="B205" t="s">
        <v>281</v>
      </c>
      <c r="C205" t="s">
        <v>282</v>
      </c>
      <c r="D205">
        <v>13</v>
      </c>
      <c r="E205">
        <v>0</v>
      </c>
      <c r="F205">
        <v>1</v>
      </c>
      <c r="G205">
        <v>1</v>
      </c>
      <c r="H205">
        <v>2</v>
      </c>
      <c r="I205">
        <v>3</v>
      </c>
      <c r="J205">
        <v>20</v>
      </c>
    </row>
    <row r="206" spans="1:10" x14ac:dyDescent="0.35">
      <c r="A206" t="s">
        <v>319</v>
      </c>
      <c r="B206" t="s">
        <v>281</v>
      </c>
      <c r="C206" t="s">
        <v>282</v>
      </c>
      <c r="D206">
        <v>13</v>
      </c>
      <c r="E206">
        <v>0</v>
      </c>
      <c r="F206">
        <v>1</v>
      </c>
      <c r="G206">
        <v>1</v>
      </c>
      <c r="H206">
        <v>2</v>
      </c>
      <c r="I206">
        <v>4</v>
      </c>
      <c r="J206">
        <v>21</v>
      </c>
    </row>
    <row r="207" spans="1:10" x14ac:dyDescent="0.35">
      <c r="A207" t="s">
        <v>326</v>
      </c>
      <c r="B207" t="s">
        <v>281</v>
      </c>
      <c r="C207" t="s">
        <v>282</v>
      </c>
      <c r="D207">
        <v>13</v>
      </c>
      <c r="E207">
        <v>0</v>
      </c>
      <c r="F207">
        <v>1</v>
      </c>
      <c r="G207">
        <v>1</v>
      </c>
      <c r="H207">
        <v>2</v>
      </c>
      <c r="I207">
        <v>4</v>
      </c>
      <c r="J207">
        <v>21</v>
      </c>
    </row>
    <row r="208" spans="1:10" x14ac:dyDescent="0.35">
      <c r="A208" t="s">
        <v>327</v>
      </c>
      <c r="B208" t="s">
        <v>317</v>
      </c>
      <c r="C208" t="s">
        <v>290</v>
      </c>
      <c r="D208">
        <v>9</v>
      </c>
      <c r="E208">
        <v>1</v>
      </c>
      <c r="F208">
        <v>1</v>
      </c>
      <c r="G208">
        <v>1</v>
      </c>
      <c r="H208">
        <v>0</v>
      </c>
      <c r="I208">
        <v>4</v>
      </c>
      <c r="J208">
        <v>16</v>
      </c>
    </row>
    <row r="209" spans="1:10" x14ac:dyDescent="0.35">
      <c r="A209" t="s">
        <v>466</v>
      </c>
      <c r="B209" t="s">
        <v>317</v>
      </c>
      <c r="C209" t="s">
        <v>290</v>
      </c>
      <c r="D209">
        <v>9</v>
      </c>
      <c r="E209">
        <v>1</v>
      </c>
      <c r="F209">
        <v>1</v>
      </c>
      <c r="G209">
        <v>1</v>
      </c>
      <c r="H209">
        <v>0</v>
      </c>
      <c r="I209">
        <v>4</v>
      </c>
      <c r="J209">
        <v>16</v>
      </c>
    </row>
    <row r="210" spans="1:10" x14ac:dyDescent="0.35">
      <c r="A210" t="s">
        <v>313</v>
      </c>
      <c r="B210" t="s">
        <v>292</v>
      </c>
      <c r="C210" t="s">
        <v>293</v>
      </c>
      <c r="D210">
        <v>16</v>
      </c>
      <c r="E210">
        <v>0</v>
      </c>
      <c r="F210">
        <v>0</v>
      </c>
      <c r="G210">
        <v>0</v>
      </c>
      <c r="H210">
        <v>1</v>
      </c>
      <c r="I210">
        <v>0</v>
      </c>
      <c r="J210">
        <v>17</v>
      </c>
    </row>
    <row r="211" spans="1:10" x14ac:dyDescent="0.35">
      <c r="A211" t="s">
        <v>313</v>
      </c>
      <c r="B211" t="s">
        <v>494</v>
      </c>
      <c r="C211" t="s">
        <v>295</v>
      </c>
      <c r="D211">
        <v>15</v>
      </c>
      <c r="E211">
        <v>1</v>
      </c>
      <c r="F211">
        <v>3</v>
      </c>
      <c r="G211">
        <v>1</v>
      </c>
      <c r="H211">
        <v>3</v>
      </c>
      <c r="I211">
        <v>0</v>
      </c>
      <c r="J211">
        <v>23</v>
      </c>
    </row>
    <row r="212" spans="1:10" x14ac:dyDescent="0.35">
      <c r="A212" t="s">
        <v>319</v>
      </c>
      <c r="B212" t="s">
        <v>494</v>
      </c>
      <c r="C212" t="s">
        <v>295</v>
      </c>
      <c r="D212">
        <v>15</v>
      </c>
      <c r="E212">
        <v>1</v>
      </c>
      <c r="F212">
        <v>2</v>
      </c>
      <c r="G212">
        <v>1</v>
      </c>
      <c r="H212">
        <v>3</v>
      </c>
      <c r="I212">
        <v>0</v>
      </c>
      <c r="J212">
        <v>22</v>
      </c>
    </row>
    <row r="213" spans="1:10" x14ac:dyDescent="0.35">
      <c r="A213" t="s">
        <v>326</v>
      </c>
      <c r="B213" t="s">
        <v>494</v>
      </c>
      <c r="C213" t="s">
        <v>295</v>
      </c>
      <c r="D213">
        <v>15</v>
      </c>
      <c r="E213">
        <v>1</v>
      </c>
      <c r="F213">
        <v>0</v>
      </c>
      <c r="G213">
        <v>1</v>
      </c>
      <c r="H213">
        <v>3</v>
      </c>
      <c r="I213">
        <v>1</v>
      </c>
      <c r="J213">
        <v>21</v>
      </c>
    </row>
    <row r="214" spans="1:10" x14ac:dyDescent="0.35">
      <c r="A214" t="s">
        <v>326</v>
      </c>
      <c r="B214" t="s">
        <v>296</v>
      </c>
      <c r="C214" t="s">
        <v>297</v>
      </c>
      <c r="D214">
        <v>4</v>
      </c>
      <c r="E214">
        <v>2</v>
      </c>
      <c r="F214">
        <v>0</v>
      </c>
      <c r="G214">
        <v>0</v>
      </c>
      <c r="H214">
        <v>0</v>
      </c>
      <c r="I214">
        <v>3</v>
      </c>
      <c r="J214">
        <v>9</v>
      </c>
    </row>
    <row r="215" spans="1:10" x14ac:dyDescent="0.35">
      <c r="A215" t="s">
        <v>326</v>
      </c>
      <c r="B215" t="s">
        <v>298</v>
      </c>
      <c r="C215" t="s">
        <v>299</v>
      </c>
      <c r="D215">
        <v>17</v>
      </c>
      <c r="E215">
        <v>0</v>
      </c>
      <c r="F215">
        <v>0</v>
      </c>
      <c r="G215">
        <v>2</v>
      </c>
      <c r="H215">
        <v>0</v>
      </c>
      <c r="I215">
        <v>2</v>
      </c>
      <c r="J215">
        <v>21</v>
      </c>
    </row>
    <row r="216" spans="1:10" x14ac:dyDescent="0.35">
      <c r="A216" t="s">
        <v>321</v>
      </c>
      <c r="B216" t="s">
        <v>300</v>
      </c>
      <c r="C216" t="s">
        <v>301</v>
      </c>
      <c r="D216">
        <v>15</v>
      </c>
      <c r="E216">
        <v>0</v>
      </c>
      <c r="F216">
        <v>0</v>
      </c>
      <c r="G216">
        <v>0</v>
      </c>
      <c r="H216">
        <v>1</v>
      </c>
      <c r="I216">
        <v>1</v>
      </c>
      <c r="J216">
        <v>17</v>
      </c>
    </row>
    <row r="217" spans="1:10" x14ac:dyDescent="0.35">
      <c r="A217" t="s">
        <v>313</v>
      </c>
      <c r="B217" t="s">
        <v>302</v>
      </c>
      <c r="C217" t="s">
        <v>303</v>
      </c>
      <c r="D217">
        <v>7</v>
      </c>
      <c r="E217">
        <v>1</v>
      </c>
      <c r="F217">
        <v>0</v>
      </c>
      <c r="G217">
        <v>1</v>
      </c>
      <c r="H217">
        <v>0</v>
      </c>
      <c r="I217">
        <v>0</v>
      </c>
      <c r="J217">
        <v>9</v>
      </c>
    </row>
    <row r="218" spans="1:10" x14ac:dyDescent="0.35">
      <c r="A218" t="s">
        <v>319</v>
      </c>
      <c r="B218" t="s">
        <v>302</v>
      </c>
      <c r="C218" t="s">
        <v>303</v>
      </c>
      <c r="D218">
        <v>7</v>
      </c>
      <c r="E218">
        <v>1</v>
      </c>
      <c r="F218">
        <v>0</v>
      </c>
      <c r="G218">
        <v>1</v>
      </c>
      <c r="H218">
        <v>0</v>
      </c>
      <c r="I218">
        <v>0</v>
      </c>
      <c r="J218">
        <v>9</v>
      </c>
    </row>
    <row r="219" spans="1:10" x14ac:dyDescent="0.35">
      <c r="A219" t="s">
        <v>326</v>
      </c>
      <c r="B219" t="s">
        <v>302</v>
      </c>
      <c r="C219" t="s">
        <v>303</v>
      </c>
      <c r="D219">
        <v>7</v>
      </c>
      <c r="E219">
        <v>1</v>
      </c>
      <c r="F219">
        <v>0</v>
      </c>
      <c r="G219">
        <v>1</v>
      </c>
      <c r="H219">
        <v>0</v>
      </c>
      <c r="I219">
        <v>0</v>
      </c>
      <c r="J219">
        <v>9</v>
      </c>
    </row>
    <row r="220" spans="1:10" x14ac:dyDescent="0.35">
      <c r="A220" t="s">
        <v>214</v>
      </c>
      <c r="B220" t="s">
        <v>304</v>
      </c>
      <c r="C220" t="s">
        <v>305</v>
      </c>
      <c r="D220">
        <v>14</v>
      </c>
      <c r="E220">
        <v>1</v>
      </c>
      <c r="F220">
        <v>1</v>
      </c>
      <c r="G220">
        <v>2</v>
      </c>
      <c r="H220">
        <v>0</v>
      </c>
      <c r="I220">
        <v>6</v>
      </c>
      <c r="J220">
        <v>24</v>
      </c>
    </row>
    <row r="221" spans="1:10" x14ac:dyDescent="0.35">
      <c r="A221" t="s">
        <v>327</v>
      </c>
      <c r="B221" t="s">
        <v>304</v>
      </c>
      <c r="C221" t="s">
        <v>305</v>
      </c>
      <c r="D221">
        <v>15</v>
      </c>
      <c r="E221">
        <v>0</v>
      </c>
      <c r="F221">
        <v>1</v>
      </c>
      <c r="G221">
        <v>2</v>
      </c>
      <c r="H221">
        <v>0</v>
      </c>
      <c r="I221">
        <v>5</v>
      </c>
      <c r="J221">
        <v>23</v>
      </c>
    </row>
    <row r="222" spans="1:10" x14ac:dyDescent="0.35">
      <c r="A222" t="s">
        <v>466</v>
      </c>
      <c r="B222" t="s">
        <v>304</v>
      </c>
      <c r="C222" t="s">
        <v>305</v>
      </c>
      <c r="D222">
        <v>15</v>
      </c>
      <c r="E222">
        <v>0</v>
      </c>
      <c r="F222">
        <v>1</v>
      </c>
      <c r="G222">
        <v>2</v>
      </c>
      <c r="H222">
        <v>0</v>
      </c>
      <c r="I222">
        <v>5</v>
      </c>
      <c r="J222">
        <v>23</v>
      </c>
    </row>
    <row r="223" spans="1:10" x14ac:dyDescent="0.35">
      <c r="A223" t="s">
        <v>214</v>
      </c>
      <c r="B223" t="s">
        <v>307</v>
      </c>
      <c r="C223" t="s">
        <v>308</v>
      </c>
      <c r="D223">
        <v>9</v>
      </c>
      <c r="E223">
        <v>0</v>
      </c>
      <c r="F223">
        <v>0</v>
      </c>
      <c r="G223">
        <v>1</v>
      </c>
      <c r="H223">
        <v>2</v>
      </c>
      <c r="I223">
        <v>3</v>
      </c>
      <c r="J223">
        <v>15</v>
      </c>
    </row>
    <row r="224" spans="1:10" x14ac:dyDescent="0.35">
      <c r="A224" t="s">
        <v>327</v>
      </c>
      <c r="B224" t="s">
        <v>311</v>
      </c>
      <c r="C224" t="s">
        <v>312</v>
      </c>
      <c r="D224">
        <v>8</v>
      </c>
      <c r="E224">
        <v>0</v>
      </c>
      <c r="F224">
        <v>0</v>
      </c>
      <c r="G224">
        <v>1</v>
      </c>
      <c r="H224">
        <v>0</v>
      </c>
      <c r="I224">
        <v>1</v>
      </c>
      <c r="J224">
        <v>10</v>
      </c>
    </row>
    <row r="225" spans="1:10" x14ac:dyDescent="0.35">
      <c r="A225" t="s">
        <v>466</v>
      </c>
      <c r="B225" t="s">
        <v>311</v>
      </c>
      <c r="C225" t="s">
        <v>312</v>
      </c>
      <c r="D225">
        <v>8</v>
      </c>
      <c r="E225">
        <v>0</v>
      </c>
      <c r="F225">
        <v>0</v>
      </c>
      <c r="G225">
        <v>1</v>
      </c>
      <c r="H225">
        <v>0</v>
      </c>
      <c r="I225">
        <v>1</v>
      </c>
      <c r="J225">
        <v>10</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D9B3FF"/>
    <pageSetUpPr fitToPage="1"/>
  </sheetPr>
  <dimension ref="A1:N46"/>
  <sheetViews>
    <sheetView showGridLines="0" workbookViewId="0">
      <pane ySplit="2" topLeftCell="A3" activePane="bottomLeft" state="frozen"/>
      <selection pane="bottomLeft" sqref="A1:I1"/>
    </sheetView>
  </sheetViews>
  <sheetFormatPr defaultRowHeight="14.5" x14ac:dyDescent="0.35"/>
  <cols>
    <col min="1" max="1" width="17.7265625" customWidth="1"/>
    <col min="2" max="2" width="28.7265625" customWidth="1"/>
    <col min="3" max="9" width="14.54296875" customWidth="1"/>
  </cols>
  <sheetData>
    <row r="1" spans="1:9" ht="15.5" x14ac:dyDescent="0.35">
      <c r="A1" s="1011" t="s">
        <v>480</v>
      </c>
      <c r="B1" s="1011"/>
      <c r="C1" s="1011"/>
      <c r="D1" s="1011"/>
      <c r="E1" s="1011"/>
      <c r="F1" s="1011"/>
      <c r="G1" s="1011"/>
      <c r="H1" s="1011"/>
      <c r="I1" s="1011"/>
    </row>
    <row r="2" spans="1:9" ht="17.5" x14ac:dyDescent="0.35">
      <c r="A2" s="499" t="s">
        <v>201</v>
      </c>
      <c r="B2" s="1"/>
      <c r="C2" s="1"/>
      <c r="D2" s="1"/>
      <c r="E2" s="1"/>
      <c r="F2" s="1"/>
      <c r="G2" s="1"/>
      <c r="H2" s="1"/>
      <c r="I2" s="1"/>
    </row>
    <row r="3" spans="1:9" ht="17.5" x14ac:dyDescent="0.35">
      <c r="A3" s="1"/>
      <c r="B3" s="1"/>
      <c r="C3" s="1"/>
      <c r="D3" s="1"/>
      <c r="E3" s="1"/>
      <c r="F3" s="1"/>
      <c r="G3" s="1"/>
      <c r="H3" s="1"/>
      <c r="I3" s="1"/>
    </row>
    <row r="4" spans="1:9" ht="15.5" x14ac:dyDescent="0.35">
      <c r="A4" s="439" t="s">
        <v>495</v>
      </c>
      <c r="B4" s="439"/>
      <c r="C4" s="439"/>
      <c r="D4" s="439"/>
      <c r="E4" s="439"/>
      <c r="F4" s="439"/>
      <c r="G4" s="439"/>
      <c r="H4" s="439"/>
      <c r="I4" s="439"/>
    </row>
    <row r="5" spans="1:9" x14ac:dyDescent="0.35">
      <c r="A5" t="s">
        <v>202</v>
      </c>
      <c r="B5" t="s">
        <v>50</v>
      </c>
    </row>
    <row r="6" spans="1:9" x14ac:dyDescent="0.35">
      <c r="A6" t="s">
        <v>203</v>
      </c>
      <c r="B6" t="s">
        <v>204</v>
      </c>
    </row>
    <row r="7" spans="1:9" x14ac:dyDescent="0.35">
      <c r="A7" t="s">
        <v>205</v>
      </c>
      <c r="B7" t="s">
        <v>206</v>
      </c>
      <c r="D7" s="312"/>
    </row>
    <row r="9" spans="1:9" ht="45" customHeight="1" x14ac:dyDescent="0.35">
      <c r="A9" s="42" t="s">
        <v>208</v>
      </c>
      <c r="B9" s="42" t="s">
        <v>347</v>
      </c>
      <c r="C9" s="203" t="s">
        <v>467</v>
      </c>
      <c r="D9" s="203" t="s">
        <v>468</v>
      </c>
      <c r="E9" s="203" t="s">
        <v>496</v>
      </c>
      <c r="F9" s="203" t="s">
        <v>472</v>
      </c>
      <c r="G9" s="203" t="s">
        <v>497</v>
      </c>
      <c r="H9" s="203" t="s">
        <v>498</v>
      </c>
      <c r="I9" s="203" t="s">
        <v>499</v>
      </c>
    </row>
    <row r="10" spans="1:9" ht="21" customHeight="1" x14ac:dyDescent="0.35">
      <c r="A10" s="391" t="s">
        <v>215</v>
      </c>
      <c r="B10" s="45" t="s">
        <v>216</v>
      </c>
      <c r="C10" s="204">
        <f>AppliancesLAPivot!B4</f>
        <v>7</v>
      </c>
      <c r="D10" s="204">
        <f>AppliancesLAPivot!C4</f>
        <v>1</v>
      </c>
      <c r="E10" s="204">
        <f>AppliancesLAPivot!D4</f>
        <v>2</v>
      </c>
      <c r="F10" s="204">
        <f>AppliancesLAPivot!E4</f>
        <v>0</v>
      </c>
      <c r="G10" s="204">
        <f>AppliancesLAPivot!F4</f>
        <v>4</v>
      </c>
      <c r="H10" s="204">
        <f>AppliancesLAPivot!G4</f>
        <v>3</v>
      </c>
      <c r="I10" s="205">
        <f>AppliancesLAPivot!H4</f>
        <v>17</v>
      </c>
    </row>
    <row r="11" spans="1:9" x14ac:dyDescent="0.35">
      <c r="A11" s="89" t="s">
        <v>220</v>
      </c>
      <c r="B11" s="48" t="s">
        <v>221</v>
      </c>
      <c r="C11" s="204">
        <f>AppliancesLAPivot!B5</f>
        <v>32</v>
      </c>
      <c r="D11" s="204">
        <f>AppliancesLAPivot!C5</f>
        <v>0</v>
      </c>
      <c r="E11" s="204">
        <f>AppliancesLAPivot!D5</f>
        <v>0</v>
      </c>
      <c r="F11" s="204">
        <f>AppliancesLAPivot!E5</f>
        <v>0</v>
      </c>
      <c r="G11" s="204">
        <f>AppliancesLAPivot!F5</f>
        <v>5</v>
      </c>
      <c r="H11" s="204">
        <f>AppliancesLAPivot!G5</f>
        <v>1</v>
      </c>
      <c r="I11" s="205">
        <f>AppliancesLAPivot!H5</f>
        <v>38</v>
      </c>
    </row>
    <row r="12" spans="1:9" x14ac:dyDescent="0.35">
      <c r="A12" s="89" t="s">
        <v>224</v>
      </c>
      <c r="B12" s="48" t="s">
        <v>225</v>
      </c>
      <c r="C12" s="204">
        <f>AppliancesLAPivot!B6</f>
        <v>11</v>
      </c>
      <c r="D12" s="204">
        <f>AppliancesLAPivot!C6</f>
        <v>0</v>
      </c>
      <c r="E12" s="204">
        <f>AppliancesLAPivot!D6</f>
        <v>0</v>
      </c>
      <c r="F12" s="204">
        <f>AppliancesLAPivot!E6</f>
        <v>0</v>
      </c>
      <c r="G12" s="204">
        <f>AppliancesLAPivot!F6</f>
        <v>1</v>
      </c>
      <c r="H12" s="204">
        <f>AppliancesLAPivot!G6</f>
        <v>0</v>
      </c>
      <c r="I12" s="205">
        <f>AppliancesLAPivot!H6</f>
        <v>12</v>
      </c>
    </row>
    <row r="13" spans="1:9" x14ac:dyDescent="0.35">
      <c r="A13" s="89" t="s">
        <v>228</v>
      </c>
      <c r="B13" s="48" t="s">
        <v>229</v>
      </c>
      <c r="C13" s="204">
        <f>AppliancesLAPivot!B7</f>
        <v>25</v>
      </c>
      <c r="D13" s="204">
        <f>AppliancesLAPivot!C7</f>
        <v>1</v>
      </c>
      <c r="E13" s="204">
        <f>AppliancesLAPivot!D7</f>
        <v>1</v>
      </c>
      <c r="F13" s="204">
        <f>AppliancesLAPivot!E7</f>
        <v>17</v>
      </c>
      <c r="G13" s="204">
        <f>AppliancesLAPivot!F7</f>
        <v>4</v>
      </c>
      <c r="H13" s="204">
        <f>AppliancesLAPivot!G7</f>
        <v>0</v>
      </c>
      <c r="I13" s="205">
        <f>AppliancesLAPivot!H7</f>
        <v>48</v>
      </c>
    </row>
    <row r="14" spans="1:9" x14ac:dyDescent="0.35">
      <c r="A14" s="89" t="s">
        <v>234</v>
      </c>
      <c r="B14" s="48" t="s">
        <v>235</v>
      </c>
      <c r="C14" s="204">
        <f>AppliancesLAPivot!B8</f>
        <v>12</v>
      </c>
      <c r="D14" s="204">
        <f>AppliancesLAPivot!C8</f>
        <v>2</v>
      </c>
      <c r="E14" s="204">
        <f>AppliancesLAPivot!D8</f>
        <v>3</v>
      </c>
      <c r="F14" s="204">
        <f>AppliancesLAPivot!E8</f>
        <v>0</v>
      </c>
      <c r="G14" s="204">
        <f>AppliancesLAPivot!F8</f>
        <v>3</v>
      </c>
      <c r="H14" s="204">
        <f>AppliancesLAPivot!G8</f>
        <v>4</v>
      </c>
      <c r="I14" s="205">
        <f>AppliancesLAPivot!H8</f>
        <v>24</v>
      </c>
    </row>
    <row r="15" spans="1:9" x14ac:dyDescent="0.35">
      <c r="A15" s="89" t="s">
        <v>240</v>
      </c>
      <c r="B15" s="48" t="s">
        <v>241</v>
      </c>
      <c r="C15" s="204">
        <f>AppliancesLAPivot!B9</f>
        <v>3</v>
      </c>
      <c r="D15" s="204">
        <f>AppliancesLAPivot!C9</f>
        <v>0</v>
      </c>
      <c r="E15" s="204">
        <f>AppliancesLAPivot!D9</f>
        <v>0</v>
      </c>
      <c r="F15" s="204">
        <f>AppliancesLAPivot!E9</f>
        <v>0</v>
      </c>
      <c r="G15" s="204">
        <f>AppliancesLAPivot!F9</f>
        <v>1</v>
      </c>
      <c r="H15" s="204">
        <f>AppliancesLAPivot!G9</f>
        <v>0</v>
      </c>
      <c r="I15" s="205">
        <f>AppliancesLAPivot!H9</f>
        <v>4</v>
      </c>
    </row>
    <row r="16" spans="1:9" x14ac:dyDescent="0.35">
      <c r="A16" s="89" t="s">
        <v>244</v>
      </c>
      <c r="B16" s="48" t="s">
        <v>245</v>
      </c>
      <c r="C16" s="204">
        <f>AppliancesLAPivot!B10</f>
        <v>21</v>
      </c>
      <c r="D16" s="204">
        <f>AppliancesLAPivot!C10</f>
        <v>1</v>
      </c>
      <c r="E16" s="204">
        <f>AppliancesLAPivot!D10</f>
        <v>3</v>
      </c>
      <c r="F16" s="204">
        <f>AppliancesLAPivot!E10</f>
        <v>0</v>
      </c>
      <c r="G16" s="204">
        <f>AppliancesLAPivot!F10</f>
        <v>2</v>
      </c>
      <c r="H16" s="204">
        <f>AppliancesLAPivot!G10</f>
        <v>0</v>
      </c>
      <c r="I16" s="205">
        <f>AppliancesLAPivot!H10</f>
        <v>27</v>
      </c>
    </row>
    <row r="17" spans="1:9" x14ac:dyDescent="0.35">
      <c r="A17" s="89" t="s">
        <v>247</v>
      </c>
      <c r="B17" s="48" t="s">
        <v>248</v>
      </c>
      <c r="C17" s="204">
        <f>AppliancesLAPivot!B11</f>
        <v>7</v>
      </c>
      <c r="D17" s="204">
        <f>AppliancesLAPivot!C11</f>
        <v>1</v>
      </c>
      <c r="E17" s="204">
        <f>AppliancesLAPivot!D11</f>
        <v>1</v>
      </c>
      <c r="F17" s="204">
        <f>AppliancesLAPivot!E11</f>
        <v>0</v>
      </c>
      <c r="G17" s="204">
        <f>AppliancesLAPivot!F11</f>
        <v>6</v>
      </c>
      <c r="H17" s="204">
        <f>AppliancesLAPivot!G11</f>
        <v>2</v>
      </c>
      <c r="I17" s="205">
        <f>AppliancesLAPivot!H11</f>
        <v>17</v>
      </c>
    </row>
    <row r="18" spans="1:9" x14ac:dyDescent="0.35">
      <c r="A18" s="89" t="s">
        <v>249</v>
      </c>
      <c r="B18" s="48" t="s">
        <v>250</v>
      </c>
      <c r="C18" s="204">
        <f>AppliancesLAPivot!B12</f>
        <v>9</v>
      </c>
      <c r="D18" s="204">
        <f>AppliancesLAPivot!C12</f>
        <v>1</v>
      </c>
      <c r="E18" s="204">
        <f>AppliancesLAPivot!D12</f>
        <v>0</v>
      </c>
      <c r="F18" s="204">
        <f>AppliancesLAPivot!E12</f>
        <v>0</v>
      </c>
      <c r="G18" s="204">
        <f>AppliancesLAPivot!F12</f>
        <v>0</v>
      </c>
      <c r="H18" s="204">
        <f>AppliancesLAPivot!G12</f>
        <v>1</v>
      </c>
      <c r="I18" s="205">
        <f>AppliancesLAPivot!H12</f>
        <v>11</v>
      </c>
    </row>
    <row r="19" spans="1:9" x14ac:dyDescent="0.35">
      <c r="A19" s="89" t="s">
        <v>253</v>
      </c>
      <c r="B19" s="48" t="s">
        <v>254</v>
      </c>
      <c r="C19" s="204">
        <f>AppliancesLAPivot!B13</f>
        <v>3</v>
      </c>
      <c r="D19" s="204">
        <f>AppliancesLAPivot!C13</f>
        <v>0</v>
      </c>
      <c r="E19" s="204">
        <f>AppliancesLAPivot!D13</f>
        <v>0</v>
      </c>
      <c r="F19" s="204">
        <f>AppliancesLAPivot!E13</f>
        <v>0</v>
      </c>
      <c r="G19" s="204">
        <f>AppliancesLAPivot!F13</f>
        <v>1</v>
      </c>
      <c r="H19" s="204">
        <f>AppliancesLAPivot!G13</f>
        <v>2</v>
      </c>
      <c r="I19" s="205">
        <f>AppliancesLAPivot!H13</f>
        <v>6</v>
      </c>
    </row>
    <row r="20" spans="1:9" x14ac:dyDescent="0.35">
      <c r="A20" s="89" t="s">
        <v>255</v>
      </c>
      <c r="B20" s="48" t="s">
        <v>256</v>
      </c>
      <c r="C20" s="204">
        <f>AppliancesLAPivot!B14</f>
        <v>8</v>
      </c>
      <c r="D20" s="204">
        <f>AppliancesLAPivot!C14</f>
        <v>0</v>
      </c>
      <c r="E20" s="204">
        <f>AppliancesLAPivot!D14</f>
        <v>0</v>
      </c>
      <c r="F20" s="204">
        <f>AppliancesLAPivot!E14</f>
        <v>0</v>
      </c>
      <c r="G20" s="204">
        <f>AppliancesLAPivot!F14</f>
        <v>1</v>
      </c>
      <c r="H20" s="204">
        <f>AppliancesLAPivot!G14</f>
        <v>0</v>
      </c>
      <c r="I20" s="205">
        <f>AppliancesLAPivot!H14</f>
        <v>9</v>
      </c>
    </row>
    <row r="21" spans="1:9" x14ac:dyDescent="0.35">
      <c r="A21" s="89" t="s">
        <v>259</v>
      </c>
      <c r="B21" s="48" t="s">
        <v>260</v>
      </c>
      <c r="C21" s="204">
        <f>AppliancesLAPivot!B15</f>
        <v>2</v>
      </c>
      <c r="D21" s="204">
        <f>AppliancesLAPivot!C15</f>
        <v>0</v>
      </c>
      <c r="E21" s="204">
        <f>AppliancesLAPivot!D15</f>
        <v>0</v>
      </c>
      <c r="F21" s="204">
        <f>AppliancesLAPivot!E15</f>
        <v>0</v>
      </c>
      <c r="G21" s="204">
        <f>AppliancesLAPivot!F15</f>
        <v>0</v>
      </c>
      <c r="H21" s="204">
        <f>AppliancesLAPivot!G15</f>
        <v>0</v>
      </c>
      <c r="I21" s="205">
        <f>AppliancesLAPivot!H15</f>
        <v>2</v>
      </c>
    </row>
    <row r="22" spans="1:9" x14ac:dyDescent="0.35">
      <c r="A22" s="89" t="s">
        <v>263</v>
      </c>
      <c r="B22" s="48" t="s">
        <v>264</v>
      </c>
      <c r="C22" s="204">
        <f>AppliancesLAPivot!B16</f>
        <v>9</v>
      </c>
      <c r="D22" s="204">
        <f>AppliancesLAPivot!C16</f>
        <v>1</v>
      </c>
      <c r="E22" s="204">
        <f>AppliancesLAPivot!D16</f>
        <v>0</v>
      </c>
      <c r="F22" s="204">
        <f>AppliancesLAPivot!E16</f>
        <v>0</v>
      </c>
      <c r="G22" s="204">
        <f>AppliancesLAPivot!F16</f>
        <v>5</v>
      </c>
      <c r="H22" s="204">
        <f>AppliancesLAPivot!G16</f>
        <v>1</v>
      </c>
      <c r="I22" s="205">
        <f>AppliancesLAPivot!H16</f>
        <v>16</v>
      </c>
    </row>
    <row r="23" spans="1:9" x14ac:dyDescent="0.35">
      <c r="A23" s="89" t="s">
        <v>267</v>
      </c>
      <c r="B23" s="48" t="s">
        <v>268</v>
      </c>
      <c r="C23" s="204">
        <f>AppliancesLAPivot!B17</f>
        <v>18</v>
      </c>
      <c r="D23" s="204">
        <f>AppliancesLAPivot!C17</f>
        <v>1</v>
      </c>
      <c r="E23" s="204">
        <f>AppliancesLAPivot!D17</f>
        <v>2</v>
      </c>
      <c r="F23" s="204">
        <f>AppliancesLAPivot!E17</f>
        <v>0</v>
      </c>
      <c r="G23" s="204">
        <f>AppliancesLAPivot!F17</f>
        <v>4</v>
      </c>
      <c r="H23" s="204">
        <f>AppliancesLAPivot!G17</f>
        <v>0</v>
      </c>
      <c r="I23" s="205">
        <f>AppliancesLAPivot!H17</f>
        <v>25</v>
      </c>
    </row>
    <row r="24" spans="1:9" x14ac:dyDescent="0.35">
      <c r="A24" s="89" t="str">
        <f>IF(D7 = "2019-20","S12000049","S12000046")</f>
        <v>S12000046</v>
      </c>
      <c r="B24" s="48" t="s">
        <v>271</v>
      </c>
      <c r="C24" s="204">
        <f>AppliancesLAPivot!B18</f>
        <v>17</v>
      </c>
      <c r="D24" s="204">
        <f>AppliancesLAPivot!C18</f>
        <v>2</v>
      </c>
      <c r="E24" s="204">
        <f>AppliancesLAPivot!D18</f>
        <v>3</v>
      </c>
      <c r="F24" s="204">
        <f>AppliancesLAPivot!E18</f>
        <v>0</v>
      </c>
      <c r="G24" s="204">
        <f>AppliancesLAPivot!F18</f>
        <v>5</v>
      </c>
      <c r="H24" s="204">
        <f>AppliancesLAPivot!G18</f>
        <v>0</v>
      </c>
      <c r="I24" s="205">
        <f>AppliancesLAPivot!H18</f>
        <v>27</v>
      </c>
    </row>
    <row r="25" spans="1:9" x14ac:dyDescent="0.35">
      <c r="A25" s="89" t="s">
        <v>273</v>
      </c>
      <c r="B25" s="48" t="s">
        <v>274</v>
      </c>
      <c r="C25" s="204">
        <f>AppliancesLAPivot!B19</f>
        <v>64</v>
      </c>
      <c r="D25" s="204">
        <f>AppliancesLAPivot!C19</f>
        <v>1</v>
      </c>
      <c r="E25" s="204">
        <f>AppliancesLAPivot!D19</f>
        <v>3</v>
      </c>
      <c r="F25" s="204">
        <f>AppliancesLAPivot!E19</f>
        <v>5</v>
      </c>
      <c r="G25" s="204">
        <f>AppliancesLAPivot!F19</f>
        <v>6</v>
      </c>
      <c r="H25" s="204">
        <f>AppliancesLAPivot!G19</f>
        <v>1</v>
      </c>
      <c r="I25" s="205">
        <f>AppliancesLAPivot!H19</f>
        <v>80</v>
      </c>
    </row>
    <row r="26" spans="1:9" x14ac:dyDescent="0.35">
      <c r="A26" s="89" t="s">
        <v>277</v>
      </c>
      <c r="B26" s="48" t="s">
        <v>278</v>
      </c>
      <c r="C26" s="204">
        <f>AppliancesLAPivot!B20</f>
        <v>6</v>
      </c>
      <c r="D26" s="204">
        <f>AppliancesLAPivot!C20</f>
        <v>1</v>
      </c>
      <c r="E26" s="204">
        <f>AppliancesLAPivot!D20</f>
        <v>0</v>
      </c>
      <c r="F26" s="204">
        <f>AppliancesLAPivot!E20</f>
        <v>0</v>
      </c>
      <c r="G26" s="204">
        <f>AppliancesLAPivot!F20</f>
        <v>0</v>
      </c>
      <c r="H26" s="204">
        <f>AppliancesLAPivot!G20</f>
        <v>0</v>
      </c>
      <c r="I26" s="205">
        <f>AppliancesLAPivot!H20</f>
        <v>7</v>
      </c>
    </row>
    <row r="27" spans="1:9" x14ac:dyDescent="0.35">
      <c r="A27" s="89" t="s">
        <v>279</v>
      </c>
      <c r="B27" s="48" t="s">
        <v>280</v>
      </c>
      <c r="C27" s="204">
        <f>AppliancesLAPivot!B21</f>
        <v>2</v>
      </c>
      <c r="D27" s="204">
        <f>AppliancesLAPivot!C21</f>
        <v>0</v>
      </c>
      <c r="E27" s="204">
        <f>AppliancesLAPivot!D21</f>
        <v>0</v>
      </c>
      <c r="F27" s="204">
        <f>AppliancesLAPivot!E21</f>
        <v>0</v>
      </c>
      <c r="G27" s="204">
        <f>AppliancesLAPivot!F21</f>
        <v>1</v>
      </c>
      <c r="H27" s="204">
        <f>AppliancesLAPivot!G21</f>
        <v>0</v>
      </c>
      <c r="I27" s="205">
        <f>AppliancesLAPivot!H21</f>
        <v>3</v>
      </c>
    </row>
    <row r="28" spans="1:9" x14ac:dyDescent="0.35">
      <c r="A28" s="89" t="s">
        <v>281</v>
      </c>
      <c r="B28" s="48" t="s">
        <v>282</v>
      </c>
      <c r="C28" s="204">
        <f>AppliancesLAPivot!B22</f>
        <v>15</v>
      </c>
      <c r="D28" s="204">
        <f>AppliancesLAPivot!C22</f>
        <v>0</v>
      </c>
      <c r="E28" s="204">
        <f>AppliancesLAPivot!D22</f>
        <v>1</v>
      </c>
      <c r="F28" s="204">
        <f>AppliancesLAPivot!E22</f>
        <v>1</v>
      </c>
      <c r="G28" s="204">
        <f>AppliancesLAPivot!F22</f>
        <v>5</v>
      </c>
      <c r="H28" s="204">
        <f>AppliancesLAPivot!G22</f>
        <v>1</v>
      </c>
      <c r="I28" s="205">
        <f>AppliancesLAPivot!H22</f>
        <v>23</v>
      </c>
    </row>
    <row r="29" spans="1:9" x14ac:dyDescent="0.35">
      <c r="A29" s="89" t="s">
        <v>283</v>
      </c>
      <c r="B29" s="48" t="s">
        <v>284</v>
      </c>
      <c r="C29" s="204">
        <f>AppliancesLAPivot!B23</f>
        <v>15</v>
      </c>
      <c r="D29" s="204">
        <f>AppliancesLAPivot!C23</f>
        <v>0</v>
      </c>
      <c r="E29" s="204">
        <f>AppliancesLAPivot!D23</f>
        <v>0</v>
      </c>
      <c r="F29" s="204">
        <f>AppliancesLAPivot!E23</f>
        <v>0</v>
      </c>
      <c r="G29" s="204">
        <f>AppliancesLAPivot!F23</f>
        <v>3</v>
      </c>
      <c r="H29" s="204">
        <f>AppliancesLAPivot!G23</f>
        <v>0</v>
      </c>
      <c r="I29" s="205">
        <f>AppliancesLAPivot!H23</f>
        <v>18</v>
      </c>
    </row>
    <row r="30" spans="1:9" x14ac:dyDescent="0.35">
      <c r="A30" s="89" t="s">
        <v>287</v>
      </c>
      <c r="B30" s="48" t="s">
        <v>288</v>
      </c>
      <c r="C30" s="204">
        <f>AppliancesLAPivot!B24</f>
        <v>16</v>
      </c>
      <c r="D30" s="204">
        <f>AppliancesLAPivot!C24</f>
        <v>0</v>
      </c>
      <c r="E30" s="204">
        <f>AppliancesLAPivot!D24</f>
        <v>0</v>
      </c>
      <c r="F30" s="204">
        <f>AppliancesLAPivot!E24</f>
        <v>1</v>
      </c>
      <c r="G30" s="204">
        <f>AppliancesLAPivot!F24</f>
        <v>4</v>
      </c>
      <c r="H30" s="204">
        <f>AppliancesLAPivot!G24</f>
        <v>0</v>
      </c>
      <c r="I30" s="205">
        <f>AppliancesLAPivot!H24</f>
        <v>21</v>
      </c>
    </row>
    <row r="31" spans="1:9" x14ac:dyDescent="0.35">
      <c r="A31" s="89" t="str">
        <f>IF(D7="2019-20","S12000050","S12000044")</f>
        <v>S12000044</v>
      </c>
      <c r="B31" s="48" t="s">
        <v>290</v>
      </c>
      <c r="C31" s="204">
        <f>AppliancesLAPivot!B25</f>
        <v>9</v>
      </c>
      <c r="D31" s="204">
        <f>AppliancesLAPivot!C25</f>
        <v>1</v>
      </c>
      <c r="E31" s="204">
        <f>AppliancesLAPivot!D25</f>
        <v>1</v>
      </c>
      <c r="F31" s="204">
        <f>AppliancesLAPivot!E25</f>
        <v>0</v>
      </c>
      <c r="G31" s="204">
        <f>AppliancesLAPivot!F25</f>
        <v>4</v>
      </c>
      <c r="H31" s="204">
        <f>AppliancesLAPivot!G25</f>
        <v>1</v>
      </c>
      <c r="I31" s="205">
        <f>AppliancesLAPivot!H25</f>
        <v>16</v>
      </c>
    </row>
    <row r="32" spans="1:9" x14ac:dyDescent="0.35">
      <c r="A32" s="89" t="s">
        <v>292</v>
      </c>
      <c r="B32" s="48" t="s">
        <v>293</v>
      </c>
      <c r="C32" s="204">
        <f>AppliancesLAPivot!B26</f>
        <v>15</v>
      </c>
      <c r="D32" s="204">
        <f>AppliancesLAPivot!C26</f>
        <v>0</v>
      </c>
      <c r="E32" s="204">
        <f>AppliancesLAPivot!D26</f>
        <v>0</v>
      </c>
      <c r="F32" s="204">
        <f>AppliancesLAPivot!E26</f>
        <v>1</v>
      </c>
      <c r="G32" s="204">
        <f>AppliancesLAPivot!F26</f>
        <v>0</v>
      </c>
      <c r="H32" s="204">
        <f>AppliancesLAPivot!G26</f>
        <v>0</v>
      </c>
      <c r="I32" s="205">
        <f>AppliancesLAPivot!H26</f>
        <v>16</v>
      </c>
    </row>
    <row r="33" spans="1:14" x14ac:dyDescent="0.35">
      <c r="A33" s="89" t="s">
        <v>294</v>
      </c>
      <c r="B33" s="48" t="s">
        <v>295</v>
      </c>
      <c r="C33" s="204">
        <f>AppliancesLAPivot!B27</f>
        <v>15</v>
      </c>
      <c r="D33" s="204">
        <f>AppliancesLAPivot!C27</f>
        <v>1</v>
      </c>
      <c r="E33" s="204">
        <f>AppliancesLAPivot!D27</f>
        <v>1</v>
      </c>
      <c r="F33" s="204">
        <f>AppliancesLAPivot!E27</f>
        <v>3</v>
      </c>
      <c r="G33" s="204">
        <f>AppliancesLAPivot!F27</f>
        <v>3</v>
      </c>
      <c r="H33" s="204">
        <f>AppliancesLAPivot!G27</f>
        <v>0</v>
      </c>
      <c r="I33" s="205">
        <f>AppliancesLAPivot!H27</f>
        <v>23</v>
      </c>
    </row>
    <row r="34" spans="1:14" x14ac:dyDescent="0.35">
      <c r="A34" s="89" t="s">
        <v>296</v>
      </c>
      <c r="B34" s="48" t="s">
        <v>297</v>
      </c>
      <c r="C34" s="204">
        <f>AppliancesLAPivot!B28</f>
        <v>5</v>
      </c>
      <c r="D34" s="204">
        <f>AppliancesLAPivot!C28</f>
        <v>1</v>
      </c>
      <c r="E34" s="204">
        <f>AppliancesLAPivot!D28</f>
        <v>0</v>
      </c>
      <c r="F34" s="204">
        <f>AppliancesLAPivot!E28</f>
        <v>0</v>
      </c>
      <c r="G34" s="204">
        <f>AppliancesLAPivot!F28</f>
        <v>4</v>
      </c>
      <c r="H34" s="204">
        <f>AppliancesLAPivot!G28</f>
        <v>0</v>
      </c>
      <c r="I34" s="205">
        <f>AppliancesLAPivot!H28</f>
        <v>10</v>
      </c>
    </row>
    <row r="35" spans="1:14" x14ac:dyDescent="0.35">
      <c r="A35" s="89" t="s">
        <v>298</v>
      </c>
      <c r="B35" s="48" t="s">
        <v>299</v>
      </c>
      <c r="C35" s="204">
        <f>AppliancesLAPivot!B29</f>
        <v>17</v>
      </c>
      <c r="D35" s="204">
        <f>AppliancesLAPivot!C29</f>
        <v>0</v>
      </c>
      <c r="E35" s="204">
        <f>AppliancesLAPivot!D29</f>
        <v>2</v>
      </c>
      <c r="F35" s="204">
        <f>AppliancesLAPivot!E29</f>
        <v>0</v>
      </c>
      <c r="G35" s="204">
        <f>AppliancesLAPivot!F29</f>
        <v>2</v>
      </c>
      <c r="H35" s="204">
        <f>AppliancesLAPivot!G29</f>
        <v>0</v>
      </c>
      <c r="I35" s="205">
        <f>AppliancesLAPivot!H29</f>
        <v>21</v>
      </c>
    </row>
    <row r="36" spans="1:14" x14ac:dyDescent="0.35">
      <c r="A36" s="89" t="s">
        <v>300</v>
      </c>
      <c r="B36" s="48" t="s">
        <v>301</v>
      </c>
      <c r="C36" s="204">
        <f>AppliancesLAPivot!B30</f>
        <v>16</v>
      </c>
      <c r="D36" s="204">
        <f>AppliancesLAPivot!C30</f>
        <v>0</v>
      </c>
      <c r="E36" s="204">
        <f>AppliancesLAPivot!D30</f>
        <v>0</v>
      </c>
      <c r="F36" s="204">
        <f>AppliancesLAPivot!E30</f>
        <v>1</v>
      </c>
      <c r="G36" s="204">
        <f>AppliancesLAPivot!F30</f>
        <v>1</v>
      </c>
      <c r="H36" s="204">
        <f>AppliancesLAPivot!G30</f>
        <v>0</v>
      </c>
      <c r="I36" s="205">
        <f>AppliancesLAPivot!H30</f>
        <v>18</v>
      </c>
    </row>
    <row r="37" spans="1:14" x14ac:dyDescent="0.35">
      <c r="A37" s="89" t="s">
        <v>302</v>
      </c>
      <c r="B37" s="48" t="s">
        <v>303</v>
      </c>
      <c r="C37" s="204">
        <f>AppliancesLAPivot!B31</f>
        <v>8</v>
      </c>
      <c r="D37" s="204">
        <f>AppliancesLAPivot!C31</f>
        <v>0</v>
      </c>
      <c r="E37" s="204">
        <f>AppliancesLAPivot!D31</f>
        <v>1</v>
      </c>
      <c r="F37" s="204">
        <f>AppliancesLAPivot!E31</f>
        <v>0</v>
      </c>
      <c r="G37" s="204">
        <f>AppliancesLAPivot!F31</f>
        <v>0</v>
      </c>
      <c r="H37" s="204">
        <f>AppliancesLAPivot!G31</f>
        <v>0</v>
      </c>
      <c r="I37" s="205">
        <f>AppliancesLAPivot!H31</f>
        <v>9</v>
      </c>
    </row>
    <row r="38" spans="1:14" x14ac:dyDescent="0.35">
      <c r="A38" s="89" t="s">
        <v>304</v>
      </c>
      <c r="B38" s="48" t="s">
        <v>305</v>
      </c>
      <c r="C38" s="204">
        <f>AppliancesLAPivot!B32</f>
        <v>15</v>
      </c>
      <c r="D38" s="204">
        <f>AppliancesLAPivot!C32</f>
        <v>0</v>
      </c>
      <c r="E38" s="204">
        <f>AppliancesLAPivot!D32</f>
        <v>2</v>
      </c>
      <c r="F38" s="204">
        <f>AppliancesLAPivot!E32</f>
        <v>0</v>
      </c>
      <c r="G38" s="204">
        <f>AppliancesLAPivot!F32</f>
        <v>5</v>
      </c>
      <c r="H38" s="204">
        <f>AppliancesLAPivot!G32</f>
        <v>1</v>
      </c>
      <c r="I38" s="205">
        <f>AppliancesLAPivot!H32</f>
        <v>23</v>
      </c>
    </row>
    <row r="39" spans="1:14" x14ac:dyDescent="0.35">
      <c r="A39" s="89" t="s">
        <v>307</v>
      </c>
      <c r="B39" s="48" t="s">
        <v>308</v>
      </c>
      <c r="C39" s="204">
        <f>AppliancesLAPivot!B33</f>
        <v>9</v>
      </c>
      <c r="D39" s="204">
        <f>AppliancesLAPivot!C33</f>
        <v>0</v>
      </c>
      <c r="E39" s="204">
        <f>AppliancesLAPivot!D33</f>
        <v>1</v>
      </c>
      <c r="F39" s="204">
        <f>AppliancesLAPivot!E33</f>
        <v>1</v>
      </c>
      <c r="G39" s="204">
        <f>AppliancesLAPivot!F33</f>
        <v>5</v>
      </c>
      <c r="H39" s="204">
        <f>AppliancesLAPivot!G33</f>
        <v>0</v>
      </c>
      <c r="I39" s="205">
        <f>AppliancesLAPivot!H33</f>
        <v>16</v>
      </c>
    </row>
    <row r="40" spans="1:14" x14ac:dyDescent="0.35">
      <c r="A40" s="89" t="s">
        <v>309</v>
      </c>
      <c r="B40" s="48" t="s">
        <v>310</v>
      </c>
      <c r="C40" s="204">
        <f>AppliancesLAPivot!B34</f>
        <v>5</v>
      </c>
      <c r="D40" s="204">
        <f>AppliancesLAPivot!C34</f>
        <v>0</v>
      </c>
      <c r="E40" s="204">
        <f>AppliancesLAPivot!D34</f>
        <v>0</v>
      </c>
      <c r="F40" s="204">
        <f>AppliancesLAPivot!E34</f>
        <v>0</v>
      </c>
      <c r="G40" s="204">
        <f>AppliancesLAPivot!F34</f>
        <v>3</v>
      </c>
      <c r="H40" s="204">
        <f>AppliancesLAPivot!G34</f>
        <v>1</v>
      </c>
      <c r="I40" s="205">
        <f>AppliancesLAPivot!H34</f>
        <v>9</v>
      </c>
    </row>
    <row r="41" spans="1:14" x14ac:dyDescent="0.35">
      <c r="A41" s="89" t="s">
        <v>311</v>
      </c>
      <c r="B41" s="48" t="s">
        <v>312</v>
      </c>
      <c r="C41" s="204">
        <f>AppliancesLAPivot!B35</f>
        <v>8</v>
      </c>
      <c r="D41" s="204">
        <f>AppliancesLAPivot!C35</f>
        <v>0</v>
      </c>
      <c r="E41" s="204">
        <f>AppliancesLAPivot!D35</f>
        <v>1</v>
      </c>
      <c r="F41" s="204">
        <f>AppliancesLAPivot!E35</f>
        <v>0</v>
      </c>
      <c r="G41" s="204">
        <f>AppliancesLAPivot!F35</f>
        <v>1</v>
      </c>
      <c r="H41" s="204">
        <f>AppliancesLAPivot!G35</f>
        <v>0</v>
      </c>
      <c r="I41" s="205">
        <f>AppliancesLAPivot!H35</f>
        <v>10</v>
      </c>
    </row>
    <row r="42" spans="1:14" ht="24.75" customHeight="1" thickBot="1" x14ac:dyDescent="0.4">
      <c r="A42" s="206"/>
      <c r="B42" s="206" t="s">
        <v>500</v>
      </c>
      <c r="C42" s="324">
        <f t="shared" ref="C42:H42" si="0">SUM(C10:C41)</f>
        <v>424</v>
      </c>
      <c r="D42" s="324">
        <f t="shared" si="0"/>
        <v>16</v>
      </c>
      <c r="E42" s="324">
        <f t="shared" si="0"/>
        <v>28</v>
      </c>
      <c r="F42" s="324">
        <f t="shared" si="0"/>
        <v>30</v>
      </c>
      <c r="G42" s="324">
        <f t="shared" si="0"/>
        <v>89</v>
      </c>
      <c r="H42" s="324">
        <f t="shared" si="0"/>
        <v>19</v>
      </c>
      <c r="I42" s="324">
        <f>SUM(I10:I41)</f>
        <v>606</v>
      </c>
    </row>
    <row r="43" spans="1:14" x14ac:dyDescent="0.35">
      <c r="B43" s="6"/>
      <c r="C43" s="207"/>
      <c r="D43" s="207"/>
      <c r="E43" s="207"/>
      <c r="F43" s="207"/>
      <c r="G43" s="207"/>
      <c r="H43" s="207"/>
      <c r="I43" s="85"/>
    </row>
    <row r="44" spans="1:14" x14ac:dyDescent="0.35">
      <c r="A44" s="312" t="s">
        <v>329</v>
      </c>
      <c r="I44" s="131"/>
    </row>
    <row r="45" spans="1:14" ht="30.75" customHeight="1" x14ac:dyDescent="0.35">
      <c r="A45" s="1010" t="s">
        <v>501</v>
      </c>
      <c r="B45" s="1010"/>
      <c r="C45" s="1010"/>
      <c r="D45" s="1010"/>
      <c r="E45" s="1010"/>
      <c r="F45" s="1010"/>
      <c r="G45" s="1010"/>
      <c r="H45" s="1010"/>
      <c r="I45" s="1010"/>
      <c r="J45" s="460"/>
      <c r="K45" s="460"/>
      <c r="L45" s="460"/>
      <c r="M45" s="460"/>
      <c r="N45" s="460"/>
    </row>
    <row r="46" spans="1:14" x14ac:dyDescent="0.35">
      <c r="A46" t="s">
        <v>502</v>
      </c>
    </row>
  </sheetData>
  <sheetProtection algorithmName="SHA-512" hashValue="BIWxnchritAE6g7TGm/8M4ncgdfks4N1NxVpU0RCasT6qKOgOB0E0Gecfy+YHnoOVANKqE+Yq8lm48egl7t8yw==" saltValue="3EAPjHh6BVKJV84I9cj41A==" spinCount="100000" sheet="1" scenarios="1" formatCells="0" sort="0" autoFilter="0" pivotTables="0"/>
  <mergeCells count="2">
    <mergeCell ref="A1:I1"/>
    <mergeCell ref="A45:I45"/>
  </mergeCells>
  <hyperlinks>
    <hyperlink ref="A2" location="'Table of Contents'!A1" display="Back to Table of Contents" xr:uid="{00000000-0004-0000-1800-000000000000}"/>
  </hyperlinks>
  <pageMargins left="0.70866141732283472" right="0.70866141732283472" top="0.74803149606299213" bottom="0.74803149606299213" header="0.31496062992125984" footer="0.31496062992125984"/>
  <pageSetup paperSize="9" scale="68" fitToHeight="0" orientation="portrait" r:id="rId1"/>
  <colBreaks count="1" manualBreakCount="1">
    <brk id="7" max="1048575" man="1"/>
  </colBreaks>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C9B3-8AB9-4608-9723-3D96134EF9F3}">
  <dimension ref="A1:G37"/>
  <sheetViews>
    <sheetView topLeftCell="A7" workbookViewId="0">
      <selection activeCell="B27" sqref="B27"/>
    </sheetView>
  </sheetViews>
  <sheetFormatPr defaultRowHeight="14.5" x14ac:dyDescent="0.35"/>
  <cols>
    <col min="1" max="1" width="12.6328125" bestFit="1" customWidth="1"/>
    <col min="2" max="2" width="28.36328125" bestFit="1" customWidth="1"/>
    <col min="3" max="3" width="26.26953125" bestFit="1" customWidth="1"/>
    <col min="4" max="4" width="18.26953125" bestFit="1" customWidth="1"/>
    <col min="5" max="5" width="13.6328125" bestFit="1" customWidth="1"/>
    <col min="6" max="6" width="14" bestFit="1" customWidth="1"/>
    <col min="7" max="7" width="15.81640625" bestFit="1" customWidth="1"/>
  </cols>
  <sheetData>
    <row r="1" spans="1:7" x14ac:dyDescent="0.35">
      <c r="A1" s="387" t="s">
        <v>350</v>
      </c>
      <c r="B1" t="s">
        <v>503</v>
      </c>
      <c r="C1" t="s">
        <v>504</v>
      </c>
      <c r="D1" t="s">
        <v>505</v>
      </c>
      <c r="E1" t="s">
        <v>506</v>
      </c>
      <c r="F1" t="s">
        <v>507</v>
      </c>
      <c r="G1" t="s">
        <v>355</v>
      </c>
    </row>
    <row r="2" spans="1:7" x14ac:dyDescent="0.35">
      <c r="A2" s="388" t="s">
        <v>508</v>
      </c>
      <c r="B2">
        <v>4206</v>
      </c>
      <c r="C2">
        <v>3066</v>
      </c>
      <c r="E2">
        <v>233</v>
      </c>
      <c r="F2">
        <v>1114</v>
      </c>
      <c r="G2">
        <v>437</v>
      </c>
    </row>
    <row r="3" spans="1:7" x14ac:dyDescent="0.35">
      <c r="A3" s="388" t="s">
        <v>362</v>
      </c>
      <c r="B3">
        <v>4159</v>
      </c>
      <c r="C3">
        <v>3052</v>
      </c>
      <c r="E3">
        <v>234</v>
      </c>
      <c r="F3">
        <v>1136</v>
      </c>
      <c r="G3">
        <v>459</v>
      </c>
    </row>
    <row r="4" spans="1:7" x14ac:dyDescent="0.35">
      <c r="A4" s="388" t="s">
        <v>363</v>
      </c>
      <c r="B4">
        <v>4151</v>
      </c>
      <c r="C4">
        <v>3076</v>
      </c>
      <c r="E4">
        <v>234</v>
      </c>
      <c r="F4">
        <v>1086</v>
      </c>
      <c r="G4">
        <v>417</v>
      </c>
    </row>
    <row r="5" spans="1:7" x14ac:dyDescent="0.35">
      <c r="A5" s="388" t="s">
        <v>364</v>
      </c>
      <c r="B5">
        <v>4001</v>
      </c>
      <c r="C5">
        <v>2940</v>
      </c>
      <c r="E5">
        <v>223</v>
      </c>
      <c r="F5">
        <v>961</v>
      </c>
      <c r="G5">
        <v>359</v>
      </c>
    </row>
    <row r="6" spans="1:7" x14ac:dyDescent="0.35">
      <c r="A6" s="388" t="s">
        <v>365</v>
      </c>
      <c r="B6">
        <v>3856</v>
      </c>
      <c r="C6">
        <v>2950</v>
      </c>
      <c r="E6">
        <v>230</v>
      </c>
      <c r="F6">
        <v>867</v>
      </c>
      <c r="G6">
        <v>382</v>
      </c>
    </row>
    <row r="7" spans="1:7" x14ac:dyDescent="0.35">
      <c r="A7" s="388" t="s">
        <v>366</v>
      </c>
      <c r="B7">
        <v>3690</v>
      </c>
      <c r="C7">
        <v>2870</v>
      </c>
      <c r="E7">
        <v>203</v>
      </c>
      <c r="F7">
        <v>828</v>
      </c>
      <c r="G7">
        <v>342</v>
      </c>
    </row>
    <row r="8" spans="1:7" x14ac:dyDescent="0.35">
      <c r="A8" s="388" t="s">
        <v>341</v>
      </c>
      <c r="B8">
        <v>3645</v>
      </c>
      <c r="C8">
        <v>2870</v>
      </c>
      <c r="E8">
        <v>165</v>
      </c>
      <c r="F8">
        <v>838</v>
      </c>
      <c r="G8">
        <v>320</v>
      </c>
    </row>
    <row r="9" spans="1:7" x14ac:dyDescent="0.35">
      <c r="A9" s="388" t="s">
        <v>342</v>
      </c>
      <c r="B9">
        <v>3546</v>
      </c>
      <c r="C9">
        <v>2863</v>
      </c>
      <c r="E9">
        <v>189</v>
      </c>
      <c r="F9">
        <v>846</v>
      </c>
      <c r="G9">
        <v>336</v>
      </c>
    </row>
    <row r="10" spans="1:7" x14ac:dyDescent="0.35">
      <c r="A10" s="388" t="s">
        <v>214</v>
      </c>
      <c r="B10">
        <v>3637</v>
      </c>
      <c r="C10">
        <v>2935</v>
      </c>
      <c r="D10">
        <v>18</v>
      </c>
      <c r="E10">
        <v>207</v>
      </c>
      <c r="F10">
        <v>792</v>
      </c>
      <c r="G10">
        <v>321</v>
      </c>
    </row>
    <row r="11" spans="1:7" x14ac:dyDescent="0.35">
      <c r="A11" s="388" t="s">
        <v>313</v>
      </c>
      <c r="B11">
        <v>3636</v>
      </c>
      <c r="C11">
        <v>2937</v>
      </c>
      <c r="D11">
        <v>36</v>
      </c>
      <c r="E11">
        <v>188</v>
      </c>
      <c r="F11">
        <v>817</v>
      </c>
      <c r="G11">
        <v>315</v>
      </c>
    </row>
    <row r="12" spans="1:7" x14ac:dyDescent="0.35">
      <c r="A12" s="388" t="s">
        <v>319</v>
      </c>
      <c r="B12">
        <v>3581</v>
      </c>
      <c r="C12">
        <v>2872</v>
      </c>
      <c r="D12">
        <v>54</v>
      </c>
      <c r="E12">
        <v>182</v>
      </c>
      <c r="F12">
        <v>835</v>
      </c>
      <c r="G12">
        <v>303</v>
      </c>
    </row>
    <row r="13" spans="1:7" x14ac:dyDescent="0.35">
      <c r="A13" s="388" t="s">
        <v>321</v>
      </c>
      <c r="B13">
        <v>3530</v>
      </c>
      <c r="C13">
        <v>2758</v>
      </c>
      <c r="D13">
        <v>53</v>
      </c>
      <c r="E13">
        <v>174</v>
      </c>
      <c r="F13">
        <v>920</v>
      </c>
      <c r="G13">
        <v>277</v>
      </c>
    </row>
    <row r="14" spans="1:7" x14ac:dyDescent="0.35">
      <c r="A14" s="388" t="s">
        <v>326</v>
      </c>
      <c r="B14">
        <v>3490</v>
      </c>
      <c r="C14">
        <v>2735</v>
      </c>
      <c r="D14">
        <v>55</v>
      </c>
      <c r="E14">
        <v>172</v>
      </c>
      <c r="F14">
        <v>901</v>
      </c>
      <c r="G14">
        <v>266</v>
      </c>
    </row>
    <row r="15" spans="1:7" x14ac:dyDescent="0.35">
      <c r="A15" s="388" t="s">
        <v>327</v>
      </c>
      <c r="B15">
        <v>3422</v>
      </c>
      <c r="C15">
        <v>2708</v>
      </c>
      <c r="D15">
        <v>55</v>
      </c>
      <c r="E15">
        <v>171</v>
      </c>
      <c r="F15">
        <v>887</v>
      </c>
      <c r="G15">
        <v>269</v>
      </c>
    </row>
    <row r="16" spans="1:7" x14ac:dyDescent="0.35">
      <c r="A16" s="388" t="s">
        <v>466</v>
      </c>
      <c r="B16">
        <v>3430</v>
      </c>
      <c r="C16">
        <v>2705</v>
      </c>
      <c r="D16">
        <v>60</v>
      </c>
      <c r="E16">
        <v>171</v>
      </c>
      <c r="F16">
        <v>917</v>
      </c>
      <c r="G16">
        <v>273</v>
      </c>
    </row>
    <row r="17" spans="1:7" x14ac:dyDescent="0.35">
      <c r="A17" s="388" t="s">
        <v>357</v>
      </c>
      <c r="B17">
        <v>55980</v>
      </c>
      <c r="C17">
        <v>43337</v>
      </c>
      <c r="D17">
        <v>331</v>
      </c>
      <c r="E17">
        <v>2976</v>
      </c>
      <c r="F17">
        <v>13745</v>
      </c>
      <c r="G17">
        <v>5076</v>
      </c>
    </row>
    <row r="22" spans="1:7" x14ac:dyDescent="0.35">
      <c r="A22" s="387" t="s">
        <v>350</v>
      </c>
      <c r="B22" t="s">
        <v>503</v>
      </c>
      <c r="C22" t="s">
        <v>504</v>
      </c>
      <c r="D22" t="s">
        <v>505</v>
      </c>
      <c r="E22" t="s">
        <v>506</v>
      </c>
      <c r="F22" t="s">
        <v>507</v>
      </c>
    </row>
    <row r="23" spans="1:7" x14ac:dyDescent="0.35">
      <c r="A23" s="388" t="s">
        <v>362</v>
      </c>
      <c r="B23">
        <v>4159</v>
      </c>
      <c r="C23">
        <v>2813</v>
      </c>
      <c r="E23">
        <v>225</v>
      </c>
      <c r="F23">
        <v>961</v>
      </c>
    </row>
    <row r="24" spans="1:7" x14ac:dyDescent="0.35">
      <c r="A24" s="388" t="s">
        <v>363</v>
      </c>
      <c r="B24">
        <v>4151</v>
      </c>
      <c r="C24">
        <v>2787</v>
      </c>
      <c r="E24">
        <v>224</v>
      </c>
      <c r="F24">
        <v>927</v>
      </c>
    </row>
    <row r="25" spans="1:7" x14ac:dyDescent="0.35">
      <c r="A25" s="388" t="s">
        <v>364</v>
      </c>
      <c r="B25">
        <v>4001</v>
      </c>
      <c r="C25">
        <v>2665</v>
      </c>
      <c r="E25">
        <v>213</v>
      </c>
      <c r="F25">
        <v>811</v>
      </c>
    </row>
    <row r="26" spans="1:7" x14ac:dyDescent="0.35">
      <c r="A26" s="388" t="s">
        <v>365</v>
      </c>
      <c r="B26">
        <v>3856</v>
      </c>
      <c r="C26">
        <v>2669</v>
      </c>
      <c r="E26">
        <v>221</v>
      </c>
      <c r="F26">
        <v>744</v>
      </c>
    </row>
    <row r="27" spans="1:7" x14ac:dyDescent="0.35">
      <c r="A27" s="388" t="s">
        <v>366</v>
      </c>
      <c r="B27">
        <v>3690</v>
      </c>
      <c r="C27">
        <v>2527</v>
      </c>
      <c r="E27">
        <v>195</v>
      </c>
      <c r="F27">
        <v>719</v>
      </c>
    </row>
    <row r="28" spans="1:7" x14ac:dyDescent="0.35">
      <c r="A28" s="388" t="s">
        <v>341</v>
      </c>
      <c r="B28">
        <v>3644</v>
      </c>
      <c r="C28">
        <v>2546</v>
      </c>
      <c r="E28">
        <v>160</v>
      </c>
      <c r="F28">
        <v>745</v>
      </c>
    </row>
    <row r="29" spans="1:7" x14ac:dyDescent="0.35">
      <c r="A29" s="388" t="s">
        <v>342</v>
      </c>
      <c r="B29">
        <v>3544</v>
      </c>
      <c r="C29">
        <v>2545</v>
      </c>
      <c r="E29">
        <v>184</v>
      </c>
      <c r="F29">
        <v>759</v>
      </c>
    </row>
    <row r="30" spans="1:7" x14ac:dyDescent="0.35">
      <c r="A30" s="388" t="s">
        <v>214</v>
      </c>
      <c r="B30">
        <v>3635.9300000000003</v>
      </c>
      <c r="C30">
        <v>2583.98</v>
      </c>
      <c r="D30">
        <v>18</v>
      </c>
      <c r="E30">
        <v>202.32999999999998</v>
      </c>
      <c r="F30">
        <v>745.56000000000006</v>
      </c>
    </row>
    <row r="31" spans="1:7" x14ac:dyDescent="0.35">
      <c r="A31" s="388" t="s">
        <v>313</v>
      </c>
      <c r="B31">
        <v>3633.93</v>
      </c>
      <c r="C31">
        <v>2551.73</v>
      </c>
      <c r="D31">
        <v>36</v>
      </c>
      <c r="E31">
        <v>183.82999999999998</v>
      </c>
      <c r="F31">
        <v>764.4</v>
      </c>
    </row>
    <row r="32" spans="1:7" x14ac:dyDescent="0.35">
      <c r="A32" s="388" t="s">
        <v>319</v>
      </c>
      <c r="B32">
        <v>3578.43</v>
      </c>
      <c r="C32">
        <v>2482.48</v>
      </c>
      <c r="D32">
        <v>54</v>
      </c>
      <c r="E32">
        <v>176.06</v>
      </c>
      <c r="F32">
        <v>786.29</v>
      </c>
    </row>
    <row r="33" spans="1:6" x14ac:dyDescent="0.35">
      <c r="A33" s="388" t="s">
        <v>321</v>
      </c>
      <c r="B33">
        <v>3528.43</v>
      </c>
      <c r="C33">
        <v>2375.48</v>
      </c>
      <c r="D33">
        <v>53</v>
      </c>
      <c r="E33">
        <v>170.46</v>
      </c>
      <c r="F33">
        <v>862.45999999999992</v>
      </c>
    </row>
    <row r="34" spans="1:6" x14ac:dyDescent="0.35">
      <c r="A34" s="388" t="s">
        <v>326</v>
      </c>
      <c r="B34">
        <v>3487.43</v>
      </c>
      <c r="C34">
        <v>2333.12</v>
      </c>
      <c r="D34">
        <v>55</v>
      </c>
      <c r="E34">
        <v>168.06</v>
      </c>
      <c r="F34">
        <v>850.35</v>
      </c>
    </row>
    <row r="35" spans="1:6" x14ac:dyDescent="0.35">
      <c r="A35" s="388" t="s">
        <v>327</v>
      </c>
      <c r="B35">
        <v>3419.08</v>
      </c>
      <c r="C35">
        <v>2289.77</v>
      </c>
      <c r="D35">
        <v>55</v>
      </c>
      <c r="E35">
        <v>166.21</v>
      </c>
      <c r="F35">
        <v>829.4</v>
      </c>
    </row>
    <row r="36" spans="1:6" x14ac:dyDescent="0.35">
      <c r="A36" s="388" t="s">
        <v>466</v>
      </c>
      <c r="B36">
        <v>3427.08</v>
      </c>
      <c r="C36">
        <v>2293.9200000000005</v>
      </c>
      <c r="D36">
        <v>57</v>
      </c>
      <c r="E36">
        <v>167.69</v>
      </c>
      <c r="F36">
        <v>853.58999999999992</v>
      </c>
    </row>
    <row r="37" spans="1:6" x14ac:dyDescent="0.35">
      <c r="A37" s="388" t="s">
        <v>357</v>
      </c>
      <c r="B37">
        <v>51755.310000000005</v>
      </c>
      <c r="C37">
        <v>35462.479999999996</v>
      </c>
      <c r="D37">
        <v>328</v>
      </c>
      <c r="E37">
        <v>2656.64</v>
      </c>
      <c r="F37">
        <v>11358.05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9B89D-7BB5-447F-AEBE-B751AAD93DC9}">
  <dimension ref="A1:G39"/>
  <sheetViews>
    <sheetView topLeftCell="A4" workbookViewId="0">
      <selection activeCell="B28" sqref="B28"/>
    </sheetView>
  </sheetViews>
  <sheetFormatPr defaultRowHeight="14.5" x14ac:dyDescent="0.35"/>
  <cols>
    <col min="1" max="1" width="7.54296875" bestFit="1" customWidth="1"/>
    <col min="2" max="2" width="24.08984375" bestFit="1" customWidth="1"/>
    <col min="3" max="3" width="22.08984375" bestFit="1" customWidth="1"/>
    <col min="4" max="4" width="14" bestFit="1" customWidth="1"/>
    <col min="5" max="5" width="9.54296875" bestFit="1" customWidth="1"/>
    <col min="6" max="6" width="9.90625" bestFit="1" customWidth="1"/>
    <col min="7" max="7" width="11.81640625" bestFit="1" customWidth="1"/>
  </cols>
  <sheetData>
    <row r="1" spans="1:7" x14ac:dyDescent="0.35">
      <c r="A1" t="s">
        <v>207</v>
      </c>
      <c r="B1" t="s">
        <v>509</v>
      </c>
      <c r="C1" t="s">
        <v>361</v>
      </c>
      <c r="D1" t="s">
        <v>510</v>
      </c>
      <c r="E1" t="s">
        <v>511</v>
      </c>
      <c r="F1" t="s">
        <v>512</v>
      </c>
      <c r="G1" t="s">
        <v>339</v>
      </c>
    </row>
    <row r="2" spans="1:7" x14ac:dyDescent="0.35">
      <c r="A2" t="s">
        <v>364</v>
      </c>
      <c r="B2">
        <v>4001</v>
      </c>
      <c r="C2">
        <v>2940</v>
      </c>
      <c r="E2">
        <v>223</v>
      </c>
      <c r="F2">
        <v>961</v>
      </c>
      <c r="G2">
        <v>359</v>
      </c>
    </row>
    <row r="3" spans="1:7" x14ac:dyDescent="0.35">
      <c r="A3" t="s">
        <v>342</v>
      </c>
      <c r="B3">
        <v>3546</v>
      </c>
      <c r="C3">
        <v>2863</v>
      </c>
      <c r="E3">
        <v>189</v>
      </c>
      <c r="F3">
        <v>846</v>
      </c>
      <c r="G3">
        <v>336</v>
      </c>
    </row>
    <row r="4" spans="1:7" x14ac:dyDescent="0.35">
      <c r="A4" t="s">
        <v>362</v>
      </c>
      <c r="B4">
        <v>4159</v>
      </c>
      <c r="C4">
        <v>3052</v>
      </c>
      <c r="E4">
        <v>234</v>
      </c>
      <c r="F4">
        <v>1136</v>
      </c>
      <c r="G4">
        <v>459</v>
      </c>
    </row>
    <row r="5" spans="1:7" x14ac:dyDescent="0.35">
      <c r="A5" t="s">
        <v>327</v>
      </c>
      <c r="B5">
        <v>3422</v>
      </c>
      <c r="C5">
        <v>2708</v>
      </c>
      <c r="D5">
        <v>55</v>
      </c>
      <c r="E5">
        <v>171</v>
      </c>
      <c r="F5">
        <v>887</v>
      </c>
      <c r="G5">
        <v>269</v>
      </c>
    </row>
    <row r="6" spans="1:7" x14ac:dyDescent="0.35">
      <c r="A6" t="s">
        <v>214</v>
      </c>
      <c r="B6">
        <v>3637</v>
      </c>
      <c r="C6">
        <v>2935</v>
      </c>
      <c r="D6">
        <v>18</v>
      </c>
      <c r="E6">
        <v>207</v>
      </c>
      <c r="F6">
        <v>792</v>
      </c>
      <c r="G6">
        <v>321</v>
      </c>
    </row>
    <row r="7" spans="1:7" x14ac:dyDescent="0.35">
      <c r="A7" t="s">
        <v>313</v>
      </c>
      <c r="B7">
        <v>3636</v>
      </c>
      <c r="C7">
        <v>2937</v>
      </c>
      <c r="D7">
        <v>36</v>
      </c>
      <c r="E7">
        <v>188</v>
      </c>
      <c r="F7">
        <v>817</v>
      </c>
      <c r="G7">
        <v>315</v>
      </c>
    </row>
    <row r="8" spans="1:7" x14ac:dyDescent="0.35">
      <c r="A8" t="s">
        <v>508</v>
      </c>
      <c r="B8">
        <v>4206</v>
      </c>
      <c r="C8">
        <v>3066</v>
      </c>
      <c r="E8">
        <v>233</v>
      </c>
      <c r="F8">
        <v>1114</v>
      </c>
      <c r="G8">
        <v>437</v>
      </c>
    </row>
    <row r="9" spans="1:7" x14ac:dyDescent="0.35">
      <c r="A9" t="s">
        <v>321</v>
      </c>
      <c r="B9">
        <v>3530</v>
      </c>
      <c r="C9">
        <v>2758</v>
      </c>
      <c r="D9">
        <v>53</v>
      </c>
      <c r="E9">
        <v>174</v>
      </c>
      <c r="F9">
        <v>920</v>
      </c>
      <c r="G9">
        <v>277</v>
      </c>
    </row>
    <row r="10" spans="1:7" x14ac:dyDescent="0.35">
      <c r="A10" t="s">
        <v>466</v>
      </c>
      <c r="B10">
        <v>3430</v>
      </c>
      <c r="C10">
        <v>2705</v>
      </c>
      <c r="D10">
        <v>60</v>
      </c>
      <c r="E10">
        <v>171</v>
      </c>
      <c r="F10">
        <v>917</v>
      </c>
      <c r="G10">
        <v>273</v>
      </c>
    </row>
    <row r="11" spans="1:7" x14ac:dyDescent="0.35">
      <c r="A11" t="s">
        <v>366</v>
      </c>
      <c r="B11">
        <v>3690</v>
      </c>
      <c r="C11">
        <v>2870</v>
      </c>
      <c r="E11">
        <v>203</v>
      </c>
      <c r="F11">
        <v>828</v>
      </c>
      <c r="G11">
        <v>342</v>
      </c>
    </row>
    <row r="12" spans="1:7" x14ac:dyDescent="0.35">
      <c r="A12" t="s">
        <v>341</v>
      </c>
      <c r="B12">
        <v>3645</v>
      </c>
      <c r="C12">
        <v>2870</v>
      </c>
      <c r="E12">
        <v>165</v>
      </c>
      <c r="F12">
        <v>838</v>
      </c>
      <c r="G12">
        <v>320</v>
      </c>
    </row>
    <row r="13" spans="1:7" x14ac:dyDescent="0.35">
      <c r="A13" t="s">
        <v>319</v>
      </c>
      <c r="B13">
        <v>3581</v>
      </c>
      <c r="C13">
        <v>2872</v>
      </c>
      <c r="D13">
        <v>54</v>
      </c>
      <c r="E13">
        <v>182</v>
      </c>
      <c r="F13">
        <v>835</v>
      </c>
      <c r="G13">
        <v>303</v>
      </c>
    </row>
    <row r="14" spans="1:7" x14ac:dyDescent="0.35">
      <c r="A14" t="s">
        <v>363</v>
      </c>
      <c r="B14">
        <v>4151</v>
      </c>
      <c r="C14">
        <v>3076</v>
      </c>
      <c r="E14">
        <v>234</v>
      </c>
      <c r="F14">
        <v>1086</v>
      </c>
      <c r="G14">
        <v>417</v>
      </c>
    </row>
    <row r="15" spans="1:7" x14ac:dyDescent="0.35">
      <c r="A15" t="s">
        <v>365</v>
      </c>
      <c r="B15">
        <v>3856</v>
      </c>
      <c r="C15">
        <v>2950</v>
      </c>
      <c r="E15">
        <v>230</v>
      </c>
      <c r="F15">
        <v>867</v>
      </c>
      <c r="G15">
        <v>382</v>
      </c>
    </row>
    <row r="16" spans="1:7" x14ac:dyDescent="0.35">
      <c r="A16" t="s">
        <v>326</v>
      </c>
      <c r="B16">
        <v>3490</v>
      </c>
      <c r="C16">
        <v>2735</v>
      </c>
      <c r="D16">
        <v>55</v>
      </c>
      <c r="E16">
        <v>172</v>
      </c>
      <c r="F16">
        <v>901</v>
      </c>
      <c r="G16">
        <v>266</v>
      </c>
    </row>
    <row r="25" spans="1:6" x14ac:dyDescent="0.35">
      <c r="A25" t="s">
        <v>207</v>
      </c>
      <c r="B25" t="s">
        <v>509</v>
      </c>
      <c r="C25" t="s">
        <v>361</v>
      </c>
      <c r="D25" t="s">
        <v>510</v>
      </c>
      <c r="E25" t="s">
        <v>511</v>
      </c>
      <c r="F25" t="s">
        <v>512</v>
      </c>
    </row>
    <row r="26" spans="1:6" x14ac:dyDescent="0.35">
      <c r="A26" t="s">
        <v>321</v>
      </c>
      <c r="B26">
        <v>3528.43</v>
      </c>
      <c r="C26">
        <v>2375.48</v>
      </c>
      <c r="D26">
        <v>53</v>
      </c>
      <c r="E26">
        <v>170.46</v>
      </c>
      <c r="F26">
        <v>862.45999999999992</v>
      </c>
    </row>
    <row r="27" spans="1:6" x14ac:dyDescent="0.35">
      <c r="A27" t="s">
        <v>214</v>
      </c>
      <c r="B27">
        <v>3635.9300000000003</v>
      </c>
      <c r="C27">
        <v>2583.98</v>
      </c>
      <c r="D27">
        <v>18</v>
      </c>
      <c r="E27">
        <v>202.32999999999998</v>
      </c>
      <c r="F27">
        <v>745.56000000000006</v>
      </c>
    </row>
    <row r="28" spans="1:6" x14ac:dyDescent="0.35">
      <c r="A28" t="s">
        <v>364</v>
      </c>
      <c r="B28">
        <v>4001</v>
      </c>
      <c r="C28">
        <v>2665</v>
      </c>
      <c r="E28">
        <v>213</v>
      </c>
      <c r="F28">
        <v>811</v>
      </c>
    </row>
    <row r="29" spans="1:6" x14ac:dyDescent="0.35">
      <c r="A29" t="s">
        <v>363</v>
      </c>
      <c r="B29">
        <v>4151</v>
      </c>
      <c r="C29">
        <v>2787</v>
      </c>
      <c r="E29">
        <v>224</v>
      </c>
      <c r="F29">
        <v>927</v>
      </c>
    </row>
    <row r="30" spans="1:6" x14ac:dyDescent="0.35">
      <c r="A30" t="s">
        <v>341</v>
      </c>
      <c r="B30">
        <v>3644</v>
      </c>
      <c r="C30">
        <v>2546</v>
      </c>
      <c r="E30">
        <v>160</v>
      </c>
      <c r="F30">
        <v>745</v>
      </c>
    </row>
    <row r="31" spans="1:6" x14ac:dyDescent="0.35">
      <c r="A31" t="s">
        <v>466</v>
      </c>
      <c r="B31">
        <v>3427.08</v>
      </c>
      <c r="C31">
        <v>2293.9200000000005</v>
      </c>
      <c r="D31">
        <v>57</v>
      </c>
      <c r="E31">
        <v>167.69</v>
      </c>
      <c r="F31">
        <v>853.58999999999992</v>
      </c>
    </row>
    <row r="32" spans="1:6" x14ac:dyDescent="0.35">
      <c r="A32" t="s">
        <v>366</v>
      </c>
      <c r="B32">
        <v>3690</v>
      </c>
      <c r="C32">
        <v>2527</v>
      </c>
      <c r="E32">
        <v>195</v>
      </c>
      <c r="F32">
        <v>719</v>
      </c>
    </row>
    <row r="33" spans="1:6" x14ac:dyDescent="0.35">
      <c r="A33" t="s">
        <v>313</v>
      </c>
      <c r="B33">
        <v>3633.93</v>
      </c>
      <c r="C33">
        <v>2551.73</v>
      </c>
      <c r="D33">
        <v>36</v>
      </c>
      <c r="E33">
        <v>183.82999999999998</v>
      </c>
      <c r="F33">
        <v>764.4</v>
      </c>
    </row>
    <row r="34" spans="1:6" x14ac:dyDescent="0.35">
      <c r="A34" t="s">
        <v>326</v>
      </c>
      <c r="B34">
        <v>3487.43</v>
      </c>
      <c r="C34">
        <v>2333.12</v>
      </c>
      <c r="D34">
        <v>55</v>
      </c>
      <c r="E34">
        <v>168.06</v>
      </c>
      <c r="F34">
        <v>850.35</v>
      </c>
    </row>
    <row r="35" spans="1:6" x14ac:dyDescent="0.35">
      <c r="A35" t="s">
        <v>362</v>
      </c>
      <c r="B35">
        <v>4159</v>
      </c>
      <c r="C35">
        <v>2813</v>
      </c>
      <c r="E35">
        <v>225</v>
      </c>
      <c r="F35">
        <v>961</v>
      </c>
    </row>
    <row r="36" spans="1:6" x14ac:dyDescent="0.35">
      <c r="A36" t="s">
        <v>365</v>
      </c>
      <c r="B36">
        <v>3856</v>
      </c>
      <c r="C36">
        <v>2669</v>
      </c>
      <c r="E36">
        <v>221</v>
      </c>
      <c r="F36">
        <v>744</v>
      </c>
    </row>
    <row r="37" spans="1:6" x14ac:dyDescent="0.35">
      <c r="A37" t="s">
        <v>342</v>
      </c>
      <c r="B37">
        <v>3544</v>
      </c>
      <c r="C37">
        <v>2545</v>
      </c>
      <c r="E37">
        <v>184</v>
      </c>
      <c r="F37">
        <v>759</v>
      </c>
    </row>
    <row r="38" spans="1:6" x14ac:dyDescent="0.35">
      <c r="A38" t="s">
        <v>319</v>
      </c>
      <c r="B38">
        <v>3578.43</v>
      </c>
      <c r="C38">
        <v>2482.48</v>
      </c>
      <c r="D38">
        <v>54</v>
      </c>
      <c r="E38">
        <v>176.06</v>
      </c>
      <c r="F38">
        <v>786.29</v>
      </c>
    </row>
    <row r="39" spans="1:6" x14ac:dyDescent="0.35">
      <c r="A39" t="s">
        <v>327</v>
      </c>
      <c r="B39">
        <v>3419.08</v>
      </c>
      <c r="C39">
        <v>2289.77</v>
      </c>
      <c r="D39">
        <v>55</v>
      </c>
      <c r="E39">
        <v>166.21</v>
      </c>
      <c r="F39">
        <v>829.4</v>
      </c>
    </row>
  </sheetData>
  <pageMargins left="0.7" right="0.7" top="0.75" bottom="0.75" header="0.3" footer="0.3"/>
  <tableParts count="2">
    <tablePart r:id="rId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tabColor theme="9" tint="0.39997558519241921"/>
    <pageSetUpPr fitToPage="1"/>
  </sheetPr>
  <dimension ref="A1:XFA80"/>
  <sheetViews>
    <sheetView showGridLines="0" zoomScaleNormal="100" workbookViewId="0">
      <pane ySplit="2" topLeftCell="A3" activePane="bottomLeft" state="frozen"/>
      <selection pane="bottomLeft" sqref="A1:J1"/>
    </sheetView>
  </sheetViews>
  <sheetFormatPr defaultRowHeight="14.5" x14ac:dyDescent="0.35"/>
  <cols>
    <col min="1" max="1" width="33.54296875" bestFit="1" customWidth="1"/>
    <col min="2" max="2" width="21.81640625" bestFit="1" customWidth="1"/>
    <col min="3" max="3" width="19.7265625" bestFit="1" customWidth="1"/>
    <col min="4" max="4" width="17.26953125" customWidth="1"/>
    <col min="5" max="5" width="11.81640625" customWidth="1"/>
    <col min="6" max="6" width="11.1796875" customWidth="1"/>
    <col min="7" max="7" width="14.453125" customWidth="1"/>
    <col min="8" max="8" width="11.81640625" customWidth="1"/>
    <col min="9" max="9" width="4.453125" customWidth="1"/>
    <col min="10" max="10" width="11.453125" customWidth="1"/>
    <col min="12" max="12" width="35.1796875" bestFit="1" customWidth="1"/>
  </cols>
  <sheetData>
    <row r="1" spans="1:21" ht="15.5" x14ac:dyDescent="0.35">
      <c r="A1" s="1011" t="s">
        <v>513</v>
      </c>
      <c r="B1" s="1011"/>
      <c r="C1" s="1011"/>
      <c r="D1" s="1011"/>
      <c r="E1" s="1011"/>
      <c r="F1" s="1011"/>
      <c r="G1" s="1011"/>
      <c r="H1" s="1011"/>
      <c r="I1" s="1011"/>
      <c r="J1" s="1011"/>
    </row>
    <row r="2" spans="1:21" ht="15" customHeight="1" x14ac:dyDescent="0.35">
      <c r="A2" s="499" t="s">
        <v>201</v>
      </c>
      <c r="B2" s="1"/>
      <c r="C2" s="1"/>
      <c r="D2" s="1"/>
      <c r="E2" s="1"/>
      <c r="F2" s="1"/>
      <c r="G2" s="1"/>
      <c r="H2" s="1"/>
      <c r="I2" s="1"/>
      <c r="J2" s="1"/>
      <c r="K2" s="1"/>
    </row>
    <row r="3" spans="1:21" ht="15" customHeight="1" x14ac:dyDescent="0.35">
      <c r="A3" s="1"/>
      <c r="B3" s="1"/>
      <c r="C3" s="1"/>
      <c r="D3" s="1"/>
      <c r="E3" s="1"/>
      <c r="F3" s="1"/>
      <c r="G3" s="1"/>
      <c r="H3" s="1"/>
      <c r="I3" s="1"/>
      <c r="J3" s="1"/>
      <c r="K3" s="1"/>
    </row>
    <row r="4" spans="1:21" ht="24" customHeight="1" x14ac:dyDescent="0.35">
      <c r="A4" s="439" t="s">
        <v>514</v>
      </c>
      <c r="B4" s="439"/>
      <c r="C4" s="439"/>
      <c r="D4" s="439"/>
      <c r="E4" s="439"/>
      <c r="F4" s="439"/>
      <c r="G4" s="439"/>
      <c r="H4" s="439"/>
      <c r="I4" s="439"/>
      <c r="J4" s="439"/>
      <c r="K4" s="1"/>
    </row>
    <row r="5" spans="1:21" ht="15.75" customHeight="1" x14ac:dyDescent="0.35">
      <c r="A5" t="s">
        <v>202</v>
      </c>
      <c r="B5" t="s">
        <v>54</v>
      </c>
      <c r="U5" s="396"/>
    </row>
    <row r="6" spans="1:21" ht="15.75" customHeight="1" x14ac:dyDescent="0.35">
      <c r="A6" t="s">
        <v>203</v>
      </c>
      <c r="B6" t="s">
        <v>204</v>
      </c>
      <c r="U6" s="396"/>
    </row>
    <row r="7" spans="1:21" ht="15.75" customHeight="1" x14ac:dyDescent="0.35">
      <c r="A7" t="s">
        <v>205</v>
      </c>
      <c r="B7" t="s">
        <v>206</v>
      </c>
      <c r="U7" s="396"/>
    </row>
    <row r="8" spans="1:21" ht="15" customHeight="1" x14ac:dyDescent="0.35">
      <c r="U8" s="396"/>
    </row>
    <row r="9" spans="1:21" ht="39.5" x14ac:dyDescent="0.35">
      <c r="A9" s="526" t="s">
        <v>207</v>
      </c>
      <c r="B9" s="648" t="s">
        <v>515</v>
      </c>
      <c r="C9" s="648" t="s">
        <v>361</v>
      </c>
      <c r="D9" s="648" t="s">
        <v>516</v>
      </c>
      <c r="E9" s="648" t="s">
        <v>511</v>
      </c>
      <c r="F9" s="648" t="s">
        <v>512</v>
      </c>
      <c r="G9" s="648" t="s">
        <v>339</v>
      </c>
      <c r="H9" s="3" t="s">
        <v>517</v>
      </c>
      <c r="I9" s="3"/>
      <c r="J9" s="3" t="s">
        <v>518</v>
      </c>
      <c r="K9" s="15"/>
      <c r="U9" s="396"/>
    </row>
    <row r="10" spans="1:21" x14ac:dyDescent="0.35">
      <c r="A10" s="312" t="s">
        <v>362</v>
      </c>
      <c r="B10" s="602">
        <f>GETPIVOTDATA("Sum of WholeTime Operational",StaffingPivot!$A$1,"Year",A10)</f>
        <v>4159</v>
      </c>
      <c r="C10" s="602">
        <f>GETPIVOTDATA("Sum of Retained Duty System",StaffingPivot!$A$1,"Year",A10)</f>
        <v>3052</v>
      </c>
      <c r="D10" s="610"/>
      <c r="E10" s="602">
        <f>GETPIVOTDATA("Sum of Control",StaffingPivot!$A$1,"Year",A10)</f>
        <v>234</v>
      </c>
      <c r="F10" s="602">
        <f>GETPIVOTDATA("Sum of Support",StaffingPivot!$A$1,"Year",A10)</f>
        <v>1136</v>
      </c>
      <c r="G10" s="602">
        <f>GETPIVOTDATA("Sum of Volunteer",StaffingPivot!$A$1,"Year",A10)</f>
        <v>459</v>
      </c>
      <c r="H10" s="703">
        <f>SUM(B10:G10)</f>
        <v>9040</v>
      </c>
      <c r="I10" s="703"/>
      <c r="J10" s="703">
        <f>H10-G10</f>
        <v>8581</v>
      </c>
      <c r="K10" s="15"/>
      <c r="U10" s="396"/>
    </row>
    <row r="11" spans="1:21" x14ac:dyDescent="0.35">
      <c r="A11" s="312" t="s">
        <v>363</v>
      </c>
      <c r="B11" s="602">
        <f>GETPIVOTDATA("Sum of WholeTime Operational",StaffingPivot!$A$1,"Year",A11)</f>
        <v>4151</v>
      </c>
      <c r="C11" s="602">
        <f>GETPIVOTDATA("Sum of Retained Duty System",StaffingPivot!$A$1,"Year",A11)</f>
        <v>3076</v>
      </c>
      <c r="D11" s="610"/>
      <c r="E11" s="602">
        <f>GETPIVOTDATA("Sum of Control",StaffingPivot!$A$1,"Year",A11)</f>
        <v>234</v>
      </c>
      <c r="F11" s="602">
        <f>GETPIVOTDATA("Sum of Support",StaffingPivot!$A$1,"Year",A11)</f>
        <v>1086</v>
      </c>
      <c r="G11" s="602">
        <f>GETPIVOTDATA("Sum of Volunteer",StaffingPivot!$A$1,"Year",A11)</f>
        <v>417</v>
      </c>
      <c r="H11" s="703">
        <f t="shared" ref="H11:H19" si="0">SUM(B11:G11)</f>
        <v>8964</v>
      </c>
      <c r="I11" s="703"/>
      <c r="J11" s="703">
        <f t="shared" ref="J11:J21" si="1">H11-G11</f>
        <v>8547</v>
      </c>
      <c r="K11" s="15"/>
      <c r="U11" s="396"/>
    </row>
    <row r="12" spans="1:21" x14ac:dyDescent="0.35">
      <c r="A12" s="312" t="s">
        <v>364</v>
      </c>
      <c r="B12" s="602">
        <f>GETPIVOTDATA("Sum of WholeTime Operational",StaffingPivot!$A$1,"Year",A12)</f>
        <v>4001</v>
      </c>
      <c r="C12" s="602">
        <f>GETPIVOTDATA("Sum of Retained Duty System",StaffingPivot!$A$1,"Year",A12)</f>
        <v>2940</v>
      </c>
      <c r="D12" s="610"/>
      <c r="E12" s="602">
        <f>GETPIVOTDATA("Sum of Control",StaffingPivot!$A$1,"Year",A12)</f>
        <v>223</v>
      </c>
      <c r="F12" s="602">
        <f>GETPIVOTDATA("Sum of Support",StaffingPivot!$A$1,"Year",A12)</f>
        <v>961</v>
      </c>
      <c r="G12" s="602">
        <f>GETPIVOTDATA("Sum of Volunteer",StaffingPivot!$A$1,"Year",A12)</f>
        <v>359</v>
      </c>
      <c r="H12" s="703">
        <f t="shared" si="0"/>
        <v>8484</v>
      </c>
      <c r="I12" s="703"/>
      <c r="J12" s="703">
        <f t="shared" si="1"/>
        <v>8125</v>
      </c>
      <c r="K12" s="15"/>
      <c r="U12" s="396"/>
    </row>
    <row r="13" spans="1:21" x14ac:dyDescent="0.35">
      <c r="A13" s="312" t="s">
        <v>365</v>
      </c>
      <c r="B13" s="602">
        <f>GETPIVOTDATA("Sum of WholeTime Operational",StaffingPivot!$A$1,"Year",A13)</f>
        <v>3856</v>
      </c>
      <c r="C13" s="602">
        <f>GETPIVOTDATA("Sum of Retained Duty System",StaffingPivot!$A$1,"Year",A13)</f>
        <v>2950</v>
      </c>
      <c r="D13" s="610"/>
      <c r="E13" s="602">
        <f>GETPIVOTDATA("Sum of Control",StaffingPivot!$A$1,"Year",A13)</f>
        <v>230</v>
      </c>
      <c r="F13" s="602">
        <f>GETPIVOTDATA("Sum of Support",StaffingPivot!$A$1,"Year",A13)</f>
        <v>867</v>
      </c>
      <c r="G13" s="602">
        <f>GETPIVOTDATA("Sum of Volunteer",StaffingPivot!$A$1,"Year",A13)</f>
        <v>382</v>
      </c>
      <c r="H13" s="703">
        <f t="shared" si="0"/>
        <v>8285</v>
      </c>
      <c r="I13" s="703"/>
      <c r="J13" s="703">
        <f t="shared" si="1"/>
        <v>7903</v>
      </c>
      <c r="K13" s="264"/>
      <c r="U13" s="396"/>
    </row>
    <row r="14" spans="1:21" x14ac:dyDescent="0.35">
      <c r="A14" s="312" t="s">
        <v>366</v>
      </c>
      <c r="B14" s="602">
        <f>GETPIVOTDATA("Sum of WholeTime Operational",StaffingPivot!$A$1,"Year",A14)</f>
        <v>3690</v>
      </c>
      <c r="C14" s="602">
        <f>GETPIVOTDATA("Sum of Retained Duty System",StaffingPivot!$A$1,"Year",A14)</f>
        <v>2870</v>
      </c>
      <c r="D14" s="610"/>
      <c r="E14" s="602">
        <f>GETPIVOTDATA("Sum of Control",StaffingPivot!$A$1,"Year",A14)</f>
        <v>203</v>
      </c>
      <c r="F14" s="602">
        <f>GETPIVOTDATA("Sum of Support",StaffingPivot!$A$1,"Year",A14)</f>
        <v>828</v>
      </c>
      <c r="G14" s="602">
        <f>GETPIVOTDATA("Sum of Volunteer",StaffingPivot!$A$1,"Year",A14)</f>
        <v>342</v>
      </c>
      <c r="H14" s="703">
        <f t="shared" si="0"/>
        <v>7933</v>
      </c>
      <c r="I14" s="703"/>
      <c r="J14" s="703">
        <f t="shared" si="1"/>
        <v>7591</v>
      </c>
      <c r="K14" s="264"/>
      <c r="U14" s="396"/>
    </row>
    <row r="15" spans="1:21" x14ac:dyDescent="0.35">
      <c r="A15" s="312" t="s">
        <v>341</v>
      </c>
      <c r="B15" s="602">
        <f>GETPIVOTDATA("Sum of WholeTime Operational",StaffingPivot!$A$1,"Year",A15)</f>
        <v>3645</v>
      </c>
      <c r="C15" s="602">
        <f>GETPIVOTDATA("Sum of Retained Duty System",StaffingPivot!$A$1,"Year",A15)</f>
        <v>2870</v>
      </c>
      <c r="D15" s="610"/>
      <c r="E15" s="602">
        <f>GETPIVOTDATA("Sum of Control",StaffingPivot!$A$1,"Year",A15)</f>
        <v>165</v>
      </c>
      <c r="F15" s="602">
        <f>GETPIVOTDATA("Sum of Support",StaffingPivot!$A$1,"Year",A15)</f>
        <v>838</v>
      </c>
      <c r="G15" s="602">
        <f>GETPIVOTDATA("Sum of Volunteer",StaffingPivot!$A$1,"Year",A15)</f>
        <v>320</v>
      </c>
      <c r="H15" s="703">
        <f t="shared" si="0"/>
        <v>7838</v>
      </c>
      <c r="I15" s="704"/>
      <c r="J15" s="703">
        <f t="shared" si="1"/>
        <v>7518</v>
      </c>
      <c r="K15" s="266"/>
      <c r="U15" s="396"/>
    </row>
    <row r="16" spans="1:21" x14ac:dyDescent="0.35">
      <c r="A16" s="312" t="s">
        <v>342</v>
      </c>
      <c r="B16" s="602">
        <f>GETPIVOTDATA("Sum of WholeTime Operational",StaffingPivot!$A$1,"Year",A16)</f>
        <v>3546</v>
      </c>
      <c r="C16" s="602">
        <f>GETPIVOTDATA("Sum of Retained Duty System",StaffingPivot!$A$1,"Year",A16)</f>
        <v>2863</v>
      </c>
      <c r="D16" s="610"/>
      <c r="E16" s="602">
        <f>GETPIVOTDATA("Sum of Control",StaffingPivot!$A$1,"Year",A16)</f>
        <v>189</v>
      </c>
      <c r="F16" s="602">
        <f>GETPIVOTDATA("Sum of Support",StaffingPivot!$A$1,"Year",A16)</f>
        <v>846</v>
      </c>
      <c r="G16" s="602">
        <f>GETPIVOTDATA("Sum of Volunteer",StaffingPivot!$A$1,"Year",A16)</f>
        <v>336</v>
      </c>
      <c r="H16" s="703">
        <f t="shared" si="0"/>
        <v>7780</v>
      </c>
      <c r="I16" s="704"/>
      <c r="J16" s="703">
        <f t="shared" si="1"/>
        <v>7444</v>
      </c>
      <c r="K16" s="266"/>
      <c r="U16" s="396"/>
    </row>
    <row r="17" spans="1:21" x14ac:dyDescent="0.35">
      <c r="A17" s="312" t="s">
        <v>214</v>
      </c>
      <c r="B17" s="602">
        <f>GETPIVOTDATA("Sum of WholeTime Operational",StaffingPivot!$A$1,"Year",A17)</f>
        <v>3637</v>
      </c>
      <c r="C17" s="602">
        <f>GETPIVOTDATA("Sum of Retained Duty System",StaffingPivot!$A$1,"Year",A17)</f>
        <v>2935</v>
      </c>
      <c r="D17" s="610">
        <f>GETPIVOTDATA("Sum of RDS Fulltime",StaffingPivot!$A$1,"Year",A17)</f>
        <v>18</v>
      </c>
      <c r="E17" s="602">
        <f>GETPIVOTDATA("Sum of Control",StaffingPivot!$A$1,"Year",A17)</f>
        <v>207</v>
      </c>
      <c r="F17" s="602">
        <f>GETPIVOTDATA("Sum of Support",StaffingPivot!$A$1,"Year",A17)</f>
        <v>792</v>
      </c>
      <c r="G17" s="602">
        <f>GETPIVOTDATA("Sum of Volunteer",StaffingPivot!$A$1,"Year",A17)</f>
        <v>321</v>
      </c>
      <c r="H17" s="703">
        <f t="shared" si="0"/>
        <v>7910</v>
      </c>
      <c r="I17" s="704"/>
      <c r="J17" s="703">
        <f t="shared" si="1"/>
        <v>7589</v>
      </c>
      <c r="K17" s="266"/>
      <c r="U17" s="396"/>
    </row>
    <row r="18" spans="1:21" x14ac:dyDescent="0.35">
      <c r="A18" s="312" t="s">
        <v>313</v>
      </c>
      <c r="B18" s="602">
        <f>GETPIVOTDATA("Sum of WholeTime Operational",StaffingPivot!$A$1,"Year",A18)</f>
        <v>3636</v>
      </c>
      <c r="C18" s="602">
        <f>GETPIVOTDATA("Sum of Retained Duty System",StaffingPivot!$A$1,"Year",A18)</f>
        <v>2937</v>
      </c>
      <c r="D18" s="610">
        <f>GETPIVOTDATA("Sum of RDS Fulltime",StaffingPivot!$A$1,"Year",A18)</f>
        <v>36</v>
      </c>
      <c r="E18" s="602">
        <f>GETPIVOTDATA("Sum of Control",StaffingPivot!$A$1,"Year",A18)</f>
        <v>188</v>
      </c>
      <c r="F18" s="602">
        <f>GETPIVOTDATA("Sum of Support",StaffingPivot!$A$1,"Year",A18)</f>
        <v>817</v>
      </c>
      <c r="G18" s="602">
        <f>GETPIVOTDATA("Sum of Volunteer",StaffingPivot!$A$1,"Year",A18)</f>
        <v>315</v>
      </c>
      <c r="H18" s="703">
        <f t="shared" si="0"/>
        <v>7929</v>
      </c>
      <c r="I18" s="704"/>
      <c r="J18" s="703">
        <f t="shared" si="1"/>
        <v>7614</v>
      </c>
      <c r="K18" s="266"/>
      <c r="U18" s="396"/>
    </row>
    <row r="19" spans="1:21" x14ac:dyDescent="0.35">
      <c r="A19" s="312" t="s">
        <v>319</v>
      </c>
      <c r="B19" s="602">
        <f>GETPIVOTDATA("Sum of WholeTime Operational",StaffingPivot!$A$1,"Year",A19)</f>
        <v>3581</v>
      </c>
      <c r="C19" s="602">
        <f>GETPIVOTDATA("Sum of Retained Duty System",StaffingPivot!$A$1,"Year",A19)</f>
        <v>2872</v>
      </c>
      <c r="D19" s="610">
        <f>GETPIVOTDATA("Sum of RDS Fulltime",StaffingPivot!$A$1,"Year",A19)</f>
        <v>54</v>
      </c>
      <c r="E19" s="602">
        <f>GETPIVOTDATA("Sum of Control",StaffingPivot!$A$1,"Year",A19)</f>
        <v>182</v>
      </c>
      <c r="F19" s="602">
        <f>GETPIVOTDATA("Sum of Support",StaffingPivot!$A$1,"Year",A19)</f>
        <v>835</v>
      </c>
      <c r="G19" s="602">
        <f>GETPIVOTDATA("Sum of Volunteer",StaffingPivot!$A$1,"Year",A19)</f>
        <v>303</v>
      </c>
      <c r="H19" s="703">
        <f t="shared" si="0"/>
        <v>7827</v>
      </c>
      <c r="I19" s="705"/>
      <c r="J19" s="703">
        <f t="shared" si="1"/>
        <v>7524</v>
      </c>
      <c r="K19" s="264"/>
      <c r="U19" s="396"/>
    </row>
    <row r="20" spans="1:21" x14ac:dyDescent="0.35">
      <c r="A20" s="312" t="s">
        <v>321</v>
      </c>
      <c r="B20" s="602">
        <f>GETPIVOTDATA("Sum of WholeTime Operational",StaffingPivot!$A$1,"Year",A20)</f>
        <v>3530</v>
      </c>
      <c r="C20" s="602">
        <f>GETPIVOTDATA("Sum of Retained Duty System",StaffingPivot!$A$1,"Year",A20)</f>
        <v>2758</v>
      </c>
      <c r="D20" s="610">
        <f>GETPIVOTDATA("Sum of RDS Fulltime",StaffingPivot!$A$1,"Year",A20)</f>
        <v>53</v>
      </c>
      <c r="E20" s="602">
        <f>GETPIVOTDATA("Sum of Control",StaffingPivot!$A$1,"Year",A20)</f>
        <v>174</v>
      </c>
      <c r="F20" s="602">
        <f>GETPIVOTDATA("Sum of Support",StaffingPivot!$A$1,"Year",A20)</f>
        <v>920</v>
      </c>
      <c r="G20" s="602">
        <f>GETPIVOTDATA("Sum of Volunteer",StaffingPivot!$A$1,"Year",A20)</f>
        <v>277</v>
      </c>
      <c r="H20" s="703">
        <f>SUM(B20:G20)</f>
        <v>7712</v>
      </c>
      <c r="I20" s="705"/>
      <c r="J20" s="703">
        <f>H20-G20</f>
        <v>7435</v>
      </c>
    </row>
    <row r="21" spans="1:21" x14ac:dyDescent="0.35">
      <c r="A21" s="312" t="s">
        <v>326</v>
      </c>
      <c r="B21" s="602">
        <f>GETPIVOTDATA("Sum of WholeTime Operational",StaffingPivot!$A$1,"Year",A21)</f>
        <v>3490</v>
      </c>
      <c r="C21" s="602">
        <f>GETPIVOTDATA("Sum of Retained Duty System",StaffingPivot!$A$1,"Year",A21)</f>
        <v>2735</v>
      </c>
      <c r="D21" s="610">
        <f>GETPIVOTDATA("Sum of RDS Fulltime",StaffingPivot!$A$1,"Year",A21)</f>
        <v>55</v>
      </c>
      <c r="E21" s="602">
        <f>GETPIVOTDATA("Sum of Control",StaffingPivot!$A$1,"Year",A21)</f>
        <v>172</v>
      </c>
      <c r="F21" s="602">
        <f>GETPIVOTDATA("Sum of Support",StaffingPivot!$A$1,"Year",A21)</f>
        <v>901</v>
      </c>
      <c r="G21" s="602">
        <f>GETPIVOTDATA("Sum of Volunteer",StaffingPivot!$A$1,"Year",A21)</f>
        <v>266</v>
      </c>
      <c r="H21" s="703">
        <f>SUM(B21:G21)</f>
        <v>7619</v>
      </c>
      <c r="I21" s="705"/>
      <c r="J21" s="703">
        <f t="shared" si="1"/>
        <v>7353</v>
      </c>
    </row>
    <row r="22" spans="1:21" ht="14.15" customHeight="1" x14ac:dyDescent="0.35">
      <c r="A22" s="312" t="s">
        <v>327</v>
      </c>
      <c r="B22" s="602">
        <f>GETPIVOTDATA("Sum of WholeTime Operational",StaffingPivot!$A$1,"Year",A22)</f>
        <v>3422</v>
      </c>
      <c r="C22" s="602">
        <f>GETPIVOTDATA("Sum of Retained Duty System",StaffingPivot!$A$1,"Year",A22)</f>
        <v>2708</v>
      </c>
      <c r="D22" s="610">
        <f>GETPIVOTDATA("Sum of RDS Fulltime",StaffingPivot!$A$1,"Year",A22)</f>
        <v>55</v>
      </c>
      <c r="E22" s="602">
        <f>GETPIVOTDATA("Sum of Control",StaffingPivot!$A$1,"Year",A22)</f>
        <v>171</v>
      </c>
      <c r="F22" s="602">
        <f>GETPIVOTDATA("Sum of Support",StaffingPivot!$A$1,"Year",A22)</f>
        <v>887</v>
      </c>
      <c r="G22" s="602">
        <f>GETPIVOTDATA("Sum of Volunteer",StaffingPivot!$A$1,"Year",A22)</f>
        <v>269</v>
      </c>
      <c r="H22" s="703">
        <f>SUM(B22:G22)</f>
        <v>7512</v>
      </c>
      <c r="I22" s="705"/>
      <c r="J22" s="703">
        <f t="shared" ref="J22" si="2">H22-G22</f>
        <v>7243</v>
      </c>
      <c r="K22" s="15"/>
      <c r="U22" s="396"/>
    </row>
    <row r="23" spans="1:21" ht="14.15" customHeight="1" thickBot="1" x14ac:dyDescent="0.4">
      <c r="A23" s="525" t="s">
        <v>466</v>
      </c>
      <c r="B23" s="607">
        <f>GETPIVOTDATA("Sum of WholeTime Operational",StaffingPivot!$A$1,"Year",A23)</f>
        <v>3430</v>
      </c>
      <c r="C23" s="607">
        <f>GETPIVOTDATA("Sum of Retained Duty System",StaffingPivot!$A$1,"Year",A23)</f>
        <v>2705</v>
      </c>
      <c r="D23" s="809">
        <f>GETPIVOTDATA("Sum of RDS Fulltime",StaffingPivot!$A$1,"Year",A23)</f>
        <v>60</v>
      </c>
      <c r="E23" s="607">
        <f>GETPIVOTDATA("Sum of Control",StaffingPivot!$A$1,"Year",A23)</f>
        <v>171</v>
      </c>
      <c r="F23" s="607">
        <f>GETPIVOTDATA("Sum of Support",StaffingPivot!$A$1,"Year",A23)</f>
        <v>917</v>
      </c>
      <c r="G23" s="607">
        <f>GETPIVOTDATA("Sum of Volunteer",StaffingPivot!$A$1,"Year",A23)</f>
        <v>273</v>
      </c>
      <c r="H23" s="785">
        <f>SUM(B23:G23)</f>
        <v>7556</v>
      </c>
      <c r="I23" s="706"/>
      <c r="J23" s="785">
        <f t="shared" ref="J23" si="3">H23-G23</f>
        <v>7283</v>
      </c>
      <c r="K23" s="15"/>
      <c r="U23" s="396"/>
    </row>
    <row r="24" spans="1:21" ht="14.15" customHeight="1" x14ac:dyDescent="0.35">
      <c r="A24" s="312"/>
      <c r="K24" s="15"/>
      <c r="U24" s="396"/>
    </row>
    <row r="25" spans="1:21" ht="14.15" customHeight="1" x14ac:dyDescent="0.35">
      <c r="A25" s="650" t="str">
        <f>"One Year Change " &amp; A22 &amp; " to " &amp; A23</f>
        <v>One Year Change 2023-24 to 2024-25</v>
      </c>
      <c r="B25" s="650"/>
      <c r="C25" s="650"/>
      <c r="D25" s="566"/>
      <c r="E25" s="268"/>
      <c r="F25" s="268"/>
      <c r="G25" s="268"/>
      <c r="H25" s="268"/>
      <c r="I25" s="267"/>
      <c r="J25" s="268"/>
      <c r="K25" s="15"/>
      <c r="U25" s="396"/>
    </row>
    <row r="26" spans="1:21" ht="18" customHeight="1" x14ac:dyDescent="0.35">
      <c r="A26" s="8" t="s">
        <v>346</v>
      </c>
      <c r="B26" s="9">
        <f>B23-B22</f>
        <v>8</v>
      </c>
      <c r="C26" s="9">
        <f t="shared" ref="C26:J26" si="4">C23-C22</f>
        <v>-3</v>
      </c>
      <c r="D26" s="9">
        <f t="shared" si="4"/>
        <v>5</v>
      </c>
      <c r="E26" s="9">
        <f t="shared" si="4"/>
        <v>0</v>
      </c>
      <c r="F26" s="9">
        <f t="shared" si="4"/>
        <v>30</v>
      </c>
      <c r="G26" s="9">
        <f t="shared" si="4"/>
        <v>4</v>
      </c>
      <c r="H26" s="9">
        <f t="shared" si="4"/>
        <v>44</v>
      </c>
      <c r="I26" s="9"/>
      <c r="J26" s="9">
        <f t="shared" si="4"/>
        <v>40</v>
      </c>
      <c r="K26" s="296"/>
      <c r="U26" s="396"/>
    </row>
    <row r="27" spans="1:21" ht="14.15" customHeight="1" thickBot="1" x14ac:dyDescent="0.4">
      <c r="A27" s="10" t="s">
        <v>92</v>
      </c>
      <c r="B27" s="269">
        <f>B26/B22</f>
        <v>2.3378141437755697E-3</v>
      </c>
      <c r="C27" s="269">
        <f t="shared" ref="C27:J27" si="5">C26/C22</f>
        <v>-1.1078286558345643E-3</v>
      </c>
      <c r="D27" s="269">
        <f t="shared" si="5"/>
        <v>9.0909090909090912E-2</v>
      </c>
      <c r="E27" s="269">
        <f t="shared" si="5"/>
        <v>0</v>
      </c>
      <c r="F27" s="269">
        <f t="shared" si="5"/>
        <v>3.3821871476888386E-2</v>
      </c>
      <c r="G27" s="269">
        <f t="shared" si="5"/>
        <v>1.4869888475836431E-2</v>
      </c>
      <c r="H27" s="269">
        <f t="shared" si="5"/>
        <v>5.8572949946751867E-3</v>
      </c>
      <c r="I27" s="269"/>
      <c r="J27" s="269">
        <f t="shared" si="5"/>
        <v>5.5225735192599755E-3</v>
      </c>
      <c r="K27" s="15"/>
      <c r="U27" s="396"/>
    </row>
    <row r="28" spans="1:21" ht="18" customHeight="1" x14ac:dyDescent="0.35">
      <c r="A28" s="12"/>
      <c r="B28" s="13"/>
      <c r="C28" s="13"/>
      <c r="D28" s="13"/>
      <c r="E28" s="13"/>
      <c r="F28" s="13"/>
      <c r="G28" s="13"/>
      <c r="H28" s="14"/>
      <c r="I28" s="13"/>
      <c r="J28" s="13"/>
      <c r="K28" s="296"/>
      <c r="U28" s="396"/>
    </row>
    <row r="29" spans="1:21" ht="18" customHeight="1" x14ac:dyDescent="0.35">
      <c r="A29" s="650" t="str">
        <f>"Five Year Change " &amp; A17 &amp; " to " &amp; A22</f>
        <v>Five Year Change 2018-19 to 2023-24</v>
      </c>
      <c r="B29" s="650"/>
      <c r="C29" s="650"/>
      <c r="D29" s="566"/>
      <c r="E29" s="268"/>
      <c r="F29" s="268"/>
      <c r="G29" s="268"/>
      <c r="H29" s="268"/>
      <c r="I29" s="267"/>
      <c r="J29" s="268"/>
      <c r="K29" s="296"/>
      <c r="U29" s="396"/>
    </row>
    <row r="30" spans="1:21" ht="18" customHeight="1" x14ac:dyDescent="0.35">
      <c r="A30" s="8" t="s">
        <v>346</v>
      </c>
      <c r="B30" s="9">
        <f>B22-B17</f>
        <v>-215</v>
      </c>
      <c r="C30" s="9">
        <f t="shared" ref="C30:J30" si="6">C22-C17</f>
        <v>-227</v>
      </c>
      <c r="D30" s="9">
        <f t="shared" si="6"/>
        <v>37</v>
      </c>
      <c r="E30" s="9">
        <f t="shared" si="6"/>
        <v>-36</v>
      </c>
      <c r="F30" s="9">
        <f t="shared" si="6"/>
        <v>95</v>
      </c>
      <c r="G30" s="9">
        <f t="shared" si="6"/>
        <v>-52</v>
      </c>
      <c r="H30" s="9">
        <f t="shared" si="6"/>
        <v>-398</v>
      </c>
      <c r="I30" s="9"/>
      <c r="J30" s="9">
        <f t="shared" si="6"/>
        <v>-346</v>
      </c>
      <c r="K30" s="15"/>
      <c r="U30" s="396"/>
    </row>
    <row r="31" spans="1:21" ht="15" customHeight="1" thickBot="1" x14ac:dyDescent="0.4">
      <c r="A31" s="10" t="s">
        <v>92</v>
      </c>
      <c r="B31" s="269">
        <f>B30/B17</f>
        <v>-5.9114654935386306E-2</v>
      </c>
      <c r="C31" s="269">
        <f t="shared" ref="C31:J31" si="7">C30/C17</f>
        <v>-7.7342419080068142E-2</v>
      </c>
      <c r="D31" s="269"/>
      <c r="E31" s="269">
        <f t="shared" si="7"/>
        <v>-0.17391304347826086</v>
      </c>
      <c r="F31" s="269">
        <f t="shared" si="7"/>
        <v>0.11994949494949494</v>
      </c>
      <c r="G31" s="269">
        <f t="shared" si="7"/>
        <v>-0.16199376947040497</v>
      </c>
      <c r="H31" s="269">
        <f t="shared" si="7"/>
        <v>-5.031605562579014E-2</v>
      </c>
      <c r="I31" s="269"/>
      <c r="J31" s="269">
        <f t="shared" si="7"/>
        <v>-4.5592304651469233E-2</v>
      </c>
      <c r="K31" s="15"/>
      <c r="U31" s="396"/>
    </row>
    <row r="32" spans="1:21" ht="15" customHeight="1" x14ac:dyDescent="0.35">
      <c r="A32" s="429"/>
      <c r="B32" s="430"/>
      <c r="C32" s="430"/>
      <c r="D32" s="430"/>
      <c r="E32" s="430"/>
      <c r="F32" s="430"/>
      <c r="G32" s="430"/>
      <c r="H32" s="430"/>
      <c r="I32" s="430"/>
      <c r="J32" s="430"/>
      <c r="K32" s="15"/>
      <c r="U32" s="396"/>
    </row>
    <row r="33" spans="1:16381" ht="28.5" customHeight="1" x14ac:dyDescent="0.35">
      <c r="A33" s="312" t="s">
        <v>329</v>
      </c>
      <c r="B33" s="430"/>
      <c r="C33" s="430"/>
      <c r="D33" s="430"/>
      <c r="E33" s="430"/>
      <c r="F33" s="430"/>
      <c r="G33" s="430"/>
      <c r="H33" s="430"/>
      <c r="I33" s="430"/>
      <c r="J33" s="430"/>
      <c r="K33" s="15"/>
      <c r="U33" s="396"/>
    </row>
    <row r="34" spans="1:16381" ht="32.15" customHeight="1" x14ac:dyDescent="0.35">
      <c r="A34" s="1020" t="s">
        <v>519</v>
      </c>
      <c r="B34" s="1020"/>
      <c r="C34" s="1020"/>
      <c r="D34" s="1020"/>
      <c r="E34" s="1020"/>
      <c r="F34" s="1020"/>
      <c r="G34" s="1020"/>
      <c r="H34" s="571"/>
      <c r="I34" s="571"/>
      <c r="J34" s="571"/>
      <c r="K34" s="15"/>
      <c r="U34" s="396"/>
    </row>
    <row r="35" spans="1:16381" x14ac:dyDescent="0.35">
      <c r="A35" s="1020" t="s">
        <v>520</v>
      </c>
      <c r="B35" s="1020"/>
      <c r="C35" s="1020"/>
      <c r="D35" s="1020"/>
      <c r="E35" s="571"/>
      <c r="F35" s="571"/>
      <c r="G35" s="571"/>
      <c r="H35" s="571"/>
      <c r="I35" s="571"/>
      <c r="J35" s="571"/>
      <c r="K35" s="15"/>
      <c r="U35" s="396"/>
    </row>
    <row r="36" spans="1:16381" ht="24" customHeight="1" x14ac:dyDescent="0.35">
      <c r="A36" s="15"/>
      <c r="B36" s="15"/>
      <c r="C36" s="15"/>
      <c r="D36" s="15"/>
      <c r="E36" s="15"/>
      <c r="F36" s="15"/>
      <c r="G36" s="15"/>
      <c r="H36" s="15"/>
      <c r="I36" s="15"/>
      <c r="J36" s="15"/>
      <c r="K36" s="15"/>
      <c r="U36" s="396"/>
    </row>
    <row r="37" spans="1:16381" ht="15" customHeight="1" x14ac:dyDescent="0.35">
      <c r="A37" s="439" t="s">
        <v>521</v>
      </c>
      <c r="B37" s="439"/>
      <c r="C37" s="439"/>
      <c r="D37" s="439"/>
      <c r="E37" s="439"/>
      <c r="F37" s="439"/>
      <c r="G37" s="439"/>
      <c r="H37" s="439"/>
      <c r="I37" s="439"/>
      <c r="J37" s="439"/>
      <c r="K37" s="15"/>
      <c r="U37" s="396"/>
    </row>
    <row r="38" spans="1:16381" ht="15" customHeight="1" x14ac:dyDescent="0.35">
      <c r="A38" t="s">
        <v>202</v>
      </c>
      <c r="B38" t="s">
        <v>56</v>
      </c>
      <c r="E38" s="231"/>
      <c r="F38" s="231"/>
      <c r="G38" s="231"/>
      <c r="H38" s="231"/>
      <c r="I38" s="231"/>
      <c r="J38" s="231"/>
      <c r="K38" s="15"/>
      <c r="U38" s="396"/>
    </row>
    <row r="39" spans="1:16381" ht="15" customHeight="1" x14ac:dyDescent="0.35">
      <c r="A39" t="s">
        <v>203</v>
      </c>
      <c r="B39" t="s">
        <v>204</v>
      </c>
      <c r="E39" s="231"/>
      <c r="F39" s="231"/>
      <c r="G39" s="231"/>
      <c r="H39" s="231"/>
      <c r="I39" s="231"/>
      <c r="J39" s="231"/>
      <c r="K39" s="15"/>
      <c r="U39" s="396"/>
    </row>
    <row r="40" spans="1:16381" ht="16" customHeight="1" x14ac:dyDescent="0.35">
      <c r="A40" t="s">
        <v>205</v>
      </c>
      <c r="B40" t="s">
        <v>206</v>
      </c>
      <c r="E40" s="231"/>
      <c r="F40" s="231"/>
      <c r="G40" s="231"/>
      <c r="H40" s="231"/>
      <c r="I40" s="231"/>
      <c r="J40" s="231"/>
      <c r="K40" s="15"/>
      <c r="U40" s="396"/>
    </row>
    <row r="41" spans="1:16381" ht="15.5" x14ac:dyDescent="0.35">
      <c r="A41" s="312"/>
      <c r="B41" s="312"/>
      <c r="C41" s="312"/>
      <c r="D41" s="312"/>
      <c r="E41" s="312"/>
      <c r="F41" s="312"/>
      <c r="G41" s="312"/>
      <c r="H41" s="231"/>
      <c r="I41" s="231"/>
      <c r="J41" s="231"/>
      <c r="K41" s="15"/>
      <c r="U41" s="396"/>
    </row>
    <row r="42" spans="1:16381" ht="43.5" x14ac:dyDescent="0.35">
      <c r="A42" s="496" t="s">
        <v>207</v>
      </c>
      <c r="B42" s="644" t="s">
        <v>515</v>
      </c>
      <c r="C42" s="644" t="s">
        <v>361</v>
      </c>
      <c r="D42" s="644" t="s">
        <v>516</v>
      </c>
      <c r="E42" s="644" t="s">
        <v>511</v>
      </c>
      <c r="F42" s="644" t="s">
        <v>512</v>
      </c>
      <c r="G42" s="644" t="s">
        <v>518</v>
      </c>
      <c r="I42" s="263"/>
      <c r="J42" s="263"/>
      <c r="K42" s="15"/>
      <c r="U42" s="396"/>
    </row>
    <row r="43" spans="1:16381" x14ac:dyDescent="0.35">
      <c r="A43" s="312" t="s">
        <v>362</v>
      </c>
      <c r="B43" s="602">
        <f>GETPIVOTDATA("Sum of WholeTime Operational",StaffingPivot!$A$22,"Year",A43)</f>
        <v>4159</v>
      </c>
      <c r="C43" s="602">
        <f>GETPIVOTDATA("Sum of Retained Duty System",StaffingPivot!$A$22,"Year",A43)</f>
        <v>2813</v>
      </c>
      <c r="D43" s="610"/>
      <c r="E43" s="602">
        <f>GETPIVOTDATA("Sum of Control",StaffingPivot!$A$22,"Year",A43)</f>
        <v>225</v>
      </c>
      <c r="F43" s="602">
        <f>GETPIVOTDATA("Sum of Support",StaffingPivot!$A$22,"Year",A43)</f>
        <v>961</v>
      </c>
      <c r="G43" s="603">
        <f t="shared" ref="G43:G54" si="8">SUM(B43:F43)</f>
        <v>8158</v>
      </c>
      <c r="I43" s="263"/>
      <c r="J43" s="263"/>
      <c r="K43" s="15"/>
      <c r="U43" s="396"/>
    </row>
    <row r="44" spans="1:16381" x14ac:dyDescent="0.35">
      <c r="A44" s="312" t="s">
        <v>363</v>
      </c>
      <c r="B44" s="602">
        <f>GETPIVOTDATA("Sum of WholeTime Operational",StaffingPivot!$A$22,"Year",A44)</f>
        <v>4151</v>
      </c>
      <c r="C44" s="602">
        <f>GETPIVOTDATA("Sum of Retained Duty System",StaffingPivot!$A$22,"Year",A44)</f>
        <v>2787</v>
      </c>
      <c r="D44" s="610"/>
      <c r="E44" s="602">
        <f>GETPIVOTDATA("Sum of Control",StaffingPivot!$A$22,"Year",A44)</f>
        <v>224</v>
      </c>
      <c r="F44" s="602">
        <f>GETPIVOTDATA("Sum of Support",StaffingPivot!$A$22,"Year",A44)</f>
        <v>927</v>
      </c>
      <c r="G44" s="603">
        <f t="shared" si="8"/>
        <v>8089</v>
      </c>
      <c r="I44" s="263"/>
      <c r="J44" s="263"/>
      <c r="K44" s="15"/>
      <c r="U44" s="396"/>
    </row>
    <row r="45" spans="1:16381" ht="15" customHeight="1" x14ac:dyDescent="0.35">
      <c r="A45" s="312" t="s">
        <v>364</v>
      </c>
      <c r="B45" s="602">
        <f>GETPIVOTDATA("Sum of WholeTime Operational",StaffingPivot!$A$22,"Year",A45)</f>
        <v>4001</v>
      </c>
      <c r="C45" s="602">
        <f>GETPIVOTDATA("Sum of Retained Duty System",StaffingPivot!$A$22,"Year",A45)</f>
        <v>2665</v>
      </c>
      <c r="D45" s="610"/>
      <c r="E45" s="602">
        <f>GETPIVOTDATA("Sum of Control",StaffingPivot!$A$22,"Year",A45)</f>
        <v>213</v>
      </c>
      <c r="F45" s="602">
        <f>GETPIVOTDATA("Sum of Support",StaffingPivot!$A$22,"Year",A45)</f>
        <v>811</v>
      </c>
      <c r="G45" s="603">
        <f t="shared" si="8"/>
        <v>7690</v>
      </c>
      <c r="I45" s="263"/>
      <c r="J45" s="263"/>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21"/>
      <c r="AM45" s="1021"/>
      <c r="AN45" s="1021"/>
      <c r="AO45" s="1021"/>
      <c r="AP45" s="1021"/>
      <c r="AQ45" s="1021"/>
      <c r="AR45" s="1021"/>
      <c r="AS45" s="1021"/>
      <c r="AT45" s="1021"/>
      <c r="AU45" s="1021"/>
      <c r="AV45" s="1021"/>
      <c r="AW45" s="1021"/>
      <c r="AX45" s="1021"/>
      <c r="AY45" s="1021"/>
      <c r="AZ45" s="1021"/>
      <c r="BA45" s="1021"/>
      <c r="BB45" s="1021"/>
      <c r="BC45" s="1021"/>
      <c r="BD45" s="1021"/>
      <c r="BE45" s="1021"/>
      <c r="BF45" s="1021"/>
      <c r="BG45" s="1021"/>
      <c r="BH45" s="1021"/>
      <c r="BI45" s="1021"/>
      <c r="BJ45" s="1021"/>
      <c r="BK45" s="1021"/>
      <c r="BL45" s="1021"/>
      <c r="BM45" s="1021"/>
      <c r="BN45" s="1021"/>
      <c r="BO45" s="1021"/>
      <c r="BP45" s="1021"/>
      <c r="BQ45" s="1021"/>
      <c r="BR45" s="1021"/>
      <c r="BS45" s="1021"/>
      <c r="BT45" s="1021"/>
      <c r="BU45" s="1021"/>
      <c r="BV45" s="1021"/>
      <c r="BW45" s="1021"/>
      <c r="BX45" s="1021"/>
      <c r="BY45" s="1021"/>
      <c r="BZ45" s="1021"/>
      <c r="CA45" s="1021"/>
      <c r="CB45" s="1021"/>
      <c r="CC45" s="1021"/>
      <c r="CD45" s="1021"/>
      <c r="CE45" s="1021"/>
      <c r="CF45" s="1021"/>
      <c r="CG45" s="1021"/>
      <c r="CH45" s="1021"/>
      <c r="CI45" s="1021"/>
      <c r="CJ45" s="1021"/>
      <c r="CK45" s="1021"/>
      <c r="CL45" s="1021"/>
      <c r="CM45" s="1021"/>
      <c r="CN45" s="1021"/>
      <c r="CO45" s="1021"/>
      <c r="CP45" s="1021"/>
      <c r="CQ45" s="1021"/>
      <c r="CR45" s="1021"/>
      <c r="CS45" s="1021"/>
      <c r="CT45" s="1021"/>
      <c r="CU45" s="1021"/>
      <c r="CV45" s="1021"/>
      <c r="CW45" s="1021"/>
      <c r="CX45" s="1021"/>
      <c r="CY45" s="1021"/>
      <c r="CZ45" s="1021"/>
      <c r="DA45" s="1021"/>
      <c r="DB45" s="1021"/>
      <c r="DC45" s="1021"/>
      <c r="DD45" s="1021"/>
      <c r="DE45" s="1021"/>
      <c r="DF45" s="1021"/>
      <c r="DG45" s="1021"/>
      <c r="DH45" s="1021"/>
      <c r="DI45" s="1021"/>
      <c r="DJ45" s="1021"/>
      <c r="DK45" s="1021"/>
      <c r="DL45" s="1021"/>
      <c r="DM45" s="1021"/>
      <c r="DN45" s="1021"/>
      <c r="DO45" s="1021"/>
      <c r="DP45" s="1021"/>
      <c r="DQ45" s="1021"/>
      <c r="DR45" s="1021"/>
      <c r="DS45" s="1021"/>
      <c r="DT45" s="1021"/>
      <c r="DU45" s="1021"/>
      <c r="DV45" s="1021"/>
      <c r="DW45" s="1021"/>
      <c r="DX45" s="1021"/>
      <c r="DY45" s="1021"/>
      <c r="DZ45" s="1021"/>
      <c r="EA45" s="1021"/>
      <c r="EB45" s="1021"/>
      <c r="EC45" s="1021"/>
      <c r="ED45" s="1021"/>
      <c r="EE45" s="1021"/>
      <c r="EF45" s="1021"/>
      <c r="EG45" s="1021"/>
      <c r="EH45" s="1021"/>
      <c r="EI45" s="1021"/>
      <c r="EJ45" s="1021"/>
      <c r="EK45" s="1021"/>
      <c r="EL45" s="1021"/>
      <c r="EM45" s="1021"/>
      <c r="EN45" s="1021"/>
      <c r="EO45" s="1021"/>
      <c r="EP45" s="1021"/>
      <c r="EQ45" s="1021"/>
      <c r="ER45" s="1021"/>
      <c r="ES45" s="1021"/>
      <c r="ET45" s="1021"/>
      <c r="EU45" s="1021"/>
      <c r="EV45" s="1021"/>
      <c r="EW45" s="1021"/>
      <c r="EX45" s="1021"/>
      <c r="EY45" s="1021"/>
      <c r="EZ45" s="1021"/>
      <c r="FA45" s="1021"/>
      <c r="FB45" s="1021"/>
      <c r="FC45" s="1021"/>
      <c r="FD45" s="1021"/>
      <c r="FE45" s="1021"/>
      <c r="FF45" s="1021"/>
      <c r="FG45" s="1021"/>
      <c r="FH45" s="1021"/>
      <c r="FI45" s="1021"/>
      <c r="FJ45" s="1021"/>
      <c r="FK45" s="1021"/>
      <c r="FL45" s="1021"/>
      <c r="FM45" s="1021"/>
      <c r="FN45" s="1021"/>
      <c r="FO45" s="1021"/>
      <c r="FP45" s="1021"/>
      <c r="FQ45" s="1021"/>
      <c r="FR45" s="1021"/>
      <c r="FS45" s="1021"/>
      <c r="FT45" s="1021"/>
      <c r="FU45" s="1021"/>
      <c r="FV45" s="1021"/>
      <c r="FW45" s="1021"/>
      <c r="FX45" s="1021"/>
      <c r="FY45" s="1021"/>
      <c r="FZ45" s="1021"/>
      <c r="GA45" s="1021"/>
      <c r="GB45" s="1021"/>
      <c r="GC45" s="1021"/>
      <c r="GD45" s="1021"/>
      <c r="GE45" s="1021"/>
      <c r="GF45" s="1021"/>
      <c r="GG45" s="1021"/>
      <c r="GH45" s="1021"/>
      <c r="GI45" s="1021"/>
      <c r="GJ45" s="1021"/>
      <c r="GK45" s="1021"/>
      <c r="GL45" s="1021"/>
      <c r="GM45" s="1021"/>
      <c r="GN45" s="1021"/>
      <c r="GO45" s="1021"/>
      <c r="GP45" s="1021"/>
      <c r="GQ45" s="1021"/>
      <c r="GR45" s="1021"/>
      <c r="GS45" s="1021"/>
      <c r="GT45" s="1021"/>
      <c r="GU45" s="1021"/>
      <c r="GV45" s="1021"/>
      <c r="GW45" s="1021"/>
      <c r="GX45" s="1021"/>
      <c r="GY45" s="1021"/>
      <c r="GZ45" s="1021"/>
      <c r="HA45" s="1021"/>
      <c r="HB45" s="1021"/>
      <c r="HC45" s="1021"/>
      <c r="HD45" s="1021"/>
      <c r="HE45" s="1021"/>
      <c r="HF45" s="1021"/>
      <c r="HG45" s="1021"/>
      <c r="HH45" s="1021"/>
      <c r="HI45" s="1021"/>
      <c r="HJ45" s="1021"/>
      <c r="HK45" s="1021"/>
      <c r="HL45" s="1021"/>
      <c r="HM45" s="1021"/>
      <c r="HN45" s="1021"/>
      <c r="HO45" s="1021"/>
      <c r="HP45" s="1021"/>
      <c r="HQ45" s="1021"/>
      <c r="HR45" s="1021"/>
      <c r="HS45" s="1021"/>
      <c r="HT45" s="1021"/>
      <c r="HU45" s="1021"/>
      <c r="HV45" s="1021"/>
      <c r="HW45" s="1021"/>
      <c r="HX45" s="1021"/>
      <c r="HY45" s="1021"/>
      <c r="HZ45" s="1021"/>
      <c r="IA45" s="1021"/>
      <c r="IB45" s="1021"/>
      <c r="IC45" s="1021"/>
      <c r="ID45" s="1021"/>
      <c r="IE45" s="1021"/>
      <c r="IF45" s="1021"/>
      <c r="IG45" s="1021"/>
      <c r="IH45" s="1021"/>
      <c r="II45" s="1021"/>
      <c r="IJ45" s="1021"/>
      <c r="IK45" s="1021"/>
      <c r="IL45" s="1021"/>
      <c r="IM45" s="1021"/>
      <c r="IN45" s="1021"/>
      <c r="IO45" s="1021"/>
      <c r="IP45" s="1021"/>
      <c r="IQ45" s="1021"/>
      <c r="IR45" s="1021"/>
      <c r="IS45" s="1021"/>
      <c r="IT45" s="1021"/>
      <c r="IU45" s="1021"/>
      <c r="IV45" s="1021"/>
      <c r="IW45" s="1021"/>
      <c r="IX45" s="1021"/>
      <c r="IY45" s="1021"/>
      <c r="IZ45" s="1021"/>
      <c r="JA45" s="1021"/>
      <c r="JB45" s="1021"/>
      <c r="JC45" s="1021"/>
      <c r="JD45" s="1021"/>
      <c r="JE45" s="1021"/>
      <c r="JF45" s="1021"/>
      <c r="JG45" s="1021"/>
      <c r="JH45" s="1021"/>
      <c r="JI45" s="1021"/>
      <c r="JJ45" s="1021"/>
      <c r="JK45" s="1021"/>
      <c r="JL45" s="1021"/>
      <c r="JM45" s="1021"/>
      <c r="JN45" s="1021"/>
      <c r="JO45" s="1021"/>
      <c r="JP45" s="1021"/>
      <c r="JQ45" s="1021"/>
      <c r="JR45" s="1021"/>
      <c r="JS45" s="1021"/>
      <c r="JT45" s="1021"/>
      <c r="JU45" s="1021"/>
      <c r="JV45" s="1021"/>
      <c r="JW45" s="1021"/>
      <c r="JX45" s="1021"/>
      <c r="JY45" s="1021"/>
      <c r="JZ45" s="1021"/>
      <c r="KA45" s="1021"/>
      <c r="KB45" s="1021"/>
      <c r="KC45" s="1021"/>
      <c r="KD45" s="1021"/>
      <c r="KE45" s="1021"/>
      <c r="KF45" s="1021"/>
      <c r="KG45" s="1021"/>
      <c r="KH45" s="1021"/>
      <c r="KI45" s="1021"/>
      <c r="KJ45" s="1021"/>
      <c r="KK45" s="1021"/>
      <c r="KL45" s="1021"/>
      <c r="KM45" s="1021"/>
      <c r="KN45" s="1021"/>
      <c r="KO45" s="1021"/>
      <c r="KP45" s="1021"/>
      <c r="KQ45" s="1021"/>
      <c r="KR45" s="1021"/>
      <c r="KS45" s="1021"/>
      <c r="KT45" s="1021"/>
      <c r="KU45" s="1021"/>
      <c r="KV45" s="1021"/>
      <c r="KW45" s="1021"/>
      <c r="KX45" s="1021"/>
      <c r="KY45" s="1021"/>
      <c r="KZ45" s="1021"/>
      <c r="LA45" s="1021"/>
      <c r="LB45" s="1021"/>
      <c r="LC45" s="1021"/>
      <c r="LD45" s="1021"/>
      <c r="LE45" s="1021"/>
      <c r="LF45" s="1021"/>
      <c r="LG45" s="1021"/>
      <c r="LH45" s="1021"/>
      <c r="LI45" s="1021"/>
      <c r="LJ45" s="1021"/>
      <c r="LK45" s="1021"/>
      <c r="LL45" s="1021"/>
      <c r="LM45" s="1021"/>
      <c r="LN45" s="1021"/>
      <c r="LO45" s="1021"/>
      <c r="LP45" s="1021"/>
      <c r="LQ45" s="1021"/>
      <c r="LR45" s="1021"/>
      <c r="LS45" s="1021"/>
      <c r="LT45" s="1021"/>
      <c r="LU45" s="1021"/>
      <c r="LV45" s="1021"/>
      <c r="LW45" s="1021"/>
      <c r="LX45" s="1021"/>
      <c r="LY45" s="1021"/>
      <c r="LZ45" s="1021"/>
      <c r="MA45" s="1021"/>
      <c r="MB45" s="1021"/>
      <c r="MC45" s="1021"/>
      <c r="MD45" s="1021"/>
      <c r="ME45" s="1021"/>
      <c r="MF45" s="1021"/>
      <c r="MG45" s="1021"/>
      <c r="MH45" s="1021"/>
      <c r="MI45" s="1021"/>
      <c r="MJ45" s="1021"/>
      <c r="MK45" s="1021"/>
      <c r="ML45" s="1021"/>
      <c r="MM45" s="1021"/>
      <c r="MN45" s="1021"/>
      <c r="MO45" s="1021"/>
      <c r="MP45" s="1021"/>
      <c r="MQ45" s="1021"/>
      <c r="MR45" s="1021"/>
      <c r="MS45" s="1021"/>
      <c r="MT45" s="1021"/>
      <c r="MU45" s="1021"/>
      <c r="MV45" s="1021"/>
      <c r="MW45" s="1021"/>
      <c r="MX45" s="1021"/>
      <c r="MY45" s="1021"/>
      <c r="MZ45" s="1021"/>
      <c r="NA45" s="1021"/>
      <c r="NB45" s="1021"/>
      <c r="NC45" s="1021"/>
      <c r="ND45" s="1021"/>
      <c r="NE45" s="1021"/>
      <c r="NF45" s="1021"/>
      <c r="NG45" s="1021"/>
      <c r="NH45" s="1021"/>
      <c r="NI45" s="1021"/>
      <c r="NJ45" s="1021"/>
      <c r="NK45" s="1021"/>
      <c r="NL45" s="1021"/>
      <c r="NM45" s="1021"/>
      <c r="NN45" s="1021"/>
      <c r="NO45" s="1021"/>
      <c r="NP45" s="1021"/>
      <c r="NQ45" s="1021"/>
      <c r="NR45" s="1021"/>
      <c r="NS45" s="1021"/>
      <c r="NT45" s="1021"/>
      <c r="NU45" s="1021"/>
      <c r="NV45" s="1021"/>
      <c r="NW45" s="1021"/>
      <c r="NX45" s="1021"/>
      <c r="NY45" s="1021"/>
      <c r="NZ45" s="1021"/>
      <c r="OA45" s="1021"/>
      <c r="OB45" s="1021"/>
      <c r="OC45" s="1021"/>
      <c r="OD45" s="1021"/>
      <c r="OE45" s="1021"/>
      <c r="OF45" s="1021"/>
      <c r="OG45" s="1021"/>
      <c r="OH45" s="1021"/>
      <c r="OI45" s="1021"/>
      <c r="OJ45" s="1021"/>
      <c r="OK45" s="1021"/>
      <c r="OL45" s="1021"/>
      <c r="OM45" s="1021"/>
      <c r="ON45" s="1021"/>
      <c r="OO45" s="1021"/>
      <c r="OP45" s="1021"/>
      <c r="OQ45" s="1021"/>
      <c r="OR45" s="1021"/>
      <c r="OS45" s="1021"/>
      <c r="OT45" s="1021"/>
      <c r="OU45" s="1021"/>
      <c r="OV45" s="1021"/>
      <c r="OW45" s="1021"/>
      <c r="OX45" s="1021"/>
      <c r="OY45" s="1021"/>
      <c r="OZ45" s="1021"/>
      <c r="PA45" s="1021"/>
      <c r="PB45" s="1021"/>
      <c r="PC45" s="1021"/>
      <c r="PD45" s="1021"/>
      <c r="PE45" s="1021"/>
      <c r="PF45" s="1021"/>
      <c r="PG45" s="1021"/>
      <c r="PH45" s="1021"/>
      <c r="PI45" s="1021"/>
      <c r="PJ45" s="1021"/>
      <c r="PK45" s="1021"/>
      <c r="PL45" s="1021"/>
      <c r="PM45" s="1021"/>
      <c r="PN45" s="1021"/>
      <c r="PO45" s="1021"/>
      <c r="PP45" s="1021"/>
      <c r="PQ45" s="1021"/>
      <c r="PR45" s="1021"/>
      <c r="PS45" s="1021"/>
      <c r="PT45" s="1021"/>
      <c r="PU45" s="1021"/>
      <c r="PV45" s="1021"/>
      <c r="PW45" s="1021"/>
      <c r="PX45" s="1021"/>
      <c r="PY45" s="1021"/>
      <c r="PZ45" s="1021"/>
      <c r="QA45" s="1021"/>
      <c r="QB45" s="1021"/>
      <c r="QC45" s="1021"/>
      <c r="QD45" s="1021"/>
      <c r="QE45" s="1021"/>
      <c r="QF45" s="1021"/>
      <c r="QG45" s="1021"/>
      <c r="QH45" s="1021"/>
      <c r="QI45" s="1021"/>
      <c r="QJ45" s="1021"/>
      <c r="QK45" s="1021"/>
      <c r="QL45" s="1021"/>
      <c r="QM45" s="1021"/>
      <c r="QN45" s="1021"/>
      <c r="QO45" s="1021"/>
      <c r="QP45" s="1021"/>
      <c r="QQ45" s="1021"/>
      <c r="QR45" s="1021"/>
      <c r="QS45" s="1021"/>
      <c r="QT45" s="1021"/>
      <c r="QU45" s="1021"/>
      <c r="QV45" s="1021"/>
      <c r="QW45" s="1021"/>
      <c r="QX45" s="1021"/>
      <c r="QY45" s="1021"/>
      <c r="QZ45" s="1021"/>
      <c r="RA45" s="1021"/>
      <c r="RB45" s="1021"/>
      <c r="RC45" s="1021"/>
      <c r="RD45" s="1021"/>
      <c r="RE45" s="1021"/>
      <c r="RF45" s="1021"/>
      <c r="RG45" s="1021"/>
      <c r="RH45" s="1021"/>
      <c r="RI45" s="1021"/>
      <c r="RJ45" s="1021"/>
      <c r="RK45" s="1021"/>
      <c r="RL45" s="1021"/>
      <c r="RM45" s="1021"/>
      <c r="RN45" s="1021"/>
      <c r="RO45" s="1021"/>
      <c r="RP45" s="1021"/>
      <c r="RQ45" s="1021"/>
      <c r="RR45" s="1021"/>
      <c r="RS45" s="1021"/>
      <c r="RT45" s="1021"/>
      <c r="RU45" s="1021"/>
      <c r="RV45" s="1021"/>
      <c r="RW45" s="1021"/>
      <c r="RX45" s="1021"/>
      <c r="RY45" s="1021"/>
      <c r="RZ45" s="1021"/>
      <c r="SA45" s="1021"/>
      <c r="SB45" s="1021"/>
      <c r="SC45" s="1021"/>
      <c r="SD45" s="1021"/>
      <c r="SE45" s="1021"/>
      <c r="SF45" s="1021"/>
      <c r="SG45" s="1021"/>
      <c r="SH45" s="1021"/>
      <c r="SI45" s="1021"/>
      <c r="SJ45" s="1021"/>
      <c r="SK45" s="1021"/>
      <c r="SL45" s="1021"/>
      <c r="SM45" s="1021"/>
      <c r="SN45" s="1021"/>
      <c r="SO45" s="1021"/>
      <c r="SP45" s="1021"/>
      <c r="SQ45" s="1021"/>
      <c r="SR45" s="1021"/>
      <c r="SS45" s="1021"/>
      <c r="ST45" s="1021"/>
      <c r="SU45" s="1021"/>
      <c r="SV45" s="1021"/>
      <c r="SW45" s="1021"/>
      <c r="SX45" s="1021"/>
      <c r="SY45" s="1021"/>
      <c r="SZ45" s="1021"/>
      <c r="TA45" s="1021"/>
      <c r="TB45" s="1021"/>
      <c r="TC45" s="1021"/>
      <c r="TD45" s="1021"/>
      <c r="TE45" s="1021"/>
      <c r="TF45" s="1021"/>
      <c r="TG45" s="1021"/>
      <c r="TH45" s="1021"/>
      <c r="TI45" s="1021"/>
      <c r="TJ45" s="1021"/>
      <c r="TK45" s="1021"/>
      <c r="TL45" s="1021"/>
      <c r="TM45" s="1021"/>
      <c r="TN45" s="1021"/>
      <c r="TO45" s="1021"/>
      <c r="TP45" s="1021"/>
      <c r="TQ45" s="1021"/>
      <c r="TR45" s="1021"/>
      <c r="TS45" s="1021"/>
      <c r="TT45" s="1021"/>
      <c r="TU45" s="1021"/>
      <c r="TV45" s="1021"/>
      <c r="TW45" s="1021"/>
      <c r="TX45" s="1021"/>
      <c r="TY45" s="1021"/>
      <c r="TZ45" s="1021"/>
      <c r="UA45" s="1021"/>
      <c r="UB45" s="1021"/>
      <c r="UC45" s="1021"/>
      <c r="UD45" s="1021"/>
      <c r="UE45" s="1021"/>
      <c r="UF45" s="1021"/>
      <c r="UG45" s="1021"/>
      <c r="UH45" s="1021"/>
      <c r="UI45" s="1021"/>
      <c r="UJ45" s="1021"/>
      <c r="UK45" s="1021"/>
      <c r="UL45" s="1021"/>
      <c r="UM45" s="1021"/>
      <c r="UN45" s="1021"/>
      <c r="UO45" s="1021"/>
      <c r="UP45" s="1021"/>
      <c r="UQ45" s="1021"/>
      <c r="UR45" s="1021"/>
      <c r="US45" s="1021"/>
      <c r="UT45" s="1021"/>
      <c r="UU45" s="1021"/>
      <c r="UV45" s="1021"/>
      <c r="UW45" s="1021"/>
      <c r="UX45" s="1021"/>
      <c r="UY45" s="1021"/>
      <c r="UZ45" s="1021"/>
      <c r="VA45" s="1021"/>
      <c r="VB45" s="1021"/>
      <c r="VC45" s="1021"/>
      <c r="VD45" s="1021"/>
      <c r="VE45" s="1021"/>
      <c r="VF45" s="1021"/>
      <c r="VG45" s="1021"/>
      <c r="VH45" s="1021"/>
      <c r="VI45" s="1021"/>
      <c r="VJ45" s="1021"/>
      <c r="VK45" s="1021"/>
      <c r="VL45" s="1021"/>
      <c r="VM45" s="1021"/>
      <c r="VN45" s="1021"/>
      <c r="VO45" s="1021"/>
      <c r="VP45" s="1021"/>
      <c r="VQ45" s="1021"/>
      <c r="VR45" s="1021"/>
      <c r="VS45" s="1021"/>
      <c r="VT45" s="1021"/>
      <c r="VU45" s="1021"/>
      <c r="VV45" s="1021"/>
      <c r="VW45" s="1021"/>
      <c r="VX45" s="1021"/>
      <c r="VY45" s="1021"/>
      <c r="VZ45" s="1021"/>
      <c r="WA45" s="1021"/>
      <c r="WB45" s="1021"/>
      <c r="WC45" s="1021"/>
      <c r="WD45" s="1021"/>
      <c r="WE45" s="1021"/>
      <c r="WF45" s="1021"/>
      <c r="WG45" s="1021"/>
      <c r="WH45" s="1021"/>
      <c r="WI45" s="1021"/>
      <c r="WJ45" s="1021"/>
      <c r="WK45" s="1021"/>
      <c r="WL45" s="1021"/>
      <c r="WM45" s="1021"/>
      <c r="WN45" s="1021"/>
      <c r="WO45" s="1021"/>
      <c r="WP45" s="1021"/>
      <c r="WQ45" s="1021"/>
      <c r="WR45" s="1021"/>
      <c r="WS45" s="1021"/>
      <c r="WT45" s="1021"/>
      <c r="WU45" s="1021"/>
      <c r="WV45" s="1021"/>
      <c r="WW45" s="1021"/>
      <c r="WX45" s="1021"/>
      <c r="WY45" s="1021"/>
      <c r="WZ45" s="1021"/>
      <c r="XA45" s="1021"/>
      <c r="XB45" s="1021"/>
      <c r="XC45" s="1021"/>
      <c r="XD45" s="1021"/>
      <c r="XE45" s="1021"/>
      <c r="XF45" s="1021"/>
      <c r="XG45" s="1021"/>
      <c r="XH45" s="1021"/>
      <c r="XI45" s="1021"/>
      <c r="XJ45" s="1021"/>
      <c r="XK45" s="1021"/>
      <c r="XL45" s="1021"/>
      <c r="XM45" s="1021"/>
      <c r="XN45" s="1021"/>
      <c r="XO45" s="1021"/>
      <c r="XP45" s="1021"/>
      <c r="XQ45" s="1021"/>
      <c r="XR45" s="1021"/>
      <c r="XS45" s="1021"/>
      <c r="XT45" s="1021"/>
      <c r="XU45" s="1021"/>
      <c r="XV45" s="1021"/>
      <c r="XW45" s="1021"/>
      <c r="XX45" s="1021"/>
      <c r="XY45" s="1021"/>
      <c r="XZ45" s="1021"/>
      <c r="YA45" s="1021"/>
      <c r="YB45" s="1021"/>
      <c r="YC45" s="1021"/>
      <c r="YD45" s="1021"/>
      <c r="YE45" s="1021"/>
      <c r="YF45" s="1021"/>
      <c r="YG45" s="1021"/>
      <c r="YH45" s="1021"/>
      <c r="YI45" s="1021"/>
      <c r="YJ45" s="1021"/>
      <c r="YK45" s="1021"/>
      <c r="YL45" s="1021"/>
      <c r="YM45" s="1021"/>
      <c r="YN45" s="1021"/>
      <c r="YO45" s="1021"/>
      <c r="YP45" s="1021"/>
      <c r="YQ45" s="1021"/>
      <c r="YR45" s="1021"/>
      <c r="YS45" s="1021"/>
      <c r="YT45" s="1021"/>
      <c r="YU45" s="1021"/>
      <c r="YV45" s="1021"/>
      <c r="YW45" s="1021"/>
      <c r="YX45" s="1021"/>
      <c r="YY45" s="1021"/>
      <c r="YZ45" s="1021"/>
      <c r="ZA45" s="1021"/>
      <c r="ZB45" s="1021"/>
      <c r="ZC45" s="1021"/>
      <c r="ZD45" s="1021"/>
      <c r="ZE45" s="1021"/>
      <c r="ZF45" s="1021"/>
      <c r="ZG45" s="1021"/>
      <c r="ZH45" s="1021"/>
      <c r="ZI45" s="1021"/>
      <c r="ZJ45" s="1021"/>
      <c r="ZK45" s="1021"/>
      <c r="ZL45" s="1021"/>
      <c r="ZM45" s="1021"/>
      <c r="ZN45" s="1021"/>
      <c r="ZO45" s="1021"/>
      <c r="ZP45" s="1021"/>
      <c r="ZQ45" s="1021"/>
      <c r="ZR45" s="1021"/>
      <c r="ZS45" s="1021"/>
      <c r="ZT45" s="1021"/>
      <c r="ZU45" s="1021"/>
      <c r="ZV45" s="1021"/>
      <c r="ZW45" s="1021"/>
      <c r="ZX45" s="1021"/>
      <c r="ZY45" s="1021"/>
      <c r="ZZ45" s="1021"/>
      <c r="AAA45" s="1021"/>
      <c r="AAB45" s="1021"/>
      <c r="AAC45" s="1021"/>
      <c r="AAD45" s="1021"/>
      <c r="AAE45" s="1021"/>
      <c r="AAF45" s="1021"/>
      <c r="AAG45" s="1021"/>
      <c r="AAH45" s="1021"/>
      <c r="AAI45" s="1021"/>
      <c r="AAJ45" s="1021"/>
      <c r="AAK45" s="1021"/>
      <c r="AAL45" s="1021"/>
      <c r="AAM45" s="1021"/>
      <c r="AAN45" s="1021"/>
      <c r="AAO45" s="1021"/>
      <c r="AAP45" s="1021"/>
      <c r="AAQ45" s="1021"/>
      <c r="AAR45" s="1021"/>
      <c r="AAS45" s="1021"/>
      <c r="AAT45" s="1021"/>
      <c r="AAU45" s="1021"/>
      <c r="AAV45" s="1021"/>
      <c r="AAW45" s="1021"/>
      <c r="AAX45" s="1021"/>
      <c r="AAY45" s="1021"/>
      <c r="AAZ45" s="1021"/>
      <c r="ABA45" s="1021"/>
      <c r="ABB45" s="1021"/>
      <c r="ABC45" s="1021"/>
      <c r="ABD45" s="1021"/>
      <c r="ABE45" s="1021"/>
      <c r="ABF45" s="1021"/>
      <c r="ABG45" s="1021"/>
      <c r="ABH45" s="1021"/>
      <c r="ABI45" s="1021"/>
      <c r="ABJ45" s="1021"/>
      <c r="ABK45" s="1021"/>
      <c r="ABL45" s="1021"/>
      <c r="ABM45" s="1021"/>
      <c r="ABN45" s="1021"/>
      <c r="ABO45" s="1021"/>
      <c r="ABP45" s="1021"/>
      <c r="ABQ45" s="1021"/>
      <c r="ABR45" s="1021"/>
      <c r="ABS45" s="1021"/>
      <c r="ABT45" s="1021"/>
      <c r="ABU45" s="1021"/>
      <c r="ABV45" s="1021"/>
      <c r="ABW45" s="1021"/>
      <c r="ABX45" s="1021"/>
      <c r="ABY45" s="1021"/>
      <c r="ABZ45" s="1021"/>
      <c r="ACA45" s="1021"/>
      <c r="ACB45" s="1021"/>
      <c r="ACC45" s="1021"/>
      <c r="ACD45" s="1021"/>
      <c r="ACE45" s="1021"/>
      <c r="ACF45" s="1021"/>
      <c r="ACG45" s="1021"/>
      <c r="ACH45" s="1021"/>
      <c r="ACI45" s="1021"/>
      <c r="ACJ45" s="1021"/>
      <c r="ACK45" s="1021"/>
      <c r="ACL45" s="1021"/>
      <c r="ACM45" s="1021"/>
      <c r="ACN45" s="1021"/>
      <c r="ACO45" s="1021"/>
      <c r="ACP45" s="1021"/>
      <c r="ACQ45" s="1021"/>
      <c r="ACR45" s="1021"/>
      <c r="ACS45" s="1021"/>
      <c r="ACT45" s="1021"/>
      <c r="ACU45" s="1021"/>
      <c r="ACV45" s="1021"/>
      <c r="ACW45" s="1021"/>
      <c r="ACX45" s="1021"/>
      <c r="ACY45" s="1021"/>
      <c r="ACZ45" s="1021"/>
      <c r="ADA45" s="1021"/>
      <c r="ADB45" s="1021"/>
      <c r="ADC45" s="1021"/>
      <c r="ADD45" s="1021"/>
      <c r="ADE45" s="1021"/>
      <c r="ADF45" s="1021"/>
      <c r="ADG45" s="1021"/>
      <c r="ADH45" s="1021"/>
      <c r="ADI45" s="1021"/>
      <c r="ADJ45" s="1021"/>
      <c r="ADK45" s="1021"/>
      <c r="ADL45" s="1021"/>
      <c r="ADM45" s="1021"/>
      <c r="ADN45" s="1021"/>
      <c r="ADO45" s="1021"/>
      <c r="ADP45" s="1021"/>
      <c r="ADQ45" s="1021"/>
      <c r="ADR45" s="1021"/>
      <c r="ADS45" s="1021"/>
      <c r="ADT45" s="1021"/>
      <c r="ADU45" s="1021"/>
      <c r="ADV45" s="1021"/>
      <c r="ADW45" s="1021"/>
      <c r="ADX45" s="1021"/>
      <c r="ADY45" s="1021"/>
      <c r="ADZ45" s="1021"/>
      <c r="AEA45" s="1021"/>
      <c r="AEB45" s="1021"/>
      <c r="AEC45" s="1021"/>
      <c r="AED45" s="1021"/>
      <c r="AEE45" s="1021"/>
      <c r="AEF45" s="1021"/>
      <c r="AEG45" s="1021"/>
      <c r="AEH45" s="1021"/>
      <c r="AEI45" s="1021"/>
      <c r="AEJ45" s="1021"/>
      <c r="AEK45" s="1021"/>
      <c r="AEL45" s="1021"/>
      <c r="AEM45" s="1021"/>
      <c r="AEN45" s="1021"/>
      <c r="AEO45" s="1021"/>
      <c r="AEP45" s="1021"/>
      <c r="AEQ45" s="1021"/>
      <c r="AER45" s="1021"/>
      <c r="AES45" s="1021"/>
      <c r="AET45" s="1021"/>
      <c r="AEU45" s="1021"/>
      <c r="AEV45" s="1021"/>
      <c r="AEW45" s="1021"/>
      <c r="AEX45" s="1021"/>
      <c r="AEY45" s="1021"/>
      <c r="AEZ45" s="1021"/>
      <c r="AFA45" s="1021"/>
      <c r="AFB45" s="1021"/>
      <c r="AFC45" s="1021"/>
      <c r="AFD45" s="1021"/>
      <c r="AFE45" s="1021"/>
      <c r="AFF45" s="1021"/>
      <c r="AFG45" s="1021"/>
      <c r="AFH45" s="1021"/>
      <c r="AFI45" s="1021"/>
      <c r="AFJ45" s="1021"/>
      <c r="AFK45" s="1021"/>
      <c r="AFL45" s="1021"/>
      <c r="AFM45" s="1021"/>
      <c r="AFN45" s="1021"/>
      <c r="AFO45" s="1021"/>
      <c r="AFP45" s="1021"/>
      <c r="AFQ45" s="1021"/>
      <c r="AFR45" s="1021"/>
      <c r="AFS45" s="1021"/>
      <c r="AFT45" s="1021"/>
      <c r="AFU45" s="1021"/>
      <c r="AFV45" s="1021"/>
      <c r="AFW45" s="1021"/>
      <c r="AFX45" s="1021"/>
      <c r="AFY45" s="1021"/>
      <c r="AFZ45" s="1021"/>
      <c r="AGA45" s="1021"/>
      <c r="AGB45" s="1021"/>
      <c r="AGC45" s="1021"/>
      <c r="AGD45" s="1021"/>
      <c r="AGE45" s="1021"/>
      <c r="AGF45" s="1021"/>
      <c r="AGG45" s="1021"/>
      <c r="AGH45" s="1021"/>
      <c r="AGI45" s="1021"/>
      <c r="AGJ45" s="1021"/>
      <c r="AGK45" s="1021"/>
      <c r="AGL45" s="1021"/>
      <c r="AGM45" s="1021"/>
      <c r="AGN45" s="1021"/>
      <c r="AGO45" s="1021"/>
      <c r="AGP45" s="1021"/>
      <c r="AGQ45" s="1021"/>
      <c r="AGR45" s="1021"/>
      <c r="AGS45" s="1021"/>
      <c r="AGT45" s="1021"/>
      <c r="AGU45" s="1021"/>
      <c r="AGV45" s="1021"/>
      <c r="AGW45" s="1021"/>
      <c r="AGX45" s="1021"/>
      <c r="AGY45" s="1021"/>
      <c r="AGZ45" s="1021"/>
      <c r="AHA45" s="1021"/>
      <c r="AHB45" s="1021"/>
      <c r="AHC45" s="1021"/>
      <c r="AHD45" s="1021"/>
      <c r="AHE45" s="1021"/>
      <c r="AHF45" s="1021"/>
      <c r="AHG45" s="1021"/>
      <c r="AHH45" s="1021"/>
      <c r="AHI45" s="1021"/>
      <c r="AHJ45" s="1021"/>
      <c r="AHK45" s="1021"/>
      <c r="AHL45" s="1021"/>
      <c r="AHM45" s="1021"/>
      <c r="AHN45" s="1021"/>
      <c r="AHO45" s="1021"/>
      <c r="AHP45" s="1021"/>
      <c r="AHQ45" s="1021"/>
      <c r="AHR45" s="1021"/>
      <c r="AHS45" s="1021"/>
      <c r="AHT45" s="1021"/>
      <c r="AHU45" s="1021"/>
      <c r="AHV45" s="1021"/>
      <c r="AHW45" s="1021"/>
      <c r="AHX45" s="1021"/>
      <c r="AHY45" s="1021"/>
      <c r="AHZ45" s="1021"/>
      <c r="AIA45" s="1021"/>
      <c r="AIB45" s="1021"/>
      <c r="AIC45" s="1021"/>
      <c r="AID45" s="1021"/>
      <c r="AIE45" s="1021"/>
      <c r="AIF45" s="1021"/>
      <c r="AIG45" s="1021"/>
      <c r="AIH45" s="1021"/>
      <c r="AII45" s="1021"/>
      <c r="AIJ45" s="1021"/>
      <c r="AIK45" s="1021"/>
      <c r="AIL45" s="1021"/>
      <c r="AIM45" s="1021"/>
      <c r="AIN45" s="1021"/>
      <c r="AIO45" s="1021"/>
      <c r="AIP45" s="1021"/>
      <c r="AIQ45" s="1021"/>
      <c r="AIR45" s="1021"/>
      <c r="AIS45" s="1021"/>
      <c r="AIT45" s="1021"/>
      <c r="AIU45" s="1021"/>
      <c r="AIV45" s="1021"/>
      <c r="AIW45" s="1021"/>
      <c r="AIX45" s="1021"/>
      <c r="AIY45" s="1021"/>
      <c r="AIZ45" s="1021"/>
      <c r="AJA45" s="1021"/>
      <c r="AJB45" s="1021"/>
      <c r="AJC45" s="1021"/>
      <c r="AJD45" s="1021"/>
      <c r="AJE45" s="1021"/>
      <c r="AJF45" s="1021"/>
      <c r="AJG45" s="1021"/>
      <c r="AJH45" s="1021"/>
      <c r="AJI45" s="1021"/>
      <c r="AJJ45" s="1021"/>
      <c r="AJK45" s="1021"/>
      <c r="AJL45" s="1021"/>
      <c r="AJM45" s="1021"/>
      <c r="AJN45" s="1021"/>
      <c r="AJO45" s="1021"/>
      <c r="AJP45" s="1021"/>
      <c r="AJQ45" s="1021"/>
      <c r="AJR45" s="1021"/>
      <c r="AJS45" s="1021"/>
      <c r="AJT45" s="1021"/>
      <c r="AJU45" s="1021"/>
      <c r="AJV45" s="1021"/>
      <c r="AJW45" s="1021"/>
      <c r="AJX45" s="1021"/>
      <c r="AJY45" s="1021"/>
      <c r="AJZ45" s="1021"/>
      <c r="AKA45" s="1021"/>
      <c r="AKB45" s="1021"/>
      <c r="AKC45" s="1021"/>
      <c r="AKD45" s="1021"/>
      <c r="AKE45" s="1021"/>
      <c r="AKF45" s="1021"/>
      <c r="AKG45" s="1021"/>
      <c r="AKH45" s="1021"/>
      <c r="AKI45" s="1021"/>
      <c r="AKJ45" s="1021"/>
      <c r="AKK45" s="1021"/>
      <c r="AKL45" s="1021"/>
      <c r="AKM45" s="1021"/>
      <c r="AKN45" s="1021"/>
      <c r="AKO45" s="1021"/>
      <c r="AKP45" s="1021"/>
      <c r="AKQ45" s="1021"/>
      <c r="AKR45" s="1021"/>
      <c r="AKS45" s="1021"/>
      <c r="AKT45" s="1021"/>
      <c r="AKU45" s="1021"/>
      <c r="AKV45" s="1021"/>
      <c r="AKW45" s="1021"/>
      <c r="AKX45" s="1021"/>
      <c r="AKY45" s="1021"/>
      <c r="AKZ45" s="1021"/>
      <c r="ALA45" s="1021"/>
      <c r="ALB45" s="1021"/>
      <c r="ALC45" s="1021"/>
      <c r="ALD45" s="1021"/>
      <c r="ALE45" s="1021"/>
      <c r="ALF45" s="1021"/>
      <c r="ALG45" s="1021"/>
      <c r="ALH45" s="1021"/>
      <c r="ALI45" s="1021"/>
      <c r="ALJ45" s="1021"/>
      <c r="ALK45" s="1021"/>
      <c r="ALL45" s="1021"/>
      <c r="ALM45" s="1021"/>
      <c r="ALN45" s="1021"/>
      <c r="ALO45" s="1021"/>
      <c r="ALP45" s="1021"/>
      <c r="ALQ45" s="1021"/>
      <c r="ALR45" s="1021"/>
      <c r="ALS45" s="1021"/>
      <c r="ALT45" s="1021"/>
      <c r="ALU45" s="1021"/>
      <c r="ALV45" s="1021"/>
      <c r="ALW45" s="1021"/>
      <c r="ALX45" s="1021"/>
      <c r="ALY45" s="1021"/>
      <c r="ALZ45" s="1021"/>
      <c r="AMA45" s="1021"/>
      <c r="AMB45" s="1021"/>
      <c r="AMC45" s="1021"/>
      <c r="AMD45" s="1021"/>
      <c r="AME45" s="1021"/>
      <c r="AMF45" s="1021"/>
      <c r="AMG45" s="1021"/>
      <c r="AMH45" s="1021"/>
      <c r="AMI45" s="1021"/>
      <c r="AMJ45" s="1021"/>
      <c r="AMK45" s="1021"/>
      <c r="AML45" s="1021"/>
      <c r="AMM45" s="1021"/>
      <c r="AMN45" s="1021"/>
      <c r="AMO45" s="1021"/>
      <c r="AMP45" s="1021"/>
      <c r="AMQ45" s="1021"/>
      <c r="AMR45" s="1021"/>
      <c r="AMS45" s="1021"/>
      <c r="AMT45" s="1021"/>
      <c r="AMU45" s="1021"/>
      <c r="AMV45" s="1021"/>
      <c r="AMW45" s="1021"/>
      <c r="AMX45" s="1021"/>
      <c r="AMY45" s="1021"/>
      <c r="AMZ45" s="1021"/>
      <c r="ANA45" s="1021"/>
      <c r="ANB45" s="1021"/>
      <c r="ANC45" s="1021"/>
      <c r="AND45" s="1021"/>
      <c r="ANE45" s="1021"/>
      <c r="ANF45" s="1021"/>
      <c r="ANG45" s="1021"/>
      <c r="ANH45" s="1021"/>
      <c r="ANI45" s="1021"/>
      <c r="ANJ45" s="1021"/>
      <c r="ANK45" s="1021"/>
      <c r="ANL45" s="1021"/>
      <c r="ANM45" s="1021"/>
      <c r="ANN45" s="1021"/>
      <c r="ANO45" s="1021"/>
      <c r="ANP45" s="1021"/>
      <c r="ANQ45" s="1021"/>
      <c r="ANR45" s="1021"/>
      <c r="ANS45" s="1021"/>
      <c r="ANT45" s="1021"/>
      <c r="ANU45" s="1021"/>
      <c r="ANV45" s="1021"/>
      <c r="ANW45" s="1021"/>
      <c r="ANX45" s="1021"/>
      <c r="ANY45" s="1021"/>
      <c r="ANZ45" s="1021"/>
      <c r="AOA45" s="1021"/>
      <c r="AOB45" s="1021"/>
      <c r="AOC45" s="1021"/>
      <c r="AOD45" s="1021"/>
      <c r="AOE45" s="1021"/>
      <c r="AOF45" s="1021"/>
      <c r="AOG45" s="1021"/>
      <c r="AOH45" s="1021"/>
      <c r="AOI45" s="1021"/>
      <c r="AOJ45" s="1021"/>
      <c r="AOK45" s="1021"/>
      <c r="AOL45" s="1021"/>
      <c r="AOM45" s="1021"/>
      <c r="AON45" s="1021"/>
      <c r="AOO45" s="1021"/>
      <c r="AOP45" s="1021"/>
      <c r="AOQ45" s="1021"/>
      <c r="AOR45" s="1021"/>
      <c r="AOS45" s="1021"/>
      <c r="AOT45" s="1021"/>
      <c r="AOU45" s="1021"/>
      <c r="AOV45" s="1021"/>
      <c r="AOW45" s="1021"/>
      <c r="AOX45" s="1021"/>
      <c r="AOY45" s="1021"/>
      <c r="AOZ45" s="1021"/>
      <c r="APA45" s="1021"/>
      <c r="APB45" s="1021"/>
      <c r="APC45" s="1021"/>
      <c r="APD45" s="1021"/>
      <c r="APE45" s="1021"/>
      <c r="APF45" s="1021"/>
      <c r="APG45" s="1021"/>
      <c r="APH45" s="1021"/>
      <c r="API45" s="1021"/>
      <c r="APJ45" s="1021"/>
      <c r="APK45" s="1021"/>
      <c r="APL45" s="1021"/>
      <c r="APM45" s="1021"/>
      <c r="APN45" s="1021"/>
      <c r="APO45" s="1021"/>
      <c r="APP45" s="1021"/>
      <c r="APQ45" s="1021"/>
      <c r="APR45" s="1021"/>
      <c r="APS45" s="1021"/>
      <c r="APT45" s="1021"/>
      <c r="APU45" s="1021"/>
      <c r="APV45" s="1021"/>
      <c r="APW45" s="1021"/>
      <c r="APX45" s="1021"/>
      <c r="APY45" s="1021"/>
      <c r="APZ45" s="1021"/>
      <c r="AQA45" s="1021"/>
      <c r="AQB45" s="1021"/>
      <c r="AQC45" s="1021"/>
      <c r="AQD45" s="1021"/>
      <c r="AQE45" s="1021"/>
      <c r="AQF45" s="1021"/>
      <c r="AQG45" s="1021"/>
      <c r="AQH45" s="1021"/>
      <c r="AQI45" s="1021"/>
      <c r="AQJ45" s="1021"/>
      <c r="AQK45" s="1021"/>
      <c r="AQL45" s="1021"/>
      <c r="AQM45" s="1021"/>
      <c r="AQN45" s="1021"/>
      <c r="AQO45" s="1021"/>
      <c r="AQP45" s="1021"/>
      <c r="AQQ45" s="1021"/>
      <c r="AQR45" s="1021"/>
      <c r="AQS45" s="1021"/>
      <c r="AQT45" s="1021"/>
      <c r="AQU45" s="1021"/>
      <c r="AQV45" s="1021"/>
      <c r="AQW45" s="1021"/>
      <c r="AQX45" s="1021"/>
      <c r="AQY45" s="1021"/>
      <c r="AQZ45" s="1021"/>
      <c r="ARA45" s="1021"/>
      <c r="ARB45" s="1021"/>
      <c r="ARC45" s="1021"/>
      <c r="ARD45" s="1021"/>
      <c r="ARE45" s="1021"/>
      <c r="ARF45" s="1021"/>
      <c r="ARG45" s="1021"/>
      <c r="ARH45" s="1021"/>
      <c r="ARI45" s="1021"/>
      <c r="ARJ45" s="1021"/>
      <c r="ARK45" s="1021"/>
      <c r="ARL45" s="1021"/>
      <c r="ARM45" s="1021"/>
      <c r="ARN45" s="1021"/>
      <c r="ARO45" s="1021"/>
      <c r="ARP45" s="1021"/>
      <c r="ARQ45" s="1021"/>
      <c r="ARR45" s="1021"/>
      <c r="ARS45" s="1021"/>
      <c r="ART45" s="1021"/>
      <c r="ARU45" s="1021"/>
      <c r="ARV45" s="1021"/>
      <c r="ARW45" s="1021"/>
      <c r="ARX45" s="1021"/>
      <c r="ARY45" s="1021"/>
      <c r="ARZ45" s="1021"/>
      <c r="ASA45" s="1021"/>
      <c r="ASB45" s="1021"/>
      <c r="ASC45" s="1021"/>
      <c r="ASD45" s="1021"/>
      <c r="ASE45" s="1021"/>
      <c r="ASF45" s="1021"/>
      <c r="ASG45" s="1021"/>
      <c r="ASH45" s="1021"/>
      <c r="ASI45" s="1021"/>
      <c r="ASJ45" s="1021"/>
      <c r="ASK45" s="1021"/>
      <c r="ASL45" s="1021"/>
      <c r="ASM45" s="1021"/>
      <c r="ASN45" s="1021"/>
      <c r="ASO45" s="1021"/>
      <c r="ASP45" s="1021"/>
      <c r="ASQ45" s="1021"/>
      <c r="ASR45" s="1021"/>
      <c r="ASS45" s="1021"/>
      <c r="AST45" s="1021"/>
      <c r="ASU45" s="1021"/>
      <c r="ASV45" s="1021"/>
      <c r="ASW45" s="1021"/>
      <c r="ASX45" s="1021"/>
      <c r="ASY45" s="1021"/>
      <c r="ASZ45" s="1021"/>
      <c r="ATA45" s="1021"/>
      <c r="ATB45" s="1021"/>
      <c r="ATC45" s="1021"/>
      <c r="ATD45" s="1021"/>
      <c r="ATE45" s="1021"/>
      <c r="ATF45" s="1021"/>
      <c r="ATG45" s="1021"/>
      <c r="ATH45" s="1021"/>
      <c r="ATI45" s="1021"/>
      <c r="ATJ45" s="1021"/>
      <c r="ATK45" s="1021"/>
      <c r="ATL45" s="1021"/>
      <c r="ATM45" s="1021"/>
      <c r="ATN45" s="1021"/>
      <c r="ATO45" s="1021"/>
      <c r="ATP45" s="1021"/>
      <c r="ATQ45" s="1021"/>
      <c r="ATR45" s="1021"/>
      <c r="ATS45" s="1021"/>
      <c r="ATT45" s="1021"/>
      <c r="ATU45" s="1021"/>
      <c r="ATV45" s="1021"/>
      <c r="ATW45" s="1021"/>
      <c r="ATX45" s="1021"/>
      <c r="ATY45" s="1021"/>
      <c r="ATZ45" s="1021"/>
      <c r="AUA45" s="1021"/>
      <c r="AUB45" s="1021"/>
      <c r="AUC45" s="1021"/>
      <c r="AUD45" s="1021"/>
      <c r="AUE45" s="1021"/>
      <c r="AUF45" s="1021"/>
      <c r="AUG45" s="1021"/>
      <c r="AUH45" s="1021"/>
      <c r="AUI45" s="1021"/>
      <c r="AUJ45" s="1021"/>
      <c r="AUK45" s="1021"/>
      <c r="AUL45" s="1021"/>
      <c r="AUM45" s="1021"/>
      <c r="AUN45" s="1021"/>
      <c r="AUO45" s="1021"/>
      <c r="AUP45" s="1021"/>
      <c r="AUQ45" s="1021"/>
      <c r="AUR45" s="1021"/>
      <c r="AUS45" s="1021"/>
      <c r="AUT45" s="1021"/>
      <c r="AUU45" s="1021"/>
      <c r="AUV45" s="1021"/>
      <c r="AUW45" s="1021"/>
      <c r="AUX45" s="1021"/>
      <c r="AUY45" s="1021"/>
      <c r="AUZ45" s="1021"/>
      <c r="AVA45" s="1021"/>
      <c r="AVB45" s="1021"/>
      <c r="AVC45" s="1021"/>
      <c r="AVD45" s="1021"/>
      <c r="AVE45" s="1021"/>
      <c r="AVF45" s="1021"/>
      <c r="AVG45" s="1021"/>
      <c r="AVH45" s="1021"/>
      <c r="AVI45" s="1021"/>
      <c r="AVJ45" s="1021"/>
      <c r="AVK45" s="1021"/>
      <c r="AVL45" s="1021"/>
      <c r="AVM45" s="1021"/>
      <c r="AVN45" s="1021"/>
      <c r="AVO45" s="1021"/>
      <c r="AVP45" s="1021"/>
      <c r="AVQ45" s="1021"/>
      <c r="AVR45" s="1021"/>
      <c r="AVS45" s="1021"/>
      <c r="AVT45" s="1021"/>
      <c r="AVU45" s="1021"/>
      <c r="AVV45" s="1021"/>
      <c r="AVW45" s="1021"/>
      <c r="AVX45" s="1021"/>
      <c r="AVY45" s="1021"/>
      <c r="AVZ45" s="1021"/>
      <c r="AWA45" s="1021"/>
      <c r="AWB45" s="1021"/>
      <c r="AWC45" s="1021"/>
      <c r="AWD45" s="1021"/>
      <c r="AWE45" s="1021"/>
      <c r="AWF45" s="1021"/>
      <c r="AWG45" s="1021"/>
      <c r="AWH45" s="1021"/>
      <c r="AWI45" s="1021"/>
      <c r="AWJ45" s="1021"/>
      <c r="AWK45" s="1021"/>
      <c r="AWL45" s="1021"/>
      <c r="AWM45" s="1021"/>
      <c r="AWN45" s="1021"/>
      <c r="AWO45" s="1021"/>
      <c r="AWP45" s="1021"/>
      <c r="AWQ45" s="1021"/>
      <c r="AWR45" s="1021"/>
      <c r="AWS45" s="1021"/>
      <c r="AWT45" s="1021"/>
      <c r="AWU45" s="1021"/>
      <c r="AWV45" s="1021"/>
      <c r="AWW45" s="1021"/>
      <c r="AWX45" s="1021"/>
      <c r="AWY45" s="1021"/>
      <c r="AWZ45" s="1021"/>
      <c r="AXA45" s="1021"/>
      <c r="AXB45" s="1021"/>
      <c r="AXC45" s="1021"/>
      <c r="AXD45" s="1021"/>
      <c r="AXE45" s="1021"/>
      <c r="AXF45" s="1021"/>
      <c r="AXG45" s="1021"/>
      <c r="AXH45" s="1021"/>
      <c r="AXI45" s="1021"/>
      <c r="AXJ45" s="1021"/>
      <c r="AXK45" s="1021"/>
      <c r="AXL45" s="1021"/>
      <c r="AXM45" s="1021"/>
      <c r="AXN45" s="1021"/>
      <c r="AXO45" s="1021"/>
      <c r="AXP45" s="1021"/>
      <c r="AXQ45" s="1021"/>
      <c r="AXR45" s="1021"/>
      <c r="AXS45" s="1021"/>
      <c r="AXT45" s="1021"/>
      <c r="AXU45" s="1021"/>
      <c r="AXV45" s="1021"/>
      <c r="AXW45" s="1021"/>
      <c r="AXX45" s="1021"/>
      <c r="AXY45" s="1021"/>
      <c r="AXZ45" s="1021"/>
      <c r="AYA45" s="1021"/>
      <c r="AYB45" s="1021"/>
      <c r="AYC45" s="1021"/>
      <c r="AYD45" s="1021"/>
      <c r="AYE45" s="1021"/>
      <c r="AYF45" s="1021"/>
      <c r="AYG45" s="1021"/>
      <c r="AYH45" s="1021"/>
      <c r="AYI45" s="1021"/>
      <c r="AYJ45" s="1021"/>
      <c r="AYK45" s="1021"/>
      <c r="AYL45" s="1021"/>
      <c r="AYM45" s="1021"/>
      <c r="AYN45" s="1021"/>
      <c r="AYO45" s="1021"/>
      <c r="AYP45" s="1021"/>
      <c r="AYQ45" s="1021"/>
      <c r="AYR45" s="1021"/>
      <c r="AYS45" s="1021"/>
      <c r="AYT45" s="1021"/>
      <c r="AYU45" s="1021"/>
      <c r="AYV45" s="1021"/>
      <c r="AYW45" s="1021"/>
      <c r="AYX45" s="1021"/>
      <c r="AYY45" s="1021"/>
      <c r="AYZ45" s="1021"/>
      <c r="AZA45" s="1021"/>
      <c r="AZB45" s="1021"/>
      <c r="AZC45" s="1021"/>
      <c r="AZD45" s="1021"/>
      <c r="AZE45" s="1021"/>
      <c r="AZF45" s="1021"/>
      <c r="AZG45" s="1021"/>
      <c r="AZH45" s="1021"/>
      <c r="AZI45" s="1021"/>
      <c r="AZJ45" s="1021"/>
      <c r="AZK45" s="1021"/>
      <c r="AZL45" s="1021"/>
      <c r="AZM45" s="1021"/>
      <c r="AZN45" s="1021"/>
      <c r="AZO45" s="1021"/>
      <c r="AZP45" s="1021"/>
      <c r="AZQ45" s="1021"/>
      <c r="AZR45" s="1021"/>
      <c r="AZS45" s="1021"/>
      <c r="AZT45" s="1021"/>
      <c r="AZU45" s="1021"/>
      <c r="AZV45" s="1021"/>
      <c r="AZW45" s="1021"/>
      <c r="AZX45" s="1021"/>
      <c r="AZY45" s="1021"/>
      <c r="AZZ45" s="1021"/>
      <c r="BAA45" s="1021"/>
      <c r="BAB45" s="1021"/>
      <c r="BAC45" s="1021"/>
      <c r="BAD45" s="1021"/>
      <c r="BAE45" s="1021"/>
      <c r="BAF45" s="1021"/>
      <c r="BAG45" s="1021"/>
      <c r="BAH45" s="1021"/>
      <c r="BAI45" s="1021"/>
      <c r="BAJ45" s="1021"/>
      <c r="BAK45" s="1021"/>
      <c r="BAL45" s="1021"/>
      <c r="BAM45" s="1021"/>
      <c r="BAN45" s="1021"/>
      <c r="BAO45" s="1021"/>
      <c r="BAP45" s="1021"/>
      <c r="BAQ45" s="1021"/>
      <c r="BAR45" s="1021"/>
      <c r="BAS45" s="1021"/>
      <c r="BAT45" s="1021"/>
      <c r="BAU45" s="1021"/>
      <c r="BAV45" s="1021"/>
      <c r="BAW45" s="1021"/>
      <c r="BAX45" s="1021"/>
      <c r="BAY45" s="1021"/>
      <c r="BAZ45" s="1021"/>
      <c r="BBA45" s="1021"/>
      <c r="BBB45" s="1021"/>
      <c r="BBC45" s="1021"/>
      <c r="BBD45" s="1021"/>
      <c r="BBE45" s="1021"/>
      <c r="BBF45" s="1021"/>
      <c r="BBG45" s="1021"/>
      <c r="BBH45" s="1021"/>
      <c r="BBI45" s="1021"/>
      <c r="BBJ45" s="1021"/>
      <c r="BBK45" s="1021"/>
      <c r="BBL45" s="1021"/>
      <c r="BBM45" s="1021"/>
      <c r="BBN45" s="1021"/>
      <c r="BBO45" s="1021"/>
      <c r="BBP45" s="1021"/>
      <c r="BBQ45" s="1021"/>
      <c r="BBR45" s="1021"/>
      <c r="BBS45" s="1021"/>
      <c r="BBT45" s="1021"/>
      <c r="BBU45" s="1021"/>
      <c r="BBV45" s="1021"/>
      <c r="BBW45" s="1021"/>
      <c r="BBX45" s="1021"/>
      <c r="BBY45" s="1021"/>
      <c r="BBZ45" s="1021"/>
      <c r="BCA45" s="1021"/>
      <c r="BCB45" s="1021"/>
      <c r="BCC45" s="1021"/>
      <c r="BCD45" s="1021"/>
      <c r="BCE45" s="1021"/>
      <c r="BCF45" s="1021"/>
      <c r="BCG45" s="1021"/>
      <c r="BCH45" s="1021"/>
      <c r="BCI45" s="1021"/>
      <c r="BCJ45" s="1021"/>
      <c r="BCK45" s="1021"/>
      <c r="BCL45" s="1021"/>
      <c r="BCM45" s="1021"/>
      <c r="BCN45" s="1021"/>
      <c r="BCO45" s="1021"/>
      <c r="BCP45" s="1021"/>
      <c r="BCQ45" s="1021"/>
      <c r="BCR45" s="1021"/>
      <c r="BCS45" s="1021"/>
      <c r="BCT45" s="1021"/>
      <c r="BCU45" s="1021"/>
      <c r="BCV45" s="1021"/>
      <c r="BCW45" s="1021"/>
      <c r="BCX45" s="1021"/>
      <c r="BCY45" s="1021"/>
      <c r="BCZ45" s="1021"/>
      <c r="BDA45" s="1021"/>
      <c r="BDB45" s="1021"/>
      <c r="BDC45" s="1021"/>
      <c r="BDD45" s="1021"/>
      <c r="BDE45" s="1021"/>
      <c r="BDF45" s="1021"/>
      <c r="BDG45" s="1021"/>
      <c r="BDH45" s="1021"/>
      <c r="BDI45" s="1021"/>
      <c r="BDJ45" s="1021"/>
      <c r="BDK45" s="1021"/>
      <c r="BDL45" s="1021"/>
      <c r="BDM45" s="1021"/>
      <c r="BDN45" s="1021"/>
      <c r="BDO45" s="1021"/>
      <c r="BDP45" s="1021"/>
      <c r="BDQ45" s="1021"/>
      <c r="BDR45" s="1021"/>
      <c r="BDS45" s="1021"/>
      <c r="BDT45" s="1021"/>
      <c r="BDU45" s="1021"/>
      <c r="BDV45" s="1021"/>
      <c r="BDW45" s="1021"/>
      <c r="BDX45" s="1021"/>
      <c r="BDY45" s="1021"/>
      <c r="BDZ45" s="1021"/>
      <c r="BEA45" s="1021"/>
      <c r="BEB45" s="1021"/>
      <c r="BEC45" s="1021"/>
      <c r="BED45" s="1021"/>
      <c r="BEE45" s="1021"/>
      <c r="BEF45" s="1021"/>
      <c r="BEG45" s="1021"/>
      <c r="BEH45" s="1021"/>
      <c r="BEI45" s="1021"/>
      <c r="BEJ45" s="1021"/>
      <c r="BEK45" s="1021"/>
      <c r="BEL45" s="1021"/>
      <c r="BEM45" s="1021"/>
      <c r="BEN45" s="1021"/>
      <c r="BEO45" s="1021"/>
      <c r="BEP45" s="1021"/>
      <c r="BEQ45" s="1021"/>
      <c r="BER45" s="1021"/>
      <c r="BES45" s="1021"/>
      <c r="BET45" s="1021"/>
      <c r="BEU45" s="1021"/>
      <c r="BEV45" s="1021"/>
      <c r="BEW45" s="1021"/>
      <c r="BEX45" s="1021"/>
      <c r="BEY45" s="1021"/>
      <c r="BEZ45" s="1021"/>
      <c r="BFA45" s="1021"/>
      <c r="BFB45" s="1021"/>
      <c r="BFC45" s="1021"/>
      <c r="BFD45" s="1021"/>
      <c r="BFE45" s="1021"/>
      <c r="BFF45" s="1021"/>
      <c r="BFG45" s="1021"/>
      <c r="BFH45" s="1021"/>
      <c r="BFI45" s="1021"/>
      <c r="BFJ45" s="1021"/>
      <c r="BFK45" s="1021"/>
      <c r="BFL45" s="1021"/>
      <c r="BFM45" s="1021"/>
      <c r="BFN45" s="1021"/>
      <c r="BFO45" s="1021"/>
      <c r="BFP45" s="1021"/>
      <c r="BFQ45" s="1021"/>
      <c r="BFR45" s="1021"/>
      <c r="BFS45" s="1021"/>
      <c r="BFT45" s="1021"/>
      <c r="BFU45" s="1021"/>
      <c r="BFV45" s="1021"/>
      <c r="BFW45" s="1021"/>
      <c r="BFX45" s="1021"/>
      <c r="BFY45" s="1021"/>
      <c r="BFZ45" s="1021"/>
      <c r="BGA45" s="1021"/>
      <c r="BGB45" s="1021"/>
      <c r="BGC45" s="1021"/>
      <c r="BGD45" s="1021"/>
      <c r="BGE45" s="1021"/>
      <c r="BGF45" s="1021"/>
      <c r="BGG45" s="1021"/>
      <c r="BGH45" s="1021"/>
      <c r="BGI45" s="1021"/>
      <c r="BGJ45" s="1021"/>
      <c r="BGK45" s="1021"/>
      <c r="BGL45" s="1021"/>
      <c r="BGM45" s="1021"/>
      <c r="BGN45" s="1021"/>
      <c r="BGO45" s="1021"/>
      <c r="BGP45" s="1021"/>
      <c r="BGQ45" s="1021"/>
      <c r="BGR45" s="1021"/>
      <c r="BGS45" s="1021"/>
      <c r="BGT45" s="1021"/>
      <c r="BGU45" s="1021"/>
      <c r="BGV45" s="1021"/>
      <c r="BGW45" s="1021"/>
      <c r="BGX45" s="1021"/>
      <c r="BGY45" s="1021"/>
      <c r="BGZ45" s="1021"/>
      <c r="BHA45" s="1021"/>
      <c r="BHB45" s="1021"/>
      <c r="BHC45" s="1021"/>
      <c r="BHD45" s="1021"/>
      <c r="BHE45" s="1021"/>
      <c r="BHF45" s="1021"/>
      <c r="BHG45" s="1021"/>
      <c r="BHH45" s="1021"/>
      <c r="BHI45" s="1021"/>
      <c r="BHJ45" s="1021"/>
      <c r="BHK45" s="1021"/>
      <c r="BHL45" s="1021"/>
      <c r="BHM45" s="1021"/>
      <c r="BHN45" s="1021"/>
      <c r="BHO45" s="1021"/>
      <c r="BHP45" s="1021"/>
      <c r="BHQ45" s="1021"/>
      <c r="BHR45" s="1021"/>
      <c r="BHS45" s="1021"/>
      <c r="BHT45" s="1021"/>
      <c r="BHU45" s="1021"/>
      <c r="BHV45" s="1021"/>
      <c r="BHW45" s="1021"/>
      <c r="BHX45" s="1021"/>
      <c r="BHY45" s="1021"/>
      <c r="BHZ45" s="1021"/>
      <c r="BIA45" s="1021"/>
      <c r="BIB45" s="1021"/>
      <c r="BIC45" s="1021"/>
      <c r="BID45" s="1021"/>
      <c r="BIE45" s="1021"/>
      <c r="BIF45" s="1021"/>
      <c r="BIG45" s="1021"/>
      <c r="BIH45" s="1021"/>
      <c r="BII45" s="1021"/>
      <c r="BIJ45" s="1021"/>
      <c r="BIK45" s="1021"/>
      <c r="BIL45" s="1021"/>
      <c r="BIM45" s="1021"/>
      <c r="BIN45" s="1021"/>
      <c r="BIO45" s="1021"/>
      <c r="BIP45" s="1021"/>
      <c r="BIQ45" s="1021"/>
      <c r="BIR45" s="1021"/>
      <c r="BIS45" s="1021"/>
      <c r="BIT45" s="1021"/>
      <c r="BIU45" s="1021"/>
      <c r="BIV45" s="1021"/>
      <c r="BIW45" s="1021"/>
      <c r="BIX45" s="1021"/>
      <c r="BIY45" s="1021"/>
      <c r="BIZ45" s="1021"/>
      <c r="BJA45" s="1021"/>
      <c r="BJB45" s="1021"/>
      <c r="BJC45" s="1021"/>
      <c r="BJD45" s="1021"/>
      <c r="BJE45" s="1021"/>
      <c r="BJF45" s="1021"/>
      <c r="BJG45" s="1021"/>
      <c r="BJH45" s="1021"/>
      <c r="BJI45" s="1021"/>
      <c r="BJJ45" s="1021"/>
      <c r="BJK45" s="1021"/>
      <c r="BJL45" s="1021"/>
      <c r="BJM45" s="1021"/>
      <c r="BJN45" s="1021"/>
      <c r="BJO45" s="1021"/>
      <c r="BJP45" s="1021"/>
      <c r="BJQ45" s="1021"/>
      <c r="BJR45" s="1021"/>
      <c r="BJS45" s="1021"/>
      <c r="BJT45" s="1021"/>
      <c r="BJU45" s="1021"/>
      <c r="BJV45" s="1021"/>
      <c r="BJW45" s="1021"/>
      <c r="BJX45" s="1021"/>
      <c r="BJY45" s="1021"/>
      <c r="BJZ45" s="1021"/>
      <c r="BKA45" s="1021"/>
      <c r="BKB45" s="1021"/>
      <c r="BKC45" s="1021"/>
      <c r="BKD45" s="1021"/>
      <c r="BKE45" s="1021"/>
      <c r="BKF45" s="1021"/>
      <c r="BKG45" s="1021"/>
      <c r="BKH45" s="1021"/>
      <c r="BKI45" s="1021"/>
      <c r="BKJ45" s="1021"/>
      <c r="BKK45" s="1021"/>
      <c r="BKL45" s="1021"/>
      <c r="BKM45" s="1021"/>
      <c r="BKN45" s="1021"/>
      <c r="BKO45" s="1021"/>
      <c r="BKP45" s="1021"/>
      <c r="BKQ45" s="1021"/>
      <c r="BKR45" s="1021"/>
      <c r="BKS45" s="1021"/>
      <c r="BKT45" s="1021"/>
      <c r="BKU45" s="1021"/>
      <c r="BKV45" s="1021"/>
      <c r="BKW45" s="1021"/>
      <c r="BKX45" s="1021"/>
      <c r="BKY45" s="1021"/>
      <c r="BKZ45" s="1021"/>
      <c r="BLA45" s="1021"/>
      <c r="BLB45" s="1021"/>
      <c r="BLC45" s="1021"/>
      <c r="BLD45" s="1021"/>
      <c r="BLE45" s="1021"/>
      <c r="BLF45" s="1021"/>
      <c r="BLG45" s="1021"/>
      <c r="BLH45" s="1021"/>
      <c r="BLI45" s="1021"/>
      <c r="BLJ45" s="1021"/>
      <c r="BLK45" s="1021"/>
      <c r="BLL45" s="1021"/>
      <c r="BLM45" s="1021"/>
      <c r="BLN45" s="1021"/>
      <c r="BLO45" s="1021"/>
      <c r="BLP45" s="1021"/>
      <c r="BLQ45" s="1021"/>
      <c r="BLR45" s="1021"/>
      <c r="BLS45" s="1021"/>
      <c r="BLT45" s="1021"/>
      <c r="BLU45" s="1021"/>
      <c r="BLV45" s="1021"/>
      <c r="BLW45" s="1021"/>
      <c r="BLX45" s="1021"/>
      <c r="BLY45" s="1021"/>
      <c r="BLZ45" s="1021"/>
      <c r="BMA45" s="1021"/>
      <c r="BMB45" s="1021"/>
      <c r="BMC45" s="1021"/>
      <c r="BMD45" s="1021"/>
      <c r="BME45" s="1021"/>
      <c r="BMF45" s="1021"/>
      <c r="BMG45" s="1021"/>
      <c r="BMH45" s="1021"/>
      <c r="BMI45" s="1021"/>
      <c r="BMJ45" s="1021"/>
      <c r="BMK45" s="1021"/>
      <c r="BML45" s="1021"/>
      <c r="BMM45" s="1021"/>
      <c r="BMN45" s="1021"/>
      <c r="BMO45" s="1021"/>
      <c r="BMP45" s="1021"/>
      <c r="BMQ45" s="1021"/>
      <c r="BMR45" s="1021"/>
      <c r="BMS45" s="1021"/>
      <c r="BMT45" s="1021"/>
      <c r="BMU45" s="1021"/>
      <c r="BMV45" s="1021"/>
      <c r="BMW45" s="1021"/>
      <c r="BMX45" s="1021"/>
      <c r="BMY45" s="1021"/>
      <c r="BMZ45" s="1021"/>
      <c r="BNA45" s="1021"/>
      <c r="BNB45" s="1021"/>
      <c r="BNC45" s="1021"/>
      <c r="BND45" s="1021"/>
      <c r="BNE45" s="1021"/>
      <c r="BNF45" s="1021"/>
      <c r="BNG45" s="1021"/>
      <c r="BNH45" s="1021"/>
      <c r="BNI45" s="1021"/>
      <c r="BNJ45" s="1021"/>
      <c r="BNK45" s="1021"/>
      <c r="BNL45" s="1021"/>
      <c r="BNM45" s="1021"/>
      <c r="BNN45" s="1021"/>
      <c r="BNO45" s="1021"/>
      <c r="BNP45" s="1021"/>
      <c r="BNQ45" s="1021"/>
      <c r="BNR45" s="1021"/>
      <c r="BNS45" s="1021"/>
      <c r="BNT45" s="1021"/>
      <c r="BNU45" s="1021"/>
      <c r="BNV45" s="1021"/>
      <c r="BNW45" s="1021"/>
      <c r="BNX45" s="1021"/>
      <c r="BNY45" s="1021"/>
      <c r="BNZ45" s="1021"/>
      <c r="BOA45" s="1021"/>
      <c r="BOB45" s="1021"/>
      <c r="BOC45" s="1021"/>
      <c r="BOD45" s="1021"/>
      <c r="BOE45" s="1021"/>
      <c r="BOF45" s="1021"/>
      <c r="BOG45" s="1021"/>
      <c r="BOH45" s="1021"/>
      <c r="BOI45" s="1021"/>
      <c r="BOJ45" s="1021"/>
      <c r="BOK45" s="1021"/>
      <c r="BOL45" s="1021"/>
      <c r="BOM45" s="1021"/>
      <c r="BON45" s="1021"/>
      <c r="BOO45" s="1021"/>
      <c r="BOP45" s="1021"/>
      <c r="BOQ45" s="1021"/>
      <c r="BOR45" s="1021"/>
      <c r="BOS45" s="1021"/>
      <c r="BOT45" s="1021"/>
      <c r="BOU45" s="1021"/>
      <c r="BOV45" s="1021"/>
      <c r="BOW45" s="1021"/>
      <c r="BOX45" s="1021"/>
      <c r="BOY45" s="1021"/>
      <c r="BOZ45" s="1021"/>
      <c r="BPA45" s="1021"/>
      <c r="BPB45" s="1021"/>
      <c r="BPC45" s="1021"/>
      <c r="BPD45" s="1021"/>
      <c r="BPE45" s="1021"/>
      <c r="BPF45" s="1021"/>
      <c r="BPG45" s="1021"/>
      <c r="BPH45" s="1021"/>
      <c r="BPI45" s="1021"/>
      <c r="BPJ45" s="1021"/>
      <c r="BPK45" s="1021"/>
      <c r="BPL45" s="1021"/>
      <c r="BPM45" s="1021"/>
      <c r="BPN45" s="1021"/>
      <c r="BPO45" s="1021"/>
      <c r="BPP45" s="1021"/>
      <c r="BPQ45" s="1021"/>
      <c r="BPR45" s="1021"/>
      <c r="BPS45" s="1021"/>
      <c r="BPT45" s="1021"/>
      <c r="BPU45" s="1021"/>
      <c r="BPV45" s="1021"/>
      <c r="BPW45" s="1021"/>
      <c r="BPX45" s="1021"/>
      <c r="BPY45" s="1021"/>
      <c r="BPZ45" s="1021"/>
      <c r="BQA45" s="1021"/>
      <c r="BQB45" s="1021"/>
      <c r="BQC45" s="1021"/>
      <c r="BQD45" s="1021"/>
      <c r="BQE45" s="1021"/>
      <c r="BQF45" s="1021"/>
      <c r="BQG45" s="1021"/>
      <c r="BQH45" s="1021"/>
      <c r="BQI45" s="1021"/>
      <c r="BQJ45" s="1021"/>
      <c r="BQK45" s="1021"/>
      <c r="BQL45" s="1021"/>
      <c r="BQM45" s="1021"/>
      <c r="BQN45" s="1021"/>
      <c r="BQO45" s="1021"/>
      <c r="BQP45" s="1021"/>
      <c r="BQQ45" s="1021"/>
      <c r="BQR45" s="1021"/>
      <c r="BQS45" s="1021"/>
      <c r="BQT45" s="1021"/>
      <c r="BQU45" s="1021"/>
      <c r="BQV45" s="1021"/>
      <c r="BQW45" s="1021"/>
      <c r="BQX45" s="1021"/>
      <c r="BQY45" s="1021"/>
      <c r="BQZ45" s="1021"/>
      <c r="BRA45" s="1021"/>
      <c r="BRB45" s="1021"/>
      <c r="BRC45" s="1021"/>
      <c r="BRD45" s="1021"/>
      <c r="BRE45" s="1021"/>
      <c r="BRF45" s="1021"/>
      <c r="BRG45" s="1021"/>
      <c r="BRH45" s="1021"/>
      <c r="BRI45" s="1021"/>
      <c r="BRJ45" s="1021"/>
      <c r="BRK45" s="1021"/>
      <c r="BRL45" s="1021"/>
      <c r="BRM45" s="1021"/>
      <c r="BRN45" s="1021"/>
      <c r="BRO45" s="1021"/>
      <c r="BRP45" s="1021"/>
      <c r="BRQ45" s="1021"/>
      <c r="BRR45" s="1021"/>
      <c r="BRS45" s="1021"/>
      <c r="BRT45" s="1021"/>
      <c r="BRU45" s="1021"/>
      <c r="BRV45" s="1021"/>
      <c r="BRW45" s="1021"/>
      <c r="BRX45" s="1021"/>
      <c r="BRY45" s="1021"/>
      <c r="BRZ45" s="1021"/>
      <c r="BSA45" s="1021"/>
      <c r="BSB45" s="1021"/>
      <c r="BSC45" s="1021"/>
      <c r="BSD45" s="1021"/>
      <c r="BSE45" s="1021"/>
      <c r="BSF45" s="1021"/>
      <c r="BSG45" s="1021"/>
      <c r="BSH45" s="1021"/>
      <c r="BSI45" s="1021"/>
      <c r="BSJ45" s="1021"/>
      <c r="BSK45" s="1021"/>
      <c r="BSL45" s="1021"/>
      <c r="BSM45" s="1021"/>
      <c r="BSN45" s="1021"/>
      <c r="BSO45" s="1021"/>
      <c r="BSP45" s="1021"/>
      <c r="BSQ45" s="1021"/>
      <c r="BSR45" s="1021"/>
      <c r="BSS45" s="1021"/>
      <c r="BST45" s="1021"/>
      <c r="BSU45" s="1021"/>
      <c r="BSV45" s="1021"/>
      <c r="BSW45" s="1021"/>
      <c r="BSX45" s="1021"/>
      <c r="BSY45" s="1021"/>
      <c r="BSZ45" s="1021"/>
      <c r="BTA45" s="1021"/>
      <c r="BTB45" s="1021"/>
      <c r="BTC45" s="1021"/>
      <c r="BTD45" s="1021"/>
      <c r="BTE45" s="1021"/>
      <c r="BTF45" s="1021"/>
      <c r="BTG45" s="1021"/>
      <c r="BTH45" s="1021"/>
      <c r="BTI45" s="1021"/>
      <c r="BTJ45" s="1021"/>
      <c r="BTK45" s="1021"/>
      <c r="BTL45" s="1021"/>
      <c r="BTM45" s="1021"/>
      <c r="BTN45" s="1021"/>
      <c r="BTO45" s="1021"/>
      <c r="BTP45" s="1021"/>
      <c r="BTQ45" s="1021"/>
      <c r="BTR45" s="1021"/>
      <c r="BTS45" s="1021"/>
      <c r="BTT45" s="1021"/>
      <c r="BTU45" s="1021"/>
      <c r="BTV45" s="1021"/>
      <c r="BTW45" s="1021"/>
      <c r="BTX45" s="1021"/>
      <c r="BTY45" s="1021"/>
      <c r="BTZ45" s="1021"/>
      <c r="BUA45" s="1021"/>
      <c r="BUB45" s="1021"/>
      <c r="BUC45" s="1021"/>
      <c r="BUD45" s="1021"/>
      <c r="BUE45" s="1021"/>
      <c r="BUF45" s="1021"/>
      <c r="BUG45" s="1021"/>
      <c r="BUH45" s="1021"/>
      <c r="BUI45" s="1021"/>
      <c r="BUJ45" s="1021"/>
      <c r="BUK45" s="1021"/>
      <c r="BUL45" s="1021"/>
      <c r="BUM45" s="1021"/>
      <c r="BUN45" s="1021"/>
      <c r="BUO45" s="1021"/>
      <c r="BUP45" s="1021"/>
      <c r="BUQ45" s="1021"/>
      <c r="BUR45" s="1021"/>
      <c r="BUS45" s="1021"/>
      <c r="BUT45" s="1021"/>
      <c r="BUU45" s="1021"/>
      <c r="BUV45" s="1021"/>
      <c r="BUW45" s="1021"/>
      <c r="BUX45" s="1021"/>
      <c r="BUY45" s="1021"/>
      <c r="BUZ45" s="1021"/>
      <c r="BVA45" s="1021"/>
      <c r="BVB45" s="1021"/>
      <c r="BVC45" s="1021"/>
      <c r="BVD45" s="1021"/>
      <c r="BVE45" s="1021"/>
      <c r="BVF45" s="1021"/>
      <c r="BVG45" s="1021"/>
      <c r="BVH45" s="1021"/>
      <c r="BVI45" s="1021"/>
      <c r="BVJ45" s="1021"/>
      <c r="BVK45" s="1021"/>
      <c r="BVL45" s="1021"/>
      <c r="BVM45" s="1021"/>
      <c r="BVN45" s="1021"/>
      <c r="BVO45" s="1021"/>
      <c r="BVP45" s="1021"/>
      <c r="BVQ45" s="1021"/>
      <c r="BVR45" s="1021"/>
      <c r="BVS45" s="1021"/>
      <c r="BVT45" s="1021"/>
      <c r="BVU45" s="1021"/>
      <c r="BVV45" s="1021"/>
      <c r="BVW45" s="1021"/>
      <c r="BVX45" s="1021"/>
      <c r="BVY45" s="1021"/>
      <c r="BVZ45" s="1021"/>
      <c r="BWA45" s="1021"/>
      <c r="BWB45" s="1021"/>
      <c r="BWC45" s="1021"/>
      <c r="BWD45" s="1021"/>
      <c r="BWE45" s="1021"/>
      <c r="BWF45" s="1021"/>
      <c r="BWG45" s="1021"/>
      <c r="BWH45" s="1021"/>
      <c r="BWI45" s="1021"/>
      <c r="BWJ45" s="1021"/>
      <c r="BWK45" s="1021"/>
      <c r="BWL45" s="1021"/>
      <c r="BWM45" s="1021"/>
      <c r="BWN45" s="1021"/>
      <c r="BWO45" s="1021"/>
      <c r="BWP45" s="1021"/>
      <c r="BWQ45" s="1021"/>
      <c r="BWR45" s="1021"/>
      <c r="BWS45" s="1021"/>
      <c r="BWT45" s="1021"/>
      <c r="BWU45" s="1021"/>
      <c r="BWV45" s="1021"/>
      <c r="BWW45" s="1021"/>
      <c r="BWX45" s="1021"/>
      <c r="BWY45" s="1021"/>
      <c r="BWZ45" s="1021"/>
      <c r="BXA45" s="1021"/>
      <c r="BXB45" s="1021"/>
      <c r="BXC45" s="1021"/>
      <c r="BXD45" s="1021"/>
      <c r="BXE45" s="1021"/>
      <c r="BXF45" s="1021"/>
      <c r="BXG45" s="1021"/>
      <c r="BXH45" s="1021"/>
      <c r="BXI45" s="1021"/>
      <c r="BXJ45" s="1021"/>
      <c r="BXK45" s="1021"/>
      <c r="BXL45" s="1021"/>
      <c r="BXM45" s="1021"/>
      <c r="BXN45" s="1021"/>
      <c r="BXO45" s="1021"/>
      <c r="BXP45" s="1021"/>
      <c r="BXQ45" s="1021"/>
      <c r="BXR45" s="1021"/>
      <c r="BXS45" s="1021"/>
      <c r="BXT45" s="1021"/>
      <c r="BXU45" s="1021"/>
      <c r="BXV45" s="1021"/>
      <c r="BXW45" s="1021"/>
      <c r="BXX45" s="1021"/>
      <c r="BXY45" s="1021"/>
      <c r="BXZ45" s="1021"/>
      <c r="BYA45" s="1021"/>
      <c r="BYB45" s="1021"/>
      <c r="BYC45" s="1021"/>
      <c r="BYD45" s="1021"/>
      <c r="BYE45" s="1021"/>
      <c r="BYF45" s="1021"/>
      <c r="BYG45" s="1021"/>
      <c r="BYH45" s="1021"/>
      <c r="BYI45" s="1021"/>
      <c r="BYJ45" s="1021"/>
      <c r="BYK45" s="1021"/>
      <c r="BYL45" s="1021"/>
      <c r="BYM45" s="1021"/>
      <c r="BYN45" s="1021"/>
      <c r="BYO45" s="1021"/>
      <c r="BYP45" s="1021"/>
      <c r="BYQ45" s="1021"/>
      <c r="BYR45" s="1021"/>
      <c r="BYS45" s="1021"/>
      <c r="BYT45" s="1021"/>
      <c r="BYU45" s="1021"/>
      <c r="BYV45" s="1021"/>
      <c r="BYW45" s="1021"/>
      <c r="BYX45" s="1021"/>
      <c r="BYY45" s="1021"/>
      <c r="BYZ45" s="1021"/>
      <c r="BZA45" s="1021"/>
      <c r="BZB45" s="1021"/>
      <c r="BZC45" s="1021"/>
      <c r="BZD45" s="1021"/>
      <c r="BZE45" s="1021"/>
      <c r="BZF45" s="1021"/>
      <c r="BZG45" s="1021"/>
      <c r="BZH45" s="1021"/>
      <c r="BZI45" s="1021"/>
      <c r="BZJ45" s="1021"/>
      <c r="BZK45" s="1021"/>
      <c r="BZL45" s="1021"/>
      <c r="BZM45" s="1021"/>
      <c r="BZN45" s="1021"/>
      <c r="BZO45" s="1021"/>
      <c r="BZP45" s="1021"/>
      <c r="BZQ45" s="1021"/>
      <c r="BZR45" s="1021"/>
      <c r="BZS45" s="1021"/>
      <c r="BZT45" s="1021"/>
      <c r="BZU45" s="1021"/>
      <c r="BZV45" s="1021"/>
      <c r="BZW45" s="1021"/>
      <c r="BZX45" s="1021"/>
      <c r="BZY45" s="1021"/>
      <c r="BZZ45" s="1021"/>
      <c r="CAA45" s="1021"/>
      <c r="CAB45" s="1021"/>
      <c r="CAC45" s="1021"/>
      <c r="CAD45" s="1021"/>
      <c r="CAE45" s="1021"/>
      <c r="CAF45" s="1021"/>
      <c r="CAG45" s="1021"/>
      <c r="CAH45" s="1021"/>
      <c r="CAI45" s="1021"/>
      <c r="CAJ45" s="1021"/>
      <c r="CAK45" s="1021"/>
      <c r="CAL45" s="1021"/>
      <c r="CAM45" s="1021"/>
      <c r="CAN45" s="1021"/>
      <c r="CAO45" s="1021"/>
      <c r="CAP45" s="1021"/>
      <c r="CAQ45" s="1021"/>
      <c r="CAR45" s="1021"/>
      <c r="CAS45" s="1021"/>
      <c r="CAT45" s="1021"/>
      <c r="CAU45" s="1021"/>
      <c r="CAV45" s="1021"/>
      <c r="CAW45" s="1021"/>
      <c r="CAX45" s="1021"/>
      <c r="CAY45" s="1021"/>
      <c r="CAZ45" s="1021"/>
      <c r="CBA45" s="1021"/>
      <c r="CBB45" s="1021"/>
      <c r="CBC45" s="1021"/>
      <c r="CBD45" s="1021"/>
      <c r="CBE45" s="1021"/>
      <c r="CBF45" s="1021"/>
      <c r="CBG45" s="1021"/>
      <c r="CBH45" s="1021"/>
      <c r="CBI45" s="1021"/>
      <c r="CBJ45" s="1021"/>
      <c r="CBK45" s="1021"/>
      <c r="CBL45" s="1021"/>
      <c r="CBM45" s="1021"/>
      <c r="CBN45" s="1021"/>
      <c r="CBO45" s="1021"/>
      <c r="CBP45" s="1021"/>
      <c r="CBQ45" s="1021"/>
      <c r="CBR45" s="1021"/>
      <c r="CBS45" s="1021"/>
      <c r="CBT45" s="1021"/>
      <c r="CBU45" s="1021"/>
      <c r="CBV45" s="1021"/>
      <c r="CBW45" s="1021"/>
      <c r="CBX45" s="1021"/>
      <c r="CBY45" s="1021"/>
      <c r="CBZ45" s="1021"/>
      <c r="CCA45" s="1021"/>
      <c r="CCB45" s="1021"/>
      <c r="CCC45" s="1021"/>
      <c r="CCD45" s="1021"/>
      <c r="CCE45" s="1021"/>
      <c r="CCF45" s="1021"/>
      <c r="CCG45" s="1021"/>
      <c r="CCH45" s="1021"/>
      <c r="CCI45" s="1021"/>
      <c r="CCJ45" s="1021"/>
      <c r="CCK45" s="1021"/>
      <c r="CCL45" s="1021"/>
      <c r="CCM45" s="1021"/>
      <c r="CCN45" s="1021"/>
      <c r="CCO45" s="1021"/>
      <c r="CCP45" s="1021"/>
      <c r="CCQ45" s="1021"/>
      <c r="CCR45" s="1021"/>
      <c r="CCS45" s="1021"/>
      <c r="CCT45" s="1021"/>
      <c r="CCU45" s="1021"/>
      <c r="CCV45" s="1021"/>
      <c r="CCW45" s="1021"/>
      <c r="CCX45" s="1021"/>
      <c r="CCY45" s="1021"/>
      <c r="CCZ45" s="1021"/>
      <c r="CDA45" s="1021"/>
      <c r="CDB45" s="1021"/>
      <c r="CDC45" s="1021"/>
      <c r="CDD45" s="1021"/>
      <c r="CDE45" s="1021"/>
      <c r="CDF45" s="1021"/>
      <c r="CDG45" s="1021"/>
      <c r="CDH45" s="1021"/>
      <c r="CDI45" s="1021"/>
      <c r="CDJ45" s="1021"/>
      <c r="CDK45" s="1021"/>
      <c r="CDL45" s="1021"/>
      <c r="CDM45" s="1021"/>
      <c r="CDN45" s="1021"/>
      <c r="CDO45" s="1021"/>
      <c r="CDP45" s="1021"/>
      <c r="CDQ45" s="1021"/>
      <c r="CDR45" s="1021"/>
      <c r="CDS45" s="1021"/>
      <c r="CDT45" s="1021"/>
      <c r="CDU45" s="1021"/>
      <c r="CDV45" s="1021"/>
      <c r="CDW45" s="1021"/>
      <c r="CDX45" s="1021"/>
      <c r="CDY45" s="1021"/>
      <c r="CDZ45" s="1021"/>
      <c r="CEA45" s="1021"/>
      <c r="CEB45" s="1021"/>
      <c r="CEC45" s="1021"/>
      <c r="CED45" s="1021"/>
      <c r="CEE45" s="1021"/>
      <c r="CEF45" s="1021"/>
      <c r="CEG45" s="1021"/>
      <c r="CEH45" s="1021"/>
      <c r="CEI45" s="1021"/>
      <c r="CEJ45" s="1021"/>
      <c r="CEK45" s="1021"/>
      <c r="CEL45" s="1021"/>
      <c r="CEM45" s="1021"/>
      <c r="CEN45" s="1021"/>
      <c r="CEO45" s="1021"/>
      <c r="CEP45" s="1021"/>
      <c r="CEQ45" s="1021"/>
      <c r="CER45" s="1021"/>
      <c r="CES45" s="1021"/>
      <c r="CET45" s="1021"/>
      <c r="CEU45" s="1021"/>
      <c r="CEV45" s="1021"/>
      <c r="CEW45" s="1021"/>
      <c r="CEX45" s="1021"/>
      <c r="CEY45" s="1021"/>
      <c r="CEZ45" s="1021"/>
      <c r="CFA45" s="1021"/>
      <c r="CFB45" s="1021"/>
      <c r="CFC45" s="1021"/>
      <c r="CFD45" s="1021"/>
      <c r="CFE45" s="1021"/>
      <c r="CFF45" s="1021"/>
      <c r="CFG45" s="1021"/>
      <c r="CFH45" s="1021"/>
      <c r="CFI45" s="1021"/>
      <c r="CFJ45" s="1021"/>
      <c r="CFK45" s="1021"/>
      <c r="CFL45" s="1021"/>
      <c r="CFM45" s="1021"/>
      <c r="CFN45" s="1021"/>
      <c r="CFO45" s="1021"/>
      <c r="CFP45" s="1021"/>
      <c r="CFQ45" s="1021"/>
      <c r="CFR45" s="1021"/>
      <c r="CFS45" s="1021"/>
      <c r="CFT45" s="1021"/>
      <c r="CFU45" s="1021"/>
      <c r="CFV45" s="1021"/>
      <c r="CFW45" s="1021"/>
      <c r="CFX45" s="1021"/>
      <c r="CFY45" s="1021"/>
      <c r="CFZ45" s="1021"/>
      <c r="CGA45" s="1021"/>
      <c r="CGB45" s="1021"/>
      <c r="CGC45" s="1021"/>
      <c r="CGD45" s="1021"/>
      <c r="CGE45" s="1021"/>
      <c r="CGF45" s="1021"/>
      <c r="CGG45" s="1021"/>
      <c r="CGH45" s="1021"/>
      <c r="CGI45" s="1021"/>
      <c r="CGJ45" s="1021"/>
      <c r="CGK45" s="1021"/>
      <c r="CGL45" s="1021"/>
      <c r="CGM45" s="1021"/>
      <c r="CGN45" s="1021"/>
      <c r="CGO45" s="1021"/>
      <c r="CGP45" s="1021"/>
      <c r="CGQ45" s="1021"/>
      <c r="CGR45" s="1021"/>
      <c r="CGS45" s="1021"/>
      <c r="CGT45" s="1021"/>
      <c r="CGU45" s="1021"/>
      <c r="CGV45" s="1021"/>
      <c r="CGW45" s="1021"/>
      <c r="CGX45" s="1021"/>
      <c r="CGY45" s="1021"/>
      <c r="CGZ45" s="1021"/>
      <c r="CHA45" s="1021"/>
      <c r="CHB45" s="1021"/>
      <c r="CHC45" s="1021"/>
      <c r="CHD45" s="1021"/>
      <c r="CHE45" s="1021"/>
      <c r="CHF45" s="1021"/>
      <c r="CHG45" s="1021"/>
      <c r="CHH45" s="1021"/>
      <c r="CHI45" s="1021"/>
      <c r="CHJ45" s="1021"/>
      <c r="CHK45" s="1021"/>
      <c r="CHL45" s="1021"/>
      <c r="CHM45" s="1021"/>
      <c r="CHN45" s="1021"/>
      <c r="CHO45" s="1021"/>
      <c r="CHP45" s="1021"/>
      <c r="CHQ45" s="1021"/>
      <c r="CHR45" s="1021"/>
      <c r="CHS45" s="1021"/>
      <c r="CHT45" s="1021"/>
      <c r="CHU45" s="1021"/>
      <c r="CHV45" s="1021"/>
      <c r="CHW45" s="1021"/>
      <c r="CHX45" s="1021"/>
      <c r="CHY45" s="1021"/>
      <c r="CHZ45" s="1021"/>
      <c r="CIA45" s="1021"/>
      <c r="CIB45" s="1021"/>
      <c r="CIC45" s="1021"/>
      <c r="CID45" s="1021"/>
      <c r="CIE45" s="1021"/>
      <c r="CIF45" s="1021"/>
      <c r="CIG45" s="1021"/>
      <c r="CIH45" s="1021"/>
      <c r="CII45" s="1021"/>
      <c r="CIJ45" s="1021"/>
      <c r="CIK45" s="1021"/>
      <c r="CIL45" s="1021"/>
      <c r="CIM45" s="1021"/>
      <c r="CIN45" s="1021"/>
      <c r="CIO45" s="1021"/>
      <c r="CIP45" s="1021"/>
      <c r="CIQ45" s="1021"/>
      <c r="CIR45" s="1021"/>
      <c r="CIS45" s="1021"/>
      <c r="CIT45" s="1021"/>
      <c r="CIU45" s="1021"/>
      <c r="CIV45" s="1021"/>
      <c r="CIW45" s="1021"/>
      <c r="CIX45" s="1021"/>
      <c r="CIY45" s="1021"/>
      <c r="CIZ45" s="1021"/>
      <c r="CJA45" s="1021"/>
      <c r="CJB45" s="1021"/>
      <c r="CJC45" s="1021"/>
      <c r="CJD45" s="1021"/>
      <c r="CJE45" s="1021"/>
      <c r="CJF45" s="1021"/>
      <c r="CJG45" s="1021"/>
      <c r="CJH45" s="1021"/>
      <c r="CJI45" s="1021"/>
      <c r="CJJ45" s="1021"/>
      <c r="CJK45" s="1021"/>
      <c r="CJL45" s="1021"/>
      <c r="CJM45" s="1021"/>
      <c r="CJN45" s="1021"/>
      <c r="CJO45" s="1021"/>
      <c r="CJP45" s="1021"/>
      <c r="CJQ45" s="1021"/>
      <c r="CJR45" s="1021"/>
      <c r="CJS45" s="1021"/>
      <c r="CJT45" s="1021"/>
      <c r="CJU45" s="1021"/>
      <c r="CJV45" s="1021"/>
      <c r="CJW45" s="1021"/>
      <c r="CJX45" s="1021"/>
      <c r="CJY45" s="1021"/>
      <c r="CJZ45" s="1021"/>
      <c r="CKA45" s="1021"/>
      <c r="CKB45" s="1021"/>
      <c r="CKC45" s="1021"/>
      <c r="CKD45" s="1021"/>
      <c r="CKE45" s="1021"/>
      <c r="CKF45" s="1021"/>
      <c r="CKG45" s="1021"/>
      <c r="CKH45" s="1021"/>
      <c r="CKI45" s="1021"/>
      <c r="CKJ45" s="1021"/>
      <c r="CKK45" s="1021"/>
      <c r="CKL45" s="1021"/>
      <c r="CKM45" s="1021"/>
      <c r="CKN45" s="1021"/>
      <c r="CKO45" s="1021"/>
      <c r="CKP45" s="1021"/>
      <c r="CKQ45" s="1021"/>
      <c r="CKR45" s="1021"/>
      <c r="CKS45" s="1021"/>
      <c r="CKT45" s="1021"/>
      <c r="CKU45" s="1021"/>
      <c r="CKV45" s="1021"/>
      <c r="CKW45" s="1021"/>
      <c r="CKX45" s="1021"/>
      <c r="CKY45" s="1021"/>
      <c r="CKZ45" s="1021"/>
      <c r="CLA45" s="1021"/>
      <c r="CLB45" s="1021"/>
      <c r="CLC45" s="1021"/>
      <c r="CLD45" s="1021"/>
      <c r="CLE45" s="1021"/>
      <c r="CLF45" s="1021"/>
      <c r="CLG45" s="1021"/>
      <c r="CLH45" s="1021"/>
      <c r="CLI45" s="1021"/>
      <c r="CLJ45" s="1021"/>
      <c r="CLK45" s="1021"/>
      <c r="CLL45" s="1021"/>
      <c r="CLM45" s="1021"/>
      <c r="CLN45" s="1021"/>
      <c r="CLO45" s="1021"/>
      <c r="CLP45" s="1021"/>
      <c r="CLQ45" s="1021"/>
      <c r="CLR45" s="1021"/>
      <c r="CLS45" s="1021"/>
      <c r="CLT45" s="1021"/>
      <c r="CLU45" s="1021"/>
      <c r="CLV45" s="1021"/>
      <c r="CLW45" s="1021"/>
      <c r="CLX45" s="1021"/>
      <c r="CLY45" s="1021"/>
      <c r="CLZ45" s="1021"/>
      <c r="CMA45" s="1021"/>
      <c r="CMB45" s="1021"/>
      <c r="CMC45" s="1021"/>
      <c r="CMD45" s="1021"/>
      <c r="CME45" s="1021"/>
      <c r="CMF45" s="1021"/>
      <c r="CMG45" s="1021"/>
      <c r="CMH45" s="1021"/>
      <c r="CMI45" s="1021"/>
      <c r="CMJ45" s="1021"/>
      <c r="CMK45" s="1021"/>
      <c r="CML45" s="1021"/>
      <c r="CMM45" s="1021"/>
      <c r="CMN45" s="1021"/>
      <c r="CMO45" s="1021"/>
      <c r="CMP45" s="1021"/>
      <c r="CMQ45" s="1021"/>
      <c r="CMR45" s="1021"/>
      <c r="CMS45" s="1021"/>
      <c r="CMT45" s="1021"/>
      <c r="CMU45" s="1021"/>
      <c r="CMV45" s="1021"/>
      <c r="CMW45" s="1021"/>
      <c r="CMX45" s="1021"/>
      <c r="CMY45" s="1021"/>
      <c r="CMZ45" s="1021"/>
      <c r="CNA45" s="1021"/>
      <c r="CNB45" s="1021"/>
      <c r="CNC45" s="1021"/>
      <c r="CND45" s="1021"/>
      <c r="CNE45" s="1021"/>
      <c r="CNF45" s="1021"/>
      <c r="CNG45" s="1021"/>
      <c r="CNH45" s="1021"/>
      <c r="CNI45" s="1021"/>
      <c r="CNJ45" s="1021"/>
      <c r="CNK45" s="1021"/>
      <c r="CNL45" s="1021"/>
      <c r="CNM45" s="1021"/>
      <c r="CNN45" s="1021"/>
      <c r="CNO45" s="1021"/>
      <c r="CNP45" s="1021"/>
      <c r="CNQ45" s="1021"/>
      <c r="CNR45" s="1021"/>
      <c r="CNS45" s="1021"/>
      <c r="CNT45" s="1021"/>
      <c r="CNU45" s="1021"/>
      <c r="CNV45" s="1021"/>
      <c r="CNW45" s="1021"/>
      <c r="CNX45" s="1021"/>
      <c r="CNY45" s="1021"/>
      <c r="CNZ45" s="1021"/>
      <c r="COA45" s="1021"/>
      <c r="COB45" s="1021"/>
      <c r="COC45" s="1021"/>
      <c r="COD45" s="1021"/>
      <c r="COE45" s="1021"/>
      <c r="COF45" s="1021"/>
      <c r="COG45" s="1021"/>
      <c r="COH45" s="1021"/>
      <c r="COI45" s="1021"/>
      <c r="COJ45" s="1021"/>
      <c r="COK45" s="1021"/>
      <c r="COL45" s="1021"/>
      <c r="COM45" s="1021"/>
      <c r="CON45" s="1021"/>
      <c r="COO45" s="1021"/>
      <c r="COP45" s="1021"/>
      <c r="COQ45" s="1021"/>
      <c r="COR45" s="1021"/>
      <c r="COS45" s="1021"/>
      <c r="COT45" s="1021"/>
      <c r="COU45" s="1021"/>
      <c r="COV45" s="1021"/>
      <c r="COW45" s="1021"/>
      <c r="COX45" s="1021"/>
      <c r="COY45" s="1021"/>
      <c r="COZ45" s="1021"/>
      <c r="CPA45" s="1021"/>
      <c r="CPB45" s="1021"/>
      <c r="CPC45" s="1021"/>
      <c r="CPD45" s="1021"/>
      <c r="CPE45" s="1021"/>
      <c r="CPF45" s="1021"/>
      <c r="CPG45" s="1021"/>
      <c r="CPH45" s="1021"/>
      <c r="CPI45" s="1021"/>
      <c r="CPJ45" s="1021"/>
      <c r="CPK45" s="1021"/>
      <c r="CPL45" s="1021"/>
      <c r="CPM45" s="1021"/>
      <c r="CPN45" s="1021"/>
      <c r="CPO45" s="1021"/>
      <c r="CPP45" s="1021"/>
      <c r="CPQ45" s="1021"/>
      <c r="CPR45" s="1021"/>
      <c r="CPS45" s="1021"/>
      <c r="CPT45" s="1021"/>
      <c r="CPU45" s="1021"/>
      <c r="CPV45" s="1021"/>
      <c r="CPW45" s="1021"/>
      <c r="CPX45" s="1021"/>
      <c r="CPY45" s="1021"/>
      <c r="CPZ45" s="1021"/>
      <c r="CQA45" s="1021"/>
      <c r="CQB45" s="1021"/>
      <c r="CQC45" s="1021"/>
      <c r="CQD45" s="1021"/>
      <c r="CQE45" s="1021"/>
      <c r="CQF45" s="1021"/>
      <c r="CQG45" s="1021"/>
      <c r="CQH45" s="1021"/>
      <c r="CQI45" s="1021"/>
      <c r="CQJ45" s="1021"/>
      <c r="CQK45" s="1021"/>
      <c r="CQL45" s="1021"/>
      <c r="CQM45" s="1021"/>
      <c r="CQN45" s="1021"/>
      <c r="CQO45" s="1021"/>
      <c r="CQP45" s="1021"/>
      <c r="CQQ45" s="1021"/>
      <c r="CQR45" s="1021"/>
      <c r="CQS45" s="1021"/>
      <c r="CQT45" s="1021"/>
      <c r="CQU45" s="1021"/>
      <c r="CQV45" s="1021"/>
      <c r="CQW45" s="1021"/>
      <c r="CQX45" s="1021"/>
      <c r="CQY45" s="1021"/>
      <c r="CQZ45" s="1021"/>
      <c r="CRA45" s="1021"/>
      <c r="CRB45" s="1021"/>
      <c r="CRC45" s="1021"/>
      <c r="CRD45" s="1021"/>
      <c r="CRE45" s="1021"/>
      <c r="CRF45" s="1021"/>
      <c r="CRG45" s="1021"/>
      <c r="CRH45" s="1021"/>
      <c r="CRI45" s="1021"/>
      <c r="CRJ45" s="1021"/>
      <c r="CRK45" s="1021"/>
      <c r="CRL45" s="1021"/>
      <c r="CRM45" s="1021"/>
      <c r="CRN45" s="1021"/>
      <c r="CRO45" s="1021"/>
      <c r="CRP45" s="1021"/>
      <c r="CRQ45" s="1021"/>
      <c r="CRR45" s="1021"/>
      <c r="CRS45" s="1021"/>
      <c r="CRT45" s="1021"/>
      <c r="CRU45" s="1021"/>
      <c r="CRV45" s="1021"/>
      <c r="CRW45" s="1021"/>
      <c r="CRX45" s="1021"/>
      <c r="CRY45" s="1021"/>
      <c r="CRZ45" s="1021"/>
      <c r="CSA45" s="1021"/>
      <c r="CSB45" s="1021"/>
      <c r="CSC45" s="1021"/>
      <c r="CSD45" s="1021"/>
      <c r="CSE45" s="1021"/>
      <c r="CSF45" s="1021"/>
      <c r="CSG45" s="1021"/>
      <c r="CSH45" s="1021"/>
      <c r="CSI45" s="1021"/>
      <c r="CSJ45" s="1021"/>
      <c r="CSK45" s="1021"/>
      <c r="CSL45" s="1021"/>
      <c r="CSM45" s="1021"/>
      <c r="CSN45" s="1021"/>
      <c r="CSO45" s="1021"/>
      <c r="CSP45" s="1021"/>
      <c r="CSQ45" s="1021"/>
      <c r="CSR45" s="1021"/>
      <c r="CSS45" s="1021"/>
      <c r="CST45" s="1021"/>
      <c r="CSU45" s="1021"/>
      <c r="CSV45" s="1021"/>
      <c r="CSW45" s="1021"/>
      <c r="CSX45" s="1021"/>
      <c r="CSY45" s="1021"/>
      <c r="CSZ45" s="1021"/>
      <c r="CTA45" s="1021"/>
      <c r="CTB45" s="1021"/>
      <c r="CTC45" s="1021"/>
      <c r="CTD45" s="1021"/>
      <c r="CTE45" s="1021"/>
      <c r="CTF45" s="1021"/>
      <c r="CTG45" s="1021"/>
      <c r="CTH45" s="1021"/>
      <c r="CTI45" s="1021"/>
      <c r="CTJ45" s="1021"/>
      <c r="CTK45" s="1021"/>
      <c r="CTL45" s="1021"/>
      <c r="CTM45" s="1021"/>
      <c r="CTN45" s="1021"/>
      <c r="CTO45" s="1021"/>
      <c r="CTP45" s="1021"/>
      <c r="CTQ45" s="1021"/>
      <c r="CTR45" s="1021"/>
      <c r="CTS45" s="1021"/>
      <c r="CTT45" s="1021"/>
      <c r="CTU45" s="1021"/>
      <c r="CTV45" s="1021"/>
      <c r="CTW45" s="1021"/>
      <c r="CTX45" s="1021"/>
      <c r="CTY45" s="1021"/>
      <c r="CTZ45" s="1021"/>
      <c r="CUA45" s="1021"/>
      <c r="CUB45" s="1021"/>
      <c r="CUC45" s="1021"/>
      <c r="CUD45" s="1021"/>
      <c r="CUE45" s="1021"/>
      <c r="CUF45" s="1021"/>
      <c r="CUG45" s="1021"/>
      <c r="CUH45" s="1021"/>
      <c r="CUI45" s="1021"/>
      <c r="CUJ45" s="1021"/>
      <c r="CUK45" s="1021"/>
      <c r="CUL45" s="1021"/>
      <c r="CUM45" s="1021"/>
      <c r="CUN45" s="1021"/>
      <c r="CUO45" s="1021"/>
      <c r="CUP45" s="1021"/>
      <c r="CUQ45" s="1021"/>
      <c r="CUR45" s="1021"/>
      <c r="CUS45" s="1021"/>
      <c r="CUT45" s="1021"/>
      <c r="CUU45" s="1021"/>
      <c r="CUV45" s="1021"/>
      <c r="CUW45" s="1021"/>
      <c r="CUX45" s="1021"/>
      <c r="CUY45" s="1021"/>
      <c r="CUZ45" s="1021"/>
      <c r="CVA45" s="1021"/>
      <c r="CVB45" s="1021"/>
      <c r="CVC45" s="1021"/>
      <c r="CVD45" s="1021"/>
      <c r="CVE45" s="1021"/>
      <c r="CVF45" s="1021"/>
      <c r="CVG45" s="1021"/>
      <c r="CVH45" s="1021"/>
      <c r="CVI45" s="1021"/>
      <c r="CVJ45" s="1021"/>
      <c r="CVK45" s="1021"/>
      <c r="CVL45" s="1021"/>
      <c r="CVM45" s="1021"/>
      <c r="CVN45" s="1021"/>
      <c r="CVO45" s="1021"/>
      <c r="CVP45" s="1021"/>
      <c r="CVQ45" s="1021"/>
      <c r="CVR45" s="1021"/>
      <c r="CVS45" s="1021"/>
      <c r="CVT45" s="1021"/>
      <c r="CVU45" s="1021"/>
      <c r="CVV45" s="1021"/>
      <c r="CVW45" s="1021"/>
      <c r="CVX45" s="1021"/>
      <c r="CVY45" s="1021"/>
      <c r="CVZ45" s="1021"/>
      <c r="CWA45" s="1021"/>
      <c r="CWB45" s="1021"/>
      <c r="CWC45" s="1021"/>
      <c r="CWD45" s="1021"/>
      <c r="CWE45" s="1021"/>
      <c r="CWF45" s="1021"/>
      <c r="CWG45" s="1021"/>
      <c r="CWH45" s="1021"/>
      <c r="CWI45" s="1021"/>
      <c r="CWJ45" s="1021"/>
      <c r="CWK45" s="1021"/>
      <c r="CWL45" s="1021"/>
      <c r="CWM45" s="1021"/>
      <c r="CWN45" s="1021"/>
      <c r="CWO45" s="1021"/>
      <c r="CWP45" s="1021"/>
      <c r="CWQ45" s="1021"/>
      <c r="CWR45" s="1021"/>
      <c r="CWS45" s="1021"/>
      <c r="CWT45" s="1021"/>
      <c r="CWU45" s="1021"/>
      <c r="CWV45" s="1021"/>
      <c r="CWW45" s="1021"/>
      <c r="CWX45" s="1021"/>
      <c r="CWY45" s="1021"/>
      <c r="CWZ45" s="1021"/>
      <c r="CXA45" s="1021"/>
      <c r="CXB45" s="1021"/>
      <c r="CXC45" s="1021"/>
      <c r="CXD45" s="1021"/>
      <c r="CXE45" s="1021"/>
      <c r="CXF45" s="1021"/>
      <c r="CXG45" s="1021"/>
      <c r="CXH45" s="1021"/>
      <c r="CXI45" s="1021"/>
      <c r="CXJ45" s="1021"/>
      <c r="CXK45" s="1021"/>
      <c r="CXL45" s="1021"/>
      <c r="CXM45" s="1021"/>
      <c r="CXN45" s="1021"/>
      <c r="CXO45" s="1021"/>
      <c r="CXP45" s="1021"/>
      <c r="CXQ45" s="1021"/>
      <c r="CXR45" s="1021"/>
      <c r="CXS45" s="1021"/>
      <c r="CXT45" s="1021"/>
      <c r="CXU45" s="1021"/>
      <c r="CXV45" s="1021"/>
      <c r="CXW45" s="1021"/>
      <c r="CXX45" s="1021"/>
      <c r="CXY45" s="1021"/>
      <c r="CXZ45" s="1021"/>
      <c r="CYA45" s="1021"/>
      <c r="CYB45" s="1021"/>
      <c r="CYC45" s="1021"/>
      <c r="CYD45" s="1021"/>
      <c r="CYE45" s="1021"/>
      <c r="CYF45" s="1021"/>
      <c r="CYG45" s="1021"/>
      <c r="CYH45" s="1021"/>
      <c r="CYI45" s="1021"/>
      <c r="CYJ45" s="1021"/>
      <c r="CYK45" s="1021"/>
      <c r="CYL45" s="1021"/>
      <c r="CYM45" s="1021"/>
      <c r="CYN45" s="1021"/>
      <c r="CYO45" s="1021"/>
      <c r="CYP45" s="1021"/>
      <c r="CYQ45" s="1021"/>
      <c r="CYR45" s="1021"/>
      <c r="CYS45" s="1021"/>
      <c r="CYT45" s="1021"/>
      <c r="CYU45" s="1021"/>
      <c r="CYV45" s="1021"/>
      <c r="CYW45" s="1021"/>
      <c r="CYX45" s="1021"/>
      <c r="CYY45" s="1021"/>
      <c r="CYZ45" s="1021"/>
      <c r="CZA45" s="1021"/>
      <c r="CZB45" s="1021"/>
      <c r="CZC45" s="1021"/>
      <c r="CZD45" s="1021"/>
      <c r="CZE45" s="1021"/>
      <c r="CZF45" s="1021"/>
      <c r="CZG45" s="1021"/>
      <c r="CZH45" s="1021"/>
      <c r="CZI45" s="1021"/>
      <c r="CZJ45" s="1021"/>
      <c r="CZK45" s="1021"/>
      <c r="CZL45" s="1021"/>
      <c r="CZM45" s="1021"/>
      <c r="CZN45" s="1021"/>
      <c r="CZO45" s="1021"/>
      <c r="CZP45" s="1021"/>
      <c r="CZQ45" s="1021"/>
      <c r="CZR45" s="1021"/>
      <c r="CZS45" s="1021"/>
      <c r="CZT45" s="1021"/>
      <c r="CZU45" s="1021"/>
      <c r="CZV45" s="1021"/>
      <c r="CZW45" s="1021"/>
      <c r="CZX45" s="1021"/>
      <c r="CZY45" s="1021"/>
      <c r="CZZ45" s="1021"/>
      <c r="DAA45" s="1021"/>
      <c r="DAB45" s="1021"/>
      <c r="DAC45" s="1021"/>
      <c r="DAD45" s="1021"/>
      <c r="DAE45" s="1021"/>
      <c r="DAF45" s="1021"/>
      <c r="DAG45" s="1021"/>
      <c r="DAH45" s="1021"/>
      <c r="DAI45" s="1021"/>
      <c r="DAJ45" s="1021"/>
      <c r="DAK45" s="1021"/>
      <c r="DAL45" s="1021"/>
      <c r="DAM45" s="1021"/>
      <c r="DAN45" s="1021"/>
      <c r="DAO45" s="1021"/>
      <c r="DAP45" s="1021"/>
      <c r="DAQ45" s="1021"/>
      <c r="DAR45" s="1021"/>
      <c r="DAS45" s="1021"/>
      <c r="DAT45" s="1021"/>
      <c r="DAU45" s="1021"/>
      <c r="DAV45" s="1021"/>
      <c r="DAW45" s="1021"/>
      <c r="DAX45" s="1021"/>
      <c r="DAY45" s="1021"/>
      <c r="DAZ45" s="1021"/>
      <c r="DBA45" s="1021"/>
      <c r="DBB45" s="1021"/>
      <c r="DBC45" s="1021"/>
      <c r="DBD45" s="1021"/>
      <c r="DBE45" s="1021"/>
      <c r="DBF45" s="1021"/>
      <c r="DBG45" s="1021"/>
      <c r="DBH45" s="1021"/>
      <c r="DBI45" s="1021"/>
      <c r="DBJ45" s="1021"/>
      <c r="DBK45" s="1021"/>
      <c r="DBL45" s="1021"/>
      <c r="DBM45" s="1021"/>
      <c r="DBN45" s="1021"/>
      <c r="DBO45" s="1021"/>
      <c r="DBP45" s="1021"/>
      <c r="DBQ45" s="1021"/>
      <c r="DBR45" s="1021"/>
      <c r="DBS45" s="1021"/>
      <c r="DBT45" s="1021"/>
      <c r="DBU45" s="1021"/>
      <c r="DBV45" s="1021"/>
      <c r="DBW45" s="1021"/>
      <c r="DBX45" s="1021"/>
      <c r="DBY45" s="1021"/>
      <c r="DBZ45" s="1021"/>
      <c r="DCA45" s="1021"/>
      <c r="DCB45" s="1021"/>
      <c r="DCC45" s="1021"/>
      <c r="DCD45" s="1021"/>
      <c r="DCE45" s="1021"/>
      <c r="DCF45" s="1021"/>
      <c r="DCG45" s="1021"/>
      <c r="DCH45" s="1021"/>
      <c r="DCI45" s="1021"/>
      <c r="DCJ45" s="1021"/>
      <c r="DCK45" s="1021"/>
      <c r="DCL45" s="1021"/>
      <c r="DCM45" s="1021"/>
      <c r="DCN45" s="1021"/>
      <c r="DCO45" s="1021"/>
      <c r="DCP45" s="1021"/>
      <c r="DCQ45" s="1021"/>
      <c r="DCR45" s="1021"/>
      <c r="DCS45" s="1021"/>
      <c r="DCT45" s="1021"/>
      <c r="DCU45" s="1021"/>
      <c r="DCV45" s="1021"/>
      <c r="DCW45" s="1021"/>
      <c r="DCX45" s="1021"/>
      <c r="DCY45" s="1021"/>
      <c r="DCZ45" s="1021"/>
      <c r="DDA45" s="1021"/>
      <c r="DDB45" s="1021"/>
      <c r="DDC45" s="1021"/>
      <c r="DDD45" s="1021"/>
      <c r="DDE45" s="1021"/>
      <c r="DDF45" s="1021"/>
      <c r="DDG45" s="1021"/>
      <c r="DDH45" s="1021"/>
      <c r="DDI45" s="1021"/>
      <c r="DDJ45" s="1021"/>
      <c r="DDK45" s="1021"/>
      <c r="DDL45" s="1021"/>
      <c r="DDM45" s="1021"/>
      <c r="DDN45" s="1021"/>
      <c r="DDO45" s="1021"/>
      <c r="DDP45" s="1021"/>
      <c r="DDQ45" s="1021"/>
      <c r="DDR45" s="1021"/>
      <c r="DDS45" s="1021"/>
      <c r="DDT45" s="1021"/>
      <c r="DDU45" s="1021"/>
      <c r="DDV45" s="1021"/>
      <c r="DDW45" s="1021"/>
      <c r="DDX45" s="1021"/>
      <c r="DDY45" s="1021"/>
      <c r="DDZ45" s="1021"/>
      <c r="DEA45" s="1021"/>
      <c r="DEB45" s="1021"/>
      <c r="DEC45" s="1021"/>
      <c r="DED45" s="1021"/>
      <c r="DEE45" s="1021"/>
      <c r="DEF45" s="1021"/>
      <c r="DEG45" s="1021"/>
      <c r="DEH45" s="1021"/>
      <c r="DEI45" s="1021"/>
      <c r="DEJ45" s="1021"/>
      <c r="DEK45" s="1021"/>
      <c r="DEL45" s="1021"/>
      <c r="DEM45" s="1021"/>
      <c r="DEN45" s="1021"/>
      <c r="DEO45" s="1021"/>
      <c r="DEP45" s="1021"/>
      <c r="DEQ45" s="1021"/>
      <c r="DER45" s="1021"/>
      <c r="DES45" s="1021"/>
      <c r="DET45" s="1021"/>
      <c r="DEU45" s="1021"/>
      <c r="DEV45" s="1021"/>
      <c r="DEW45" s="1021"/>
      <c r="DEX45" s="1021"/>
      <c r="DEY45" s="1021"/>
      <c r="DEZ45" s="1021"/>
      <c r="DFA45" s="1021"/>
      <c r="DFB45" s="1021"/>
      <c r="DFC45" s="1021"/>
      <c r="DFD45" s="1021"/>
      <c r="DFE45" s="1021"/>
      <c r="DFF45" s="1021"/>
      <c r="DFG45" s="1021"/>
      <c r="DFH45" s="1021"/>
      <c r="DFI45" s="1021"/>
      <c r="DFJ45" s="1021"/>
      <c r="DFK45" s="1021"/>
      <c r="DFL45" s="1021"/>
      <c r="DFM45" s="1021"/>
      <c r="DFN45" s="1021"/>
      <c r="DFO45" s="1021"/>
      <c r="DFP45" s="1021"/>
      <c r="DFQ45" s="1021"/>
      <c r="DFR45" s="1021"/>
      <c r="DFS45" s="1021"/>
      <c r="DFT45" s="1021"/>
      <c r="DFU45" s="1021"/>
      <c r="DFV45" s="1021"/>
      <c r="DFW45" s="1021"/>
      <c r="DFX45" s="1021"/>
      <c r="DFY45" s="1021"/>
      <c r="DFZ45" s="1021"/>
      <c r="DGA45" s="1021"/>
      <c r="DGB45" s="1021"/>
      <c r="DGC45" s="1021"/>
      <c r="DGD45" s="1021"/>
      <c r="DGE45" s="1021"/>
      <c r="DGF45" s="1021"/>
      <c r="DGG45" s="1021"/>
      <c r="DGH45" s="1021"/>
      <c r="DGI45" s="1021"/>
      <c r="DGJ45" s="1021"/>
      <c r="DGK45" s="1021"/>
      <c r="DGL45" s="1021"/>
      <c r="DGM45" s="1021"/>
      <c r="DGN45" s="1021"/>
      <c r="DGO45" s="1021"/>
      <c r="DGP45" s="1021"/>
      <c r="DGQ45" s="1021"/>
      <c r="DGR45" s="1021"/>
      <c r="DGS45" s="1021"/>
      <c r="DGT45" s="1021"/>
      <c r="DGU45" s="1021"/>
      <c r="DGV45" s="1021"/>
      <c r="DGW45" s="1021"/>
      <c r="DGX45" s="1021"/>
      <c r="DGY45" s="1021"/>
      <c r="DGZ45" s="1021"/>
      <c r="DHA45" s="1021"/>
      <c r="DHB45" s="1021"/>
      <c r="DHC45" s="1021"/>
      <c r="DHD45" s="1021"/>
      <c r="DHE45" s="1021"/>
      <c r="DHF45" s="1021"/>
      <c r="DHG45" s="1021"/>
      <c r="DHH45" s="1021"/>
      <c r="DHI45" s="1021"/>
      <c r="DHJ45" s="1021"/>
      <c r="DHK45" s="1021"/>
      <c r="DHL45" s="1021"/>
      <c r="DHM45" s="1021"/>
      <c r="DHN45" s="1021"/>
      <c r="DHO45" s="1021"/>
      <c r="DHP45" s="1021"/>
      <c r="DHQ45" s="1021"/>
      <c r="DHR45" s="1021"/>
      <c r="DHS45" s="1021"/>
      <c r="DHT45" s="1021"/>
      <c r="DHU45" s="1021"/>
      <c r="DHV45" s="1021"/>
      <c r="DHW45" s="1021"/>
      <c r="DHX45" s="1021"/>
      <c r="DHY45" s="1021"/>
      <c r="DHZ45" s="1021"/>
      <c r="DIA45" s="1021"/>
      <c r="DIB45" s="1021"/>
      <c r="DIC45" s="1021"/>
      <c r="DID45" s="1021"/>
      <c r="DIE45" s="1021"/>
      <c r="DIF45" s="1021"/>
      <c r="DIG45" s="1021"/>
      <c r="DIH45" s="1021"/>
      <c r="DII45" s="1021"/>
      <c r="DIJ45" s="1021"/>
      <c r="DIK45" s="1021"/>
      <c r="DIL45" s="1021"/>
      <c r="DIM45" s="1021"/>
      <c r="DIN45" s="1021"/>
      <c r="DIO45" s="1021"/>
      <c r="DIP45" s="1021"/>
      <c r="DIQ45" s="1021"/>
      <c r="DIR45" s="1021"/>
      <c r="DIS45" s="1021"/>
      <c r="DIT45" s="1021"/>
      <c r="DIU45" s="1021"/>
      <c r="DIV45" s="1021"/>
      <c r="DIW45" s="1021"/>
      <c r="DIX45" s="1021"/>
      <c r="DIY45" s="1021"/>
      <c r="DIZ45" s="1021"/>
      <c r="DJA45" s="1021"/>
      <c r="DJB45" s="1021"/>
      <c r="DJC45" s="1021"/>
      <c r="DJD45" s="1021"/>
      <c r="DJE45" s="1021"/>
      <c r="DJF45" s="1021"/>
      <c r="DJG45" s="1021"/>
      <c r="DJH45" s="1021"/>
      <c r="DJI45" s="1021"/>
      <c r="DJJ45" s="1021"/>
      <c r="DJK45" s="1021"/>
      <c r="DJL45" s="1021"/>
      <c r="DJM45" s="1021"/>
      <c r="DJN45" s="1021"/>
      <c r="DJO45" s="1021"/>
      <c r="DJP45" s="1021"/>
      <c r="DJQ45" s="1021"/>
      <c r="DJR45" s="1021"/>
      <c r="DJS45" s="1021"/>
      <c r="DJT45" s="1021"/>
      <c r="DJU45" s="1021"/>
      <c r="DJV45" s="1021"/>
      <c r="DJW45" s="1021"/>
      <c r="DJX45" s="1021"/>
      <c r="DJY45" s="1021"/>
      <c r="DJZ45" s="1021"/>
      <c r="DKA45" s="1021"/>
      <c r="DKB45" s="1021"/>
      <c r="DKC45" s="1021"/>
      <c r="DKD45" s="1021"/>
      <c r="DKE45" s="1021"/>
      <c r="DKF45" s="1021"/>
      <c r="DKG45" s="1021"/>
      <c r="DKH45" s="1021"/>
      <c r="DKI45" s="1021"/>
      <c r="DKJ45" s="1021"/>
      <c r="DKK45" s="1021"/>
      <c r="DKL45" s="1021"/>
      <c r="DKM45" s="1021"/>
      <c r="DKN45" s="1021"/>
      <c r="DKO45" s="1021"/>
      <c r="DKP45" s="1021"/>
      <c r="DKQ45" s="1021"/>
      <c r="DKR45" s="1021"/>
      <c r="DKS45" s="1021"/>
      <c r="DKT45" s="1021"/>
      <c r="DKU45" s="1021"/>
      <c r="DKV45" s="1021"/>
      <c r="DKW45" s="1021"/>
      <c r="DKX45" s="1021"/>
      <c r="DKY45" s="1021"/>
      <c r="DKZ45" s="1021"/>
      <c r="DLA45" s="1021"/>
      <c r="DLB45" s="1021"/>
      <c r="DLC45" s="1021"/>
      <c r="DLD45" s="1021"/>
      <c r="DLE45" s="1021"/>
      <c r="DLF45" s="1021"/>
      <c r="DLG45" s="1021"/>
      <c r="DLH45" s="1021"/>
      <c r="DLI45" s="1021"/>
      <c r="DLJ45" s="1021"/>
      <c r="DLK45" s="1021"/>
      <c r="DLL45" s="1021"/>
      <c r="DLM45" s="1021"/>
      <c r="DLN45" s="1021"/>
      <c r="DLO45" s="1021"/>
      <c r="DLP45" s="1021"/>
      <c r="DLQ45" s="1021"/>
      <c r="DLR45" s="1021"/>
      <c r="DLS45" s="1021"/>
      <c r="DLT45" s="1021"/>
      <c r="DLU45" s="1021"/>
      <c r="DLV45" s="1021"/>
      <c r="DLW45" s="1021"/>
      <c r="DLX45" s="1021"/>
      <c r="DLY45" s="1021"/>
      <c r="DLZ45" s="1021"/>
      <c r="DMA45" s="1021"/>
      <c r="DMB45" s="1021"/>
      <c r="DMC45" s="1021"/>
      <c r="DMD45" s="1021"/>
      <c r="DME45" s="1021"/>
      <c r="DMF45" s="1021"/>
      <c r="DMG45" s="1021"/>
      <c r="DMH45" s="1021"/>
      <c r="DMI45" s="1021"/>
      <c r="DMJ45" s="1021"/>
      <c r="DMK45" s="1021"/>
      <c r="DML45" s="1021"/>
      <c r="DMM45" s="1021"/>
      <c r="DMN45" s="1021"/>
      <c r="DMO45" s="1021"/>
      <c r="DMP45" s="1021"/>
      <c r="DMQ45" s="1021"/>
      <c r="DMR45" s="1021"/>
      <c r="DMS45" s="1021"/>
      <c r="DMT45" s="1021"/>
      <c r="DMU45" s="1021"/>
      <c r="DMV45" s="1021"/>
      <c r="DMW45" s="1021"/>
      <c r="DMX45" s="1021"/>
      <c r="DMY45" s="1021"/>
      <c r="DMZ45" s="1021"/>
      <c r="DNA45" s="1021"/>
      <c r="DNB45" s="1021"/>
      <c r="DNC45" s="1021"/>
      <c r="DND45" s="1021"/>
      <c r="DNE45" s="1021"/>
      <c r="DNF45" s="1021"/>
      <c r="DNG45" s="1021"/>
      <c r="DNH45" s="1021"/>
      <c r="DNI45" s="1021"/>
      <c r="DNJ45" s="1021"/>
      <c r="DNK45" s="1021"/>
      <c r="DNL45" s="1021"/>
      <c r="DNM45" s="1021"/>
      <c r="DNN45" s="1021"/>
      <c r="DNO45" s="1021"/>
      <c r="DNP45" s="1021"/>
      <c r="DNQ45" s="1021"/>
      <c r="DNR45" s="1021"/>
      <c r="DNS45" s="1021"/>
      <c r="DNT45" s="1021"/>
      <c r="DNU45" s="1021"/>
      <c r="DNV45" s="1021"/>
      <c r="DNW45" s="1021"/>
      <c r="DNX45" s="1021"/>
      <c r="DNY45" s="1021"/>
      <c r="DNZ45" s="1021"/>
      <c r="DOA45" s="1021"/>
      <c r="DOB45" s="1021"/>
      <c r="DOC45" s="1021"/>
      <c r="DOD45" s="1021"/>
      <c r="DOE45" s="1021"/>
      <c r="DOF45" s="1021"/>
      <c r="DOG45" s="1021"/>
      <c r="DOH45" s="1021"/>
      <c r="DOI45" s="1021"/>
      <c r="DOJ45" s="1021"/>
      <c r="DOK45" s="1021"/>
      <c r="DOL45" s="1021"/>
      <c r="DOM45" s="1021"/>
      <c r="DON45" s="1021"/>
      <c r="DOO45" s="1021"/>
      <c r="DOP45" s="1021"/>
      <c r="DOQ45" s="1021"/>
      <c r="DOR45" s="1021"/>
      <c r="DOS45" s="1021"/>
      <c r="DOT45" s="1021"/>
      <c r="DOU45" s="1021"/>
      <c r="DOV45" s="1021"/>
      <c r="DOW45" s="1021"/>
      <c r="DOX45" s="1021"/>
      <c r="DOY45" s="1021"/>
      <c r="DOZ45" s="1021"/>
      <c r="DPA45" s="1021"/>
      <c r="DPB45" s="1021"/>
      <c r="DPC45" s="1021"/>
      <c r="DPD45" s="1021"/>
      <c r="DPE45" s="1021"/>
      <c r="DPF45" s="1021"/>
      <c r="DPG45" s="1021"/>
      <c r="DPH45" s="1021"/>
      <c r="DPI45" s="1021"/>
      <c r="DPJ45" s="1021"/>
      <c r="DPK45" s="1021"/>
      <c r="DPL45" s="1021"/>
      <c r="DPM45" s="1021"/>
      <c r="DPN45" s="1021"/>
      <c r="DPO45" s="1021"/>
      <c r="DPP45" s="1021"/>
      <c r="DPQ45" s="1021"/>
      <c r="DPR45" s="1021"/>
      <c r="DPS45" s="1021"/>
      <c r="DPT45" s="1021"/>
      <c r="DPU45" s="1021"/>
      <c r="DPV45" s="1021"/>
      <c r="DPW45" s="1021"/>
      <c r="DPX45" s="1021"/>
      <c r="DPY45" s="1021"/>
      <c r="DPZ45" s="1021"/>
      <c r="DQA45" s="1021"/>
      <c r="DQB45" s="1021"/>
      <c r="DQC45" s="1021"/>
      <c r="DQD45" s="1021"/>
      <c r="DQE45" s="1021"/>
      <c r="DQF45" s="1021"/>
      <c r="DQG45" s="1021"/>
      <c r="DQH45" s="1021"/>
      <c r="DQI45" s="1021"/>
      <c r="DQJ45" s="1021"/>
      <c r="DQK45" s="1021"/>
      <c r="DQL45" s="1021"/>
      <c r="DQM45" s="1021"/>
      <c r="DQN45" s="1021"/>
      <c r="DQO45" s="1021"/>
      <c r="DQP45" s="1021"/>
      <c r="DQQ45" s="1021"/>
      <c r="DQR45" s="1021"/>
      <c r="DQS45" s="1021"/>
      <c r="DQT45" s="1021"/>
      <c r="DQU45" s="1021"/>
      <c r="DQV45" s="1021"/>
      <c r="DQW45" s="1021"/>
      <c r="DQX45" s="1021"/>
      <c r="DQY45" s="1021"/>
      <c r="DQZ45" s="1021"/>
      <c r="DRA45" s="1021"/>
      <c r="DRB45" s="1021"/>
      <c r="DRC45" s="1021"/>
      <c r="DRD45" s="1021"/>
      <c r="DRE45" s="1021"/>
      <c r="DRF45" s="1021"/>
      <c r="DRG45" s="1021"/>
      <c r="DRH45" s="1021"/>
      <c r="DRI45" s="1021"/>
      <c r="DRJ45" s="1021"/>
      <c r="DRK45" s="1021"/>
      <c r="DRL45" s="1021"/>
      <c r="DRM45" s="1021"/>
      <c r="DRN45" s="1021"/>
      <c r="DRO45" s="1021"/>
      <c r="DRP45" s="1021"/>
      <c r="DRQ45" s="1021"/>
      <c r="DRR45" s="1021"/>
      <c r="DRS45" s="1021"/>
      <c r="DRT45" s="1021"/>
      <c r="DRU45" s="1021"/>
      <c r="DRV45" s="1021"/>
      <c r="DRW45" s="1021"/>
      <c r="DRX45" s="1021"/>
      <c r="DRY45" s="1021"/>
      <c r="DRZ45" s="1021"/>
      <c r="DSA45" s="1021"/>
      <c r="DSB45" s="1021"/>
      <c r="DSC45" s="1021"/>
      <c r="DSD45" s="1021"/>
      <c r="DSE45" s="1021"/>
      <c r="DSF45" s="1021"/>
      <c r="DSG45" s="1021"/>
      <c r="DSH45" s="1021"/>
      <c r="DSI45" s="1021"/>
      <c r="DSJ45" s="1021"/>
      <c r="DSK45" s="1021"/>
      <c r="DSL45" s="1021"/>
      <c r="DSM45" s="1021"/>
      <c r="DSN45" s="1021"/>
      <c r="DSO45" s="1021"/>
      <c r="DSP45" s="1021"/>
      <c r="DSQ45" s="1021"/>
      <c r="DSR45" s="1021"/>
      <c r="DSS45" s="1021"/>
      <c r="DST45" s="1021"/>
      <c r="DSU45" s="1021"/>
      <c r="DSV45" s="1021"/>
      <c r="DSW45" s="1021"/>
      <c r="DSX45" s="1021"/>
      <c r="DSY45" s="1021"/>
      <c r="DSZ45" s="1021"/>
      <c r="DTA45" s="1021"/>
      <c r="DTB45" s="1021"/>
      <c r="DTC45" s="1021"/>
      <c r="DTD45" s="1021"/>
      <c r="DTE45" s="1021"/>
      <c r="DTF45" s="1021"/>
      <c r="DTG45" s="1021"/>
      <c r="DTH45" s="1021"/>
      <c r="DTI45" s="1021"/>
      <c r="DTJ45" s="1021"/>
      <c r="DTK45" s="1021"/>
      <c r="DTL45" s="1021"/>
      <c r="DTM45" s="1021"/>
      <c r="DTN45" s="1021"/>
      <c r="DTO45" s="1021"/>
      <c r="DTP45" s="1021"/>
      <c r="DTQ45" s="1021"/>
      <c r="DTR45" s="1021"/>
      <c r="DTS45" s="1021"/>
      <c r="DTT45" s="1021"/>
      <c r="DTU45" s="1021"/>
      <c r="DTV45" s="1021"/>
      <c r="DTW45" s="1021"/>
      <c r="DTX45" s="1021"/>
      <c r="DTY45" s="1021"/>
      <c r="DTZ45" s="1021"/>
      <c r="DUA45" s="1021"/>
      <c r="DUB45" s="1021"/>
      <c r="DUC45" s="1021"/>
      <c r="DUD45" s="1021"/>
      <c r="DUE45" s="1021"/>
      <c r="DUF45" s="1021"/>
      <c r="DUG45" s="1021"/>
      <c r="DUH45" s="1021"/>
      <c r="DUI45" s="1021"/>
      <c r="DUJ45" s="1021"/>
      <c r="DUK45" s="1021"/>
      <c r="DUL45" s="1021"/>
      <c r="DUM45" s="1021"/>
      <c r="DUN45" s="1021"/>
      <c r="DUO45" s="1021"/>
      <c r="DUP45" s="1021"/>
      <c r="DUQ45" s="1021"/>
      <c r="DUR45" s="1021"/>
      <c r="DUS45" s="1021"/>
      <c r="DUT45" s="1021"/>
      <c r="DUU45" s="1021"/>
      <c r="DUV45" s="1021"/>
      <c r="DUW45" s="1021"/>
      <c r="DUX45" s="1021"/>
      <c r="DUY45" s="1021"/>
      <c r="DUZ45" s="1021"/>
      <c r="DVA45" s="1021"/>
      <c r="DVB45" s="1021"/>
      <c r="DVC45" s="1021"/>
      <c r="DVD45" s="1021"/>
      <c r="DVE45" s="1021"/>
      <c r="DVF45" s="1021"/>
      <c r="DVG45" s="1021"/>
      <c r="DVH45" s="1021"/>
      <c r="DVI45" s="1021"/>
      <c r="DVJ45" s="1021"/>
      <c r="DVK45" s="1021"/>
      <c r="DVL45" s="1021"/>
      <c r="DVM45" s="1021"/>
      <c r="DVN45" s="1021"/>
      <c r="DVO45" s="1021"/>
      <c r="DVP45" s="1021"/>
      <c r="DVQ45" s="1021"/>
      <c r="DVR45" s="1021"/>
      <c r="DVS45" s="1021"/>
      <c r="DVT45" s="1021"/>
      <c r="DVU45" s="1021"/>
      <c r="DVV45" s="1021"/>
      <c r="DVW45" s="1021"/>
      <c r="DVX45" s="1021"/>
      <c r="DVY45" s="1021"/>
      <c r="DVZ45" s="1021"/>
      <c r="DWA45" s="1021"/>
      <c r="DWB45" s="1021"/>
      <c r="DWC45" s="1021"/>
      <c r="DWD45" s="1021"/>
      <c r="DWE45" s="1021"/>
      <c r="DWF45" s="1021"/>
      <c r="DWG45" s="1021"/>
      <c r="DWH45" s="1021"/>
      <c r="DWI45" s="1021"/>
      <c r="DWJ45" s="1021"/>
      <c r="DWK45" s="1021"/>
      <c r="DWL45" s="1021"/>
      <c r="DWM45" s="1021"/>
      <c r="DWN45" s="1021"/>
      <c r="DWO45" s="1021"/>
      <c r="DWP45" s="1021"/>
      <c r="DWQ45" s="1021"/>
      <c r="DWR45" s="1021"/>
      <c r="DWS45" s="1021"/>
      <c r="DWT45" s="1021"/>
      <c r="DWU45" s="1021"/>
      <c r="DWV45" s="1021"/>
      <c r="DWW45" s="1021"/>
      <c r="DWX45" s="1021"/>
      <c r="DWY45" s="1021"/>
      <c r="DWZ45" s="1021"/>
      <c r="DXA45" s="1021"/>
      <c r="DXB45" s="1021"/>
      <c r="DXC45" s="1021"/>
      <c r="DXD45" s="1021"/>
      <c r="DXE45" s="1021"/>
      <c r="DXF45" s="1021"/>
      <c r="DXG45" s="1021"/>
      <c r="DXH45" s="1021"/>
      <c r="DXI45" s="1021"/>
      <c r="DXJ45" s="1021"/>
      <c r="DXK45" s="1021"/>
      <c r="DXL45" s="1021"/>
      <c r="DXM45" s="1021"/>
      <c r="DXN45" s="1021"/>
      <c r="DXO45" s="1021"/>
      <c r="DXP45" s="1021"/>
      <c r="DXQ45" s="1021"/>
      <c r="DXR45" s="1021"/>
      <c r="DXS45" s="1021"/>
      <c r="DXT45" s="1021"/>
      <c r="DXU45" s="1021"/>
      <c r="DXV45" s="1021"/>
      <c r="DXW45" s="1021"/>
      <c r="DXX45" s="1021"/>
      <c r="DXY45" s="1021"/>
      <c r="DXZ45" s="1021"/>
      <c r="DYA45" s="1021"/>
      <c r="DYB45" s="1021"/>
      <c r="DYC45" s="1021"/>
      <c r="DYD45" s="1021"/>
      <c r="DYE45" s="1021"/>
      <c r="DYF45" s="1021"/>
      <c r="DYG45" s="1021"/>
      <c r="DYH45" s="1021"/>
      <c r="DYI45" s="1021"/>
      <c r="DYJ45" s="1021"/>
      <c r="DYK45" s="1021"/>
      <c r="DYL45" s="1021"/>
      <c r="DYM45" s="1021"/>
      <c r="DYN45" s="1021"/>
      <c r="DYO45" s="1021"/>
      <c r="DYP45" s="1021"/>
      <c r="DYQ45" s="1021"/>
      <c r="DYR45" s="1021"/>
      <c r="DYS45" s="1021"/>
      <c r="DYT45" s="1021"/>
      <c r="DYU45" s="1021"/>
      <c r="DYV45" s="1021"/>
      <c r="DYW45" s="1021"/>
      <c r="DYX45" s="1021"/>
      <c r="DYY45" s="1021"/>
      <c r="DYZ45" s="1021"/>
      <c r="DZA45" s="1021"/>
      <c r="DZB45" s="1021"/>
      <c r="DZC45" s="1021"/>
      <c r="DZD45" s="1021"/>
      <c r="DZE45" s="1021"/>
      <c r="DZF45" s="1021"/>
      <c r="DZG45" s="1021"/>
      <c r="DZH45" s="1021"/>
      <c r="DZI45" s="1021"/>
      <c r="DZJ45" s="1021"/>
      <c r="DZK45" s="1021"/>
      <c r="DZL45" s="1021"/>
      <c r="DZM45" s="1021"/>
      <c r="DZN45" s="1021"/>
      <c r="DZO45" s="1021"/>
      <c r="DZP45" s="1021"/>
      <c r="DZQ45" s="1021"/>
      <c r="DZR45" s="1021"/>
      <c r="DZS45" s="1021"/>
      <c r="DZT45" s="1021"/>
      <c r="DZU45" s="1021"/>
      <c r="DZV45" s="1021"/>
      <c r="DZW45" s="1021"/>
      <c r="DZX45" s="1021"/>
      <c r="DZY45" s="1021"/>
      <c r="DZZ45" s="1021"/>
      <c r="EAA45" s="1021"/>
      <c r="EAB45" s="1021"/>
      <c r="EAC45" s="1021"/>
      <c r="EAD45" s="1021"/>
      <c r="EAE45" s="1021"/>
      <c r="EAF45" s="1021"/>
      <c r="EAG45" s="1021"/>
      <c r="EAH45" s="1021"/>
      <c r="EAI45" s="1021"/>
      <c r="EAJ45" s="1021"/>
      <c r="EAK45" s="1021"/>
      <c r="EAL45" s="1021"/>
      <c r="EAM45" s="1021"/>
      <c r="EAN45" s="1021"/>
      <c r="EAO45" s="1021"/>
      <c r="EAP45" s="1021"/>
      <c r="EAQ45" s="1021"/>
      <c r="EAR45" s="1021"/>
      <c r="EAS45" s="1021"/>
      <c r="EAT45" s="1021"/>
      <c r="EAU45" s="1021"/>
      <c r="EAV45" s="1021"/>
      <c r="EAW45" s="1021"/>
      <c r="EAX45" s="1021"/>
      <c r="EAY45" s="1021"/>
      <c r="EAZ45" s="1021"/>
      <c r="EBA45" s="1021"/>
      <c r="EBB45" s="1021"/>
      <c r="EBC45" s="1021"/>
      <c r="EBD45" s="1021"/>
      <c r="EBE45" s="1021"/>
      <c r="EBF45" s="1021"/>
      <c r="EBG45" s="1021"/>
      <c r="EBH45" s="1021"/>
      <c r="EBI45" s="1021"/>
      <c r="EBJ45" s="1021"/>
      <c r="EBK45" s="1021"/>
      <c r="EBL45" s="1021"/>
      <c r="EBM45" s="1021"/>
      <c r="EBN45" s="1021"/>
      <c r="EBO45" s="1021"/>
      <c r="EBP45" s="1021"/>
      <c r="EBQ45" s="1021"/>
      <c r="EBR45" s="1021"/>
      <c r="EBS45" s="1021"/>
      <c r="EBT45" s="1021"/>
      <c r="EBU45" s="1021"/>
      <c r="EBV45" s="1021"/>
      <c r="EBW45" s="1021"/>
      <c r="EBX45" s="1021"/>
      <c r="EBY45" s="1021"/>
      <c r="EBZ45" s="1021"/>
      <c r="ECA45" s="1021"/>
      <c r="ECB45" s="1021"/>
      <c r="ECC45" s="1021"/>
      <c r="ECD45" s="1021"/>
      <c r="ECE45" s="1021"/>
      <c r="ECF45" s="1021"/>
      <c r="ECG45" s="1021"/>
      <c r="ECH45" s="1021"/>
      <c r="ECI45" s="1021"/>
      <c r="ECJ45" s="1021"/>
      <c r="ECK45" s="1021"/>
      <c r="ECL45" s="1021"/>
      <c r="ECM45" s="1021"/>
      <c r="ECN45" s="1021"/>
      <c r="ECO45" s="1021"/>
      <c r="ECP45" s="1021"/>
      <c r="ECQ45" s="1021"/>
      <c r="ECR45" s="1021"/>
      <c r="ECS45" s="1021"/>
      <c r="ECT45" s="1021"/>
      <c r="ECU45" s="1021"/>
      <c r="ECV45" s="1021"/>
      <c r="ECW45" s="1021"/>
      <c r="ECX45" s="1021"/>
      <c r="ECY45" s="1021"/>
      <c r="ECZ45" s="1021"/>
      <c r="EDA45" s="1021"/>
      <c r="EDB45" s="1021"/>
      <c r="EDC45" s="1021"/>
      <c r="EDD45" s="1021"/>
      <c r="EDE45" s="1021"/>
      <c r="EDF45" s="1021"/>
      <c r="EDG45" s="1021"/>
      <c r="EDH45" s="1021"/>
      <c r="EDI45" s="1021"/>
      <c r="EDJ45" s="1021"/>
      <c r="EDK45" s="1021"/>
      <c r="EDL45" s="1021"/>
      <c r="EDM45" s="1021"/>
      <c r="EDN45" s="1021"/>
      <c r="EDO45" s="1021"/>
      <c r="EDP45" s="1021"/>
      <c r="EDQ45" s="1021"/>
      <c r="EDR45" s="1021"/>
      <c r="EDS45" s="1021"/>
      <c r="EDT45" s="1021"/>
      <c r="EDU45" s="1021"/>
      <c r="EDV45" s="1021"/>
      <c r="EDW45" s="1021"/>
      <c r="EDX45" s="1021"/>
      <c r="EDY45" s="1021"/>
      <c r="EDZ45" s="1021"/>
      <c r="EEA45" s="1021"/>
      <c r="EEB45" s="1021"/>
      <c r="EEC45" s="1021"/>
      <c r="EED45" s="1021"/>
      <c r="EEE45" s="1021"/>
      <c r="EEF45" s="1021"/>
      <c r="EEG45" s="1021"/>
      <c r="EEH45" s="1021"/>
      <c r="EEI45" s="1021"/>
      <c r="EEJ45" s="1021"/>
      <c r="EEK45" s="1021"/>
      <c r="EEL45" s="1021"/>
      <c r="EEM45" s="1021"/>
      <c r="EEN45" s="1021"/>
      <c r="EEO45" s="1021"/>
      <c r="EEP45" s="1021"/>
      <c r="EEQ45" s="1021"/>
      <c r="EER45" s="1021"/>
      <c r="EES45" s="1021"/>
      <c r="EET45" s="1021"/>
      <c r="EEU45" s="1021"/>
      <c r="EEV45" s="1021"/>
      <c r="EEW45" s="1021"/>
      <c r="EEX45" s="1021"/>
      <c r="EEY45" s="1021"/>
      <c r="EEZ45" s="1021"/>
      <c r="EFA45" s="1021"/>
      <c r="EFB45" s="1021"/>
      <c r="EFC45" s="1021"/>
      <c r="EFD45" s="1021"/>
      <c r="EFE45" s="1021"/>
      <c r="EFF45" s="1021"/>
      <c r="EFG45" s="1021"/>
      <c r="EFH45" s="1021"/>
      <c r="EFI45" s="1021"/>
      <c r="EFJ45" s="1021"/>
      <c r="EFK45" s="1021"/>
      <c r="EFL45" s="1021"/>
      <c r="EFM45" s="1021"/>
      <c r="EFN45" s="1021"/>
      <c r="EFO45" s="1021"/>
      <c r="EFP45" s="1021"/>
      <c r="EFQ45" s="1021"/>
      <c r="EFR45" s="1021"/>
      <c r="EFS45" s="1021"/>
      <c r="EFT45" s="1021"/>
      <c r="EFU45" s="1021"/>
      <c r="EFV45" s="1021"/>
      <c r="EFW45" s="1021"/>
      <c r="EFX45" s="1021"/>
      <c r="EFY45" s="1021"/>
      <c r="EFZ45" s="1021"/>
      <c r="EGA45" s="1021"/>
      <c r="EGB45" s="1021"/>
      <c r="EGC45" s="1021"/>
      <c r="EGD45" s="1021"/>
      <c r="EGE45" s="1021"/>
      <c r="EGF45" s="1021"/>
      <c r="EGG45" s="1021"/>
      <c r="EGH45" s="1021"/>
      <c r="EGI45" s="1021"/>
      <c r="EGJ45" s="1021"/>
      <c r="EGK45" s="1021"/>
      <c r="EGL45" s="1021"/>
      <c r="EGM45" s="1021"/>
      <c r="EGN45" s="1021"/>
      <c r="EGO45" s="1021"/>
      <c r="EGP45" s="1021"/>
      <c r="EGQ45" s="1021"/>
      <c r="EGR45" s="1021"/>
      <c r="EGS45" s="1021"/>
      <c r="EGT45" s="1021"/>
      <c r="EGU45" s="1021"/>
      <c r="EGV45" s="1021"/>
      <c r="EGW45" s="1021"/>
      <c r="EGX45" s="1021"/>
      <c r="EGY45" s="1021"/>
      <c r="EGZ45" s="1021"/>
      <c r="EHA45" s="1021"/>
      <c r="EHB45" s="1021"/>
      <c r="EHC45" s="1021"/>
      <c r="EHD45" s="1021"/>
      <c r="EHE45" s="1021"/>
      <c r="EHF45" s="1021"/>
      <c r="EHG45" s="1021"/>
      <c r="EHH45" s="1021"/>
      <c r="EHI45" s="1021"/>
      <c r="EHJ45" s="1021"/>
      <c r="EHK45" s="1021"/>
      <c r="EHL45" s="1021"/>
      <c r="EHM45" s="1021"/>
      <c r="EHN45" s="1021"/>
      <c r="EHO45" s="1021"/>
      <c r="EHP45" s="1021"/>
      <c r="EHQ45" s="1021"/>
      <c r="EHR45" s="1021"/>
      <c r="EHS45" s="1021"/>
      <c r="EHT45" s="1021"/>
      <c r="EHU45" s="1021"/>
      <c r="EHV45" s="1021"/>
      <c r="EHW45" s="1021"/>
      <c r="EHX45" s="1021"/>
      <c r="EHY45" s="1021"/>
      <c r="EHZ45" s="1021"/>
      <c r="EIA45" s="1021"/>
      <c r="EIB45" s="1021"/>
      <c r="EIC45" s="1021"/>
      <c r="EID45" s="1021"/>
      <c r="EIE45" s="1021"/>
      <c r="EIF45" s="1021"/>
      <c r="EIG45" s="1021"/>
      <c r="EIH45" s="1021"/>
      <c r="EII45" s="1021"/>
      <c r="EIJ45" s="1021"/>
      <c r="EIK45" s="1021"/>
      <c r="EIL45" s="1021"/>
      <c r="EIM45" s="1021"/>
      <c r="EIN45" s="1021"/>
      <c r="EIO45" s="1021"/>
      <c r="EIP45" s="1021"/>
      <c r="EIQ45" s="1021"/>
      <c r="EIR45" s="1021"/>
      <c r="EIS45" s="1021"/>
      <c r="EIT45" s="1021"/>
      <c r="EIU45" s="1021"/>
      <c r="EIV45" s="1021"/>
      <c r="EIW45" s="1021"/>
      <c r="EIX45" s="1021"/>
      <c r="EIY45" s="1021"/>
      <c r="EIZ45" s="1021"/>
      <c r="EJA45" s="1021"/>
      <c r="EJB45" s="1021"/>
      <c r="EJC45" s="1021"/>
      <c r="EJD45" s="1021"/>
      <c r="EJE45" s="1021"/>
      <c r="EJF45" s="1021"/>
      <c r="EJG45" s="1021"/>
      <c r="EJH45" s="1021"/>
      <c r="EJI45" s="1021"/>
      <c r="EJJ45" s="1021"/>
      <c r="EJK45" s="1021"/>
      <c r="EJL45" s="1021"/>
      <c r="EJM45" s="1021"/>
      <c r="EJN45" s="1021"/>
      <c r="EJO45" s="1021"/>
      <c r="EJP45" s="1021"/>
      <c r="EJQ45" s="1021"/>
      <c r="EJR45" s="1021"/>
      <c r="EJS45" s="1021"/>
      <c r="EJT45" s="1021"/>
      <c r="EJU45" s="1021"/>
      <c r="EJV45" s="1021"/>
      <c r="EJW45" s="1021"/>
      <c r="EJX45" s="1021"/>
      <c r="EJY45" s="1021"/>
      <c r="EJZ45" s="1021"/>
      <c r="EKA45" s="1021"/>
      <c r="EKB45" s="1021"/>
      <c r="EKC45" s="1021"/>
      <c r="EKD45" s="1021"/>
      <c r="EKE45" s="1021"/>
      <c r="EKF45" s="1021"/>
      <c r="EKG45" s="1021"/>
      <c r="EKH45" s="1021"/>
      <c r="EKI45" s="1021"/>
      <c r="EKJ45" s="1021"/>
      <c r="EKK45" s="1021"/>
      <c r="EKL45" s="1021"/>
      <c r="EKM45" s="1021"/>
      <c r="EKN45" s="1021"/>
      <c r="EKO45" s="1021"/>
      <c r="EKP45" s="1021"/>
      <c r="EKQ45" s="1021"/>
      <c r="EKR45" s="1021"/>
      <c r="EKS45" s="1021"/>
      <c r="EKT45" s="1021"/>
      <c r="EKU45" s="1021"/>
      <c r="EKV45" s="1021"/>
      <c r="EKW45" s="1021"/>
      <c r="EKX45" s="1021"/>
      <c r="EKY45" s="1021"/>
      <c r="EKZ45" s="1021"/>
      <c r="ELA45" s="1021"/>
      <c r="ELB45" s="1021"/>
      <c r="ELC45" s="1021"/>
      <c r="ELD45" s="1021"/>
      <c r="ELE45" s="1021"/>
      <c r="ELF45" s="1021"/>
      <c r="ELG45" s="1021"/>
      <c r="ELH45" s="1021"/>
      <c r="ELI45" s="1021"/>
      <c r="ELJ45" s="1021"/>
      <c r="ELK45" s="1021"/>
      <c r="ELL45" s="1021"/>
      <c r="ELM45" s="1021"/>
      <c r="ELN45" s="1021"/>
      <c r="ELO45" s="1021"/>
      <c r="ELP45" s="1021"/>
      <c r="ELQ45" s="1021"/>
      <c r="ELR45" s="1021"/>
      <c r="ELS45" s="1021"/>
      <c r="ELT45" s="1021"/>
      <c r="ELU45" s="1021"/>
      <c r="ELV45" s="1021"/>
      <c r="ELW45" s="1021"/>
      <c r="ELX45" s="1021"/>
      <c r="ELY45" s="1021"/>
      <c r="ELZ45" s="1021"/>
      <c r="EMA45" s="1021"/>
      <c r="EMB45" s="1021"/>
      <c r="EMC45" s="1021"/>
      <c r="EMD45" s="1021"/>
      <c r="EME45" s="1021"/>
      <c r="EMF45" s="1021"/>
      <c r="EMG45" s="1021"/>
      <c r="EMH45" s="1021"/>
      <c r="EMI45" s="1021"/>
      <c r="EMJ45" s="1021"/>
      <c r="EMK45" s="1021"/>
      <c r="EML45" s="1021"/>
      <c r="EMM45" s="1021"/>
      <c r="EMN45" s="1021"/>
      <c r="EMO45" s="1021"/>
      <c r="EMP45" s="1021"/>
      <c r="EMQ45" s="1021"/>
      <c r="EMR45" s="1021"/>
      <c r="EMS45" s="1021"/>
      <c r="EMT45" s="1021"/>
      <c r="EMU45" s="1021"/>
      <c r="EMV45" s="1021"/>
      <c r="EMW45" s="1021"/>
      <c r="EMX45" s="1021"/>
      <c r="EMY45" s="1021"/>
      <c r="EMZ45" s="1021"/>
      <c r="ENA45" s="1021"/>
      <c r="ENB45" s="1021"/>
      <c r="ENC45" s="1021"/>
      <c r="END45" s="1021"/>
      <c r="ENE45" s="1021"/>
      <c r="ENF45" s="1021"/>
      <c r="ENG45" s="1021"/>
      <c r="ENH45" s="1021"/>
      <c r="ENI45" s="1021"/>
      <c r="ENJ45" s="1021"/>
      <c r="ENK45" s="1021"/>
      <c r="ENL45" s="1021"/>
      <c r="ENM45" s="1021"/>
      <c r="ENN45" s="1021"/>
      <c r="ENO45" s="1021"/>
      <c r="ENP45" s="1021"/>
      <c r="ENQ45" s="1021"/>
      <c r="ENR45" s="1021"/>
      <c r="ENS45" s="1021"/>
      <c r="ENT45" s="1021"/>
      <c r="ENU45" s="1021"/>
      <c r="ENV45" s="1021"/>
      <c r="ENW45" s="1021"/>
      <c r="ENX45" s="1021"/>
      <c r="ENY45" s="1021"/>
      <c r="ENZ45" s="1021"/>
      <c r="EOA45" s="1021"/>
      <c r="EOB45" s="1021"/>
      <c r="EOC45" s="1021"/>
      <c r="EOD45" s="1021"/>
      <c r="EOE45" s="1021"/>
      <c r="EOF45" s="1021"/>
      <c r="EOG45" s="1021"/>
      <c r="EOH45" s="1021"/>
      <c r="EOI45" s="1021"/>
      <c r="EOJ45" s="1021"/>
      <c r="EOK45" s="1021"/>
      <c r="EOL45" s="1021"/>
      <c r="EOM45" s="1021"/>
      <c r="EON45" s="1021"/>
      <c r="EOO45" s="1021"/>
      <c r="EOP45" s="1021"/>
      <c r="EOQ45" s="1021"/>
      <c r="EOR45" s="1021"/>
      <c r="EOS45" s="1021"/>
      <c r="EOT45" s="1021"/>
      <c r="EOU45" s="1021"/>
      <c r="EOV45" s="1021"/>
      <c r="EOW45" s="1021"/>
      <c r="EOX45" s="1021"/>
      <c r="EOY45" s="1021"/>
      <c r="EOZ45" s="1021"/>
      <c r="EPA45" s="1021"/>
      <c r="EPB45" s="1021"/>
      <c r="EPC45" s="1021"/>
      <c r="EPD45" s="1021"/>
      <c r="EPE45" s="1021"/>
      <c r="EPF45" s="1021"/>
      <c r="EPG45" s="1021"/>
      <c r="EPH45" s="1021"/>
      <c r="EPI45" s="1021"/>
      <c r="EPJ45" s="1021"/>
      <c r="EPK45" s="1021"/>
      <c r="EPL45" s="1021"/>
      <c r="EPM45" s="1021"/>
      <c r="EPN45" s="1021"/>
      <c r="EPO45" s="1021"/>
      <c r="EPP45" s="1021"/>
      <c r="EPQ45" s="1021"/>
      <c r="EPR45" s="1021"/>
      <c r="EPS45" s="1021"/>
      <c r="EPT45" s="1021"/>
      <c r="EPU45" s="1021"/>
      <c r="EPV45" s="1021"/>
      <c r="EPW45" s="1021"/>
      <c r="EPX45" s="1021"/>
      <c r="EPY45" s="1021"/>
      <c r="EPZ45" s="1021"/>
      <c r="EQA45" s="1021"/>
      <c r="EQB45" s="1021"/>
      <c r="EQC45" s="1021"/>
      <c r="EQD45" s="1021"/>
      <c r="EQE45" s="1021"/>
      <c r="EQF45" s="1021"/>
      <c r="EQG45" s="1021"/>
      <c r="EQH45" s="1021"/>
      <c r="EQI45" s="1021"/>
      <c r="EQJ45" s="1021"/>
      <c r="EQK45" s="1021"/>
      <c r="EQL45" s="1021"/>
      <c r="EQM45" s="1021"/>
      <c r="EQN45" s="1021"/>
      <c r="EQO45" s="1021"/>
      <c r="EQP45" s="1021"/>
      <c r="EQQ45" s="1021"/>
      <c r="EQR45" s="1021"/>
      <c r="EQS45" s="1021"/>
      <c r="EQT45" s="1021"/>
      <c r="EQU45" s="1021"/>
      <c r="EQV45" s="1021"/>
      <c r="EQW45" s="1021"/>
      <c r="EQX45" s="1021"/>
      <c r="EQY45" s="1021"/>
      <c r="EQZ45" s="1021"/>
      <c r="ERA45" s="1021"/>
      <c r="ERB45" s="1021"/>
      <c r="ERC45" s="1021"/>
      <c r="ERD45" s="1021"/>
      <c r="ERE45" s="1021"/>
      <c r="ERF45" s="1021"/>
      <c r="ERG45" s="1021"/>
      <c r="ERH45" s="1021"/>
      <c r="ERI45" s="1021"/>
      <c r="ERJ45" s="1021"/>
      <c r="ERK45" s="1021"/>
      <c r="ERL45" s="1021"/>
      <c r="ERM45" s="1021"/>
      <c r="ERN45" s="1021"/>
      <c r="ERO45" s="1021"/>
      <c r="ERP45" s="1021"/>
      <c r="ERQ45" s="1021"/>
      <c r="ERR45" s="1021"/>
      <c r="ERS45" s="1021"/>
      <c r="ERT45" s="1021"/>
      <c r="ERU45" s="1021"/>
      <c r="ERV45" s="1021"/>
      <c r="ERW45" s="1021"/>
      <c r="ERX45" s="1021"/>
      <c r="ERY45" s="1021"/>
      <c r="ERZ45" s="1021"/>
      <c r="ESA45" s="1021"/>
      <c r="ESB45" s="1021"/>
      <c r="ESC45" s="1021"/>
      <c r="ESD45" s="1021"/>
      <c r="ESE45" s="1021"/>
      <c r="ESF45" s="1021"/>
      <c r="ESG45" s="1021"/>
      <c r="ESH45" s="1021"/>
      <c r="ESI45" s="1021"/>
      <c r="ESJ45" s="1021"/>
      <c r="ESK45" s="1021"/>
      <c r="ESL45" s="1021"/>
      <c r="ESM45" s="1021"/>
      <c r="ESN45" s="1021"/>
      <c r="ESO45" s="1021"/>
      <c r="ESP45" s="1021"/>
      <c r="ESQ45" s="1021"/>
      <c r="ESR45" s="1021"/>
      <c r="ESS45" s="1021"/>
      <c r="EST45" s="1021"/>
      <c r="ESU45" s="1021"/>
      <c r="ESV45" s="1021"/>
      <c r="ESW45" s="1021"/>
      <c r="ESX45" s="1021"/>
      <c r="ESY45" s="1021"/>
      <c r="ESZ45" s="1021"/>
      <c r="ETA45" s="1021"/>
      <c r="ETB45" s="1021"/>
      <c r="ETC45" s="1021"/>
      <c r="ETD45" s="1021"/>
      <c r="ETE45" s="1021"/>
      <c r="ETF45" s="1021"/>
      <c r="ETG45" s="1021"/>
      <c r="ETH45" s="1021"/>
      <c r="ETI45" s="1021"/>
      <c r="ETJ45" s="1021"/>
      <c r="ETK45" s="1021"/>
      <c r="ETL45" s="1021"/>
      <c r="ETM45" s="1021"/>
      <c r="ETN45" s="1021"/>
      <c r="ETO45" s="1021"/>
      <c r="ETP45" s="1021"/>
      <c r="ETQ45" s="1021"/>
      <c r="ETR45" s="1021"/>
      <c r="ETS45" s="1021"/>
      <c r="ETT45" s="1021"/>
      <c r="ETU45" s="1021"/>
      <c r="ETV45" s="1021"/>
      <c r="ETW45" s="1021"/>
      <c r="ETX45" s="1021"/>
      <c r="ETY45" s="1021"/>
      <c r="ETZ45" s="1021"/>
      <c r="EUA45" s="1021"/>
      <c r="EUB45" s="1021"/>
      <c r="EUC45" s="1021"/>
      <c r="EUD45" s="1021"/>
      <c r="EUE45" s="1021"/>
      <c r="EUF45" s="1021"/>
      <c r="EUG45" s="1021"/>
      <c r="EUH45" s="1021"/>
      <c r="EUI45" s="1021"/>
      <c r="EUJ45" s="1021"/>
      <c r="EUK45" s="1021"/>
      <c r="EUL45" s="1021"/>
      <c r="EUM45" s="1021"/>
      <c r="EUN45" s="1021"/>
      <c r="EUO45" s="1021"/>
      <c r="EUP45" s="1021"/>
      <c r="EUQ45" s="1021"/>
      <c r="EUR45" s="1021"/>
      <c r="EUS45" s="1021"/>
      <c r="EUT45" s="1021"/>
      <c r="EUU45" s="1021"/>
      <c r="EUV45" s="1021"/>
      <c r="EUW45" s="1021"/>
      <c r="EUX45" s="1021"/>
      <c r="EUY45" s="1021"/>
      <c r="EUZ45" s="1021"/>
      <c r="EVA45" s="1021"/>
      <c r="EVB45" s="1021"/>
      <c r="EVC45" s="1021"/>
      <c r="EVD45" s="1021"/>
      <c r="EVE45" s="1021"/>
      <c r="EVF45" s="1021"/>
      <c r="EVG45" s="1021"/>
      <c r="EVH45" s="1021"/>
      <c r="EVI45" s="1021"/>
      <c r="EVJ45" s="1021"/>
      <c r="EVK45" s="1021"/>
      <c r="EVL45" s="1021"/>
      <c r="EVM45" s="1021"/>
      <c r="EVN45" s="1021"/>
      <c r="EVO45" s="1021"/>
      <c r="EVP45" s="1021"/>
      <c r="EVQ45" s="1021"/>
      <c r="EVR45" s="1021"/>
      <c r="EVS45" s="1021"/>
      <c r="EVT45" s="1021"/>
      <c r="EVU45" s="1021"/>
      <c r="EVV45" s="1021"/>
      <c r="EVW45" s="1021"/>
      <c r="EVX45" s="1021"/>
      <c r="EVY45" s="1021"/>
      <c r="EVZ45" s="1021"/>
      <c r="EWA45" s="1021"/>
      <c r="EWB45" s="1021"/>
      <c r="EWC45" s="1021"/>
      <c r="EWD45" s="1021"/>
      <c r="EWE45" s="1021"/>
      <c r="EWF45" s="1021"/>
      <c r="EWG45" s="1021"/>
      <c r="EWH45" s="1021"/>
      <c r="EWI45" s="1021"/>
      <c r="EWJ45" s="1021"/>
      <c r="EWK45" s="1021"/>
      <c r="EWL45" s="1021"/>
      <c r="EWM45" s="1021"/>
      <c r="EWN45" s="1021"/>
      <c r="EWO45" s="1021"/>
      <c r="EWP45" s="1021"/>
      <c r="EWQ45" s="1021"/>
      <c r="EWR45" s="1021"/>
      <c r="EWS45" s="1021"/>
      <c r="EWT45" s="1021"/>
      <c r="EWU45" s="1021"/>
      <c r="EWV45" s="1021"/>
      <c r="EWW45" s="1021"/>
      <c r="EWX45" s="1021"/>
      <c r="EWY45" s="1021"/>
      <c r="EWZ45" s="1021"/>
      <c r="EXA45" s="1021"/>
      <c r="EXB45" s="1021"/>
      <c r="EXC45" s="1021"/>
      <c r="EXD45" s="1021"/>
      <c r="EXE45" s="1021"/>
      <c r="EXF45" s="1021"/>
      <c r="EXG45" s="1021"/>
      <c r="EXH45" s="1021"/>
      <c r="EXI45" s="1021"/>
      <c r="EXJ45" s="1021"/>
      <c r="EXK45" s="1021"/>
      <c r="EXL45" s="1021"/>
      <c r="EXM45" s="1021"/>
      <c r="EXN45" s="1021"/>
      <c r="EXO45" s="1021"/>
      <c r="EXP45" s="1021"/>
      <c r="EXQ45" s="1021"/>
      <c r="EXR45" s="1021"/>
      <c r="EXS45" s="1021"/>
      <c r="EXT45" s="1021"/>
      <c r="EXU45" s="1021"/>
      <c r="EXV45" s="1021"/>
      <c r="EXW45" s="1021"/>
      <c r="EXX45" s="1021"/>
      <c r="EXY45" s="1021"/>
      <c r="EXZ45" s="1021"/>
      <c r="EYA45" s="1021"/>
      <c r="EYB45" s="1021"/>
      <c r="EYC45" s="1021"/>
      <c r="EYD45" s="1021"/>
      <c r="EYE45" s="1021"/>
      <c r="EYF45" s="1021"/>
      <c r="EYG45" s="1021"/>
      <c r="EYH45" s="1021"/>
      <c r="EYI45" s="1021"/>
      <c r="EYJ45" s="1021"/>
      <c r="EYK45" s="1021"/>
      <c r="EYL45" s="1021"/>
      <c r="EYM45" s="1021"/>
      <c r="EYN45" s="1021"/>
      <c r="EYO45" s="1021"/>
      <c r="EYP45" s="1021"/>
      <c r="EYQ45" s="1021"/>
      <c r="EYR45" s="1021"/>
      <c r="EYS45" s="1021"/>
      <c r="EYT45" s="1021"/>
      <c r="EYU45" s="1021"/>
      <c r="EYV45" s="1021"/>
      <c r="EYW45" s="1021"/>
      <c r="EYX45" s="1021"/>
      <c r="EYY45" s="1021"/>
      <c r="EYZ45" s="1021"/>
      <c r="EZA45" s="1021"/>
      <c r="EZB45" s="1021"/>
      <c r="EZC45" s="1021"/>
      <c r="EZD45" s="1021"/>
      <c r="EZE45" s="1021"/>
      <c r="EZF45" s="1021"/>
      <c r="EZG45" s="1021"/>
      <c r="EZH45" s="1021"/>
      <c r="EZI45" s="1021"/>
      <c r="EZJ45" s="1021"/>
      <c r="EZK45" s="1021"/>
      <c r="EZL45" s="1021"/>
      <c r="EZM45" s="1021"/>
      <c r="EZN45" s="1021"/>
      <c r="EZO45" s="1021"/>
      <c r="EZP45" s="1021"/>
      <c r="EZQ45" s="1021"/>
      <c r="EZR45" s="1021"/>
      <c r="EZS45" s="1021"/>
      <c r="EZT45" s="1021"/>
      <c r="EZU45" s="1021"/>
      <c r="EZV45" s="1021"/>
      <c r="EZW45" s="1021"/>
      <c r="EZX45" s="1021"/>
      <c r="EZY45" s="1021"/>
      <c r="EZZ45" s="1021"/>
      <c r="FAA45" s="1021"/>
      <c r="FAB45" s="1021"/>
      <c r="FAC45" s="1021"/>
      <c r="FAD45" s="1021"/>
      <c r="FAE45" s="1021"/>
      <c r="FAF45" s="1021"/>
      <c r="FAG45" s="1021"/>
      <c r="FAH45" s="1021"/>
      <c r="FAI45" s="1021"/>
      <c r="FAJ45" s="1021"/>
      <c r="FAK45" s="1021"/>
      <c r="FAL45" s="1021"/>
      <c r="FAM45" s="1021"/>
      <c r="FAN45" s="1021"/>
      <c r="FAO45" s="1021"/>
      <c r="FAP45" s="1021"/>
      <c r="FAQ45" s="1021"/>
      <c r="FAR45" s="1021"/>
      <c r="FAS45" s="1021"/>
      <c r="FAT45" s="1021"/>
      <c r="FAU45" s="1021"/>
      <c r="FAV45" s="1021"/>
      <c r="FAW45" s="1021"/>
      <c r="FAX45" s="1021"/>
      <c r="FAY45" s="1021"/>
      <c r="FAZ45" s="1021"/>
      <c r="FBA45" s="1021"/>
      <c r="FBB45" s="1021"/>
      <c r="FBC45" s="1021"/>
      <c r="FBD45" s="1021"/>
      <c r="FBE45" s="1021"/>
      <c r="FBF45" s="1021"/>
      <c r="FBG45" s="1021"/>
      <c r="FBH45" s="1021"/>
      <c r="FBI45" s="1021"/>
      <c r="FBJ45" s="1021"/>
      <c r="FBK45" s="1021"/>
      <c r="FBL45" s="1021"/>
      <c r="FBM45" s="1021"/>
      <c r="FBN45" s="1021"/>
      <c r="FBO45" s="1021"/>
      <c r="FBP45" s="1021"/>
      <c r="FBQ45" s="1021"/>
      <c r="FBR45" s="1021"/>
      <c r="FBS45" s="1021"/>
      <c r="FBT45" s="1021"/>
      <c r="FBU45" s="1021"/>
      <c r="FBV45" s="1021"/>
      <c r="FBW45" s="1021"/>
      <c r="FBX45" s="1021"/>
      <c r="FBY45" s="1021"/>
      <c r="FBZ45" s="1021"/>
      <c r="FCA45" s="1021"/>
      <c r="FCB45" s="1021"/>
      <c r="FCC45" s="1021"/>
      <c r="FCD45" s="1021"/>
      <c r="FCE45" s="1021"/>
      <c r="FCF45" s="1021"/>
      <c r="FCG45" s="1021"/>
      <c r="FCH45" s="1021"/>
      <c r="FCI45" s="1021"/>
      <c r="FCJ45" s="1021"/>
      <c r="FCK45" s="1021"/>
      <c r="FCL45" s="1021"/>
      <c r="FCM45" s="1021"/>
      <c r="FCN45" s="1021"/>
      <c r="FCO45" s="1021"/>
      <c r="FCP45" s="1021"/>
      <c r="FCQ45" s="1021"/>
      <c r="FCR45" s="1021"/>
      <c r="FCS45" s="1021"/>
      <c r="FCT45" s="1021"/>
      <c r="FCU45" s="1021"/>
      <c r="FCV45" s="1021"/>
      <c r="FCW45" s="1021"/>
      <c r="FCX45" s="1021"/>
      <c r="FCY45" s="1021"/>
      <c r="FCZ45" s="1021"/>
      <c r="FDA45" s="1021"/>
      <c r="FDB45" s="1021"/>
      <c r="FDC45" s="1021"/>
      <c r="FDD45" s="1021"/>
      <c r="FDE45" s="1021"/>
      <c r="FDF45" s="1021"/>
      <c r="FDG45" s="1021"/>
      <c r="FDH45" s="1021"/>
      <c r="FDI45" s="1021"/>
      <c r="FDJ45" s="1021"/>
      <c r="FDK45" s="1021"/>
      <c r="FDL45" s="1021"/>
      <c r="FDM45" s="1021"/>
      <c r="FDN45" s="1021"/>
      <c r="FDO45" s="1021"/>
      <c r="FDP45" s="1021"/>
      <c r="FDQ45" s="1021"/>
      <c r="FDR45" s="1021"/>
      <c r="FDS45" s="1021"/>
      <c r="FDT45" s="1021"/>
      <c r="FDU45" s="1021"/>
      <c r="FDV45" s="1021"/>
      <c r="FDW45" s="1021"/>
      <c r="FDX45" s="1021"/>
      <c r="FDY45" s="1021"/>
      <c r="FDZ45" s="1021"/>
      <c r="FEA45" s="1021"/>
      <c r="FEB45" s="1021"/>
      <c r="FEC45" s="1021"/>
      <c r="FED45" s="1021"/>
      <c r="FEE45" s="1021"/>
      <c r="FEF45" s="1021"/>
      <c r="FEG45" s="1021"/>
      <c r="FEH45" s="1021"/>
      <c r="FEI45" s="1021"/>
      <c r="FEJ45" s="1021"/>
      <c r="FEK45" s="1021"/>
      <c r="FEL45" s="1021"/>
      <c r="FEM45" s="1021"/>
      <c r="FEN45" s="1021"/>
      <c r="FEO45" s="1021"/>
      <c r="FEP45" s="1021"/>
      <c r="FEQ45" s="1021"/>
      <c r="FER45" s="1021"/>
      <c r="FES45" s="1021"/>
      <c r="FET45" s="1021"/>
      <c r="FEU45" s="1021"/>
      <c r="FEV45" s="1021"/>
      <c r="FEW45" s="1021"/>
      <c r="FEX45" s="1021"/>
      <c r="FEY45" s="1021"/>
      <c r="FEZ45" s="1021"/>
      <c r="FFA45" s="1021"/>
      <c r="FFB45" s="1021"/>
      <c r="FFC45" s="1021"/>
      <c r="FFD45" s="1021"/>
      <c r="FFE45" s="1021"/>
      <c r="FFF45" s="1021"/>
      <c r="FFG45" s="1021"/>
      <c r="FFH45" s="1021"/>
      <c r="FFI45" s="1021"/>
      <c r="FFJ45" s="1021"/>
      <c r="FFK45" s="1021"/>
      <c r="FFL45" s="1021"/>
      <c r="FFM45" s="1021"/>
      <c r="FFN45" s="1021"/>
      <c r="FFO45" s="1021"/>
      <c r="FFP45" s="1021"/>
      <c r="FFQ45" s="1021"/>
      <c r="FFR45" s="1021"/>
      <c r="FFS45" s="1021"/>
      <c r="FFT45" s="1021"/>
      <c r="FFU45" s="1021"/>
      <c r="FFV45" s="1021"/>
      <c r="FFW45" s="1021"/>
      <c r="FFX45" s="1021"/>
      <c r="FFY45" s="1021"/>
      <c r="FFZ45" s="1021"/>
      <c r="FGA45" s="1021"/>
      <c r="FGB45" s="1021"/>
      <c r="FGC45" s="1021"/>
      <c r="FGD45" s="1021"/>
      <c r="FGE45" s="1021"/>
      <c r="FGF45" s="1021"/>
      <c r="FGG45" s="1021"/>
      <c r="FGH45" s="1021"/>
      <c r="FGI45" s="1021"/>
      <c r="FGJ45" s="1021"/>
      <c r="FGK45" s="1021"/>
      <c r="FGL45" s="1021"/>
      <c r="FGM45" s="1021"/>
      <c r="FGN45" s="1021"/>
      <c r="FGO45" s="1021"/>
      <c r="FGP45" s="1021"/>
      <c r="FGQ45" s="1021"/>
      <c r="FGR45" s="1021"/>
      <c r="FGS45" s="1021"/>
      <c r="FGT45" s="1021"/>
      <c r="FGU45" s="1021"/>
      <c r="FGV45" s="1021"/>
      <c r="FGW45" s="1021"/>
      <c r="FGX45" s="1021"/>
      <c r="FGY45" s="1021"/>
      <c r="FGZ45" s="1021"/>
      <c r="FHA45" s="1021"/>
      <c r="FHB45" s="1021"/>
      <c r="FHC45" s="1021"/>
      <c r="FHD45" s="1021"/>
      <c r="FHE45" s="1021"/>
      <c r="FHF45" s="1021"/>
      <c r="FHG45" s="1021"/>
      <c r="FHH45" s="1021"/>
      <c r="FHI45" s="1021"/>
      <c r="FHJ45" s="1021"/>
      <c r="FHK45" s="1021"/>
      <c r="FHL45" s="1021"/>
      <c r="FHM45" s="1021"/>
      <c r="FHN45" s="1021"/>
      <c r="FHO45" s="1021"/>
      <c r="FHP45" s="1021"/>
      <c r="FHQ45" s="1021"/>
      <c r="FHR45" s="1021"/>
      <c r="FHS45" s="1021"/>
      <c r="FHT45" s="1021"/>
      <c r="FHU45" s="1021"/>
      <c r="FHV45" s="1021"/>
      <c r="FHW45" s="1021"/>
      <c r="FHX45" s="1021"/>
      <c r="FHY45" s="1021"/>
      <c r="FHZ45" s="1021"/>
      <c r="FIA45" s="1021"/>
      <c r="FIB45" s="1021"/>
      <c r="FIC45" s="1021"/>
      <c r="FID45" s="1021"/>
      <c r="FIE45" s="1021"/>
      <c r="FIF45" s="1021"/>
      <c r="FIG45" s="1021"/>
      <c r="FIH45" s="1021"/>
      <c r="FII45" s="1021"/>
      <c r="FIJ45" s="1021"/>
      <c r="FIK45" s="1021"/>
      <c r="FIL45" s="1021"/>
      <c r="FIM45" s="1021"/>
      <c r="FIN45" s="1021"/>
      <c r="FIO45" s="1021"/>
      <c r="FIP45" s="1021"/>
      <c r="FIQ45" s="1021"/>
      <c r="FIR45" s="1021"/>
      <c r="FIS45" s="1021"/>
      <c r="FIT45" s="1021"/>
      <c r="FIU45" s="1021"/>
      <c r="FIV45" s="1021"/>
      <c r="FIW45" s="1021"/>
      <c r="FIX45" s="1021"/>
      <c r="FIY45" s="1021"/>
      <c r="FIZ45" s="1021"/>
      <c r="FJA45" s="1021"/>
      <c r="FJB45" s="1021"/>
      <c r="FJC45" s="1021"/>
      <c r="FJD45" s="1021"/>
      <c r="FJE45" s="1021"/>
      <c r="FJF45" s="1021"/>
      <c r="FJG45" s="1021"/>
      <c r="FJH45" s="1021"/>
      <c r="FJI45" s="1021"/>
      <c r="FJJ45" s="1021"/>
      <c r="FJK45" s="1021"/>
      <c r="FJL45" s="1021"/>
      <c r="FJM45" s="1021"/>
      <c r="FJN45" s="1021"/>
      <c r="FJO45" s="1021"/>
      <c r="FJP45" s="1021"/>
      <c r="FJQ45" s="1021"/>
      <c r="FJR45" s="1021"/>
      <c r="FJS45" s="1021"/>
      <c r="FJT45" s="1021"/>
      <c r="FJU45" s="1021"/>
      <c r="FJV45" s="1021"/>
      <c r="FJW45" s="1021"/>
      <c r="FJX45" s="1021"/>
      <c r="FJY45" s="1021"/>
      <c r="FJZ45" s="1021"/>
      <c r="FKA45" s="1021"/>
      <c r="FKB45" s="1021"/>
      <c r="FKC45" s="1021"/>
      <c r="FKD45" s="1021"/>
      <c r="FKE45" s="1021"/>
      <c r="FKF45" s="1021"/>
      <c r="FKG45" s="1021"/>
      <c r="FKH45" s="1021"/>
      <c r="FKI45" s="1021"/>
      <c r="FKJ45" s="1021"/>
      <c r="FKK45" s="1021"/>
      <c r="FKL45" s="1021"/>
      <c r="FKM45" s="1021"/>
      <c r="FKN45" s="1021"/>
      <c r="FKO45" s="1021"/>
      <c r="FKP45" s="1021"/>
      <c r="FKQ45" s="1021"/>
      <c r="FKR45" s="1021"/>
      <c r="FKS45" s="1021"/>
      <c r="FKT45" s="1021"/>
      <c r="FKU45" s="1021"/>
      <c r="FKV45" s="1021"/>
      <c r="FKW45" s="1021"/>
      <c r="FKX45" s="1021"/>
      <c r="FKY45" s="1021"/>
      <c r="FKZ45" s="1021"/>
      <c r="FLA45" s="1021"/>
      <c r="FLB45" s="1021"/>
      <c r="FLC45" s="1021"/>
      <c r="FLD45" s="1021"/>
      <c r="FLE45" s="1021"/>
      <c r="FLF45" s="1021"/>
      <c r="FLG45" s="1021"/>
      <c r="FLH45" s="1021"/>
      <c r="FLI45" s="1021"/>
      <c r="FLJ45" s="1021"/>
      <c r="FLK45" s="1021"/>
      <c r="FLL45" s="1021"/>
      <c r="FLM45" s="1021"/>
      <c r="FLN45" s="1021"/>
      <c r="FLO45" s="1021"/>
      <c r="FLP45" s="1021"/>
      <c r="FLQ45" s="1021"/>
      <c r="FLR45" s="1021"/>
      <c r="FLS45" s="1021"/>
      <c r="FLT45" s="1021"/>
      <c r="FLU45" s="1021"/>
      <c r="FLV45" s="1021"/>
      <c r="FLW45" s="1021"/>
      <c r="FLX45" s="1021"/>
      <c r="FLY45" s="1021"/>
      <c r="FLZ45" s="1021"/>
      <c r="FMA45" s="1021"/>
      <c r="FMB45" s="1021"/>
      <c r="FMC45" s="1021"/>
      <c r="FMD45" s="1021"/>
      <c r="FME45" s="1021"/>
      <c r="FMF45" s="1021"/>
      <c r="FMG45" s="1021"/>
      <c r="FMH45" s="1021"/>
      <c r="FMI45" s="1021"/>
      <c r="FMJ45" s="1021"/>
      <c r="FMK45" s="1021"/>
      <c r="FML45" s="1021"/>
      <c r="FMM45" s="1021"/>
      <c r="FMN45" s="1021"/>
      <c r="FMO45" s="1021"/>
      <c r="FMP45" s="1021"/>
      <c r="FMQ45" s="1021"/>
      <c r="FMR45" s="1021"/>
      <c r="FMS45" s="1021"/>
      <c r="FMT45" s="1021"/>
      <c r="FMU45" s="1021"/>
      <c r="FMV45" s="1021"/>
      <c r="FMW45" s="1021"/>
      <c r="FMX45" s="1021"/>
      <c r="FMY45" s="1021"/>
      <c r="FMZ45" s="1021"/>
      <c r="FNA45" s="1021"/>
      <c r="FNB45" s="1021"/>
      <c r="FNC45" s="1021"/>
      <c r="FND45" s="1021"/>
      <c r="FNE45" s="1021"/>
      <c r="FNF45" s="1021"/>
      <c r="FNG45" s="1021"/>
      <c r="FNH45" s="1021"/>
      <c r="FNI45" s="1021"/>
      <c r="FNJ45" s="1021"/>
      <c r="FNK45" s="1021"/>
      <c r="FNL45" s="1021"/>
      <c r="FNM45" s="1021"/>
      <c r="FNN45" s="1021"/>
      <c r="FNO45" s="1021"/>
      <c r="FNP45" s="1021"/>
      <c r="FNQ45" s="1021"/>
      <c r="FNR45" s="1021"/>
      <c r="FNS45" s="1021"/>
      <c r="FNT45" s="1021"/>
      <c r="FNU45" s="1021"/>
      <c r="FNV45" s="1021"/>
      <c r="FNW45" s="1021"/>
      <c r="FNX45" s="1021"/>
      <c r="FNY45" s="1021"/>
      <c r="FNZ45" s="1021"/>
      <c r="FOA45" s="1021"/>
      <c r="FOB45" s="1021"/>
      <c r="FOC45" s="1021"/>
      <c r="FOD45" s="1021"/>
      <c r="FOE45" s="1021"/>
      <c r="FOF45" s="1021"/>
      <c r="FOG45" s="1021"/>
      <c r="FOH45" s="1021"/>
      <c r="FOI45" s="1021"/>
      <c r="FOJ45" s="1021"/>
      <c r="FOK45" s="1021"/>
      <c r="FOL45" s="1021"/>
      <c r="FOM45" s="1021"/>
      <c r="FON45" s="1021"/>
      <c r="FOO45" s="1021"/>
      <c r="FOP45" s="1021"/>
      <c r="FOQ45" s="1021"/>
      <c r="FOR45" s="1021"/>
      <c r="FOS45" s="1021"/>
      <c r="FOT45" s="1021"/>
      <c r="FOU45" s="1021"/>
      <c r="FOV45" s="1021"/>
      <c r="FOW45" s="1021"/>
      <c r="FOX45" s="1021"/>
      <c r="FOY45" s="1021"/>
      <c r="FOZ45" s="1021"/>
      <c r="FPA45" s="1021"/>
      <c r="FPB45" s="1021"/>
      <c r="FPC45" s="1021"/>
      <c r="FPD45" s="1021"/>
      <c r="FPE45" s="1021"/>
      <c r="FPF45" s="1021"/>
      <c r="FPG45" s="1021"/>
      <c r="FPH45" s="1021"/>
      <c r="FPI45" s="1021"/>
      <c r="FPJ45" s="1021"/>
      <c r="FPK45" s="1021"/>
      <c r="FPL45" s="1021"/>
      <c r="FPM45" s="1021"/>
      <c r="FPN45" s="1021"/>
      <c r="FPO45" s="1021"/>
      <c r="FPP45" s="1021"/>
      <c r="FPQ45" s="1021"/>
      <c r="FPR45" s="1021"/>
      <c r="FPS45" s="1021"/>
      <c r="FPT45" s="1021"/>
      <c r="FPU45" s="1021"/>
      <c r="FPV45" s="1021"/>
      <c r="FPW45" s="1021"/>
      <c r="FPX45" s="1021"/>
      <c r="FPY45" s="1021"/>
      <c r="FPZ45" s="1021"/>
      <c r="FQA45" s="1021"/>
      <c r="FQB45" s="1021"/>
      <c r="FQC45" s="1021"/>
      <c r="FQD45" s="1021"/>
      <c r="FQE45" s="1021"/>
      <c r="FQF45" s="1021"/>
      <c r="FQG45" s="1021"/>
      <c r="FQH45" s="1021"/>
      <c r="FQI45" s="1021"/>
      <c r="FQJ45" s="1021"/>
      <c r="FQK45" s="1021"/>
      <c r="FQL45" s="1021"/>
      <c r="FQM45" s="1021"/>
      <c r="FQN45" s="1021"/>
      <c r="FQO45" s="1021"/>
      <c r="FQP45" s="1021"/>
      <c r="FQQ45" s="1021"/>
      <c r="FQR45" s="1021"/>
      <c r="FQS45" s="1021"/>
      <c r="FQT45" s="1021"/>
      <c r="FQU45" s="1021"/>
      <c r="FQV45" s="1021"/>
      <c r="FQW45" s="1021"/>
      <c r="FQX45" s="1021"/>
      <c r="FQY45" s="1021"/>
      <c r="FQZ45" s="1021"/>
      <c r="FRA45" s="1021"/>
      <c r="FRB45" s="1021"/>
      <c r="FRC45" s="1021"/>
      <c r="FRD45" s="1021"/>
      <c r="FRE45" s="1021"/>
      <c r="FRF45" s="1021"/>
      <c r="FRG45" s="1021"/>
      <c r="FRH45" s="1021"/>
      <c r="FRI45" s="1021"/>
      <c r="FRJ45" s="1021"/>
      <c r="FRK45" s="1021"/>
      <c r="FRL45" s="1021"/>
      <c r="FRM45" s="1021"/>
      <c r="FRN45" s="1021"/>
      <c r="FRO45" s="1021"/>
      <c r="FRP45" s="1021"/>
      <c r="FRQ45" s="1021"/>
      <c r="FRR45" s="1021"/>
      <c r="FRS45" s="1021"/>
      <c r="FRT45" s="1021"/>
      <c r="FRU45" s="1021"/>
      <c r="FRV45" s="1021"/>
      <c r="FRW45" s="1021"/>
      <c r="FRX45" s="1021"/>
      <c r="FRY45" s="1021"/>
      <c r="FRZ45" s="1021"/>
      <c r="FSA45" s="1021"/>
      <c r="FSB45" s="1021"/>
      <c r="FSC45" s="1021"/>
      <c r="FSD45" s="1021"/>
      <c r="FSE45" s="1021"/>
      <c r="FSF45" s="1021"/>
      <c r="FSG45" s="1021"/>
      <c r="FSH45" s="1021"/>
      <c r="FSI45" s="1021"/>
      <c r="FSJ45" s="1021"/>
      <c r="FSK45" s="1021"/>
      <c r="FSL45" s="1021"/>
      <c r="FSM45" s="1021"/>
      <c r="FSN45" s="1021"/>
      <c r="FSO45" s="1021"/>
      <c r="FSP45" s="1021"/>
      <c r="FSQ45" s="1021"/>
      <c r="FSR45" s="1021"/>
      <c r="FSS45" s="1021"/>
      <c r="FST45" s="1021"/>
      <c r="FSU45" s="1021"/>
      <c r="FSV45" s="1021"/>
      <c r="FSW45" s="1021"/>
      <c r="FSX45" s="1021"/>
      <c r="FSY45" s="1021"/>
      <c r="FSZ45" s="1021"/>
      <c r="FTA45" s="1021"/>
      <c r="FTB45" s="1021"/>
      <c r="FTC45" s="1021"/>
      <c r="FTD45" s="1021"/>
      <c r="FTE45" s="1021"/>
      <c r="FTF45" s="1021"/>
      <c r="FTG45" s="1021"/>
      <c r="FTH45" s="1021"/>
      <c r="FTI45" s="1021"/>
      <c r="FTJ45" s="1021"/>
      <c r="FTK45" s="1021"/>
      <c r="FTL45" s="1021"/>
      <c r="FTM45" s="1021"/>
      <c r="FTN45" s="1021"/>
      <c r="FTO45" s="1021"/>
      <c r="FTP45" s="1021"/>
      <c r="FTQ45" s="1021"/>
      <c r="FTR45" s="1021"/>
      <c r="FTS45" s="1021"/>
      <c r="FTT45" s="1021"/>
      <c r="FTU45" s="1021"/>
      <c r="FTV45" s="1021"/>
      <c r="FTW45" s="1021"/>
      <c r="FTX45" s="1021"/>
      <c r="FTY45" s="1021"/>
      <c r="FTZ45" s="1021"/>
      <c r="FUA45" s="1021"/>
      <c r="FUB45" s="1021"/>
      <c r="FUC45" s="1021"/>
      <c r="FUD45" s="1021"/>
      <c r="FUE45" s="1021"/>
      <c r="FUF45" s="1021"/>
      <c r="FUG45" s="1021"/>
      <c r="FUH45" s="1021"/>
      <c r="FUI45" s="1021"/>
      <c r="FUJ45" s="1021"/>
      <c r="FUK45" s="1021"/>
      <c r="FUL45" s="1021"/>
      <c r="FUM45" s="1021"/>
      <c r="FUN45" s="1021"/>
      <c r="FUO45" s="1021"/>
      <c r="FUP45" s="1021"/>
      <c r="FUQ45" s="1021"/>
      <c r="FUR45" s="1021"/>
      <c r="FUS45" s="1021"/>
      <c r="FUT45" s="1021"/>
      <c r="FUU45" s="1021"/>
      <c r="FUV45" s="1021"/>
      <c r="FUW45" s="1021"/>
      <c r="FUX45" s="1021"/>
      <c r="FUY45" s="1021"/>
      <c r="FUZ45" s="1021"/>
      <c r="FVA45" s="1021"/>
      <c r="FVB45" s="1021"/>
      <c r="FVC45" s="1021"/>
      <c r="FVD45" s="1021"/>
      <c r="FVE45" s="1021"/>
      <c r="FVF45" s="1021"/>
      <c r="FVG45" s="1021"/>
      <c r="FVH45" s="1021"/>
      <c r="FVI45" s="1021"/>
      <c r="FVJ45" s="1021"/>
      <c r="FVK45" s="1021"/>
      <c r="FVL45" s="1021"/>
      <c r="FVM45" s="1021"/>
      <c r="FVN45" s="1021"/>
      <c r="FVO45" s="1021"/>
      <c r="FVP45" s="1021"/>
      <c r="FVQ45" s="1021"/>
      <c r="FVR45" s="1021"/>
      <c r="FVS45" s="1021"/>
      <c r="FVT45" s="1021"/>
      <c r="FVU45" s="1021"/>
      <c r="FVV45" s="1021"/>
      <c r="FVW45" s="1021"/>
      <c r="FVX45" s="1021"/>
      <c r="FVY45" s="1021"/>
      <c r="FVZ45" s="1021"/>
      <c r="FWA45" s="1021"/>
      <c r="FWB45" s="1021"/>
      <c r="FWC45" s="1021"/>
      <c r="FWD45" s="1021"/>
      <c r="FWE45" s="1021"/>
      <c r="FWF45" s="1021"/>
      <c r="FWG45" s="1021"/>
      <c r="FWH45" s="1021"/>
      <c r="FWI45" s="1021"/>
      <c r="FWJ45" s="1021"/>
      <c r="FWK45" s="1021"/>
      <c r="FWL45" s="1021"/>
      <c r="FWM45" s="1021"/>
      <c r="FWN45" s="1021"/>
      <c r="FWO45" s="1021"/>
      <c r="FWP45" s="1021"/>
      <c r="FWQ45" s="1021"/>
      <c r="FWR45" s="1021"/>
      <c r="FWS45" s="1021"/>
      <c r="FWT45" s="1021"/>
      <c r="FWU45" s="1021"/>
      <c r="FWV45" s="1021"/>
      <c r="FWW45" s="1021"/>
      <c r="FWX45" s="1021"/>
      <c r="FWY45" s="1021"/>
      <c r="FWZ45" s="1021"/>
      <c r="FXA45" s="1021"/>
      <c r="FXB45" s="1021"/>
      <c r="FXC45" s="1021"/>
      <c r="FXD45" s="1021"/>
      <c r="FXE45" s="1021"/>
      <c r="FXF45" s="1021"/>
      <c r="FXG45" s="1021"/>
      <c r="FXH45" s="1021"/>
      <c r="FXI45" s="1021"/>
      <c r="FXJ45" s="1021"/>
      <c r="FXK45" s="1021"/>
      <c r="FXL45" s="1021"/>
      <c r="FXM45" s="1021"/>
      <c r="FXN45" s="1021"/>
      <c r="FXO45" s="1021"/>
      <c r="FXP45" s="1021"/>
      <c r="FXQ45" s="1021"/>
      <c r="FXR45" s="1021"/>
      <c r="FXS45" s="1021"/>
      <c r="FXT45" s="1021"/>
      <c r="FXU45" s="1021"/>
      <c r="FXV45" s="1021"/>
      <c r="FXW45" s="1021"/>
      <c r="FXX45" s="1021"/>
      <c r="FXY45" s="1021"/>
      <c r="FXZ45" s="1021"/>
      <c r="FYA45" s="1021"/>
      <c r="FYB45" s="1021"/>
      <c r="FYC45" s="1021"/>
      <c r="FYD45" s="1021"/>
      <c r="FYE45" s="1021"/>
      <c r="FYF45" s="1021"/>
      <c r="FYG45" s="1021"/>
      <c r="FYH45" s="1021"/>
      <c r="FYI45" s="1021"/>
      <c r="FYJ45" s="1021"/>
      <c r="FYK45" s="1021"/>
      <c r="FYL45" s="1021"/>
      <c r="FYM45" s="1021"/>
      <c r="FYN45" s="1021"/>
      <c r="FYO45" s="1021"/>
      <c r="FYP45" s="1021"/>
      <c r="FYQ45" s="1021"/>
      <c r="FYR45" s="1021"/>
      <c r="FYS45" s="1021"/>
      <c r="FYT45" s="1021"/>
      <c r="FYU45" s="1021"/>
      <c r="FYV45" s="1021"/>
      <c r="FYW45" s="1021"/>
      <c r="FYX45" s="1021"/>
      <c r="FYY45" s="1021"/>
      <c r="FYZ45" s="1021"/>
      <c r="FZA45" s="1021"/>
      <c r="FZB45" s="1021"/>
      <c r="FZC45" s="1021"/>
      <c r="FZD45" s="1021"/>
      <c r="FZE45" s="1021"/>
      <c r="FZF45" s="1021"/>
      <c r="FZG45" s="1021"/>
      <c r="FZH45" s="1021"/>
      <c r="FZI45" s="1021"/>
      <c r="FZJ45" s="1021"/>
      <c r="FZK45" s="1021"/>
      <c r="FZL45" s="1021"/>
      <c r="FZM45" s="1021"/>
      <c r="FZN45" s="1021"/>
      <c r="FZO45" s="1021"/>
      <c r="FZP45" s="1021"/>
      <c r="FZQ45" s="1021"/>
      <c r="FZR45" s="1021"/>
      <c r="FZS45" s="1021"/>
      <c r="FZT45" s="1021"/>
      <c r="FZU45" s="1021"/>
      <c r="FZV45" s="1021"/>
      <c r="FZW45" s="1021"/>
      <c r="FZX45" s="1021"/>
      <c r="FZY45" s="1021"/>
      <c r="FZZ45" s="1021"/>
      <c r="GAA45" s="1021"/>
      <c r="GAB45" s="1021"/>
      <c r="GAC45" s="1021"/>
      <c r="GAD45" s="1021"/>
      <c r="GAE45" s="1021"/>
      <c r="GAF45" s="1021"/>
      <c r="GAG45" s="1021"/>
      <c r="GAH45" s="1021"/>
      <c r="GAI45" s="1021"/>
      <c r="GAJ45" s="1021"/>
      <c r="GAK45" s="1021"/>
      <c r="GAL45" s="1021"/>
      <c r="GAM45" s="1021"/>
      <c r="GAN45" s="1021"/>
      <c r="GAO45" s="1021"/>
      <c r="GAP45" s="1021"/>
      <c r="GAQ45" s="1021"/>
      <c r="GAR45" s="1021"/>
      <c r="GAS45" s="1021"/>
      <c r="GAT45" s="1021"/>
      <c r="GAU45" s="1021"/>
      <c r="GAV45" s="1021"/>
      <c r="GAW45" s="1021"/>
      <c r="GAX45" s="1021"/>
      <c r="GAY45" s="1021"/>
      <c r="GAZ45" s="1021"/>
      <c r="GBA45" s="1021"/>
      <c r="GBB45" s="1021"/>
      <c r="GBC45" s="1021"/>
      <c r="GBD45" s="1021"/>
      <c r="GBE45" s="1021"/>
      <c r="GBF45" s="1021"/>
      <c r="GBG45" s="1021"/>
      <c r="GBH45" s="1021"/>
      <c r="GBI45" s="1021"/>
      <c r="GBJ45" s="1021"/>
      <c r="GBK45" s="1021"/>
      <c r="GBL45" s="1021"/>
      <c r="GBM45" s="1021"/>
      <c r="GBN45" s="1021"/>
      <c r="GBO45" s="1021"/>
      <c r="GBP45" s="1021"/>
      <c r="GBQ45" s="1021"/>
      <c r="GBR45" s="1021"/>
      <c r="GBS45" s="1021"/>
      <c r="GBT45" s="1021"/>
      <c r="GBU45" s="1021"/>
      <c r="GBV45" s="1021"/>
      <c r="GBW45" s="1021"/>
      <c r="GBX45" s="1021"/>
      <c r="GBY45" s="1021"/>
      <c r="GBZ45" s="1021"/>
      <c r="GCA45" s="1021"/>
      <c r="GCB45" s="1021"/>
      <c r="GCC45" s="1021"/>
      <c r="GCD45" s="1021"/>
      <c r="GCE45" s="1021"/>
      <c r="GCF45" s="1021"/>
      <c r="GCG45" s="1021"/>
      <c r="GCH45" s="1021"/>
      <c r="GCI45" s="1021"/>
      <c r="GCJ45" s="1021"/>
      <c r="GCK45" s="1021"/>
      <c r="GCL45" s="1021"/>
      <c r="GCM45" s="1021"/>
      <c r="GCN45" s="1021"/>
      <c r="GCO45" s="1021"/>
      <c r="GCP45" s="1021"/>
      <c r="GCQ45" s="1021"/>
      <c r="GCR45" s="1021"/>
      <c r="GCS45" s="1021"/>
      <c r="GCT45" s="1021"/>
      <c r="GCU45" s="1021"/>
      <c r="GCV45" s="1021"/>
      <c r="GCW45" s="1021"/>
      <c r="GCX45" s="1021"/>
      <c r="GCY45" s="1021"/>
      <c r="GCZ45" s="1021"/>
      <c r="GDA45" s="1021"/>
      <c r="GDB45" s="1021"/>
      <c r="GDC45" s="1021"/>
      <c r="GDD45" s="1021"/>
      <c r="GDE45" s="1021"/>
      <c r="GDF45" s="1021"/>
      <c r="GDG45" s="1021"/>
      <c r="GDH45" s="1021"/>
      <c r="GDI45" s="1021"/>
      <c r="GDJ45" s="1021"/>
      <c r="GDK45" s="1021"/>
      <c r="GDL45" s="1021"/>
      <c r="GDM45" s="1021"/>
      <c r="GDN45" s="1021"/>
      <c r="GDO45" s="1021"/>
      <c r="GDP45" s="1021"/>
      <c r="GDQ45" s="1021"/>
      <c r="GDR45" s="1021"/>
      <c r="GDS45" s="1021"/>
      <c r="GDT45" s="1021"/>
      <c r="GDU45" s="1021"/>
      <c r="GDV45" s="1021"/>
      <c r="GDW45" s="1021"/>
      <c r="GDX45" s="1021"/>
      <c r="GDY45" s="1021"/>
      <c r="GDZ45" s="1021"/>
      <c r="GEA45" s="1021"/>
      <c r="GEB45" s="1021"/>
      <c r="GEC45" s="1021"/>
      <c r="GED45" s="1021"/>
      <c r="GEE45" s="1021"/>
      <c r="GEF45" s="1021"/>
      <c r="GEG45" s="1021"/>
      <c r="GEH45" s="1021"/>
      <c r="GEI45" s="1021"/>
      <c r="GEJ45" s="1021"/>
      <c r="GEK45" s="1021"/>
      <c r="GEL45" s="1021"/>
      <c r="GEM45" s="1021"/>
      <c r="GEN45" s="1021"/>
      <c r="GEO45" s="1021"/>
      <c r="GEP45" s="1021"/>
      <c r="GEQ45" s="1021"/>
      <c r="GER45" s="1021"/>
      <c r="GES45" s="1021"/>
      <c r="GET45" s="1021"/>
      <c r="GEU45" s="1021"/>
      <c r="GEV45" s="1021"/>
      <c r="GEW45" s="1021"/>
      <c r="GEX45" s="1021"/>
      <c r="GEY45" s="1021"/>
      <c r="GEZ45" s="1021"/>
      <c r="GFA45" s="1021"/>
      <c r="GFB45" s="1021"/>
      <c r="GFC45" s="1021"/>
      <c r="GFD45" s="1021"/>
      <c r="GFE45" s="1021"/>
      <c r="GFF45" s="1021"/>
      <c r="GFG45" s="1021"/>
      <c r="GFH45" s="1021"/>
      <c r="GFI45" s="1021"/>
      <c r="GFJ45" s="1021"/>
      <c r="GFK45" s="1021"/>
      <c r="GFL45" s="1021"/>
      <c r="GFM45" s="1021"/>
      <c r="GFN45" s="1021"/>
      <c r="GFO45" s="1021"/>
      <c r="GFP45" s="1021"/>
      <c r="GFQ45" s="1021"/>
      <c r="GFR45" s="1021"/>
      <c r="GFS45" s="1021"/>
      <c r="GFT45" s="1021"/>
      <c r="GFU45" s="1021"/>
      <c r="GFV45" s="1021"/>
      <c r="GFW45" s="1021"/>
      <c r="GFX45" s="1021"/>
      <c r="GFY45" s="1021"/>
      <c r="GFZ45" s="1021"/>
      <c r="GGA45" s="1021"/>
      <c r="GGB45" s="1021"/>
      <c r="GGC45" s="1021"/>
      <c r="GGD45" s="1021"/>
      <c r="GGE45" s="1021"/>
      <c r="GGF45" s="1021"/>
      <c r="GGG45" s="1021"/>
      <c r="GGH45" s="1021"/>
      <c r="GGI45" s="1021"/>
      <c r="GGJ45" s="1021"/>
      <c r="GGK45" s="1021"/>
      <c r="GGL45" s="1021"/>
      <c r="GGM45" s="1021"/>
      <c r="GGN45" s="1021"/>
      <c r="GGO45" s="1021"/>
      <c r="GGP45" s="1021"/>
      <c r="GGQ45" s="1021"/>
      <c r="GGR45" s="1021"/>
      <c r="GGS45" s="1021"/>
      <c r="GGT45" s="1021"/>
      <c r="GGU45" s="1021"/>
      <c r="GGV45" s="1021"/>
      <c r="GGW45" s="1021"/>
      <c r="GGX45" s="1021"/>
      <c r="GGY45" s="1021"/>
      <c r="GGZ45" s="1021"/>
      <c r="GHA45" s="1021"/>
      <c r="GHB45" s="1021"/>
      <c r="GHC45" s="1021"/>
      <c r="GHD45" s="1021"/>
      <c r="GHE45" s="1021"/>
      <c r="GHF45" s="1021"/>
      <c r="GHG45" s="1021"/>
      <c r="GHH45" s="1021"/>
      <c r="GHI45" s="1021"/>
      <c r="GHJ45" s="1021"/>
      <c r="GHK45" s="1021"/>
      <c r="GHL45" s="1021"/>
      <c r="GHM45" s="1021"/>
      <c r="GHN45" s="1021"/>
      <c r="GHO45" s="1021"/>
      <c r="GHP45" s="1021"/>
      <c r="GHQ45" s="1021"/>
      <c r="GHR45" s="1021"/>
      <c r="GHS45" s="1021"/>
      <c r="GHT45" s="1021"/>
      <c r="GHU45" s="1021"/>
      <c r="GHV45" s="1021"/>
      <c r="GHW45" s="1021"/>
      <c r="GHX45" s="1021"/>
      <c r="GHY45" s="1021"/>
      <c r="GHZ45" s="1021"/>
      <c r="GIA45" s="1021"/>
      <c r="GIB45" s="1021"/>
      <c r="GIC45" s="1021"/>
      <c r="GID45" s="1021"/>
      <c r="GIE45" s="1021"/>
      <c r="GIF45" s="1021"/>
      <c r="GIG45" s="1021"/>
      <c r="GIH45" s="1021"/>
      <c r="GII45" s="1021"/>
      <c r="GIJ45" s="1021"/>
      <c r="GIK45" s="1021"/>
      <c r="GIL45" s="1021"/>
      <c r="GIM45" s="1021"/>
      <c r="GIN45" s="1021"/>
      <c r="GIO45" s="1021"/>
      <c r="GIP45" s="1021"/>
      <c r="GIQ45" s="1021"/>
      <c r="GIR45" s="1021"/>
      <c r="GIS45" s="1021"/>
      <c r="GIT45" s="1021"/>
      <c r="GIU45" s="1021"/>
      <c r="GIV45" s="1021"/>
      <c r="GIW45" s="1021"/>
      <c r="GIX45" s="1021"/>
      <c r="GIY45" s="1021"/>
      <c r="GIZ45" s="1021"/>
      <c r="GJA45" s="1021"/>
      <c r="GJB45" s="1021"/>
      <c r="GJC45" s="1021"/>
      <c r="GJD45" s="1021"/>
      <c r="GJE45" s="1021"/>
      <c r="GJF45" s="1021"/>
      <c r="GJG45" s="1021"/>
      <c r="GJH45" s="1021"/>
      <c r="GJI45" s="1021"/>
      <c r="GJJ45" s="1021"/>
      <c r="GJK45" s="1021"/>
      <c r="GJL45" s="1021"/>
      <c r="GJM45" s="1021"/>
      <c r="GJN45" s="1021"/>
      <c r="GJO45" s="1021"/>
      <c r="GJP45" s="1021"/>
      <c r="GJQ45" s="1021"/>
      <c r="GJR45" s="1021"/>
      <c r="GJS45" s="1021"/>
      <c r="GJT45" s="1021"/>
      <c r="GJU45" s="1021"/>
      <c r="GJV45" s="1021"/>
      <c r="GJW45" s="1021"/>
      <c r="GJX45" s="1021"/>
      <c r="GJY45" s="1021"/>
      <c r="GJZ45" s="1021"/>
      <c r="GKA45" s="1021"/>
      <c r="GKB45" s="1021"/>
      <c r="GKC45" s="1021"/>
      <c r="GKD45" s="1021"/>
      <c r="GKE45" s="1021"/>
      <c r="GKF45" s="1021"/>
      <c r="GKG45" s="1021"/>
      <c r="GKH45" s="1021"/>
      <c r="GKI45" s="1021"/>
      <c r="GKJ45" s="1021"/>
      <c r="GKK45" s="1021"/>
      <c r="GKL45" s="1021"/>
      <c r="GKM45" s="1021"/>
      <c r="GKN45" s="1021"/>
      <c r="GKO45" s="1021"/>
      <c r="GKP45" s="1021"/>
      <c r="GKQ45" s="1021"/>
      <c r="GKR45" s="1021"/>
      <c r="GKS45" s="1021"/>
      <c r="GKT45" s="1021"/>
      <c r="GKU45" s="1021"/>
      <c r="GKV45" s="1021"/>
      <c r="GKW45" s="1021"/>
      <c r="GKX45" s="1021"/>
      <c r="GKY45" s="1021"/>
      <c r="GKZ45" s="1021"/>
      <c r="GLA45" s="1021"/>
      <c r="GLB45" s="1021"/>
      <c r="GLC45" s="1021"/>
      <c r="GLD45" s="1021"/>
      <c r="GLE45" s="1021"/>
      <c r="GLF45" s="1021"/>
      <c r="GLG45" s="1021"/>
      <c r="GLH45" s="1021"/>
      <c r="GLI45" s="1021"/>
      <c r="GLJ45" s="1021"/>
      <c r="GLK45" s="1021"/>
      <c r="GLL45" s="1021"/>
      <c r="GLM45" s="1021"/>
      <c r="GLN45" s="1021"/>
      <c r="GLO45" s="1021"/>
      <c r="GLP45" s="1021"/>
      <c r="GLQ45" s="1021"/>
      <c r="GLR45" s="1021"/>
      <c r="GLS45" s="1021"/>
      <c r="GLT45" s="1021"/>
      <c r="GLU45" s="1021"/>
      <c r="GLV45" s="1021"/>
      <c r="GLW45" s="1021"/>
      <c r="GLX45" s="1021"/>
      <c r="GLY45" s="1021"/>
      <c r="GLZ45" s="1021"/>
      <c r="GMA45" s="1021"/>
      <c r="GMB45" s="1021"/>
      <c r="GMC45" s="1021"/>
      <c r="GMD45" s="1021"/>
      <c r="GME45" s="1021"/>
      <c r="GMF45" s="1021"/>
      <c r="GMG45" s="1021"/>
      <c r="GMH45" s="1021"/>
      <c r="GMI45" s="1021"/>
      <c r="GMJ45" s="1021"/>
      <c r="GMK45" s="1021"/>
      <c r="GML45" s="1021"/>
      <c r="GMM45" s="1021"/>
      <c r="GMN45" s="1021"/>
      <c r="GMO45" s="1021"/>
      <c r="GMP45" s="1021"/>
      <c r="GMQ45" s="1021"/>
      <c r="GMR45" s="1021"/>
      <c r="GMS45" s="1021"/>
      <c r="GMT45" s="1021"/>
      <c r="GMU45" s="1021"/>
      <c r="GMV45" s="1021"/>
      <c r="GMW45" s="1021"/>
      <c r="GMX45" s="1021"/>
      <c r="GMY45" s="1021"/>
      <c r="GMZ45" s="1021"/>
      <c r="GNA45" s="1021"/>
      <c r="GNB45" s="1021"/>
      <c r="GNC45" s="1021"/>
      <c r="GND45" s="1021"/>
      <c r="GNE45" s="1021"/>
      <c r="GNF45" s="1021"/>
      <c r="GNG45" s="1021"/>
      <c r="GNH45" s="1021"/>
      <c r="GNI45" s="1021"/>
      <c r="GNJ45" s="1021"/>
      <c r="GNK45" s="1021"/>
      <c r="GNL45" s="1021"/>
      <c r="GNM45" s="1021"/>
      <c r="GNN45" s="1021"/>
      <c r="GNO45" s="1021"/>
      <c r="GNP45" s="1021"/>
      <c r="GNQ45" s="1021"/>
      <c r="GNR45" s="1021"/>
      <c r="GNS45" s="1021"/>
      <c r="GNT45" s="1021"/>
      <c r="GNU45" s="1021"/>
      <c r="GNV45" s="1021"/>
      <c r="GNW45" s="1021"/>
      <c r="GNX45" s="1021"/>
      <c r="GNY45" s="1021"/>
      <c r="GNZ45" s="1021"/>
      <c r="GOA45" s="1021"/>
      <c r="GOB45" s="1021"/>
      <c r="GOC45" s="1021"/>
      <c r="GOD45" s="1021"/>
      <c r="GOE45" s="1021"/>
      <c r="GOF45" s="1021"/>
      <c r="GOG45" s="1021"/>
      <c r="GOH45" s="1021"/>
      <c r="GOI45" s="1021"/>
      <c r="GOJ45" s="1021"/>
      <c r="GOK45" s="1021"/>
      <c r="GOL45" s="1021"/>
      <c r="GOM45" s="1021"/>
      <c r="GON45" s="1021"/>
      <c r="GOO45" s="1021"/>
      <c r="GOP45" s="1021"/>
      <c r="GOQ45" s="1021"/>
      <c r="GOR45" s="1021"/>
      <c r="GOS45" s="1021"/>
      <c r="GOT45" s="1021"/>
      <c r="GOU45" s="1021"/>
      <c r="GOV45" s="1021"/>
      <c r="GOW45" s="1021"/>
      <c r="GOX45" s="1021"/>
      <c r="GOY45" s="1021"/>
      <c r="GOZ45" s="1021"/>
      <c r="GPA45" s="1021"/>
      <c r="GPB45" s="1021"/>
      <c r="GPC45" s="1021"/>
      <c r="GPD45" s="1021"/>
      <c r="GPE45" s="1021"/>
      <c r="GPF45" s="1021"/>
      <c r="GPG45" s="1021"/>
      <c r="GPH45" s="1021"/>
      <c r="GPI45" s="1021"/>
      <c r="GPJ45" s="1021"/>
      <c r="GPK45" s="1021"/>
      <c r="GPL45" s="1021"/>
      <c r="GPM45" s="1021"/>
      <c r="GPN45" s="1021"/>
      <c r="GPO45" s="1021"/>
      <c r="GPP45" s="1021"/>
      <c r="GPQ45" s="1021"/>
      <c r="GPR45" s="1021"/>
      <c r="GPS45" s="1021"/>
      <c r="GPT45" s="1021"/>
      <c r="GPU45" s="1021"/>
      <c r="GPV45" s="1021"/>
      <c r="GPW45" s="1021"/>
      <c r="GPX45" s="1021"/>
      <c r="GPY45" s="1021"/>
      <c r="GPZ45" s="1021"/>
      <c r="GQA45" s="1021"/>
      <c r="GQB45" s="1021"/>
      <c r="GQC45" s="1021"/>
      <c r="GQD45" s="1021"/>
      <c r="GQE45" s="1021"/>
      <c r="GQF45" s="1021"/>
      <c r="GQG45" s="1021"/>
      <c r="GQH45" s="1021"/>
      <c r="GQI45" s="1021"/>
      <c r="GQJ45" s="1021"/>
      <c r="GQK45" s="1021"/>
      <c r="GQL45" s="1021"/>
      <c r="GQM45" s="1021"/>
      <c r="GQN45" s="1021"/>
      <c r="GQO45" s="1021"/>
      <c r="GQP45" s="1021"/>
      <c r="GQQ45" s="1021"/>
      <c r="GQR45" s="1021"/>
      <c r="GQS45" s="1021"/>
      <c r="GQT45" s="1021"/>
      <c r="GQU45" s="1021"/>
      <c r="GQV45" s="1021"/>
      <c r="GQW45" s="1021"/>
      <c r="GQX45" s="1021"/>
      <c r="GQY45" s="1021"/>
      <c r="GQZ45" s="1021"/>
      <c r="GRA45" s="1021"/>
      <c r="GRB45" s="1021"/>
      <c r="GRC45" s="1021"/>
      <c r="GRD45" s="1021"/>
      <c r="GRE45" s="1021"/>
      <c r="GRF45" s="1021"/>
      <c r="GRG45" s="1021"/>
      <c r="GRH45" s="1021"/>
      <c r="GRI45" s="1021"/>
      <c r="GRJ45" s="1021"/>
      <c r="GRK45" s="1021"/>
      <c r="GRL45" s="1021"/>
      <c r="GRM45" s="1021"/>
      <c r="GRN45" s="1021"/>
      <c r="GRO45" s="1021"/>
      <c r="GRP45" s="1021"/>
      <c r="GRQ45" s="1021"/>
      <c r="GRR45" s="1021"/>
      <c r="GRS45" s="1021"/>
      <c r="GRT45" s="1021"/>
      <c r="GRU45" s="1021"/>
      <c r="GRV45" s="1021"/>
      <c r="GRW45" s="1021"/>
      <c r="GRX45" s="1021"/>
      <c r="GRY45" s="1021"/>
      <c r="GRZ45" s="1021"/>
      <c r="GSA45" s="1021"/>
      <c r="GSB45" s="1021"/>
      <c r="GSC45" s="1021"/>
      <c r="GSD45" s="1021"/>
      <c r="GSE45" s="1021"/>
      <c r="GSF45" s="1021"/>
      <c r="GSG45" s="1021"/>
      <c r="GSH45" s="1021"/>
      <c r="GSI45" s="1021"/>
      <c r="GSJ45" s="1021"/>
      <c r="GSK45" s="1021"/>
      <c r="GSL45" s="1021"/>
      <c r="GSM45" s="1021"/>
      <c r="GSN45" s="1021"/>
      <c r="GSO45" s="1021"/>
      <c r="GSP45" s="1021"/>
      <c r="GSQ45" s="1021"/>
      <c r="GSR45" s="1021"/>
      <c r="GSS45" s="1021"/>
      <c r="GST45" s="1021"/>
      <c r="GSU45" s="1021"/>
      <c r="GSV45" s="1021"/>
      <c r="GSW45" s="1021"/>
      <c r="GSX45" s="1021"/>
      <c r="GSY45" s="1021"/>
      <c r="GSZ45" s="1021"/>
      <c r="GTA45" s="1021"/>
      <c r="GTB45" s="1021"/>
      <c r="GTC45" s="1021"/>
      <c r="GTD45" s="1021"/>
      <c r="GTE45" s="1021"/>
      <c r="GTF45" s="1021"/>
      <c r="GTG45" s="1021"/>
      <c r="GTH45" s="1021"/>
      <c r="GTI45" s="1021"/>
      <c r="GTJ45" s="1021"/>
      <c r="GTK45" s="1021"/>
      <c r="GTL45" s="1021"/>
      <c r="GTM45" s="1021"/>
      <c r="GTN45" s="1021"/>
      <c r="GTO45" s="1021"/>
      <c r="GTP45" s="1021"/>
      <c r="GTQ45" s="1021"/>
      <c r="GTR45" s="1021"/>
      <c r="GTS45" s="1021"/>
      <c r="GTT45" s="1021"/>
      <c r="GTU45" s="1021"/>
      <c r="GTV45" s="1021"/>
      <c r="GTW45" s="1021"/>
      <c r="GTX45" s="1021"/>
      <c r="GTY45" s="1021"/>
      <c r="GTZ45" s="1021"/>
      <c r="GUA45" s="1021"/>
      <c r="GUB45" s="1021"/>
      <c r="GUC45" s="1021"/>
      <c r="GUD45" s="1021"/>
      <c r="GUE45" s="1021"/>
      <c r="GUF45" s="1021"/>
      <c r="GUG45" s="1021"/>
      <c r="GUH45" s="1021"/>
      <c r="GUI45" s="1021"/>
      <c r="GUJ45" s="1021"/>
      <c r="GUK45" s="1021"/>
      <c r="GUL45" s="1021"/>
      <c r="GUM45" s="1021"/>
      <c r="GUN45" s="1021"/>
      <c r="GUO45" s="1021"/>
      <c r="GUP45" s="1021"/>
      <c r="GUQ45" s="1021"/>
      <c r="GUR45" s="1021"/>
      <c r="GUS45" s="1021"/>
      <c r="GUT45" s="1021"/>
      <c r="GUU45" s="1021"/>
      <c r="GUV45" s="1021"/>
      <c r="GUW45" s="1021"/>
      <c r="GUX45" s="1021"/>
      <c r="GUY45" s="1021"/>
      <c r="GUZ45" s="1021"/>
      <c r="GVA45" s="1021"/>
      <c r="GVB45" s="1021"/>
      <c r="GVC45" s="1021"/>
      <c r="GVD45" s="1021"/>
      <c r="GVE45" s="1021"/>
      <c r="GVF45" s="1021"/>
      <c r="GVG45" s="1021"/>
      <c r="GVH45" s="1021"/>
      <c r="GVI45" s="1021"/>
      <c r="GVJ45" s="1021"/>
      <c r="GVK45" s="1021"/>
      <c r="GVL45" s="1021"/>
      <c r="GVM45" s="1021"/>
      <c r="GVN45" s="1021"/>
      <c r="GVO45" s="1021"/>
      <c r="GVP45" s="1021"/>
      <c r="GVQ45" s="1021"/>
      <c r="GVR45" s="1021"/>
      <c r="GVS45" s="1021"/>
      <c r="GVT45" s="1021"/>
      <c r="GVU45" s="1021"/>
      <c r="GVV45" s="1021"/>
      <c r="GVW45" s="1021"/>
      <c r="GVX45" s="1021"/>
      <c r="GVY45" s="1021"/>
      <c r="GVZ45" s="1021"/>
      <c r="GWA45" s="1021"/>
      <c r="GWB45" s="1021"/>
      <c r="GWC45" s="1021"/>
      <c r="GWD45" s="1021"/>
      <c r="GWE45" s="1021"/>
      <c r="GWF45" s="1021"/>
      <c r="GWG45" s="1021"/>
      <c r="GWH45" s="1021"/>
      <c r="GWI45" s="1021"/>
      <c r="GWJ45" s="1021"/>
      <c r="GWK45" s="1021"/>
      <c r="GWL45" s="1021"/>
      <c r="GWM45" s="1021"/>
      <c r="GWN45" s="1021"/>
      <c r="GWO45" s="1021"/>
      <c r="GWP45" s="1021"/>
      <c r="GWQ45" s="1021"/>
      <c r="GWR45" s="1021"/>
      <c r="GWS45" s="1021"/>
      <c r="GWT45" s="1021"/>
      <c r="GWU45" s="1021"/>
      <c r="GWV45" s="1021"/>
      <c r="GWW45" s="1021"/>
      <c r="GWX45" s="1021"/>
      <c r="GWY45" s="1021"/>
      <c r="GWZ45" s="1021"/>
      <c r="GXA45" s="1021"/>
      <c r="GXB45" s="1021"/>
      <c r="GXC45" s="1021"/>
      <c r="GXD45" s="1021"/>
      <c r="GXE45" s="1021"/>
      <c r="GXF45" s="1021"/>
      <c r="GXG45" s="1021"/>
      <c r="GXH45" s="1021"/>
      <c r="GXI45" s="1021"/>
      <c r="GXJ45" s="1021"/>
      <c r="GXK45" s="1021"/>
      <c r="GXL45" s="1021"/>
      <c r="GXM45" s="1021"/>
      <c r="GXN45" s="1021"/>
      <c r="GXO45" s="1021"/>
      <c r="GXP45" s="1021"/>
      <c r="GXQ45" s="1021"/>
      <c r="GXR45" s="1021"/>
      <c r="GXS45" s="1021"/>
      <c r="GXT45" s="1021"/>
      <c r="GXU45" s="1021"/>
      <c r="GXV45" s="1021"/>
      <c r="GXW45" s="1021"/>
      <c r="GXX45" s="1021"/>
      <c r="GXY45" s="1021"/>
      <c r="GXZ45" s="1021"/>
      <c r="GYA45" s="1021"/>
      <c r="GYB45" s="1021"/>
      <c r="GYC45" s="1021"/>
      <c r="GYD45" s="1021"/>
      <c r="GYE45" s="1021"/>
      <c r="GYF45" s="1021"/>
      <c r="GYG45" s="1021"/>
      <c r="GYH45" s="1021"/>
      <c r="GYI45" s="1021"/>
      <c r="GYJ45" s="1021"/>
      <c r="GYK45" s="1021"/>
      <c r="GYL45" s="1021"/>
      <c r="GYM45" s="1021"/>
      <c r="GYN45" s="1021"/>
      <c r="GYO45" s="1021"/>
      <c r="GYP45" s="1021"/>
      <c r="GYQ45" s="1021"/>
      <c r="GYR45" s="1021"/>
      <c r="GYS45" s="1021"/>
      <c r="GYT45" s="1021"/>
      <c r="GYU45" s="1021"/>
      <c r="GYV45" s="1021"/>
      <c r="GYW45" s="1021"/>
      <c r="GYX45" s="1021"/>
      <c r="GYY45" s="1021"/>
      <c r="GYZ45" s="1021"/>
      <c r="GZA45" s="1021"/>
      <c r="GZB45" s="1021"/>
      <c r="GZC45" s="1021"/>
      <c r="GZD45" s="1021"/>
      <c r="GZE45" s="1021"/>
      <c r="GZF45" s="1021"/>
      <c r="GZG45" s="1021"/>
      <c r="GZH45" s="1021"/>
      <c r="GZI45" s="1021"/>
      <c r="GZJ45" s="1021"/>
      <c r="GZK45" s="1021"/>
      <c r="GZL45" s="1021"/>
      <c r="GZM45" s="1021"/>
      <c r="GZN45" s="1021"/>
      <c r="GZO45" s="1021"/>
      <c r="GZP45" s="1021"/>
      <c r="GZQ45" s="1021"/>
      <c r="GZR45" s="1021"/>
      <c r="GZS45" s="1021"/>
      <c r="GZT45" s="1021"/>
      <c r="GZU45" s="1021"/>
      <c r="GZV45" s="1021"/>
      <c r="GZW45" s="1021"/>
      <c r="GZX45" s="1021"/>
      <c r="GZY45" s="1021"/>
      <c r="GZZ45" s="1021"/>
      <c r="HAA45" s="1021"/>
      <c r="HAB45" s="1021"/>
      <c r="HAC45" s="1021"/>
      <c r="HAD45" s="1021"/>
      <c r="HAE45" s="1021"/>
      <c r="HAF45" s="1021"/>
      <c r="HAG45" s="1021"/>
      <c r="HAH45" s="1021"/>
      <c r="HAI45" s="1021"/>
      <c r="HAJ45" s="1021"/>
      <c r="HAK45" s="1021"/>
      <c r="HAL45" s="1021"/>
      <c r="HAM45" s="1021"/>
      <c r="HAN45" s="1021"/>
      <c r="HAO45" s="1021"/>
      <c r="HAP45" s="1021"/>
      <c r="HAQ45" s="1021"/>
      <c r="HAR45" s="1021"/>
      <c r="HAS45" s="1021"/>
      <c r="HAT45" s="1021"/>
      <c r="HAU45" s="1021"/>
      <c r="HAV45" s="1021"/>
      <c r="HAW45" s="1021"/>
      <c r="HAX45" s="1021"/>
      <c r="HAY45" s="1021"/>
      <c r="HAZ45" s="1021"/>
      <c r="HBA45" s="1021"/>
      <c r="HBB45" s="1021"/>
      <c r="HBC45" s="1021"/>
      <c r="HBD45" s="1021"/>
      <c r="HBE45" s="1021"/>
      <c r="HBF45" s="1021"/>
      <c r="HBG45" s="1021"/>
      <c r="HBH45" s="1021"/>
      <c r="HBI45" s="1021"/>
      <c r="HBJ45" s="1021"/>
      <c r="HBK45" s="1021"/>
      <c r="HBL45" s="1021"/>
      <c r="HBM45" s="1021"/>
      <c r="HBN45" s="1021"/>
      <c r="HBO45" s="1021"/>
      <c r="HBP45" s="1021"/>
      <c r="HBQ45" s="1021"/>
      <c r="HBR45" s="1021"/>
      <c r="HBS45" s="1021"/>
      <c r="HBT45" s="1021"/>
      <c r="HBU45" s="1021"/>
      <c r="HBV45" s="1021"/>
      <c r="HBW45" s="1021"/>
      <c r="HBX45" s="1021"/>
      <c r="HBY45" s="1021"/>
      <c r="HBZ45" s="1021"/>
      <c r="HCA45" s="1021"/>
      <c r="HCB45" s="1021"/>
      <c r="HCC45" s="1021"/>
      <c r="HCD45" s="1021"/>
      <c r="HCE45" s="1021"/>
      <c r="HCF45" s="1021"/>
      <c r="HCG45" s="1021"/>
      <c r="HCH45" s="1021"/>
      <c r="HCI45" s="1021"/>
      <c r="HCJ45" s="1021"/>
      <c r="HCK45" s="1021"/>
      <c r="HCL45" s="1021"/>
      <c r="HCM45" s="1021"/>
      <c r="HCN45" s="1021"/>
      <c r="HCO45" s="1021"/>
      <c r="HCP45" s="1021"/>
      <c r="HCQ45" s="1021"/>
      <c r="HCR45" s="1021"/>
      <c r="HCS45" s="1021"/>
      <c r="HCT45" s="1021"/>
      <c r="HCU45" s="1021"/>
      <c r="HCV45" s="1021"/>
      <c r="HCW45" s="1021"/>
      <c r="HCX45" s="1021"/>
      <c r="HCY45" s="1021"/>
      <c r="HCZ45" s="1021"/>
      <c r="HDA45" s="1021"/>
      <c r="HDB45" s="1021"/>
      <c r="HDC45" s="1021"/>
      <c r="HDD45" s="1021"/>
      <c r="HDE45" s="1021"/>
      <c r="HDF45" s="1021"/>
      <c r="HDG45" s="1021"/>
      <c r="HDH45" s="1021"/>
      <c r="HDI45" s="1021"/>
      <c r="HDJ45" s="1021"/>
      <c r="HDK45" s="1021"/>
      <c r="HDL45" s="1021"/>
      <c r="HDM45" s="1021"/>
      <c r="HDN45" s="1021"/>
      <c r="HDO45" s="1021"/>
      <c r="HDP45" s="1021"/>
      <c r="HDQ45" s="1021"/>
      <c r="HDR45" s="1021"/>
      <c r="HDS45" s="1021"/>
      <c r="HDT45" s="1021"/>
      <c r="HDU45" s="1021"/>
      <c r="HDV45" s="1021"/>
      <c r="HDW45" s="1021"/>
      <c r="HDX45" s="1021"/>
      <c r="HDY45" s="1021"/>
      <c r="HDZ45" s="1021"/>
      <c r="HEA45" s="1021"/>
      <c r="HEB45" s="1021"/>
      <c r="HEC45" s="1021"/>
      <c r="HED45" s="1021"/>
      <c r="HEE45" s="1021"/>
      <c r="HEF45" s="1021"/>
      <c r="HEG45" s="1021"/>
      <c r="HEH45" s="1021"/>
      <c r="HEI45" s="1021"/>
      <c r="HEJ45" s="1021"/>
      <c r="HEK45" s="1021"/>
      <c r="HEL45" s="1021"/>
      <c r="HEM45" s="1021"/>
      <c r="HEN45" s="1021"/>
      <c r="HEO45" s="1021"/>
      <c r="HEP45" s="1021"/>
      <c r="HEQ45" s="1021"/>
      <c r="HER45" s="1021"/>
      <c r="HES45" s="1021"/>
      <c r="HET45" s="1021"/>
      <c r="HEU45" s="1021"/>
      <c r="HEV45" s="1021"/>
      <c r="HEW45" s="1021"/>
      <c r="HEX45" s="1021"/>
      <c r="HEY45" s="1021"/>
      <c r="HEZ45" s="1021"/>
      <c r="HFA45" s="1021"/>
      <c r="HFB45" s="1021"/>
      <c r="HFC45" s="1021"/>
      <c r="HFD45" s="1021"/>
      <c r="HFE45" s="1021"/>
      <c r="HFF45" s="1021"/>
      <c r="HFG45" s="1021"/>
      <c r="HFH45" s="1021"/>
      <c r="HFI45" s="1021"/>
      <c r="HFJ45" s="1021"/>
      <c r="HFK45" s="1021"/>
      <c r="HFL45" s="1021"/>
      <c r="HFM45" s="1021"/>
      <c r="HFN45" s="1021"/>
      <c r="HFO45" s="1021"/>
      <c r="HFP45" s="1021"/>
      <c r="HFQ45" s="1021"/>
      <c r="HFR45" s="1021"/>
      <c r="HFS45" s="1021"/>
      <c r="HFT45" s="1021"/>
      <c r="HFU45" s="1021"/>
      <c r="HFV45" s="1021"/>
      <c r="HFW45" s="1021"/>
      <c r="HFX45" s="1021"/>
      <c r="HFY45" s="1021"/>
      <c r="HFZ45" s="1021"/>
      <c r="HGA45" s="1021"/>
      <c r="HGB45" s="1021"/>
      <c r="HGC45" s="1021"/>
      <c r="HGD45" s="1021"/>
      <c r="HGE45" s="1021"/>
      <c r="HGF45" s="1021"/>
      <c r="HGG45" s="1021"/>
      <c r="HGH45" s="1021"/>
      <c r="HGI45" s="1021"/>
      <c r="HGJ45" s="1021"/>
      <c r="HGK45" s="1021"/>
      <c r="HGL45" s="1021"/>
      <c r="HGM45" s="1021"/>
      <c r="HGN45" s="1021"/>
      <c r="HGO45" s="1021"/>
      <c r="HGP45" s="1021"/>
      <c r="HGQ45" s="1021"/>
      <c r="HGR45" s="1021"/>
      <c r="HGS45" s="1021"/>
      <c r="HGT45" s="1021"/>
      <c r="HGU45" s="1021"/>
      <c r="HGV45" s="1021"/>
      <c r="HGW45" s="1021"/>
      <c r="HGX45" s="1021"/>
      <c r="HGY45" s="1021"/>
      <c r="HGZ45" s="1021"/>
      <c r="HHA45" s="1021"/>
      <c r="HHB45" s="1021"/>
      <c r="HHC45" s="1021"/>
      <c r="HHD45" s="1021"/>
      <c r="HHE45" s="1021"/>
      <c r="HHF45" s="1021"/>
      <c r="HHG45" s="1021"/>
      <c r="HHH45" s="1021"/>
      <c r="HHI45" s="1021"/>
      <c r="HHJ45" s="1021"/>
      <c r="HHK45" s="1021"/>
      <c r="HHL45" s="1021"/>
      <c r="HHM45" s="1021"/>
      <c r="HHN45" s="1021"/>
      <c r="HHO45" s="1021"/>
      <c r="HHP45" s="1021"/>
      <c r="HHQ45" s="1021"/>
      <c r="HHR45" s="1021"/>
      <c r="HHS45" s="1021"/>
      <c r="HHT45" s="1021"/>
      <c r="HHU45" s="1021"/>
      <c r="HHV45" s="1021"/>
      <c r="HHW45" s="1021"/>
      <c r="HHX45" s="1021"/>
      <c r="HHY45" s="1021"/>
      <c r="HHZ45" s="1021"/>
      <c r="HIA45" s="1021"/>
      <c r="HIB45" s="1021"/>
      <c r="HIC45" s="1021"/>
      <c r="HID45" s="1021"/>
      <c r="HIE45" s="1021"/>
      <c r="HIF45" s="1021"/>
      <c r="HIG45" s="1021"/>
      <c r="HIH45" s="1021"/>
      <c r="HII45" s="1021"/>
      <c r="HIJ45" s="1021"/>
      <c r="HIK45" s="1021"/>
      <c r="HIL45" s="1021"/>
      <c r="HIM45" s="1021"/>
      <c r="HIN45" s="1021"/>
      <c r="HIO45" s="1021"/>
      <c r="HIP45" s="1021"/>
      <c r="HIQ45" s="1021"/>
      <c r="HIR45" s="1021"/>
      <c r="HIS45" s="1021"/>
      <c r="HIT45" s="1021"/>
      <c r="HIU45" s="1021"/>
      <c r="HIV45" s="1021"/>
      <c r="HIW45" s="1021"/>
      <c r="HIX45" s="1021"/>
      <c r="HIY45" s="1021"/>
      <c r="HIZ45" s="1021"/>
      <c r="HJA45" s="1021"/>
      <c r="HJB45" s="1021"/>
      <c r="HJC45" s="1021"/>
      <c r="HJD45" s="1021"/>
      <c r="HJE45" s="1021"/>
      <c r="HJF45" s="1021"/>
      <c r="HJG45" s="1021"/>
      <c r="HJH45" s="1021"/>
      <c r="HJI45" s="1021"/>
      <c r="HJJ45" s="1021"/>
      <c r="HJK45" s="1021"/>
      <c r="HJL45" s="1021"/>
      <c r="HJM45" s="1021"/>
      <c r="HJN45" s="1021"/>
      <c r="HJO45" s="1021"/>
      <c r="HJP45" s="1021"/>
      <c r="HJQ45" s="1021"/>
      <c r="HJR45" s="1021"/>
      <c r="HJS45" s="1021"/>
      <c r="HJT45" s="1021"/>
      <c r="HJU45" s="1021"/>
      <c r="HJV45" s="1021"/>
      <c r="HJW45" s="1021"/>
      <c r="HJX45" s="1021"/>
      <c r="HJY45" s="1021"/>
      <c r="HJZ45" s="1021"/>
      <c r="HKA45" s="1021"/>
      <c r="HKB45" s="1021"/>
      <c r="HKC45" s="1021"/>
      <c r="HKD45" s="1021"/>
      <c r="HKE45" s="1021"/>
      <c r="HKF45" s="1021"/>
      <c r="HKG45" s="1021"/>
      <c r="HKH45" s="1021"/>
      <c r="HKI45" s="1021"/>
      <c r="HKJ45" s="1021"/>
      <c r="HKK45" s="1021"/>
      <c r="HKL45" s="1021"/>
      <c r="HKM45" s="1021"/>
      <c r="HKN45" s="1021"/>
      <c r="HKO45" s="1021"/>
      <c r="HKP45" s="1021"/>
      <c r="HKQ45" s="1021"/>
      <c r="HKR45" s="1021"/>
      <c r="HKS45" s="1021"/>
      <c r="HKT45" s="1021"/>
      <c r="HKU45" s="1021"/>
      <c r="HKV45" s="1021"/>
      <c r="HKW45" s="1021"/>
      <c r="HKX45" s="1021"/>
      <c r="HKY45" s="1021"/>
      <c r="HKZ45" s="1021"/>
      <c r="HLA45" s="1021"/>
      <c r="HLB45" s="1021"/>
      <c r="HLC45" s="1021"/>
      <c r="HLD45" s="1021"/>
      <c r="HLE45" s="1021"/>
      <c r="HLF45" s="1021"/>
      <c r="HLG45" s="1021"/>
      <c r="HLH45" s="1021"/>
      <c r="HLI45" s="1021"/>
      <c r="HLJ45" s="1021"/>
      <c r="HLK45" s="1021"/>
      <c r="HLL45" s="1021"/>
      <c r="HLM45" s="1021"/>
      <c r="HLN45" s="1021"/>
      <c r="HLO45" s="1021"/>
      <c r="HLP45" s="1021"/>
      <c r="HLQ45" s="1021"/>
      <c r="HLR45" s="1021"/>
      <c r="HLS45" s="1021"/>
      <c r="HLT45" s="1021"/>
      <c r="HLU45" s="1021"/>
      <c r="HLV45" s="1021"/>
      <c r="HLW45" s="1021"/>
      <c r="HLX45" s="1021"/>
      <c r="HLY45" s="1021"/>
      <c r="HLZ45" s="1021"/>
      <c r="HMA45" s="1021"/>
      <c r="HMB45" s="1021"/>
      <c r="HMC45" s="1021"/>
      <c r="HMD45" s="1021"/>
      <c r="HME45" s="1021"/>
      <c r="HMF45" s="1021"/>
      <c r="HMG45" s="1021"/>
      <c r="HMH45" s="1021"/>
      <c r="HMI45" s="1021"/>
      <c r="HMJ45" s="1021"/>
      <c r="HMK45" s="1021"/>
      <c r="HML45" s="1021"/>
      <c r="HMM45" s="1021"/>
      <c r="HMN45" s="1021"/>
      <c r="HMO45" s="1021"/>
      <c r="HMP45" s="1021"/>
      <c r="HMQ45" s="1021"/>
      <c r="HMR45" s="1021"/>
      <c r="HMS45" s="1021"/>
      <c r="HMT45" s="1021"/>
      <c r="HMU45" s="1021"/>
      <c r="HMV45" s="1021"/>
      <c r="HMW45" s="1021"/>
      <c r="HMX45" s="1021"/>
      <c r="HMY45" s="1021"/>
      <c r="HMZ45" s="1021"/>
      <c r="HNA45" s="1021"/>
      <c r="HNB45" s="1021"/>
      <c r="HNC45" s="1021"/>
      <c r="HND45" s="1021"/>
      <c r="HNE45" s="1021"/>
      <c r="HNF45" s="1021"/>
      <c r="HNG45" s="1021"/>
      <c r="HNH45" s="1021"/>
      <c r="HNI45" s="1021"/>
      <c r="HNJ45" s="1021"/>
      <c r="HNK45" s="1021"/>
      <c r="HNL45" s="1021"/>
      <c r="HNM45" s="1021"/>
      <c r="HNN45" s="1021"/>
      <c r="HNO45" s="1021"/>
      <c r="HNP45" s="1021"/>
      <c r="HNQ45" s="1021"/>
      <c r="HNR45" s="1021"/>
      <c r="HNS45" s="1021"/>
      <c r="HNT45" s="1021"/>
      <c r="HNU45" s="1021"/>
      <c r="HNV45" s="1021"/>
      <c r="HNW45" s="1021"/>
      <c r="HNX45" s="1021"/>
      <c r="HNY45" s="1021"/>
      <c r="HNZ45" s="1021"/>
      <c r="HOA45" s="1021"/>
      <c r="HOB45" s="1021"/>
      <c r="HOC45" s="1021"/>
      <c r="HOD45" s="1021"/>
      <c r="HOE45" s="1021"/>
      <c r="HOF45" s="1021"/>
      <c r="HOG45" s="1021"/>
      <c r="HOH45" s="1021"/>
      <c r="HOI45" s="1021"/>
      <c r="HOJ45" s="1021"/>
      <c r="HOK45" s="1021"/>
      <c r="HOL45" s="1021"/>
      <c r="HOM45" s="1021"/>
      <c r="HON45" s="1021"/>
      <c r="HOO45" s="1021"/>
      <c r="HOP45" s="1021"/>
      <c r="HOQ45" s="1021"/>
      <c r="HOR45" s="1021"/>
      <c r="HOS45" s="1021"/>
      <c r="HOT45" s="1021"/>
      <c r="HOU45" s="1021"/>
      <c r="HOV45" s="1021"/>
      <c r="HOW45" s="1021"/>
      <c r="HOX45" s="1021"/>
      <c r="HOY45" s="1021"/>
      <c r="HOZ45" s="1021"/>
      <c r="HPA45" s="1021"/>
      <c r="HPB45" s="1021"/>
      <c r="HPC45" s="1021"/>
      <c r="HPD45" s="1021"/>
      <c r="HPE45" s="1021"/>
      <c r="HPF45" s="1021"/>
      <c r="HPG45" s="1021"/>
      <c r="HPH45" s="1021"/>
      <c r="HPI45" s="1021"/>
      <c r="HPJ45" s="1021"/>
      <c r="HPK45" s="1021"/>
      <c r="HPL45" s="1021"/>
      <c r="HPM45" s="1021"/>
      <c r="HPN45" s="1021"/>
      <c r="HPO45" s="1021"/>
      <c r="HPP45" s="1021"/>
      <c r="HPQ45" s="1021"/>
      <c r="HPR45" s="1021"/>
      <c r="HPS45" s="1021"/>
      <c r="HPT45" s="1021"/>
      <c r="HPU45" s="1021"/>
      <c r="HPV45" s="1021"/>
      <c r="HPW45" s="1021"/>
      <c r="HPX45" s="1021"/>
      <c r="HPY45" s="1021"/>
      <c r="HPZ45" s="1021"/>
      <c r="HQA45" s="1021"/>
      <c r="HQB45" s="1021"/>
      <c r="HQC45" s="1021"/>
      <c r="HQD45" s="1021"/>
      <c r="HQE45" s="1021"/>
      <c r="HQF45" s="1021"/>
      <c r="HQG45" s="1021"/>
      <c r="HQH45" s="1021"/>
      <c r="HQI45" s="1021"/>
      <c r="HQJ45" s="1021"/>
      <c r="HQK45" s="1021"/>
      <c r="HQL45" s="1021"/>
      <c r="HQM45" s="1021"/>
      <c r="HQN45" s="1021"/>
      <c r="HQO45" s="1021"/>
      <c r="HQP45" s="1021"/>
      <c r="HQQ45" s="1021"/>
      <c r="HQR45" s="1021"/>
      <c r="HQS45" s="1021"/>
      <c r="HQT45" s="1021"/>
      <c r="HQU45" s="1021"/>
      <c r="HQV45" s="1021"/>
      <c r="HQW45" s="1021"/>
      <c r="HQX45" s="1021"/>
      <c r="HQY45" s="1021"/>
      <c r="HQZ45" s="1021"/>
      <c r="HRA45" s="1021"/>
      <c r="HRB45" s="1021"/>
      <c r="HRC45" s="1021"/>
      <c r="HRD45" s="1021"/>
      <c r="HRE45" s="1021"/>
      <c r="HRF45" s="1021"/>
      <c r="HRG45" s="1021"/>
      <c r="HRH45" s="1021"/>
      <c r="HRI45" s="1021"/>
      <c r="HRJ45" s="1021"/>
      <c r="HRK45" s="1021"/>
      <c r="HRL45" s="1021"/>
      <c r="HRM45" s="1021"/>
      <c r="HRN45" s="1021"/>
      <c r="HRO45" s="1021"/>
      <c r="HRP45" s="1021"/>
      <c r="HRQ45" s="1021"/>
      <c r="HRR45" s="1021"/>
      <c r="HRS45" s="1021"/>
      <c r="HRT45" s="1021"/>
      <c r="HRU45" s="1021"/>
      <c r="HRV45" s="1021"/>
      <c r="HRW45" s="1021"/>
      <c r="HRX45" s="1021"/>
      <c r="HRY45" s="1021"/>
      <c r="HRZ45" s="1021"/>
      <c r="HSA45" s="1021"/>
      <c r="HSB45" s="1021"/>
      <c r="HSC45" s="1021"/>
      <c r="HSD45" s="1021"/>
      <c r="HSE45" s="1021"/>
      <c r="HSF45" s="1021"/>
      <c r="HSG45" s="1021"/>
      <c r="HSH45" s="1021"/>
      <c r="HSI45" s="1021"/>
      <c r="HSJ45" s="1021"/>
      <c r="HSK45" s="1021"/>
      <c r="HSL45" s="1021"/>
      <c r="HSM45" s="1021"/>
      <c r="HSN45" s="1021"/>
      <c r="HSO45" s="1021"/>
      <c r="HSP45" s="1021"/>
      <c r="HSQ45" s="1021"/>
      <c r="HSR45" s="1021"/>
      <c r="HSS45" s="1021"/>
      <c r="HST45" s="1021"/>
      <c r="HSU45" s="1021"/>
      <c r="HSV45" s="1021"/>
      <c r="HSW45" s="1021"/>
      <c r="HSX45" s="1021"/>
      <c r="HSY45" s="1021"/>
      <c r="HSZ45" s="1021"/>
      <c r="HTA45" s="1021"/>
      <c r="HTB45" s="1021"/>
      <c r="HTC45" s="1021"/>
      <c r="HTD45" s="1021"/>
      <c r="HTE45" s="1021"/>
      <c r="HTF45" s="1021"/>
      <c r="HTG45" s="1021"/>
      <c r="HTH45" s="1021"/>
      <c r="HTI45" s="1021"/>
      <c r="HTJ45" s="1021"/>
      <c r="HTK45" s="1021"/>
      <c r="HTL45" s="1021"/>
      <c r="HTM45" s="1021"/>
      <c r="HTN45" s="1021"/>
      <c r="HTO45" s="1021"/>
      <c r="HTP45" s="1021"/>
      <c r="HTQ45" s="1021"/>
      <c r="HTR45" s="1021"/>
      <c r="HTS45" s="1021"/>
      <c r="HTT45" s="1021"/>
      <c r="HTU45" s="1021"/>
      <c r="HTV45" s="1021"/>
      <c r="HTW45" s="1021"/>
      <c r="HTX45" s="1021"/>
      <c r="HTY45" s="1021"/>
      <c r="HTZ45" s="1021"/>
      <c r="HUA45" s="1021"/>
      <c r="HUB45" s="1021"/>
      <c r="HUC45" s="1021"/>
      <c r="HUD45" s="1021"/>
      <c r="HUE45" s="1021"/>
      <c r="HUF45" s="1021"/>
      <c r="HUG45" s="1021"/>
      <c r="HUH45" s="1021"/>
      <c r="HUI45" s="1021"/>
      <c r="HUJ45" s="1021"/>
      <c r="HUK45" s="1021"/>
      <c r="HUL45" s="1021"/>
      <c r="HUM45" s="1021"/>
      <c r="HUN45" s="1021"/>
      <c r="HUO45" s="1021"/>
      <c r="HUP45" s="1021"/>
      <c r="HUQ45" s="1021"/>
      <c r="HUR45" s="1021"/>
      <c r="HUS45" s="1021"/>
      <c r="HUT45" s="1021"/>
      <c r="HUU45" s="1021"/>
      <c r="HUV45" s="1021"/>
      <c r="HUW45" s="1021"/>
      <c r="HUX45" s="1021"/>
      <c r="HUY45" s="1021"/>
      <c r="HUZ45" s="1021"/>
      <c r="HVA45" s="1021"/>
      <c r="HVB45" s="1021"/>
      <c r="HVC45" s="1021"/>
      <c r="HVD45" s="1021"/>
      <c r="HVE45" s="1021"/>
      <c r="HVF45" s="1021"/>
      <c r="HVG45" s="1021"/>
      <c r="HVH45" s="1021"/>
      <c r="HVI45" s="1021"/>
      <c r="HVJ45" s="1021"/>
      <c r="HVK45" s="1021"/>
      <c r="HVL45" s="1021"/>
      <c r="HVM45" s="1021"/>
      <c r="HVN45" s="1021"/>
      <c r="HVO45" s="1021"/>
      <c r="HVP45" s="1021"/>
      <c r="HVQ45" s="1021"/>
      <c r="HVR45" s="1021"/>
      <c r="HVS45" s="1021"/>
      <c r="HVT45" s="1021"/>
      <c r="HVU45" s="1021"/>
      <c r="HVV45" s="1021"/>
      <c r="HVW45" s="1021"/>
      <c r="HVX45" s="1021"/>
      <c r="HVY45" s="1021"/>
      <c r="HVZ45" s="1021"/>
      <c r="HWA45" s="1021"/>
      <c r="HWB45" s="1021"/>
      <c r="HWC45" s="1021"/>
      <c r="HWD45" s="1021"/>
      <c r="HWE45" s="1021"/>
      <c r="HWF45" s="1021"/>
      <c r="HWG45" s="1021"/>
      <c r="HWH45" s="1021"/>
      <c r="HWI45" s="1021"/>
      <c r="HWJ45" s="1021"/>
      <c r="HWK45" s="1021"/>
      <c r="HWL45" s="1021"/>
      <c r="HWM45" s="1021"/>
      <c r="HWN45" s="1021"/>
      <c r="HWO45" s="1021"/>
      <c r="HWP45" s="1021"/>
      <c r="HWQ45" s="1021"/>
      <c r="HWR45" s="1021"/>
      <c r="HWS45" s="1021"/>
      <c r="HWT45" s="1021"/>
      <c r="HWU45" s="1021"/>
      <c r="HWV45" s="1021"/>
      <c r="HWW45" s="1021"/>
      <c r="HWX45" s="1021"/>
      <c r="HWY45" s="1021"/>
      <c r="HWZ45" s="1021"/>
      <c r="HXA45" s="1021"/>
      <c r="HXB45" s="1021"/>
      <c r="HXC45" s="1021"/>
      <c r="HXD45" s="1021"/>
      <c r="HXE45" s="1021"/>
      <c r="HXF45" s="1021"/>
      <c r="HXG45" s="1021"/>
      <c r="HXH45" s="1021"/>
      <c r="HXI45" s="1021"/>
      <c r="HXJ45" s="1021"/>
      <c r="HXK45" s="1021"/>
      <c r="HXL45" s="1021"/>
      <c r="HXM45" s="1021"/>
      <c r="HXN45" s="1021"/>
      <c r="HXO45" s="1021"/>
      <c r="HXP45" s="1021"/>
      <c r="HXQ45" s="1021"/>
      <c r="HXR45" s="1021"/>
      <c r="HXS45" s="1021"/>
      <c r="HXT45" s="1021"/>
      <c r="HXU45" s="1021"/>
      <c r="HXV45" s="1021"/>
      <c r="HXW45" s="1021"/>
      <c r="HXX45" s="1021"/>
      <c r="HXY45" s="1021"/>
      <c r="HXZ45" s="1021"/>
      <c r="HYA45" s="1021"/>
      <c r="HYB45" s="1021"/>
      <c r="HYC45" s="1021"/>
      <c r="HYD45" s="1021"/>
      <c r="HYE45" s="1021"/>
      <c r="HYF45" s="1021"/>
      <c r="HYG45" s="1021"/>
      <c r="HYH45" s="1021"/>
      <c r="HYI45" s="1021"/>
      <c r="HYJ45" s="1021"/>
      <c r="HYK45" s="1021"/>
      <c r="HYL45" s="1021"/>
      <c r="HYM45" s="1021"/>
      <c r="HYN45" s="1021"/>
      <c r="HYO45" s="1021"/>
      <c r="HYP45" s="1021"/>
      <c r="HYQ45" s="1021"/>
      <c r="HYR45" s="1021"/>
      <c r="HYS45" s="1021"/>
      <c r="HYT45" s="1021"/>
      <c r="HYU45" s="1021"/>
      <c r="HYV45" s="1021"/>
      <c r="HYW45" s="1021"/>
      <c r="HYX45" s="1021"/>
      <c r="HYY45" s="1021"/>
      <c r="HYZ45" s="1021"/>
      <c r="HZA45" s="1021"/>
      <c r="HZB45" s="1021"/>
      <c r="HZC45" s="1021"/>
      <c r="HZD45" s="1021"/>
      <c r="HZE45" s="1021"/>
      <c r="HZF45" s="1021"/>
      <c r="HZG45" s="1021"/>
      <c r="HZH45" s="1021"/>
      <c r="HZI45" s="1021"/>
      <c r="HZJ45" s="1021"/>
      <c r="HZK45" s="1021"/>
      <c r="HZL45" s="1021"/>
      <c r="HZM45" s="1021"/>
      <c r="HZN45" s="1021"/>
      <c r="HZO45" s="1021"/>
      <c r="HZP45" s="1021"/>
      <c r="HZQ45" s="1021"/>
      <c r="HZR45" s="1021"/>
      <c r="HZS45" s="1021"/>
      <c r="HZT45" s="1021"/>
      <c r="HZU45" s="1021"/>
      <c r="HZV45" s="1021"/>
      <c r="HZW45" s="1021"/>
      <c r="HZX45" s="1021"/>
      <c r="HZY45" s="1021"/>
      <c r="HZZ45" s="1021"/>
      <c r="IAA45" s="1021"/>
      <c r="IAB45" s="1021"/>
      <c r="IAC45" s="1021"/>
      <c r="IAD45" s="1021"/>
      <c r="IAE45" s="1021"/>
      <c r="IAF45" s="1021"/>
      <c r="IAG45" s="1021"/>
      <c r="IAH45" s="1021"/>
      <c r="IAI45" s="1021"/>
      <c r="IAJ45" s="1021"/>
      <c r="IAK45" s="1021"/>
      <c r="IAL45" s="1021"/>
      <c r="IAM45" s="1021"/>
      <c r="IAN45" s="1021"/>
      <c r="IAO45" s="1021"/>
      <c r="IAP45" s="1021"/>
      <c r="IAQ45" s="1021"/>
      <c r="IAR45" s="1021"/>
      <c r="IAS45" s="1021"/>
      <c r="IAT45" s="1021"/>
      <c r="IAU45" s="1021"/>
      <c r="IAV45" s="1021"/>
      <c r="IAW45" s="1021"/>
      <c r="IAX45" s="1021"/>
      <c r="IAY45" s="1021"/>
      <c r="IAZ45" s="1021"/>
      <c r="IBA45" s="1021"/>
      <c r="IBB45" s="1021"/>
      <c r="IBC45" s="1021"/>
      <c r="IBD45" s="1021"/>
      <c r="IBE45" s="1021"/>
      <c r="IBF45" s="1021"/>
      <c r="IBG45" s="1021"/>
      <c r="IBH45" s="1021"/>
      <c r="IBI45" s="1021"/>
      <c r="IBJ45" s="1021"/>
      <c r="IBK45" s="1021"/>
      <c r="IBL45" s="1021"/>
      <c r="IBM45" s="1021"/>
      <c r="IBN45" s="1021"/>
      <c r="IBO45" s="1021"/>
      <c r="IBP45" s="1021"/>
      <c r="IBQ45" s="1021"/>
      <c r="IBR45" s="1021"/>
      <c r="IBS45" s="1021"/>
      <c r="IBT45" s="1021"/>
      <c r="IBU45" s="1021"/>
      <c r="IBV45" s="1021"/>
      <c r="IBW45" s="1021"/>
      <c r="IBX45" s="1021"/>
      <c r="IBY45" s="1021"/>
      <c r="IBZ45" s="1021"/>
      <c r="ICA45" s="1021"/>
      <c r="ICB45" s="1021"/>
      <c r="ICC45" s="1021"/>
      <c r="ICD45" s="1021"/>
      <c r="ICE45" s="1021"/>
      <c r="ICF45" s="1021"/>
      <c r="ICG45" s="1021"/>
      <c r="ICH45" s="1021"/>
      <c r="ICI45" s="1021"/>
      <c r="ICJ45" s="1021"/>
      <c r="ICK45" s="1021"/>
      <c r="ICL45" s="1021"/>
      <c r="ICM45" s="1021"/>
      <c r="ICN45" s="1021"/>
      <c r="ICO45" s="1021"/>
      <c r="ICP45" s="1021"/>
      <c r="ICQ45" s="1021"/>
      <c r="ICR45" s="1021"/>
      <c r="ICS45" s="1021"/>
      <c r="ICT45" s="1021"/>
      <c r="ICU45" s="1021"/>
      <c r="ICV45" s="1021"/>
      <c r="ICW45" s="1021"/>
      <c r="ICX45" s="1021"/>
      <c r="ICY45" s="1021"/>
      <c r="ICZ45" s="1021"/>
      <c r="IDA45" s="1021"/>
      <c r="IDB45" s="1021"/>
      <c r="IDC45" s="1021"/>
      <c r="IDD45" s="1021"/>
      <c r="IDE45" s="1021"/>
      <c r="IDF45" s="1021"/>
      <c r="IDG45" s="1021"/>
      <c r="IDH45" s="1021"/>
      <c r="IDI45" s="1021"/>
      <c r="IDJ45" s="1021"/>
      <c r="IDK45" s="1021"/>
      <c r="IDL45" s="1021"/>
      <c r="IDM45" s="1021"/>
      <c r="IDN45" s="1021"/>
      <c r="IDO45" s="1021"/>
      <c r="IDP45" s="1021"/>
      <c r="IDQ45" s="1021"/>
      <c r="IDR45" s="1021"/>
      <c r="IDS45" s="1021"/>
      <c r="IDT45" s="1021"/>
      <c r="IDU45" s="1021"/>
      <c r="IDV45" s="1021"/>
      <c r="IDW45" s="1021"/>
      <c r="IDX45" s="1021"/>
      <c r="IDY45" s="1021"/>
      <c r="IDZ45" s="1021"/>
      <c r="IEA45" s="1021"/>
      <c r="IEB45" s="1021"/>
      <c r="IEC45" s="1021"/>
      <c r="IED45" s="1021"/>
      <c r="IEE45" s="1021"/>
      <c r="IEF45" s="1021"/>
      <c r="IEG45" s="1021"/>
      <c r="IEH45" s="1021"/>
      <c r="IEI45" s="1021"/>
      <c r="IEJ45" s="1021"/>
      <c r="IEK45" s="1021"/>
      <c r="IEL45" s="1021"/>
      <c r="IEM45" s="1021"/>
      <c r="IEN45" s="1021"/>
      <c r="IEO45" s="1021"/>
      <c r="IEP45" s="1021"/>
      <c r="IEQ45" s="1021"/>
      <c r="IER45" s="1021"/>
      <c r="IES45" s="1021"/>
      <c r="IET45" s="1021"/>
      <c r="IEU45" s="1021"/>
      <c r="IEV45" s="1021"/>
      <c r="IEW45" s="1021"/>
      <c r="IEX45" s="1021"/>
      <c r="IEY45" s="1021"/>
      <c r="IEZ45" s="1021"/>
      <c r="IFA45" s="1021"/>
      <c r="IFB45" s="1021"/>
      <c r="IFC45" s="1021"/>
      <c r="IFD45" s="1021"/>
      <c r="IFE45" s="1021"/>
      <c r="IFF45" s="1021"/>
      <c r="IFG45" s="1021"/>
      <c r="IFH45" s="1021"/>
      <c r="IFI45" s="1021"/>
      <c r="IFJ45" s="1021"/>
      <c r="IFK45" s="1021"/>
      <c r="IFL45" s="1021"/>
      <c r="IFM45" s="1021"/>
      <c r="IFN45" s="1021"/>
      <c r="IFO45" s="1021"/>
      <c r="IFP45" s="1021"/>
      <c r="IFQ45" s="1021"/>
      <c r="IFR45" s="1021"/>
      <c r="IFS45" s="1021"/>
      <c r="IFT45" s="1021"/>
      <c r="IFU45" s="1021"/>
      <c r="IFV45" s="1021"/>
      <c r="IFW45" s="1021"/>
      <c r="IFX45" s="1021"/>
      <c r="IFY45" s="1021"/>
      <c r="IFZ45" s="1021"/>
      <c r="IGA45" s="1021"/>
      <c r="IGB45" s="1021"/>
      <c r="IGC45" s="1021"/>
      <c r="IGD45" s="1021"/>
      <c r="IGE45" s="1021"/>
      <c r="IGF45" s="1021"/>
      <c r="IGG45" s="1021"/>
      <c r="IGH45" s="1021"/>
      <c r="IGI45" s="1021"/>
      <c r="IGJ45" s="1021"/>
      <c r="IGK45" s="1021"/>
      <c r="IGL45" s="1021"/>
      <c r="IGM45" s="1021"/>
      <c r="IGN45" s="1021"/>
      <c r="IGO45" s="1021"/>
      <c r="IGP45" s="1021"/>
      <c r="IGQ45" s="1021"/>
      <c r="IGR45" s="1021"/>
      <c r="IGS45" s="1021"/>
      <c r="IGT45" s="1021"/>
      <c r="IGU45" s="1021"/>
      <c r="IGV45" s="1021"/>
      <c r="IGW45" s="1021"/>
      <c r="IGX45" s="1021"/>
      <c r="IGY45" s="1021"/>
      <c r="IGZ45" s="1021"/>
      <c r="IHA45" s="1021"/>
      <c r="IHB45" s="1021"/>
      <c r="IHC45" s="1021"/>
      <c r="IHD45" s="1021"/>
      <c r="IHE45" s="1021"/>
      <c r="IHF45" s="1021"/>
      <c r="IHG45" s="1021"/>
      <c r="IHH45" s="1021"/>
      <c r="IHI45" s="1021"/>
      <c r="IHJ45" s="1021"/>
      <c r="IHK45" s="1021"/>
      <c r="IHL45" s="1021"/>
      <c r="IHM45" s="1021"/>
      <c r="IHN45" s="1021"/>
      <c r="IHO45" s="1021"/>
      <c r="IHP45" s="1021"/>
      <c r="IHQ45" s="1021"/>
      <c r="IHR45" s="1021"/>
      <c r="IHS45" s="1021"/>
      <c r="IHT45" s="1021"/>
      <c r="IHU45" s="1021"/>
      <c r="IHV45" s="1021"/>
      <c r="IHW45" s="1021"/>
      <c r="IHX45" s="1021"/>
      <c r="IHY45" s="1021"/>
      <c r="IHZ45" s="1021"/>
      <c r="IIA45" s="1021"/>
      <c r="IIB45" s="1021"/>
      <c r="IIC45" s="1021"/>
      <c r="IID45" s="1021"/>
      <c r="IIE45" s="1021"/>
      <c r="IIF45" s="1021"/>
      <c r="IIG45" s="1021"/>
      <c r="IIH45" s="1021"/>
      <c r="III45" s="1021"/>
      <c r="IIJ45" s="1021"/>
      <c r="IIK45" s="1021"/>
      <c r="IIL45" s="1021"/>
      <c r="IIM45" s="1021"/>
      <c r="IIN45" s="1021"/>
      <c r="IIO45" s="1021"/>
      <c r="IIP45" s="1021"/>
      <c r="IIQ45" s="1021"/>
      <c r="IIR45" s="1021"/>
      <c r="IIS45" s="1021"/>
      <c r="IIT45" s="1021"/>
      <c r="IIU45" s="1021"/>
      <c r="IIV45" s="1021"/>
      <c r="IIW45" s="1021"/>
      <c r="IIX45" s="1021"/>
      <c r="IIY45" s="1021"/>
      <c r="IIZ45" s="1021"/>
      <c r="IJA45" s="1021"/>
      <c r="IJB45" s="1021"/>
      <c r="IJC45" s="1021"/>
      <c r="IJD45" s="1021"/>
      <c r="IJE45" s="1021"/>
      <c r="IJF45" s="1021"/>
      <c r="IJG45" s="1021"/>
      <c r="IJH45" s="1021"/>
      <c r="IJI45" s="1021"/>
      <c r="IJJ45" s="1021"/>
      <c r="IJK45" s="1021"/>
      <c r="IJL45" s="1021"/>
      <c r="IJM45" s="1021"/>
      <c r="IJN45" s="1021"/>
      <c r="IJO45" s="1021"/>
      <c r="IJP45" s="1021"/>
      <c r="IJQ45" s="1021"/>
      <c r="IJR45" s="1021"/>
      <c r="IJS45" s="1021"/>
      <c r="IJT45" s="1021"/>
      <c r="IJU45" s="1021"/>
      <c r="IJV45" s="1021"/>
      <c r="IJW45" s="1021"/>
      <c r="IJX45" s="1021"/>
      <c r="IJY45" s="1021"/>
      <c r="IJZ45" s="1021"/>
      <c r="IKA45" s="1021"/>
      <c r="IKB45" s="1021"/>
      <c r="IKC45" s="1021"/>
      <c r="IKD45" s="1021"/>
      <c r="IKE45" s="1021"/>
      <c r="IKF45" s="1021"/>
      <c r="IKG45" s="1021"/>
      <c r="IKH45" s="1021"/>
      <c r="IKI45" s="1021"/>
      <c r="IKJ45" s="1021"/>
      <c r="IKK45" s="1021"/>
      <c r="IKL45" s="1021"/>
      <c r="IKM45" s="1021"/>
      <c r="IKN45" s="1021"/>
      <c r="IKO45" s="1021"/>
      <c r="IKP45" s="1021"/>
      <c r="IKQ45" s="1021"/>
      <c r="IKR45" s="1021"/>
      <c r="IKS45" s="1021"/>
      <c r="IKT45" s="1021"/>
      <c r="IKU45" s="1021"/>
      <c r="IKV45" s="1021"/>
      <c r="IKW45" s="1021"/>
      <c r="IKX45" s="1021"/>
      <c r="IKY45" s="1021"/>
      <c r="IKZ45" s="1021"/>
      <c r="ILA45" s="1021"/>
      <c r="ILB45" s="1021"/>
      <c r="ILC45" s="1021"/>
      <c r="ILD45" s="1021"/>
      <c r="ILE45" s="1021"/>
      <c r="ILF45" s="1021"/>
      <c r="ILG45" s="1021"/>
      <c r="ILH45" s="1021"/>
      <c r="ILI45" s="1021"/>
      <c r="ILJ45" s="1021"/>
      <c r="ILK45" s="1021"/>
      <c r="ILL45" s="1021"/>
      <c r="ILM45" s="1021"/>
      <c r="ILN45" s="1021"/>
      <c r="ILO45" s="1021"/>
      <c r="ILP45" s="1021"/>
      <c r="ILQ45" s="1021"/>
      <c r="ILR45" s="1021"/>
      <c r="ILS45" s="1021"/>
      <c r="ILT45" s="1021"/>
      <c r="ILU45" s="1021"/>
      <c r="ILV45" s="1021"/>
      <c r="ILW45" s="1021"/>
      <c r="ILX45" s="1021"/>
      <c r="ILY45" s="1021"/>
      <c r="ILZ45" s="1021"/>
      <c r="IMA45" s="1021"/>
      <c r="IMB45" s="1021"/>
      <c r="IMC45" s="1021"/>
      <c r="IMD45" s="1021"/>
      <c r="IME45" s="1021"/>
      <c r="IMF45" s="1021"/>
      <c r="IMG45" s="1021"/>
      <c r="IMH45" s="1021"/>
      <c r="IMI45" s="1021"/>
      <c r="IMJ45" s="1021"/>
      <c r="IMK45" s="1021"/>
      <c r="IML45" s="1021"/>
      <c r="IMM45" s="1021"/>
      <c r="IMN45" s="1021"/>
      <c r="IMO45" s="1021"/>
      <c r="IMP45" s="1021"/>
      <c r="IMQ45" s="1021"/>
      <c r="IMR45" s="1021"/>
      <c r="IMS45" s="1021"/>
      <c r="IMT45" s="1021"/>
      <c r="IMU45" s="1021"/>
      <c r="IMV45" s="1021"/>
      <c r="IMW45" s="1021"/>
      <c r="IMX45" s="1021"/>
      <c r="IMY45" s="1021"/>
      <c r="IMZ45" s="1021"/>
      <c r="INA45" s="1021"/>
      <c r="INB45" s="1021"/>
      <c r="INC45" s="1021"/>
      <c r="IND45" s="1021"/>
      <c r="INE45" s="1021"/>
      <c r="INF45" s="1021"/>
      <c r="ING45" s="1021"/>
      <c r="INH45" s="1021"/>
      <c r="INI45" s="1021"/>
      <c r="INJ45" s="1021"/>
      <c r="INK45" s="1021"/>
      <c r="INL45" s="1021"/>
      <c r="INM45" s="1021"/>
      <c r="INN45" s="1021"/>
      <c r="INO45" s="1021"/>
      <c r="INP45" s="1021"/>
      <c r="INQ45" s="1021"/>
      <c r="INR45" s="1021"/>
      <c r="INS45" s="1021"/>
      <c r="INT45" s="1021"/>
      <c r="INU45" s="1021"/>
      <c r="INV45" s="1021"/>
      <c r="INW45" s="1021"/>
      <c r="INX45" s="1021"/>
      <c r="INY45" s="1021"/>
      <c r="INZ45" s="1021"/>
      <c r="IOA45" s="1021"/>
      <c r="IOB45" s="1021"/>
      <c r="IOC45" s="1021"/>
      <c r="IOD45" s="1021"/>
      <c r="IOE45" s="1021"/>
      <c r="IOF45" s="1021"/>
      <c r="IOG45" s="1021"/>
      <c r="IOH45" s="1021"/>
      <c r="IOI45" s="1021"/>
      <c r="IOJ45" s="1021"/>
      <c r="IOK45" s="1021"/>
      <c r="IOL45" s="1021"/>
      <c r="IOM45" s="1021"/>
      <c r="ION45" s="1021"/>
      <c r="IOO45" s="1021"/>
      <c r="IOP45" s="1021"/>
      <c r="IOQ45" s="1021"/>
      <c r="IOR45" s="1021"/>
      <c r="IOS45" s="1021"/>
      <c r="IOT45" s="1021"/>
      <c r="IOU45" s="1021"/>
      <c r="IOV45" s="1021"/>
      <c r="IOW45" s="1021"/>
      <c r="IOX45" s="1021"/>
      <c r="IOY45" s="1021"/>
      <c r="IOZ45" s="1021"/>
      <c r="IPA45" s="1021"/>
      <c r="IPB45" s="1021"/>
      <c r="IPC45" s="1021"/>
      <c r="IPD45" s="1021"/>
      <c r="IPE45" s="1021"/>
      <c r="IPF45" s="1021"/>
      <c r="IPG45" s="1021"/>
      <c r="IPH45" s="1021"/>
      <c r="IPI45" s="1021"/>
      <c r="IPJ45" s="1021"/>
      <c r="IPK45" s="1021"/>
      <c r="IPL45" s="1021"/>
      <c r="IPM45" s="1021"/>
      <c r="IPN45" s="1021"/>
      <c r="IPO45" s="1021"/>
      <c r="IPP45" s="1021"/>
      <c r="IPQ45" s="1021"/>
      <c r="IPR45" s="1021"/>
      <c r="IPS45" s="1021"/>
      <c r="IPT45" s="1021"/>
      <c r="IPU45" s="1021"/>
      <c r="IPV45" s="1021"/>
      <c r="IPW45" s="1021"/>
      <c r="IPX45" s="1021"/>
      <c r="IPY45" s="1021"/>
      <c r="IPZ45" s="1021"/>
      <c r="IQA45" s="1021"/>
      <c r="IQB45" s="1021"/>
      <c r="IQC45" s="1021"/>
      <c r="IQD45" s="1021"/>
      <c r="IQE45" s="1021"/>
      <c r="IQF45" s="1021"/>
      <c r="IQG45" s="1021"/>
      <c r="IQH45" s="1021"/>
      <c r="IQI45" s="1021"/>
      <c r="IQJ45" s="1021"/>
      <c r="IQK45" s="1021"/>
      <c r="IQL45" s="1021"/>
      <c r="IQM45" s="1021"/>
      <c r="IQN45" s="1021"/>
      <c r="IQO45" s="1021"/>
      <c r="IQP45" s="1021"/>
      <c r="IQQ45" s="1021"/>
      <c r="IQR45" s="1021"/>
      <c r="IQS45" s="1021"/>
      <c r="IQT45" s="1021"/>
      <c r="IQU45" s="1021"/>
      <c r="IQV45" s="1021"/>
      <c r="IQW45" s="1021"/>
      <c r="IQX45" s="1021"/>
      <c r="IQY45" s="1021"/>
      <c r="IQZ45" s="1021"/>
      <c r="IRA45" s="1021"/>
      <c r="IRB45" s="1021"/>
      <c r="IRC45" s="1021"/>
      <c r="IRD45" s="1021"/>
      <c r="IRE45" s="1021"/>
      <c r="IRF45" s="1021"/>
      <c r="IRG45" s="1021"/>
      <c r="IRH45" s="1021"/>
      <c r="IRI45" s="1021"/>
      <c r="IRJ45" s="1021"/>
      <c r="IRK45" s="1021"/>
      <c r="IRL45" s="1021"/>
      <c r="IRM45" s="1021"/>
      <c r="IRN45" s="1021"/>
      <c r="IRO45" s="1021"/>
      <c r="IRP45" s="1021"/>
      <c r="IRQ45" s="1021"/>
      <c r="IRR45" s="1021"/>
      <c r="IRS45" s="1021"/>
      <c r="IRT45" s="1021"/>
      <c r="IRU45" s="1021"/>
      <c r="IRV45" s="1021"/>
      <c r="IRW45" s="1021"/>
      <c r="IRX45" s="1021"/>
      <c r="IRY45" s="1021"/>
      <c r="IRZ45" s="1021"/>
      <c r="ISA45" s="1021"/>
      <c r="ISB45" s="1021"/>
      <c r="ISC45" s="1021"/>
      <c r="ISD45" s="1021"/>
      <c r="ISE45" s="1021"/>
      <c r="ISF45" s="1021"/>
      <c r="ISG45" s="1021"/>
      <c r="ISH45" s="1021"/>
      <c r="ISI45" s="1021"/>
      <c r="ISJ45" s="1021"/>
      <c r="ISK45" s="1021"/>
      <c r="ISL45" s="1021"/>
      <c r="ISM45" s="1021"/>
      <c r="ISN45" s="1021"/>
      <c r="ISO45" s="1021"/>
      <c r="ISP45" s="1021"/>
      <c r="ISQ45" s="1021"/>
      <c r="ISR45" s="1021"/>
      <c r="ISS45" s="1021"/>
      <c r="IST45" s="1021"/>
      <c r="ISU45" s="1021"/>
      <c r="ISV45" s="1021"/>
      <c r="ISW45" s="1021"/>
      <c r="ISX45" s="1021"/>
      <c r="ISY45" s="1021"/>
      <c r="ISZ45" s="1021"/>
      <c r="ITA45" s="1021"/>
      <c r="ITB45" s="1021"/>
      <c r="ITC45" s="1021"/>
      <c r="ITD45" s="1021"/>
      <c r="ITE45" s="1021"/>
      <c r="ITF45" s="1021"/>
      <c r="ITG45" s="1021"/>
      <c r="ITH45" s="1021"/>
      <c r="ITI45" s="1021"/>
      <c r="ITJ45" s="1021"/>
      <c r="ITK45" s="1021"/>
      <c r="ITL45" s="1021"/>
      <c r="ITM45" s="1021"/>
      <c r="ITN45" s="1021"/>
      <c r="ITO45" s="1021"/>
      <c r="ITP45" s="1021"/>
      <c r="ITQ45" s="1021"/>
      <c r="ITR45" s="1021"/>
      <c r="ITS45" s="1021"/>
      <c r="ITT45" s="1021"/>
      <c r="ITU45" s="1021"/>
      <c r="ITV45" s="1021"/>
      <c r="ITW45" s="1021"/>
      <c r="ITX45" s="1021"/>
      <c r="ITY45" s="1021"/>
      <c r="ITZ45" s="1021"/>
      <c r="IUA45" s="1021"/>
      <c r="IUB45" s="1021"/>
      <c r="IUC45" s="1021"/>
      <c r="IUD45" s="1021"/>
      <c r="IUE45" s="1021"/>
      <c r="IUF45" s="1021"/>
      <c r="IUG45" s="1021"/>
      <c r="IUH45" s="1021"/>
      <c r="IUI45" s="1021"/>
      <c r="IUJ45" s="1021"/>
      <c r="IUK45" s="1021"/>
      <c r="IUL45" s="1021"/>
      <c r="IUM45" s="1021"/>
      <c r="IUN45" s="1021"/>
      <c r="IUO45" s="1021"/>
      <c r="IUP45" s="1021"/>
      <c r="IUQ45" s="1021"/>
      <c r="IUR45" s="1021"/>
      <c r="IUS45" s="1021"/>
      <c r="IUT45" s="1021"/>
      <c r="IUU45" s="1021"/>
      <c r="IUV45" s="1021"/>
      <c r="IUW45" s="1021"/>
      <c r="IUX45" s="1021"/>
      <c r="IUY45" s="1021"/>
      <c r="IUZ45" s="1021"/>
      <c r="IVA45" s="1021"/>
      <c r="IVB45" s="1021"/>
      <c r="IVC45" s="1021"/>
      <c r="IVD45" s="1021"/>
      <c r="IVE45" s="1021"/>
      <c r="IVF45" s="1021"/>
      <c r="IVG45" s="1021"/>
      <c r="IVH45" s="1021"/>
      <c r="IVI45" s="1021"/>
      <c r="IVJ45" s="1021"/>
      <c r="IVK45" s="1021"/>
      <c r="IVL45" s="1021"/>
      <c r="IVM45" s="1021"/>
      <c r="IVN45" s="1021"/>
      <c r="IVO45" s="1021"/>
      <c r="IVP45" s="1021"/>
      <c r="IVQ45" s="1021"/>
      <c r="IVR45" s="1021"/>
      <c r="IVS45" s="1021"/>
      <c r="IVT45" s="1021"/>
      <c r="IVU45" s="1021"/>
      <c r="IVV45" s="1021"/>
      <c r="IVW45" s="1021"/>
      <c r="IVX45" s="1021"/>
      <c r="IVY45" s="1021"/>
      <c r="IVZ45" s="1021"/>
      <c r="IWA45" s="1021"/>
      <c r="IWB45" s="1021"/>
      <c r="IWC45" s="1021"/>
      <c r="IWD45" s="1021"/>
      <c r="IWE45" s="1021"/>
      <c r="IWF45" s="1021"/>
      <c r="IWG45" s="1021"/>
      <c r="IWH45" s="1021"/>
      <c r="IWI45" s="1021"/>
      <c r="IWJ45" s="1021"/>
      <c r="IWK45" s="1021"/>
      <c r="IWL45" s="1021"/>
      <c r="IWM45" s="1021"/>
      <c r="IWN45" s="1021"/>
      <c r="IWO45" s="1021"/>
      <c r="IWP45" s="1021"/>
      <c r="IWQ45" s="1021"/>
      <c r="IWR45" s="1021"/>
      <c r="IWS45" s="1021"/>
      <c r="IWT45" s="1021"/>
      <c r="IWU45" s="1021"/>
      <c r="IWV45" s="1021"/>
      <c r="IWW45" s="1021"/>
      <c r="IWX45" s="1021"/>
      <c r="IWY45" s="1021"/>
      <c r="IWZ45" s="1021"/>
      <c r="IXA45" s="1021"/>
      <c r="IXB45" s="1021"/>
      <c r="IXC45" s="1021"/>
      <c r="IXD45" s="1021"/>
      <c r="IXE45" s="1021"/>
      <c r="IXF45" s="1021"/>
      <c r="IXG45" s="1021"/>
      <c r="IXH45" s="1021"/>
      <c r="IXI45" s="1021"/>
      <c r="IXJ45" s="1021"/>
      <c r="IXK45" s="1021"/>
      <c r="IXL45" s="1021"/>
      <c r="IXM45" s="1021"/>
      <c r="IXN45" s="1021"/>
      <c r="IXO45" s="1021"/>
      <c r="IXP45" s="1021"/>
      <c r="IXQ45" s="1021"/>
      <c r="IXR45" s="1021"/>
      <c r="IXS45" s="1021"/>
      <c r="IXT45" s="1021"/>
      <c r="IXU45" s="1021"/>
      <c r="IXV45" s="1021"/>
      <c r="IXW45" s="1021"/>
      <c r="IXX45" s="1021"/>
      <c r="IXY45" s="1021"/>
      <c r="IXZ45" s="1021"/>
      <c r="IYA45" s="1021"/>
      <c r="IYB45" s="1021"/>
      <c r="IYC45" s="1021"/>
      <c r="IYD45" s="1021"/>
      <c r="IYE45" s="1021"/>
      <c r="IYF45" s="1021"/>
      <c r="IYG45" s="1021"/>
      <c r="IYH45" s="1021"/>
      <c r="IYI45" s="1021"/>
      <c r="IYJ45" s="1021"/>
      <c r="IYK45" s="1021"/>
      <c r="IYL45" s="1021"/>
      <c r="IYM45" s="1021"/>
      <c r="IYN45" s="1021"/>
      <c r="IYO45" s="1021"/>
      <c r="IYP45" s="1021"/>
      <c r="IYQ45" s="1021"/>
      <c r="IYR45" s="1021"/>
      <c r="IYS45" s="1021"/>
      <c r="IYT45" s="1021"/>
      <c r="IYU45" s="1021"/>
      <c r="IYV45" s="1021"/>
      <c r="IYW45" s="1021"/>
      <c r="IYX45" s="1021"/>
      <c r="IYY45" s="1021"/>
      <c r="IYZ45" s="1021"/>
      <c r="IZA45" s="1021"/>
      <c r="IZB45" s="1021"/>
      <c r="IZC45" s="1021"/>
      <c r="IZD45" s="1021"/>
      <c r="IZE45" s="1021"/>
      <c r="IZF45" s="1021"/>
      <c r="IZG45" s="1021"/>
      <c r="IZH45" s="1021"/>
      <c r="IZI45" s="1021"/>
      <c r="IZJ45" s="1021"/>
      <c r="IZK45" s="1021"/>
      <c r="IZL45" s="1021"/>
      <c r="IZM45" s="1021"/>
      <c r="IZN45" s="1021"/>
      <c r="IZO45" s="1021"/>
      <c r="IZP45" s="1021"/>
      <c r="IZQ45" s="1021"/>
      <c r="IZR45" s="1021"/>
      <c r="IZS45" s="1021"/>
      <c r="IZT45" s="1021"/>
      <c r="IZU45" s="1021"/>
      <c r="IZV45" s="1021"/>
      <c r="IZW45" s="1021"/>
      <c r="IZX45" s="1021"/>
      <c r="IZY45" s="1021"/>
      <c r="IZZ45" s="1021"/>
      <c r="JAA45" s="1021"/>
      <c r="JAB45" s="1021"/>
      <c r="JAC45" s="1021"/>
      <c r="JAD45" s="1021"/>
      <c r="JAE45" s="1021"/>
      <c r="JAF45" s="1021"/>
      <c r="JAG45" s="1021"/>
      <c r="JAH45" s="1021"/>
      <c r="JAI45" s="1021"/>
      <c r="JAJ45" s="1021"/>
      <c r="JAK45" s="1021"/>
      <c r="JAL45" s="1021"/>
      <c r="JAM45" s="1021"/>
      <c r="JAN45" s="1021"/>
      <c r="JAO45" s="1021"/>
      <c r="JAP45" s="1021"/>
      <c r="JAQ45" s="1021"/>
      <c r="JAR45" s="1021"/>
      <c r="JAS45" s="1021"/>
      <c r="JAT45" s="1021"/>
      <c r="JAU45" s="1021"/>
      <c r="JAV45" s="1021"/>
      <c r="JAW45" s="1021"/>
      <c r="JAX45" s="1021"/>
      <c r="JAY45" s="1021"/>
      <c r="JAZ45" s="1021"/>
      <c r="JBA45" s="1021"/>
      <c r="JBB45" s="1021"/>
      <c r="JBC45" s="1021"/>
      <c r="JBD45" s="1021"/>
      <c r="JBE45" s="1021"/>
      <c r="JBF45" s="1021"/>
      <c r="JBG45" s="1021"/>
      <c r="JBH45" s="1021"/>
      <c r="JBI45" s="1021"/>
      <c r="JBJ45" s="1021"/>
      <c r="JBK45" s="1021"/>
      <c r="JBL45" s="1021"/>
      <c r="JBM45" s="1021"/>
      <c r="JBN45" s="1021"/>
      <c r="JBO45" s="1021"/>
      <c r="JBP45" s="1021"/>
      <c r="JBQ45" s="1021"/>
      <c r="JBR45" s="1021"/>
      <c r="JBS45" s="1021"/>
      <c r="JBT45" s="1021"/>
      <c r="JBU45" s="1021"/>
      <c r="JBV45" s="1021"/>
      <c r="JBW45" s="1021"/>
      <c r="JBX45" s="1021"/>
      <c r="JBY45" s="1021"/>
      <c r="JBZ45" s="1021"/>
      <c r="JCA45" s="1021"/>
      <c r="JCB45" s="1021"/>
      <c r="JCC45" s="1021"/>
      <c r="JCD45" s="1021"/>
      <c r="JCE45" s="1021"/>
      <c r="JCF45" s="1021"/>
      <c r="JCG45" s="1021"/>
      <c r="JCH45" s="1021"/>
      <c r="JCI45" s="1021"/>
      <c r="JCJ45" s="1021"/>
      <c r="JCK45" s="1021"/>
      <c r="JCL45" s="1021"/>
      <c r="JCM45" s="1021"/>
      <c r="JCN45" s="1021"/>
      <c r="JCO45" s="1021"/>
      <c r="JCP45" s="1021"/>
      <c r="JCQ45" s="1021"/>
      <c r="JCR45" s="1021"/>
      <c r="JCS45" s="1021"/>
      <c r="JCT45" s="1021"/>
      <c r="JCU45" s="1021"/>
      <c r="JCV45" s="1021"/>
      <c r="JCW45" s="1021"/>
      <c r="JCX45" s="1021"/>
      <c r="JCY45" s="1021"/>
      <c r="JCZ45" s="1021"/>
      <c r="JDA45" s="1021"/>
      <c r="JDB45" s="1021"/>
      <c r="JDC45" s="1021"/>
      <c r="JDD45" s="1021"/>
      <c r="JDE45" s="1021"/>
      <c r="JDF45" s="1021"/>
      <c r="JDG45" s="1021"/>
      <c r="JDH45" s="1021"/>
      <c r="JDI45" s="1021"/>
      <c r="JDJ45" s="1021"/>
      <c r="JDK45" s="1021"/>
      <c r="JDL45" s="1021"/>
      <c r="JDM45" s="1021"/>
      <c r="JDN45" s="1021"/>
      <c r="JDO45" s="1021"/>
      <c r="JDP45" s="1021"/>
      <c r="JDQ45" s="1021"/>
      <c r="JDR45" s="1021"/>
      <c r="JDS45" s="1021"/>
      <c r="JDT45" s="1021"/>
      <c r="JDU45" s="1021"/>
      <c r="JDV45" s="1021"/>
      <c r="JDW45" s="1021"/>
      <c r="JDX45" s="1021"/>
      <c r="JDY45" s="1021"/>
      <c r="JDZ45" s="1021"/>
      <c r="JEA45" s="1021"/>
      <c r="JEB45" s="1021"/>
      <c r="JEC45" s="1021"/>
      <c r="JED45" s="1021"/>
      <c r="JEE45" s="1021"/>
      <c r="JEF45" s="1021"/>
      <c r="JEG45" s="1021"/>
      <c r="JEH45" s="1021"/>
      <c r="JEI45" s="1021"/>
      <c r="JEJ45" s="1021"/>
      <c r="JEK45" s="1021"/>
      <c r="JEL45" s="1021"/>
      <c r="JEM45" s="1021"/>
      <c r="JEN45" s="1021"/>
      <c r="JEO45" s="1021"/>
      <c r="JEP45" s="1021"/>
      <c r="JEQ45" s="1021"/>
      <c r="JER45" s="1021"/>
      <c r="JES45" s="1021"/>
      <c r="JET45" s="1021"/>
      <c r="JEU45" s="1021"/>
      <c r="JEV45" s="1021"/>
      <c r="JEW45" s="1021"/>
      <c r="JEX45" s="1021"/>
      <c r="JEY45" s="1021"/>
      <c r="JEZ45" s="1021"/>
      <c r="JFA45" s="1021"/>
      <c r="JFB45" s="1021"/>
      <c r="JFC45" s="1021"/>
      <c r="JFD45" s="1021"/>
      <c r="JFE45" s="1021"/>
      <c r="JFF45" s="1021"/>
      <c r="JFG45" s="1021"/>
      <c r="JFH45" s="1021"/>
      <c r="JFI45" s="1021"/>
      <c r="JFJ45" s="1021"/>
      <c r="JFK45" s="1021"/>
      <c r="JFL45" s="1021"/>
      <c r="JFM45" s="1021"/>
      <c r="JFN45" s="1021"/>
      <c r="JFO45" s="1021"/>
      <c r="JFP45" s="1021"/>
      <c r="JFQ45" s="1021"/>
      <c r="JFR45" s="1021"/>
      <c r="JFS45" s="1021"/>
      <c r="JFT45" s="1021"/>
      <c r="JFU45" s="1021"/>
      <c r="JFV45" s="1021"/>
      <c r="JFW45" s="1021"/>
      <c r="JFX45" s="1021"/>
      <c r="JFY45" s="1021"/>
      <c r="JFZ45" s="1021"/>
      <c r="JGA45" s="1021"/>
      <c r="JGB45" s="1021"/>
      <c r="JGC45" s="1021"/>
      <c r="JGD45" s="1021"/>
      <c r="JGE45" s="1021"/>
      <c r="JGF45" s="1021"/>
      <c r="JGG45" s="1021"/>
      <c r="JGH45" s="1021"/>
      <c r="JGI45" s="1021"/>
      <c r="JGJ45" s="1021"/>
      <c r="JGK45" s="1021"/>
      <c r="JGL45" s="1021"/>
      <c r="JGM45" s="1021"/>
      <c r="JGN45" s="1021"/>
      <c r="JGO45" s="1021"/>
      <c r="JGP45" s="1021"/>
      <c r="JGQ45" s="1021"/>
      <c r="JGR45" s="1021"/>
      <c r="JGS45" s="1021"/>
      <c r="JGT45" s="1021"/>
      <c r="JGU45" s="1021"/>
      <c r="JGV45" s="1021"/>
      <c r="JGW45" s="1021"/>
      <c r="JGX45" s="1021"/>
      <c r="JGY45" s="1021"/>
      <c r="JGZ45" s="1021"/>
      <c r="JHA45" s="1021"/>
      <c r="JHB45" s="1021"/>
      <c r="JHC45" s="1021"/>
      <c r="JHD45" s="1021"/>
      <c r="JHE45" s="1021"/>
      <c r="JHF45" s="1021"/>
      <c r="JHG45" s="1021"/>
      <c r="JHH45" s="1021"/>
      <c r="JHI45" s="1021"/>
      <c r="JHJ45" s="1021"/>
      <c r="JHK45" s="1021"/>
      <c r="JHL45" s="1021"/>
      <c r="JHM45" s="1021"/>
      <c r="JHN45" s="1021"/>
      <c r="JHO45" s="1021"/>
      <c r="JHP45" s="1021"/>
      <c r="JHQ45" s="1021"/>
      <c r="JHR45" s="1021"/>
      <c r="JHS45" s="1021"/>
      <c r="JHT45" s="1021"/>
      <c r="JHU45" s="1021"/>
      <c r="JHV45" s="1021"/>
      <c r="JHW45" s="1021"/>
      <c r="JHX45" s="1021"/>
      <c r="JHY45" s="1021"/>
      <c r="JHZ45" s="1021"/>
      <c r="JIA45" s="1021"/>
      <c r="JIB45" s="1021"/>
      <c r="JIC45" s="1021"/>
      <c r="JID45" s="1021"/>
      <c r="JIE45" s="1021"/>
      <c r="JIF45" s="1021"/>
      <c r="JIG45" s="1021"/>
      <c r="JIH45" s="1021"/>
      <c r="JII45" s="1021"/>
      <c r="JIJ45" s="1021"/>
      <c r="JIK45" s="1021"/>
      <c r="JIL45" s="1021"/>
      <c r="JIM45" s="1021"/>
      <c r="JIN45" s="1021"/>
      <c r="JIO45" s="1021"/>
      <c r="JIP45" s="1021"/>
      <c r="JIQ45" s="1021"/>
      <c r="JIR45" s="1021"/>
      <c r="JIS45" s="1021"/>
      <c r="JIT45" s="1021"/>
      <c r="JIU45" s="1021"/>
      <c r="JIV45" s="1021"/>
      <c r="JIW45" s="1021"/>
      <c r="JIX45" s="1021"/>
      <c r="JIY45" s="1021"/>
      <c r="JIZ45" s="1021"/>
      <c r="JJA45" s="1021"/>
      <c r="JJB45" s="1021"/>
      <c r="JJC45" s="1021"/>
      <c r="JJD45" s="1021"/>
      <c r="JJE45" s="1021"/>
      <c r="JJF45" s="1021"/>
      <c r="JJG45" s="1021"/>
      <c r="JJH45" s="1021"/>
      <c r="JJI45" s="1021"/>
      <c r="JJJ45" s="1021"/>
      <c r="JJK45" s="1021"/>
      <c r="JJL45" s="1021"/>
      <c r="JJM45" s="1021"/>
      <c r="JJN45" s="1021"/>
      <c r="JJO45" s="1021"/>
      <c r="JJP45" s="1021"/>
      <c r="JJQ45" s="1021"/>
      <c r="JJR45" s="1021"/>
      <c r="JJS45" s="1021"/>
      <c r="JJT45" s="1021"/>
      <c r="JJU45" s="1021"/>
      <c r="JJV45" s="1021"/>
      <c r="JJW45" s="1021"/>
      <c r="JJX45" s="1021"/>
      <c r="JJY45" s="1021"/>
      <c r="JJZ45" s="1021"/>
      <c r="JKA45" s="1021"/>
      <c r="JKB45" s="1021"/>
      <c r="JKC45" s="1021"/>
      <c r="JKD45" s="1021"/>
      <c r="JKE45" s="1021"/>
      <c r="JKF45" s="1021"/>
      <c r="JKG45" s="1021"/>
      <c r="JKH45" s="1021"/>
      <c r="JKI45" s="1021"/>
      <c r="JKJ45" s="1021"/>
      <c r="JKK45" s="1021"/>
      <c r="JKL45" s="1021"/>
      <c r="JKM45" s="1021"/>
      <c r="JKN45" s="1021"/>
      <c r="JKO45" s="1021"/>
      <c r="JKP45" s="1021"/>
      <c r="JKQ45" s="1021"/>
      <c r="JKR45" s="1021"/>
      <c r="JKS45" s="1021"/>
      <c r="JKT45" s="1021"/>
      <c r="JKU45" s="1021"/>
      <c r="JKV45" s="1021"/>
      <c r="JKW45" s="1021"/>
      <c r="JKX45" s="1021"/>
      <c r="JKY45" s="1021"/>
      <c r="JKZ45" s="1021"/>
      <c r="JLA45" s="1021"/>
      <c r="JLB45" s="1021"/>
      <c r="JLC45" s="1021"/>
      <c r="JLD45" s="1021"/>
      <c r="JLE45" s="1021"/>
      <c r="JLF45" s="1021"/>
      <c r="JLG45" s="1021"/>
      <c r="JLH45" s="1021"/>
      <c r="JLI45" s="1021"/>
      <c r="JLJ45" s="1021"/>
      <c r="JLK45" s="1021"/>
      <c r="JLL45" s="1021"/>
      <c r="JLM45" s="1021"/>
      <c r="JLN45" s="1021"/>
      <c r="JLO45" s="1021"/>
      <c r="JLP45" s="1021"/>
      <c r="JLQ45" s="1021"/>
      <c r="JLR45" s="1021"/>
      <c r="JLS45" s="1021"/>
      <c r="JLT45" s="1021"/>
      <c r="JLU45" s="1021"/>
      <c r="JLV45" s="1021"/>
      <c r="JLW45" s="1021"/>
      <c r="JLX45" s="1021"/>
      <c r="JLY45" s="1021"/>
      <c r="JLZ45" s="1021"/>
      <c r="JMA45" s="1021"/>
      <c r="JMB45" s="1021"/>
      <c r="JMC45" s="1021"/>
      <c r="JMD45" s="1021"/>
      <c r="JME45" s="1021"/>
      <c r="JMF45" s="1021"/>
      <c r="JMG45" s="1021"/>
      <c r="JMH45" s="1021"/>
      <c r="JMI45" s="1021"/>
      <c r="JMJ45" s="1021"/>
      <c r="JMK45" s="1021"/>
      <c r="JML45" s="1021"/>
      <c r="JMM45" s="1021"/>
      <c r="JMN45" s="1021"/>
      <c r="JMO45" s="1021"/>
      <c r="JMP45" s="1021"/>
      <c r="JMQ45" s="1021"/>
      <c r="JMR45" s="1021"/>
      <c r="JMS45" s="1021"/>
      <c r="JMT45" s="1021"/>
      <c r="JMU45" s="1021"/>
      <c r="JMV45" s="1021"/>
      <c r="JMW45" s="1021"/>
      <c r="JMX45" s="1021"/>
      <c r="JMY45" s="1021"/>
      <c r="JMZ45" s="1021"/>
      <c r="JNA45" s="1021"/>
      <c r="JNB45" s="1021"/>
      <c r="JNC45" s="1021"/>
      <c r="JND45" s="1021"/>
      <c r="JNE45" s="1021"/>
      <c r="JNF45" s="1021"/>
      <c r="JNG45" s="1021"/>
      <c r="JNH45" s="1021"/>
      <c r="JNI45" s="1021"/>
      <c r="JNJ45" s="1021"/>
      <c r="JNK45" s="1021"/>
      <c r="JNL45" s="1021"/>
      <c r="JNM45" s="1021"/>
      <c r="JNN45" s="1021"/>
      <c r="JNO45" s="1021"/>
      <c r="JNP45" s="1021"/>
      <c r="JNQ45" s="1021"/>
      <c r="JNR45" s="1021"/>
      <c r="JNS45" s="1021"/>
      <c r="JNT45" s="1021"/>
      <c r="JNU45" s="1021"/>
      <c r="JNV45" s="1021"/>
      <c r="JNW45" s="1021"/>
      <c r="JNX45" s="1021"/>
      <c r="JNY45" s="1021"/>
      <c r="JNZ45" s="1021"/>
      <c r="JOA45" s="1021"/>
      <c r="JOB45" s="1021"/>
      <c r="JOC45" s="1021"/>
      <c r="JOD45" s="1021"/>
      <c r="JOE45" s="1021"/>
      <c r="JOF45" s="1021"/>
      <c r="JOG45" s="1021"/>
      <c r="JOH45" s="1021"/>
      <c r="JOI45" s="1021"/>
      <c r="JOJ45" s="1021"/>
      <c r="JOK45" s="1021"/>
      <c r="JOL45" s="1021"/>
      <c r="JOM45" s="1021"/>
      <c r="JON45" s="1021"/>
      <c r="JOO45" s="1021"/>
      <c r="JOP45" s="1021"/>
      <c r="JOQ45" s="1021"/>
      <c r="JOR45" s="1021"/>
      <c r="JOS45" s="1021"/>
      <c r="JOT45" s="1021"/>
      <c r="JOU45" s="1021"/>
      <c r="JOV45" s="1021"/>
      <c r="JOW45" s="1021"/>
      <c r="JOX45" s="1021"/>
      <c r="JOY45" s="1021"/>
      <c r="JOZ45" s="1021"/>
      <c r="JPA45" s="1021"/>
      <c r="JPB45" s="1021"/>
      <c r="JPC45" s="1021"/>
      <c r="JPD45" s="1021"/>
      <c r="JPE45" s="1021"/>
      <c r="JPF45" s="1021"/>
      <c r="JPG45" s="1021"/>
      <c r="JPH45" s="1021"/>
      <c r="JPI45" s="1021"/>
      <c r="JPJ45" s="1021"/>
      <c r="JPK45" s="1021"/>
      <c r="JPL45" s="1021"/>
      <c r="JPM45" s="1021"/>
      <c r="JPN45" s="1021"/>
      <c r="JPO45" s="1021"/>
      <c r="JPP45" s="1021"/>
      <c r="JPQ45" s="1021"/>
      <c r="JPR45" s="1021"/>
      <c r="JPS45" s="1021"/>
      <c r="JPT45" s="1021"/>
      <c r="JPU45" s="1021"/>
      <c r="JPV45" s="1021"/>
      <c r="JPW45" s="1021"/>
      <c r="JPX45" s="1021"/>
      <c r="JPY45" s="1021"/>
      <c r="JPZ45" s="1021"/>
      <c r="JQA45" s="1021"/>
      <c r="JQB45" s="1021"/>
      <c r="JQC45" s="1021"/>
      <c r="JQD45" s="1021"/>
      <c r="JQE45" s="1021"/>
      <c r="JQF45" s="1021"/>
      <c r="JQG45" s="1021"/>
      <c r="JQH45" s="1021"/>
      <c r="JQI45" s="1021"/>
      <c r="JQJ45" s="1021"/>
      <c r="JQK45" s="1021"/>
      <c r="JQL45" s="1021"/>
      <c r="JQM45" s="1021"/>
      <c r="JQN45" s="1021"/>
      <c r="JQO45" s="1021"/>
      <c r="JQP45" s="1021"/>
      <c r="JQQ45" s="1021"/>
      <c r="JQR45" s="1021"/>
      <c r="JQS45" s="1021"/>
      <c r="JQT45" s="1021"/>
      <c r="JQU45" s="1021"/>
      <c r="JQV45" s="1021"/>
      <c r="JQW45" s="1021"/>
      <c r="JQX45" s="1021"/>
      <c r="JQY45" s="1021"/>
      <c r="JQZ45" s="1021"/>
      <c r="JRA45" s="1021"/>
      <c r="JRB45" s="1021"/>
      <c r="JRC45" s="1021"/>
      <c r="JRD45" s="1021"/>
      <c r="JRE45" s="1021"/>
      <c r="JRF45" s="1021"/>
      <c r="JRG45" s="1021"/>
      <c r="JRH45" s="1021"/>
      <c r="JRI45" s="1021"/>
      <c r="JRJ45" s="1021"/>
      <c r="JRK45" s="1021"/>
      <c r="JRL45" s="1021"/>
      <c r="JRM45" s="1021"/>
      <c r="JRN45" s="1021"/>
      <c r="JRO45" s="1021"/>
      <c r="JRP45" s="1021"/>
      <c r="JRQ45" s="1021"/>
      <c r="JRR45" s="1021"/>
      <c r="JRS45" s="1021"/>
      <c r="JRT45" s="1021"/>
      <c r="JRU45" s="1021"/>
      <c r="JRV45" s="1021"/>
      <c r="JRW45" s="1021"/>
      <c r="JRX45" s="1021"/>
      <c r="JRY45" s="1021"/>
      <c r="JRZ45" s="1021"/>
      <c r="JSA45" s="1021"/>
      <c r="JSB45" s="1021"/>
      <c r="JSC45" s="1021"/>
      <c r="JSD45" s="1021"/>
      <c r="JSE45" s="1021"/>
      <c r="JSF45" s="1021"/>
      <c r="JSG45" s="1021"/>
      <c r="JSH45" s="1021"/>
      <c r="JSI45" s="1021"/>
      <c r="JSJ45" s="1021"/>
      <c r="JSK45" s="1021"/>
      <c r="JSL45" s="1021"/>
      <c r="JSM45" s="1021"/>
      <c r="JSN45" s="1021"/>
      <c r="JSO45" s="1021"/>
      <c r="JSP45" s="1021"/>
      <c r="JSQ45" s="1021"/>
      <c r="JSR45" s="1021"/>
      <c r="JSS45" s="1021"/>
      <c r="JST45" s="1021"/>
      <c r="JSU45" s="1021"/>
      <c r="JSV45" s="1021"/>
      <c r="JSW45" s="1021"/>
      <c r="JSX45" s="1021"/>
      <c r="JSY45" s="1021"/>
      <c r="JSZ45" s="1021"/>
      <c r="JTA45" s="1021"/>
      <c r="JTB45" s="1021"/>
      <c r="JTC45" s="1021"/>
      <c r="JTD45" s="1021"/>
      <c r="JTE45" s="1021"/>
      <c r="JTF45" s="1021"/>
      <c r="JTG45" s="1021"/>
      <c r="JTH45" s="1021"/>
      <c r="JTI45" s="1021"/>
      <c r="JTJ45" s="1021"/>
      <c r="JTK45" s="1021"/>
      <c r="JTL45" s="1021"/>
      <c r="JTM45" s="1021"/>
      <c r="JTN45" s="1021"/>
      <c r="JTO45" s="1021"/>
      <c r="JTP45" s="1021"/>
      <c r="JTQ45" s="1021"/>
      <c r="JTR45" s="1021"/>
      <c r="JTS45" s="1021"/>
      <c r="JTT45" s="1021"/>
      <c r="JTU45" s="1021"/>
      <c r="JTV45" s="1021"/>
      <c r="JTW45" s="1021"/>
      <c r="JTX45" s="1021"/>
      <c r="JTY45" s="1021"/>
      <c r="JTZ45" s="1021"/>
      <c r="JUA45" s="1021"/>
      <c r="JUB45" s="1021"/>
      <c r="JUC45" s="1021"/>
      <c r="JUD45" s="1021"/>
      <c r="JUE45" s="1021"/>
      <c r="JUF45" s="1021"/>
      <c r="JUG45" s="1021"/>
      <c r="JUH45" s="1021"/>
      <c r="JUI45" s="1021"/>
      <c r="JUJ45" s="1021"/>
      <c r="JUK45" s="1021"/>
      <c r="JUL45" s="1021"/>
      <c r="JUM45" s="1021"/>
      <c r="JUN45" s="1021"/>
      <c r="JUO45" s="1021"/>
      <c r="JUP45" s="1021"/>
      <c r="JUQ45" s="1021"/>
      <c r="JUR45" s="1021"/>
      <c r="JUS45" s="1021"/>
      <c r="JUT45" s="1021"/>
      <c r="JUU45" s="1021"/>
      <c r="JUV45" s="1021"/>
      <c r="JUW45" s="1021"/>
      <c r="JUX45" s="1021"/>
      <c r="JUY45" s="1021"/>
      <c r="JUZ45" s="1021"/>
      <c r="JVA45" s="1021"/>
      <c r="JVB45" s="1021"/>
      <c r="JVC45" s="1021"/>
      <c r="JVD45" s="1021"/>
      <c r="JVE45" s="1021"/>
      <c r="JVF45" s="1021"/>
      <c r="JVG45" s="1021"/>
      <c r="JVH45" s="1021"/>
      <c r="JVI45" s="1021"/>
      <c r="JVJ45" s="1021"/>
      <c r="JVK45" s="1021"/>
      <c r="JVL45" s="1021"/>
      <c r="JVM45" s="1021"/>
      <c r="JVN45" s="1021"/>
      <c r="JVO45" s="1021"/>
      <c r="JVP45" s="1021"/>
      <c r="JVQ45" s="1021"/>
      <c r="JVR45" s="1021"/>
      <c r="JVS45" s="1021"/>
      <c r="JVT45" s="1021"/>
      <c r="JVU45" s="1021"/>
      <c r="JVV45" s="1021"/>
      <c r="JVW45" s="1021"/>
      <c r="JVX45" s="1021"/>
      <c r="JVY45" s="1021"/>
      <c r="JVZ45" s="1021"/>
      <c r="JWA45" s="1021"/>
      <c r="JWB45" s="1021"/>
      <c r="JWC45" s="1021"/>
      <c r="JWD45" s="1021"/>
      <c r="JWE45" s="1021"/>
      <c r="JWF45" s="1021"/>
      <c r="JWG45" s="1021"/>
      <c r="JWH45" s="1021"/>
      <c r="JWI45" s="1021"/>
      <c r="JWJ45" s="1021"/>
      <c r="JWK45" s="1021"/>
      <c r="JWL45" s="1021"/>
      <c r="JWM45" s="1021"/>
      <c r="JWN45" s="1021"/>
      <c r="JWO45" s="1021"/>
      <c r="JWP45" s="1021"/>
      <c r="JWQ45" s="1021"/>
      <c r="JWR45" s="1021"/>
      <c r="JWS45" s="1021"/>
      <c r="JWT45" s="1021"/>
      <c r="JWU45" s="1021"/>
      <c r="JWV45" s="1021"/>
      <c r="JWW45" s="1021"/>
      <c r="JWX45" s="1021"/>
      <c r="JWY45" s="1021"/>
      <c r="JWZ45" s="1021"/>
      <c r="JXA45" s="1021"/>
      <c r="JXB45" s="1021"/>
      <c r="JXC45" s="1021"/>
      <c r="JXD45" s="1021"/>
      <c r="JXE45" s="1021"/>
      <c r="JXF45" s="1021"/>
      <c r="JXG45" s="1021"/>
      <c r="JXH45" s="1021"/>
      <c r="JXI45" s="1021"/>
      <c r="JXJ45" s="1021"/>
      <c r="JXK45" s="1021"/>
      <c r="JXL45" s="1021"/>
      <c r="JXM45" s="1021"/>
      <c r="JXN45" s="1021"/>
      <c r="JXO45" s="1021"/>
      <c r="JXP45" s="1021"/>
      <c r="JXQ45" s="1021"/>
      <c r="JXR45" s="1021"/>
      <c r="JXS45" s="1021"/>
      <c r="JXT45" s="1021"/>
      <c r="JXU45" s="1021"/>
      <c r="JXV45" s="1021"/>
      <c r="JXW45" s="1021"/>
      <c r="JXX45" s="1021"/>
      <c r="JXY45" s="1021"/>
      <c r="JXZ45" s="1021"/>
      <c r="JYA45" s="1021"/>
      <c r="JYB45" s="1021"/>
      <c r="JYC45" s="1021"/>
      <c r="JYD45" s="1021"/>
      <c r="JYE45" s="1021"/>
      <c r="JYF45" s="1021"/>
      <c r="JYG45" s="1021"/>
      <c r="JYH45" s="1021"/>
      <c r="JYI45" s="1021"/>
      <c r="JYJ45" s="1021"/>
      <c r="JYK45" s="1021"/>
      <c r="JYL45" s="1021"/>
      <c r="JYM45" s="1021"/>
      <c r="JYN45" s="1021"/>
      <c r="JYO45" s="1021"/>
      <c r="JYP45" s="1021"/>
      <c r="JYQ45" s="1021"/>
      <c r="JYR45" s="1021"/>
      <c r="JYS45" s="1021"/>
      <c r="JYT45" s="1021"/>
      <c r="JYU45" s="1021"/>
      <c r="JYV45" s="1021"/>
      <c r="JYW45" s="1021"/>
      <c r="JYX45" s="1021"/>
      <c r="JYY45" s="1021"/>
      <c r="JYZ45" s="1021"/>
      <c r="JZA45" s="1021"/>
      <c r="JZB45" s="1021"/>
      <c r="JZC45" s="1021"/>
      <c r="JZD45" s="1021"/>
      <c r="JZE45" s="1021"/>
      <c r="JZF45" s="1021"/>
      <c r="JZG45" s="1021"/>
      <c r="JZH45" s="1021"/>
      <c r="JZI45" s="1021"/>
      <c r="JZJ45" s="1021"/>
      <c r="JZK45" s="1021"/>
      <c r="JZL45" s="1021"/>
      <c r="JZM45" s="1021"/>
      <c r="JZN45" s="1021"/>
      <c r="JZO45" s="1021"/>
      <c r="JZP45" s="1021"/>
      <c r="JZQ45" s="1021"/>
      <c r="JZR45" s="1021"/>
      <c r="JZS45" s="1021"/>
      <c r="JZT45" s="1021"/>
      <c r="JZU45" s="1021"/>
      <c r="JZV45" s="1021"/>
      <c r="JZW45" s="1021"/>
      <c r="JZX45" s="1021"/>
      <c r="JZY45" s="1021"/>
      <c r="JZZ45" s="1021"/>
      <c r="KAA45" s="1021"/>
      <c r="KAB45" s="1021"/>
      <c r="KAC45" s="1021"/>
      <c r="KAD45" s="1021"/>
      <c r="KAE45" s="1021"/>
      <c r="KAF45" s="1021"/>
      <c r="KAG45" s="1021"/>
      <c r="KAH45" s="1021"/>
      <c r="KAI45" s="1021"/>
      <c r="KAJ45" s="1021"/>
      <c r="KAK45" s="1021"/>
      <c r="KAL45" s="1021"/>
      <c r="KAM45" s="1021"/>
      <c r="KAN45" s="1021"/>
      <c r="KAO45" s="1021"/>
      <c r="KAP45" s="1021"/>
      <c r="KAQ45" s="1021"/>
      <c r="KAR45" s="1021"/>
      <c r="KAS45" s="1021"/>
      <c r="KAT45" s="1021"/>
      <c r="KAU45" s="1021"/>
      <c r="KAV45" s="1021"/>
      <c r="KAW45" s="1021"/>
      <c r="KAX45" s="1021"/>
      <c r="KAY45" s="1021"/>
      <c r="KAZ45" s="1021"/>
      <c r="KBA45" s="1021"/>
      <c r="KBB45" s="1021"/>
      <c r="KBC45" s="1021"/>
      <c r="KBD45" s="1021"/>
      <c r="KBE45" s="1021"/>
      <c r="KBF45" s="1021"/>
      <c r="KBG45" s="1021"/>
      <c r="KBH45" s="1021"/>
      <c r="KBI45" s="1021"/>
      <c r="KBJ45" s="1021"/>
      <c r="KBK45" s="1021"/>
      <c r="KBL45" s="1021"/>
      <c r="KBM45" s="1021"/>
      <c r="KBN45" s="1021"/>
      <c r="KBO45" s="1021"/>
      <c r="KBP45" s="1021"/>
      <c r="KBQ45" s="1021"/>
      <c r="KBR45" s="1021"/>
      <c r="KBS45" s="1021"/>
      <c r="KBT45" s="1021"/>
      <c r="KBU45" s="1021"/>
      <c r="KBV45" s="1021"/>
      <c r="KBW45" s="1021"/>
      <c r="KBX45" s="1021"/>
      <c r="KBY45" s="1021"/>
      <c r="KBZ45" s="1021"/>
      <c r="KCA45" s="1021"/>
      <c r="KCB45" s="1021"/>
      <c r="KCC45" s="1021"/>
      <c r="KCD45" s="1021"/>
      <c r="KCE45" s="1021"/>
      <c r="KCF45" s="1021"/>
      <c r="KCG45" s="1021"/>
      <c r="KCH45" s="1021"/>
      <c r="KCI45" s="1021"/>
      <c r="KCJ45" s="1021"/>
      <c r="KCK45" s="1021"/>
      <c r="KCL45" s="1021"/>
      <c r="KCM45" s="1021"/>
      <c r="KCN45" s="1021"/>
      <c r="KCO45" s="1021"/>
      <c r="KCP45" s="1021"/>
      <c r="KCQ45" s="1021"/>
      <c r="KCR45" s="1021"/>
      <c r="KCS45" s="1021"/>
      <c r="KCT45" s="1021"/>
      <c r="KCU45" s="1021"/>
      <c r="KCV45" s="1021"/>
      <c r="KCW45" s="1021"/>
      <c r="KCX45" s="1021"/>
      <c r="KCY45" s="1021"/>
      <c r="KCZ45" s="1021"/>
      <c r="KDA45" s="1021"/>
      <c r="KDB45" s="1021"/>
      <c r="KDC45" s="1021"/>
      <c r="KDD45" s="1021"/>
      <c r="KDE45" s="1021"/>
      <c r="KDF45" s="1021"/>
      <c r="KDG45" s="1021"/>
      <c r="KDH45" s="1021"/>
      <c r="KDI45" s="1021"/>
      <c r="KDJ45" s="1021"/>
      <c r="KDK45" s="1021"/>
      <c r="KDL45" s="1021"/>
      <c r="KDM45" s="1021"/>
      <c r="KDN45" s="1021"/>
      <c r="KDO45" s="1021"/>
      <c r="KDP45" s="1021"/>
      <c r="KDQ45" s="1021"/>
      <c r="KDR45" s="1021"/>
      <c r="KDS45" s="1021"/>
      <c r="KDT45" s="1021"/>
      <c r="KDU45" s="1021"/>
      <c r="KDV45" s="1021"/>
      <c r="KDW45" s="1021"/>
      <c r="KDX45" s="1021"/>
      <c r="KDY45" s="1021"/>
      <c r="KDZ45" s="1021"/>
      <c r="KEA45" s="1021"/>
      <c r="KEB45" s="1021"/>
      <c r="KEC45" s="1021"/>
      <c r="KED45" s="1021"/>
      <c r="KEE45" s="1021"/>
      <c r="KEF45" s="1021"/>
      <c r="KEG45" s="1021"/>
      <c r="KEH45" s="1021"/>
      <c r="KEI45" s="1021"/>
      <c r="KEJ45" s="1021"/>
      <c r="KEK45" s="1021"/>
      <c r="KEL45" s="1021"/>
      <c r="KEM45" s="1021"/>
      <c r="KEN45" s="1021"/>
      <c r="KEO45" s="1021"/>
      <c r="KEP45" s="1021"/>
      <c r="KEQ45" s="1021"/>
      <c r="KER45" s="1021"/>
      <c r="KES45" s="1021"/>
      <c r="KET45" s="1021"/>
      <c r="KEU45" s="1021"/>
      <c r="KEV45" s="1021"/>
      <c r="KEW45" s="1021"/>
      <c r="KEX45" s="1021"/>
      <c r="KEY45" s="1021"/>
      <c r="KEZ45" s="1021"/>
      <c r="KFA45" s="1021"/>
      <c r="KFB45" s="1021"/>
      <c r="KFC45" s="1021"/>
      <c r="KFD45" s="1021"/>
      <c r="KFE45" s="1021"/>
      <c r="KFF45" s="1021"/>
      <c r="KFG45" s="1021"/>
      <c r="KFH45" s="1021"/>
      <c r="KFI45" s="1021"/>
      <c r="KFJ45" s="1021"/>
      <c r="KFK45" s="1021"/>
      <c r="KFL45" s="1021"/>
      <c r="KFM45" s="1021"/>
      <c r="KFN45" s="1021"/>
      <c r="KFO45" s="1021"/>
      <c r="KFP45" s="1021"/>
      <c r="KFQ45" s="1021"/>
      <c r="KFR45" s="1021"/>
      <c r="KFS45" s="1021"/>
      <c r="KFT45" s="1021"/>
      <c r="KFU45" s="1021"/>
      <c r="KFV45" s="1021"/>
      <c r="KFW45" s="1021"/>
      <c r="KFX45" s="1021"/>
      <c r="KFY45" s="1021"/>
      <c r="KFZ45" s="1021"/>
      <c r="KGA45" s="1021"/>
      <c r="KGB45" s="1021"/>
      <c r="KGC45" s="1021"/>
      <c r="KGD45" s="1021"/>
      <c r="KGE45" s="1021"/>
      <c r="KGF45" s="1021"/>
      <c r="KGG45" s="1021"/>
      <c r="KGH45" s="1021"/>
      <c r="KGI45" s="1021"/>
      <c r="KGJ45" s="1021"/>
      <c r="KGK45" s="1021"/>
      <c r="KGL45" s="1021"/>
      <c r="KGM45" s="1021"/>
      <c r="KGN45" s="1021"/>
      <c r="KGO45" s="1021"/>
      <c r="KGP45" s="1021"/>
      <c r="KGQ45" s="1021"/>
      <c r="KGR45" s="1021"/>
      <c r="KGS45" s="1021"/>
      <c r="KGT45" s="1021"/>
      <c r="KGU45" s="1021"/>
      <c r="KGV45" s="1021"/>
      <c r="KGW45" s="1021"/>
      <c r="KGX45" s="1021"/>
      <c r="KGY45" s="1021"/>
      <c r="KGZ45" s="1021"/>
      <c r="KHA45" s="1021"/>
      <c r="KHB45" s="1021"/>
      <c r="KHC45" s="1021"/>
      <c r="KHD45" s="1021"/>
      <c r="KHE45" s="1021"/>
      <c r="KHF45" s="1021"/>
      <c r="KHG45" s="1021"/>
      <c r="KHH45" s="1021"/>
      <c r="KHI45" s="1021"/>
      <c r="KHJ45" s="1021"/>
      <c r="KHK45" s="1021"/>
      <c r="KHL45" s="1021"/>
      <c r="KHM45" s="1021"/>
      <c r="KHN45" s="1021"/>
      <c r="KHO45" s="1021"/>
      <c r="KHP45" s="1021"/>
      <c r="KHQ45" s="1021"/>
      <c r="KHR45" s="1021"/>
      <c r="KHS45" s="1021"/>
      <c r="KHT45" s="1021"/>
      <c r="KHU45" s="1021"/>
      <c r="KHV45" s="1021"/>
      <c r="KHW45" s="1021"/>
      <c r="KHX45" s="1021"/>
      <c r="KHY45" s="1021"/>
      <c r="KHZ45" s="1021"/>
      <c r="KIA45" s="1021"/>
      <c r="KIB45" s="1021"/>
      <c r="KIC45" s="1021"/>
      <c r="KID45" s="1021"/>
      <c r="KIE45" s="1021"/>
      <c r="KIF45" s="1021"/>
      <c r="KIG45" s="1021"/>
      <c r="KIH45" s="1021"/>
      <c r="KII45" s="1021"/>
      <c r="KIJ45" s="1021"/>
      <c r="KIK45" s="1021"/>
      <c r="KIL45" s="1021"/>
      <c r="KIM45" s="1021"/>
      <c r="KIN45" s="1021"/>
      <c r="KIO45" s="1021"/>
      <c r="KIP45" s="1021"/>
      <c r="KIQ45" s="1021"/>
      <c r="KIR45" s="1021"/>
      <c r="KIS45" s="1021"/>
      <c r="KIT45" s="1021"/>
      <c r="KIU45" s="1021"/>
      <c r="KIV45" s="1021"/>
      <c r="KIW45" s="1021"/>
      <c r="KIX45" s="1021"/>
      <c r="KIY45" s="1021"/>
      <c r="KIZ45" s="1021"/>
      <c r="KJA45" s="1021"/>
      <c r="KJB45" s="1021"/>
      <c r="KJC45" s="1021"/>
      <c r="KJD45" s="1021"/>
      <c r="KJE45" s="1021"/>
      <c r="KJF45" s="1021"/>
      <c r="KJG45" s="1021"/>
      <c r="KJH45" s="1021"/>
      <c r="KJI45" s="1021"/>
      <c r="KJJ45" s="1021"/>
      <c r="KJK45" s="1021"/>
      <c r="KJL45" s="1021"/>
      <c r="KJM45" s="1021"/>
      <c r="KJN45" s="1021"/>
      <c r="KJO45" s="1021"/>
      <c r="KJP45" s="1021"/>
      <c r="KJQ45" s="1021"/>
      <c r="KJR45" s="1021"/>
      <c r="KJS45" s="1021"/>
      <c r="KJT45" s="1021"/>
      <c r="KJU45" s="1021"/>
      <c r="KJV45" s="1021"/>
      <c r="KJW45" s="1021"/>
      <c r="KJX45" s="1021"/>
      <c r="KJY45" s="1021"/>
      <c r="KJZ45" s="1021"/>
      <c r="KKA45" s="1021"/>
      <c r="KKB45" s="1021"/>
      <c r="KKC45" s="1021"/>
      <c r="KKD45" s="1021"/>
      <c r="KKE45" s="1021"/>
      <c r="KKF45" s="1021"/>
      <c r="KKG45" s="1021"/>
      <c r="KKH45" s="1021"/>
      <c r="KKI45" s="1021"/>
      <c r="KKJ45" s="1021"/>
      <c r="KKK45" s="1021"/>
      <c r="KKL45" s="1021"/>
      <c r="KKM45" s="1021"/>
      <c r="KKN45" s="1021"/>
      <c r="KKO45" s="1021"/>
      <c r="KKP45" s="1021"/>
      <c r="KKQ45" s="1021"/>
      <c r="KKR45" s="1021"/>
      <c r="KKS45" s="1021"/>
      <c r="KKT45" s="1021"/>
      <c r="KKU45" s="1021"/>
      <c r="KKV45" s="1021"/>
      <c r="KKW45" s="1021"/>
      <c r="KKX45" s="1021"/>
      <c r="KKY45" s="1021"/>
      <c r="KKZ45" s="1021"/>
      <c r="KLA45" s="1021"/>
      <c r="KLB45" s="1021"/>
      <c r="KLC45" s="1021"/>
      <c r="KLD45" s="1021"/>
      <c r="KLE45" s="1021"/>
      <c r="KLF45" s="1021"/>
      <c r="KLG45" s="1021"/>
      <c r="KLH45" s="1021"/>
      <c r="KLI45" s="1021"/>
      <c r="KLJ45" s="1021"/>
      <c r="KLK45" s="1021"/>
      <c r="KLL45" s="1021"/>
      <c r="KLM45" s="1021"/>
      <c r="KLN45" s="1021"/>
      <c r="KLO45" s="1021"/>
      <c r="KLP45" s="1021"/>
      <c r="KLQ45" s="1021"/>
      <c r="KLR45" s="1021"/>
      <c r="KLS45" s="1021"/>
      <c r="KLT45" s="1021"/>
      <c r="KLU45" s="1021"/>
      <c r="KLV45" s="1021"/>
      <c r="KLW45" s="1021"/>
      <c r="KLX45" s="1021"/>
      <c r="KLY45" s="1021"/>
      <c r="KLZ45" s="1021"/>
      <c r="KMA45" s="1021"/>
      <c r="KMB45" s="1021"/>
      <c r="KMC45" s="1021"/>
      <c r="KMD45" s="1021"/>
      <c r="KME45" s="1021"/>
      <c r="KMF45" s="1021"/>
      <c r="KMG45" s="1021"/>
      <c r="KMH45" s="1021"/>
      <c r="KMI45" s="1021"/>
      <c r="KMJ45" s="1021"/>
      <c r="KMK45" s="1021"/>
      <c r="KML45" s="1021"/>
      <c r="KMM45" s="1021"/>
      <c r="KMN45" s="1021"/>
      <c r="KMO45" s="1021"/>
      <c r="KMP45" s="1021"/>
      <c r="KMQ45" s="1021"/>
      <c r="KMR45" s="1021"/>
      <c r="KMS45" s="1021"/>
      <c r="KMT45" s="1021"/>
      <c r="KMU45" s="1021"/>
      <c r="KMV45" s="1021"/>
      <c r="KMW45" s="1021"/>
      <c r="KMX45" s="1021"/>
      <c r="KMY45" s="1021"/>
      <c r="KMZ45" s="1021"/>
      <c r="KNA45" s="1021"/>
      <c r="KNB45" s="1021"/>
      <c r="KNC45" s="1021"/>
      <c r="KND45" s="1021"/>
      <c r="KNE45" s="1021"/>
      <c r="KNF45" s="1021"/>
      <c r="KNG45" s="1021"/>
      <c r="KNH45" s="1021"/>
      <c r="KNI45" s="1021"/>
      <c r="KNJ45" s="1021"/>
      <c r="KNK45" s="1021"/>
      <c r="KNL45" s="1021"/>
      <c r="KNM45" s="1021"/>
      <c r="KNN45" s="1021"/>
      <c r="KNO45" s="1021"/>
      <c r="KNP45" s="1021"/>
      <c r="KNQ45" s="1021"/>
      <c r="KNR45" s="1021"/>
      <c r="KNS45" s="1021"/>
      <c r="KNT45" s="1021"/>
      <c r="KNU45" s="1021"/>
      <c r="KNV45" s="1021"/>
      <c r="KNW45" s="1021"/>
      <c r="KNX45" s="1021"/>
      <c r="KNY45" s="1021"/>
      <c r="KNZ45" s="1021"/>
      <c r="KOA45" s="1021"/>
      <c r="KOB45" s="1021"/>
      <c r="KOC45" s="1021"/>
      <c r="KOD45" s="1021"/>
      <c r="KOE45" s="1021"/>
      <c r="KOF45" s="1021"/>
      <c r="KOG45" s="1021"/>
      <c r="KOH45" s="1021"/>
      <c r="KOI45" s="1021"/>
      <c r="KOJ45" s="1021"/>
      <c r="KOK45" s="1021"/>
      <c r="KOL45" s="1021"/>
      <c r="KOM45" s="1021"/>
      <c r="KON45" s="1021"/>
      <c r="KOO45" s="1021"/>
      <c r="KOP45" s="1021"/>
      <c r="KOQ45" s="1021"/>
      <c r="KOR45" s="1021"/>
      <c r="KOS45" s="1021"/>
      <c r="KOT45" s="1021"/>
      <c r="KOU45" s="1021"/>
      <c r="KOV45" s="1021"/>
      <c r="KOW45" s="1021"/>
      <c r="KOX45" s="1021"/>
      <c r="KOY45" s="1021"/>
      <c r="KOZ45" s="1021"/>
      <c r="KPA45" s="1021"/>
      <c r="KPB45" s="1021"/>
      <c r="KPC45" s="1021"/>
      <c r="KPD45" s="1021"/>
      <c r="KPE45" s="1021"/>
      <c r="KPF45" s="1021"/>
      <c r="KPG45" s="1021"/>
      <c r="KPH45" s="1021"/>
      <c r="KPI45" s="1021"/>
      <c r="KPJ45" s="1021"/>
      <c r="KPK45" s="1021"/>
      <c r="KPL45" s="1021"/>
      <c r="KPM45" s="1021"/>
      <c r="KPN45" s="1021"/>
      <c r="KPO45" s="1021"/>
      <c r="KPP45" s="1021"/>
      <c r="KPQ45" s="1021"/>
      <c r="KPR45" s="1021"/>
      <c r="KPS45" s="1021"/>
      <c r="KPT45" s="1021"/>
      <c r="KPU45" s="1021"/>
      <c r="KPV45" s="1021"/>
      <c r="KPW45" s="1021"/>
      <c r="KPX45" s="1021"/>
      <c r="KPY45" s="1021"/>
      <c r="KPZ45" s="1021"/>
      <c r="KQA45" s="1021"/>
      <c r="KQB45" s="1021"/>
      <c r="KQC45" s="1021"/>
      <c r="KQD45" s="1021"/>
      <c r="KQE45" s="1021"/>
      <c r="KQF45" s="1021"/>
      <c r="KQG45" s="1021"/>
      <c r="KQH45" s="1021"/>
      <c r="KQI45" s="1021"/>
      <c r="KQJ45" s="1021"/>
      <c r="KQK45" s="1021"/>
      <c r="KQL45" s="1021"/>
      <c r="KQM45" s="1021"/>
      <c r="KQN45" s="1021"/>
      <c r="KQO45" s="1021"/>
      <c r="KQP45" s="1021"/>
      <c r="KQQ45" s="1021"/>
      <c r="KQR45" s="1021"/>
      <c r="KQS45" s="1021"/>
      <c r="KQT45" s="1021"/>
      <c r="KQU45" s="1021"/>
      <c r="KQV45" s="1021"/>
      <c r="KQW45" s="1021"/>
      <c r="KQX45" s="1021"/>
      <c r="KQY45" s="1021"/>
      <c r="KQZ45" s="1021"/>
      <c r="KRA45" s="1021"/>
      <c r="KRB45" s="1021"/>
      <c r="KRC45" s="1021"/>
      <c r="KRD45" s="1021"/>
      <c r="KRE45" s="1021"/>
      <c r="KRF45" s="1021"/>
      <c r="KRG45" s="1021"/>
      <c r="KRH45" s="1021"/>
      <c r="KRI45" s="1021"/>
      <c r="KRJ45" s="1021"/>
      <c r="KRK45" s="1021"/>
      <c r="KRL45" s="1021"/>
      <c r="KRM45" s="1021"/>
      <c r="KRN45" s="1021"/>
      <c r="KRO45" s="1021"/>
      <c r="KRP45" s="1021"/>
      <c r="KRQ45" s="1021"/>
      <c r="KRR45" s="1021"/>
      <c r="KRS45" s="1021"/>
      <c r="KRT45" s="1021"/>
      <c r="KRU45" s="1021"/>
      <c r="KRV45" s="1021"/>
      <c r="KRW45" s="1021"/>
      <c r="KRX45" s="1021"/>
      <c r="KRY45" s="1021"/>
      <c r="KRZ45" s="1021"/>
      <c r="KSA45" s="1021"/>
      <c r="KSB45" s="1021"/>
      <c r="KSC45" s="1021"/>
      <c r="KSD45" s="1021"/>
      <c r="KSE45" s="1021"/>
      <c r="KSF45" s="1021"/>
      <c r="KSG45" s="1021"/>
      <c r="KSH45" s="1021"/>
      <c r="KSI45" s="1021"/>
      <c r="KSJ45" s="1021"/>
      <c r="KSK45" s="1021"/>
      <c r="KSL45" s="1021"/>
      <c r="KSM45" s="1021"/>
      <c r="KSN45" s="1021"/>
      <c r="KSO45" s="1021"/>
      <c r="KSP45" s="1021"/>
      <c r="KSQ45" s="1021"/>
      <c r="KSR45" s="1021"/>
      <c r="KSS45" s="1021"/>
      <c r="KST45" s="1021"/>
      <c r="KSU45" s="1021"/>
      <c r="KSV45" s="1021"/>
      <c r="KSW45" s="1021"/>
      <c r="KSX45" s="1021"/>
      <c r="KSY45" s="1021"/>
      <c r="KSZ45" s="1021"/>
      <c r="KTA45" s="1021"/>
      <c r="KTB45" s="1021"/>
      <c r="KTC45" s="1021"/>
      <c r="KTD45" s="1021"/>
      <c r="KTE45" s="1021"/>
      <c r="KTF45" s="1021"/>
      <c r="KTG45" s="1021"/>
      <c r="KTH45" s="1021"/>
      <c r="KTI45" s="1021"/>
      <c r="KTJ45" s="1021"/>
      <c r="KTK45" s="1021"/>
      <c r="KTL45" s="1021"/>
      <c r="KTM45" s="1021"/>
      <c r="KTN45" s="1021"/>
      <c r="KTO45" s="1021"/>
      <c r="KTP45" s="1021"/>
      <c r="KTQ45" s="1021"/>
      <c r="KTR45" s="1021"/>
      <c r="KTS45" s="1021"/>
      <c r="KTT45" s="1021"/>
      <c r="KTU45" s="1021"/>
      <c r="KTV45" s="1021"/>
      <c r="KTW45" s="1021"/>
      <c r="KTX45" s="1021"/>
      <c r="KTY45" s="1021"/>
      <c r="KTZ45" s="1021"/>
      <c r="KUA45" s="1021"/>
      <c r="KUB45" s="1021"/>
      <c r="KUC45" s="1021"/>
      <c r="KUD45" s="1021"/>
      <c r="KUE45" s="1021"/>
      <c r="KUF45" s="1021"/>
      <c r="KUG45" s="1021"/>
      <c r="KUH45" s="1021"/>
      <c r="KUI45" s="1021"/>
      <c r="KUJ45" s="1021"/>
      <c r="KUK45" s="1021"/>
      <c r="KUL45" s="1021"/>
      <c r="KUM45" s="1021"/>
      <c r="KUN45" s="1021"/>
      <c r="KUO45" s="1021"/>
      <c r="KUP45" s="1021"/>
      <c r="KUQ45" s="1021"/>
      <c r="KUR45" s="1021"/>
      <c r="KUS45" s="1021"/>
      <c r="KUT45" s="1021"/>
      <c r="KUU45" s="1021"/>
      <c r="KUV45" s="1021"/>
      <c r="KUW45" s="1021"/>
      <c r="KUX45" s="1021"/>
      <c r="KUY45" s="1021"/>
      <c r="KUZ45" s="1021"/>
      <c r="KVA45" s="1021"/>
      <c r="KVB45" s="1021"/>
      <c r="KVC45" s="1021"/>
      <c r="KVD45" s="1021"/>
      <c r="KVE45" s="1021"/>
      <c r="KVF45" s="1021"/>
      <c r="KVG45" s="1021"/>
      <c r="KVH45" s="1021"/>
      <c r="KVI45" s="1021"/>
      <c r="KVJ45" s="1021"/>
      <c r="KVK45" s="1021"/>
      <c r="KVL45" s="1021"/>
      <c r="KVM45" s="1021"/>
      <c r="KVN45" s="1021"/>
      <c r="KVO45" s="1021"/>
      <c r="KVP45" s="1021"/>
      <c r="KVQ45" s="1021"/>
      <c r="KVR45" s="1021"/>
      <c r="KVS45" s="1021"/>
      <c r="KVT45" s="1021"/>
      <c r="KVU45" s="1021"/>
      <c r="KVV45" s="1021"/>
      <c r="KVW45" s="1021"/>
      <c r="KVX45" s="1021"/>
      <c r="KVY45" s="1021"/>
      <c r="KVZ45" s="1021"/>
      <c r="KWA45" s="1021"/>
      <c r="KWB45" s="1021"/>
      <c r="KWC45" s="1021"/>
      <c r="KWD45" s="1021"/>
      <c r="KWE45" s="1021"/>
      <c r="KWF45" s="1021"/>
      <c r="KWG45" s="1021"/>
      <c r="KWH45" s="1021"/>
      <c r="KWI45" s="1021"/>
      <c r="KWJ45" s="1021"/>
      <c r="KWK45" s="1021"/>
      <c r="KWL45" s="1021"/>
      <c r="KWM45" s="1021"/>
      <c r="KWN45" s="1021"/>
      <c r="KWO45" s="1021"/>
      <c r="KWP45" s="1021"/>
      <c r="KWQ45" s="1021"/>
      <c r="KWR45" s="1021"/>
      <c r="KWS45" s="1021"/>
      <c r="KWT45" s="1021"/>
      <c r="KWU45" s="1021"/>
      <c r="KWV45" s="1021"/>
      <c r="KWW45" s="1021"/>
      <c r="KWX45" s="1021"/>
      <c r="KWY45" s="1021"/>
      <c r="KWZ45" s="1021"/>
      <c r="KXA45" s="1021"/>
      <c r="KXB45" s="1021"/>
      <c r="KXC45" s="1021"/>
      <c r="KXD45" s="1021"/>
      <c r="KXE45" s="1021"/>
      <c r="KXF45" s="1021"/>
      <c r="KXG45" s="1021"/>
      <c r="KXH45" s="1021"/>
      <c r="KXI45" s="1021"/>
      <c r="KXJ45" s="1021"/>
      <c r="KXK45" s="1021"/>
      <c r="KXL45" s="1021"/>
      <c r="KXM45" s="1021"/>
      <c r="KXN45" s="1021"/>
      <c r="KXO45" s="1021"/>
      <c r="KXP45" s="1021"/>
      <c r="KXQ45" s="1021"/>
      <c r="KXR45" s="1021"/>
      <c r="KXS45" s="1021"/>
      <c r="KXT45" s="1021"/>
      <c r="KXU45" s="1021"/>
      <c r="KXV45" s="1021"/>
      <c r="KXW45" s="1021"/>
      <c r="KXX45" s="1021"/>
      <c r="KXY45" s="1021"/>
      <c r="KXZ45" s="1021"/>
      <c r="KYA45" s="1021"/>
      <c r="KYB45" s="1021"/>
      <c r="KYC45" s="1021"/>
      <c r="KYD45" s="1021"/>
      <c r="KYE45" s="1021"/>
      <c r="KYF45" s="1021"/>
      <c r="KYG45" s="1021"/>
      <c r="KYH45" s="1021"/>
      <c r="KYI45" s="1021"/>
      <c r="KYJ45" s="1021"/>
      <c r="KYK45" s="1021"/>
      <c r="KYL45" s="1021"/>
      <c r="KYM45" s="1021"/>
      <c r="KYN45" s="1021"/>
      <c r="KYO45" s="1021"/>
      <c r="KYP45" s="1021"/>
      <c r="KYQ45" s="1021"/>
      <c r="KYR45" s="1021"/>
      <c r="KYS45" s="1021"/>
      <c r="KYT45" s="1021"/>
      <c r="KYU45" s="1021"/>
      <c r="KYV45" s="1021"/>
      <c r="KYW45" s="1021"/>
      <c r="KYX45" s="1021"/>
      <c r="KYY45" s="1021"/>
      <c r="KYZ45" s="1021"/>
      <c r="KZA45" s="1021"/>
      <c r="KZB45" s="1021"/>
      <c r="KZC45" s="1021"/>
      <c r="KZD45" s="1021"/>
      <c r="KZE45" s="1021"/>
      <c r="KZF45" s="1021"/>
      <c r="KZG45" s="1021"/>
      <c r="KZH45" s="1021"/>
      <c r="KZI45" s="1021"/>
      <c r="KZJ45" s="1021"/>
      <c r="KZK45" s="1021"/>
      <c r="KZL45" s="1021"/>
      <c r="KZM45" s="1021"/>
      <c r="KZN45" s="1021"/>
      <c r="KZO45" s="1021"/>
      <c r="KZP45" s="1021"/>
      <c r="KZQ45" s="1021"/>
      <c r="KZR45" s="1021"/>
      <c r="KZS45" s="1021"/>
      <c r="KZT45" s="1021"/>
      <c r="KZU45" s="1021"/>
      <c r="KZV45" s="1021"/>
      <c r="KZW45" s="1021"/>
      <c r="KZX45" s="1021"/>
      <c r="KZY45" s="1021"/>
      <c r="KZZ45" s="1021"/>
      <c r="LAA45" s="1021"/>
      <c r="LAB45" s="1021"/>
      <c r="LAC45" s="1021"/>
      <c r="LAD45" s="1021"/>
      <c r="LAE45" s="1021"/>
      <c r="LAF45" s="1021"/>
      <c r="LAG45" s="1021"/>
      <c r="LAH45" s="1021"/>
      <c r="LAI45" s="1021"/>
      <c r="LAJ45" s="1021"/>
      <c r="LAK45" s="1021"/>
      <c r="LAL45" s="1021"/>
      <c r="LAM45" s="1021"/>
      <c r="LAN45" s="1021"/>
      <c r="LAO45" s="1021"/>
      <c r="LAP45" s="1021"/>
      <c r="LAQ45" s="1021"/>
      <c r="LAR45" s="1021"/>
      <c r="LAS45" s="1021"/>
      <c r="LAT45" s="1021"/>
      <c r="LAU45" s="1021"/>
      <c r="LAV45" s="1021"/>
      <c r="LAW45" s="1021"/>
      <c r="LAX45" s="1021"/>
      <c r="LAY45" s="1021"/>
      <c r="LAZ45" s="1021"/>
      <c r="LBA45" s="1021"/>
      <c r="LBB45" s="1021"/>
      <c r="LBC45" s="1021"/>
      <c r="LBD45" s="1021"/>
      <c r="LBE45" s="1021"/>
      <c r="LBF45" s="1021"/>
      <c r="LBG45" s="1021"/>
      <c r="LBH45" s="1021"/>
      <c r="LBI45" s="1021"/>
      <c r="LBJ45" s="1021"/>
      <c r="LBK45" s="1021"/>
      <c r="LBL45" s="1021"/>
      <c r="LBM45" s="1021"/>
      <c r="LBN45" s="1021"/>
      <c r="LBO45" s="1021"/>
      <c r="LBP45" s="1021"/>
      <c r="LBQ45" s="1021"/>
      <c r="LBR45" s="1021"/>
      <c r="LBS45" s="1021"/>
      <c r="LBT45" s="1021"/>
      <c r="LBU45" s="1021"/>
      <c r="LBV45" s="1021"/>
      <c r="LBW45" s="1021"/>
      <c r="LBX45" s="1021"/>
      <c r="LBY45" s="1021"/>
      <c r="LBZ45" s="1021"/>
      <c r="LCA45" s="1021"/>
      <c r="LCB45" s="1021"/>
      <c r="LCC45" s="1021"/>
      <c r="LCD45" s="1021"/>
      <c r="LCE45" s="1021"/>
      <c r="LCF45" s="1021"/>
      <c r="LCG45" s="1021"/>
      <c r="LCH45" s="1021"/>
      <c r="LCI45" s="1021"/>
      <c r="LCJ45" s="1021"/>
      <c r="LCK45" s="1021"/>
      <c r="LCL45" s="1021"/>
      <c r="LCM45" s="1021"/>
      <c r="LCN45" s="1021"/>
      <c r="LCO45" s="1021"/>
      <c r="LCP45" s="1021"/>
      <c r="LCQ45" s="1021"/>
      <c r="LCR45" s="1021"/>
      <c r="LCS45" s="1021"/>
      <c r="LCT45" s="1021"/>
      <c r="LCU45" s="1021"/>
      <c r="LCV45" s="1021"/>
      <c r="LCW45" s="1021"/>
      <c r="LCX45" s="1021"/>
      <c r="LCY45" s="1021"/>
      <c r="LCZ45" s="1021"/>
      <c r="LDA45" s="1021"/>
      <c r="LDB45" s="1021"/>
      <c r="LDC45" s="1021"/>
      <c r="LDD45" s="1021"/>
      <c r="LDE45" s="1021"/>
      <c r="LDF45" s="1021"/>
      <c r="LDG45" s="1021"/>
      <c r="LDH45" s="1021"/>
      <c r="LDI45" s="1021"/>
      <c r="LDJ45" s="1021"/>
      <c r="LDK45" s="1021"/>
      <c r="LDL45" s="1021"/>
      <c r="LDM45" s="1021"/>
      <c r="LDN45" s="1021"/>
      <c r="LDO45" s="1021"/>
      <c r="LDP45" s="1021"/>
      <c r="LDQ45" s="1021"/>
      <c r="LDR45" s="1021"/>
      <c r="LDS45" s="1021"/>
      <c r="LDT45" s="1021"/>
      <c r="LDU45" s="1021"/>
      <c r="LDV45" s="1021"/>
      <c r="LDW45" s="1021"/>
      <c r="LDX45" s="1021"/>
      <c r="LDY45" s="1021"/>
      <c r="LDZ45" s="1021"/>
      <c r="LEA45" s="1021"/>
      <c r="LEB45" s="1021"/>
      <c r="LEC45" s="1021"/>
      <c r="LED45" s="1021"/>
      <c r="LEE45" s="1021"/>
      <c r="LEF45" s="1021"/>
      <c r="LEG45" s="1021"/>
      <c r="LEH45" s="1021"/>
      <c r="LEI45" s="1021"/>
      <c r="LEJ45" s="1021"/>
      <c r="LEK45" s="1021"/>
      <c r="LEL45" s="1021"/>
      <c r="LEM45" s="1021"/>
      <c r="LEN45" s="1021"/>
      <c r="LEO45" s="1021"/>
      <c r="LEP45" s="1021"/>
      <c r="LEQ45" s="1021"/>
      <c r="LER45" s="1021"/>
      <c r="LES45" s="1021"/>
      <c r="LET45" s="1021"/>
      <c r="LEU45" s="1021"/>
      <c r="LEV45" s="1021"/>
      <c r="LEW45" s="1021"/>
      <c r="LEX45" s="1021"/>
      <c r="LEY45" s="1021"/>
      <c r="LEZ45" s="1021"/>
      <c r="LFA45" s="1021"/>
      <c r="LFB45" s="1021"/>
      <c r="LFC45" s="1021"/>
      <c r="LFD45" s="1021"/>
      <c r="LFE45" s="1021"/>
      <c r="LFF45" s="1021"/>
      <c r="LFG45" s="1021"/>
      <c r="LFH45" s="1021"/>
      <c r="LFI45" s="1021"/>
      <c r="LFJ45" s="1021"/>
      <c r="LFK45" s="1021"/>
      <c r="LFL45" s="1021"/>
      <c r="LFM45" s="1021"/>
      <c r="LFN45" s="1021"/>
      <c r="LFO45" s="1021"/>
      <c r="LFP45" s="1021"/>
      <c r="LFQ45" s="1021"/>
      <c r="LFR45" s="1021"/>
      <c r="LFS45" s="1021"/>
      <c r="LFT45" s="1021"/>
      <c r="LFU45" s="1021"/>
      <c r="LFV45" s="1021"/>
      <c r="LFW45" s="1021"/>
      <c r="LFX45" s="1021"/>
      <c r="LFY45" s="1021"/>
      <c r="LFZ45" s="1021"/>
      <c r="LGA45" s="1021"/>
      <c r="LGB45" s="1021"/>
      <c r="LGC45" s="1021"/>
      <c r="LGD45" s="1021"/>
      <c r="LGE45" s="1021"/>
      <c r="LGF45" s="1021"/>
      <c r="LGG45" s="1021"/>
      <c r="LGH45" s="1021"/>
      <c r="LGI45" s="1021"/>
      <c r="LGJ45" s="1021"/>
      <c r="LGK45" s="1021"/>
      <c r="LGL45" s="1021"/>
      <c r="LGM45" s="1021"/>
      <c r="LGN45" s="1021"/>
      <c r="LGO45" s="1021"/>
      <c r="LGP45" s="1021"/>
      <c r="LGQ45" s="1021"/>
      <c r="LGR45" s="1021"/>
      <c r="LGS45" s="1021"/>
      <c r="LGT45" s="1021"/>
      <c r="LGU45" s="1021"/>
      <c r="LGV45" s="1021"/>
      <c r="LGW45" s="1021"/>
      <c r="LGX45" s="1021"/>
      <c r="LGY45" s="1021"/>
      <c r="LGZ45" s="1021"/>
      <c r="LHA45" s="1021"/>
      <c r="LHB45" s="1021"/>
      <c r="LHC45" s="1021"/>
      <c r="LHD45" s="1021"/>
      <c r="LHE45" s="1021"/>
      <c r="LHF45" s="1021"/>
      <c r="LHG45" s="1021"/>
      <c r="LHH45" s="1021"/>
      <c r="LHI45" s="1021"/>
      <c r="LHJ45" s="1021"/>
      <c r="LHK45" s="1021"/>
      <c r="LHL45" s="1021"/>
      <c r="LHM45" s="1021"/>
      <c r="LHN45" s="1021"/>
      <c r="LHO45" s="1021"/>
      <c r="LHP45" s="1021"/>
      <c r="LHQ45" s="1021"/>
      <c r="LHR45" s="1021"/>
      <c r="LHS45" s="1021"/>
      <c r="LHT45" s="1021"/>
      <c r="LHU45" s="1021"/>
      <c r="LHV45" s="1021"/>
      <c r="LHW45" s="1021"/>
      <c r="LHX45" s="1021"/>
      <c r="LHY45" s="1021"/>
      <c r="LHZ45" s="1021"/>
      <c r="LIA45" s="1021"/>
      <c r="LIB45" s="1021"/>
      <c r="LIC45" s="1021"/>
      <c r="LID45" s="1021"/>
      <c r="LIE45" s="1021"/>
      <c r="LIF45" s="1021"/>
      <c r="LIG45" s="1021"/>
      <c r="LIH45" s="1021"/>
      <c r="LII45" s="1021"/>
      <c r="LIJ45" s="1021"/>
      <c r="LIK45" s="1021"/>
      <c r="LIL45" s="1021"/>
      <c r="LIM45" s="1021"/>
      <c r="LIN45" s="1021"/>
      <c r="LIO45" s="1021"/>
      <c r="LIP45" s="1021"/>
      <c r="LIQ45" s="1021"/>
      <c r="LIR45" s="1021"/>
      <c r="LIS45" s="1021"/>
      <c r="LIT45" s="1021"/>
      <c r="LIU45" s="1021"/>
      <c r="LIV45" s="1021"/>
      <c r="LIW45" s="1021"/>
      <c r="LIX45" s="1021"/>
      <c r="LIY45" s="1021"/>
      <c r="LIZ45" s="1021"/>
      <c r="LJA45" s="1021"/>
      <c r="LJB45" s="1021"/>
      <c r="LJC45" s="1021"/>
      <c r="LJD45" s="1021"/>
      <c r="LJE45" s="1021"/>
      <c r="LJF45" s="1021"/>
      <c r="LJG45" s="1021"/>
      <c r="LJH45" s="1021"/>
      <c r="LJI45" s="1021"/>
      <c r="LJJ45" s="1021"/>
      <c r="LJK45" s="1021"/>
      <c r="LJL45" s="1021"/>
      <c r="LJM45" s="1021"/>
      <c r="LJN45" s="1021"/>
      <c r="LJO45" s="1021"/>
      <c r="LJP45" s="1021"/>
      <c r="LJQ45" s="1021"/>
      <c r="LJR45" s="1021"/>
      <c r="LJS45" s="1021"/>
      <c r="LJT45" s="1021"/>
      <c r="LJU45" s="1021"/>
      <c r="LJV45" s="1021"/>
      <c r="LJW45" s="1021"/>
      <c r="LJX45" s="1021"/>
      <c r="LJY45" s="1021"/>
      <c r="LJZ45" s="1021"/>
      <c r="LKA45" s="1021"/>
      <c r="LKB45" s="1021"/>
      <c r="LKC45" s="1021"/>
      <c r="LKD45" s="1021"/>
      <c r="LKE45" s="1021"/>
      <c r="LKF45" s="1021"/>
      <c r="LKG45" s="1021"/>
      <c r="LKH45" s="1021"/>
      <c r="LKI45" s="1021"/>
      <c r="LKJ45" s="1021"/>
      <c r="LKK45" s="1021"/>
      <c r="LKL45" s="1021"/>
      <c r="LKM45" s="1021"/>
      <c r="LKN45" s="1021"/>
      <c r="LKO45" s="1021"/>
      <c r="LKP45" s="1021"/>
      <c r="LKQ45" s="1021"/>
      <c r="LKR45" s="1021"/>
      <c r="LKS45" s="1021"/>
      <c r="LKT45" s="1021"/>
      <c r="LKU45" s="1021"/>
      <c r="LKV45" s="1021"/>
      <c r="LKW45" s="1021"/>
      <c r="LKX45" s="1021"/>
      <c r="LKY45" s="1021"/>
      <c r="LKZ45" s="1021"/>
      <c r="LLA45" s="1021"/>
      <c r="LLB45" s="1021"/>
      <c r="LLC45" s="1021"/>
      <c r="LLD45" s="1021"/>
      <c r="LLE45" s="1021"/>
      <c r="LLF45" s="1021"/>
      <c r="LLG45" s="1021"/>
      <c r="LLH45" s="1021"/>
      <c r="LLI45" s="1021"/>
      <c r="LLJ45" s="1021"/>
      <c r="LLK45" s="1021"/>
      <c r="LLL45" s="1021"/>
      <c r="LLM45" s="1021"/>
      <c r="LLN45" s="1021"/>
      <c r="LLO45" s="1021"/>
      <c r="LLP45" s="1021"/>
      <c r="LLQ45" s="1021"/>
      <c r="LLR45" s="1021"/>
      <c r="LLS45" s="1021"/>
      <c r="LLT45" s="1021"/>
      <c r="LLU45" s="1021"/>
      <c r="LLV45" s="1021"/>
      <c r="LLW45" s="1021"/>
      <c r="LLX45" s="1021"/>
      <c r="LLY45" s="1021"/>
      <c r="LLZ45" s="1021"/>
      <c r="LMA45" s="1021"/>
      <c r="LMB45" s="1021"/>
      <c r="LMC45" s="1021"/>
      <c r="LMD45" s="1021"/>
      <c r="LME45" s="1021"/>
      <c r="LMF45" s="1021"/>
      <c r="LMG45" s="1021"/>
      <c r="LMH45" s="1021"/>
      <c r="LMI45" s="1021"/>
      <c r="LMJ45" s="1021"/>
      <c r="LMK45" s="1021"/>
      <c r="LML45" s="1021"/>
      <c r="LMM45" s="1021"/>
      <c r="LMN45" s="1021"/>
      <c r="LMO45" s="1021"/>
      <c r="LMP45" s="1021"/>
      <c r="LMQ45" s="1021"/>
      <c r="LMR45" s="1021"/>
      <c r="LMS45" s="1021"/>
      <c r="LMT45" s="1021"/>
      <c r="LMU45" s="1021"/>
      <c r="LMV45" s="1021"/>
      <c r="LMW45" s="1021"/>
      <c r="LMX45" s="1021"/>
      <c r="LMY45" s="1021"/>
      <c r="LMZ45" s="1021"/>
      <c r="LNA45" s="1021"/>
      <c r="LNB45" s="1021"/>
      <c r="LNC45" s="1021"/>
      <c r="LND45" s="1021"/>
      <c r="LNE45" s="1021"/>
      <c r="LNF45" s="1021"/>
      <c r="LNG45" s="1021"/>
      <c r="LNH45" s="1021"/>
      <c r="LNI45" s="1021"/>
      <c r="LNJ45" s="1021"/>
      <c r="LNK45" s="1021"/>
      <c r="LNL45" s="1021"/>
      <c r="LNM45" s="1021"/>
      <c r="LNN45" s="1021"/>
      <c r="LNO45" s="1021"/>
      <c r="LNP45" s="1021"/>
      <c r="LNQ45" s="1021"/>
      <c r="LNR45" s="1021"/>
      <c r="LNS45" s="1021"/>
      <c r="LNT45" s="1021"/>
      <c r="LNU45" s="1021"/>
      <c r="LNV45" s="1021"/>
      <c r="LNW45" s="1021"/>
      <c r="LNX45" s="1021"/>
      <c r="LNY45" s="1021"/>
      <c r="LNZ45" s="1021"/>
      <c r="LOA45" s="1021"/>
      <c r="LOB45" s="1021"/>
      <c r="LOC45" s="1021"/>
      <c r="LOD45" s="1021"/>
      <c r="LOE45" s="1021"/>
      <c r="LOF45" s="1021"/>
      <c r="LOG45" s="1021"/>
      <c r="LOH45" s="1021"/>
      <c r="LOI45" s="1021"/>
      <c r="LOJ45" s="1021"/>
      <c r="LOK45" s="1021"/>
      <c r="LOL45" s="1021"/>
      <c r="LOM45" s="1021"/>
      <c r="LON45" s="1021"/>
      <c r="LOO45" s="1021"/>
      <c r="LOP45" s="1021"/>
      <c r="LOQ45" s="1021"/>
      <c r="LOR45" s="1021"/>
      <c r="LOS45" s="1021"/>
      <c r="LOT45" s="1021"/>
      <c r="LOU45" s="1021"/>
      <c r="LOV45" s="1021"/>
      <c r="LOW45" s="1021"/>
      <c r="LOX45" s="1021"/>
      <c r="LOY45" s="1021"/>
      <c r="LOZ45" s="1021"/>
      <c r="LPA45" s="1021"/>
      <c r="LPB45" s="1021"/>
      <c r="LPC45" s="1021"/>
      <c r="LPD45" s="1021"/>
      <c r="LPE45" s="1021"/>
      <c r="LPF45" s="1021"/>
      <c r="LPG45" s="1021"/>
      <c r="LPH45" s="1021"/>
      <c r="LPI45" s="1021"/>
      <c r="LPJ45" s="1021"/>
      <c r="LPK45" s="1021"/>
      <c r="LPL45" s="1021"/>
      <c r="LPM45" s="1021"/>
      <c r="LPN45" s="1021"/>
      <c r="LPO45" s="1021"/>
      <c r="LPP45" s="1021"/>
      <c r="LPQ45" s="1021"/>
      <c r="LPR45" s="1021"/>
      <c r="LPS45" s="1021"/>
      <c r="LPT45" s="1021"/>
      <c r="LPU45" s="1021"/>
      <c r="LPV45" s="1021"/>
      <c r="LPW45" s="1021"/>
      <c r="LPX45" s="1021"/>
      <c r="LPY45" s="1021"/>
      <c r="LPZ45" s="1021"/>
      <c r="LQA45" s="1021"/>
      <c r="LQB45" s="1021"/>
      <c r="LQC45" s="1021"/>
      <c r="LQD45" s="1021"/>
      <c r="LQE45" s="1021"/>
      <c r="LQF45" s="1021"/>
      <c r="LQG45" s="1021"/>
      <c r="LQH45" s="1021"/>
      <c r="LQI45" s="1021"/>
      <c r="LQJ45" s="1021"/>
      <c r="LQK45" s="1021"/>
      <c r="LQL45" s="1021"/>
      <c r="LQM45" s="1021"/>
      <c r="LQN45" s="1021"/>
      <c r="LQO45" s="1021"/>
      <c r="LQP45" s="1021"/>
      <c r="LQQ45" s="1021"/>
      <c r="LQR45" s="1021"/>
      <c r="LQS45" s="1021"/>
      <c r="LQT45" s="1021"/>
      <c r="LQU45" s="1021"/>
      <c r="LQV45" s="1021"/>
      <c r="LQW45" s="1021"/>
      <c r="LQX45" s="1021"/>
      <c r="LQY45" s="1021"/>
      <c r="LQZ45" s="1021"/>
      <c r="LRA45" s="1021"/>
      <c r="LRB45" s="1021"/>
      <c r="LRC45" s="1021"/>
      <c r="LRD45" s="1021"/>
      <c r="LRE45" s="1021"/>
      <c r="LRF45" s="1021"/>
      <c r="LRG45" s="1021"/>
      <c r="LRH45" s="1021"/>
      <c r="LRI45" s="1021"/>
      <c r="LRJ45" s="1021"/>
      <c r="LRK45" s="1021"/>
      <c r="LRL45" s="1021"/>
      <c r="LRM45" s="1021"/>
      <c r="LRN45" s="1021"/>
      <c r="LRO45" s="1021"/>
      <c r="LRP45" s="1021"/>
      <c r="LRQ45" s="1021"/>
      <c r="LRR45" s="1021"/>
      <c r="LRS45" s="1021"/>
      <c r="LRT45" s="1021"/>
      <c r="LRU45" s="1021"/>
      <c r="LRV45" s="1021"/>
      <c r="LRW45" s="1021"/>
      <c r="LRX45" s="1021"/>
      <c r="LRY45" s="1021"/>
      <c r="LRZ45" s="1021"/>
      <c r="LSA45" s="1021"/>
      <c r="LSB45" s="1021"/>
      <c r="LSC45" s="1021"/>
      <c r="LSD45" s="1021"/>
      <c r="LSE45" s="1021"/>
      <c r="LSF45" s="1021"/>
      <c r="LSG45" s="1021"/>
      <c r="LSH45" s="1021"/>
      <c r="LSI45" s="1021"/>
      <c r="LSJ45" s="1021"/>
      <c r="LSK45" s="1021"/>
      <c r="LSL45" s="1021"/>
      <c r="LSM45" s="1021"/>
      <c r="LSN45" s="1021"/>
      <c r="LSO45" s="1021"/>
      <c r="LSP45" s="1021"/>
      <c r="LSQ45" s="1021"/>
      <c r="LSR45" s="1021"/>
      <c r="LSS45" s="1021"/>
      <c r="LST45" s="1021"/>
      <c r="LSU45" s="1021"/>
      <c r="LSV45" s="1021"/>
      <c r="LSW45" s="1021"/>
      <c r="LSX45" s="1021"/>
      <c r="LSY45" s="1021"/>
      <c r="LSZ45" s="1021"/>
      <c r="LTA45" s="1021"/>
      <c r="LTB45" s="1021"/>
      <c r="LTC45" s="1021"/>
      <c r="LTD45" s="1021"/>
      <c r="LTE45" s="1021"/>
      <c r="LTF45" s="1021"/>
      <c r="LTG45" s="1021"/>
      <c r="LTH45" s="1021"/>
      <c r="LTI45" s="1021"/>
      <c r="LTJ45" s="1021"/>
      <c r="LTK45" s="1021"/>
      <c r="LTL45" s="1021"/>
      <c r="LTM45" s="1021"/>
      <c r="LTN45" s="1021"/>
      <c r="LTO45" s="1021"/>
      <c r="LTP45" s="1021"/>
      <c r="LTQ45" s="1021"/>
      <c r="LTR45" s="1021"/>
      <c r="LTS45" s="1021"/>
      <c r="LTT45" s="1021"/>
      <c r="LTU45" s="1021"/>
      <c r="LTV45" s="1021"/>
      <c r="LTW45" s="1021"/>
      <c r="LTX45" s="1021"/>
      <c r="LTY45" s="1021"/>
      <c r="LTZ45" s="1021"/>
      <c r="LUA45" s="1021"/>
      <c r="LUB45" s="1021"/>
      <c r="LUC45" s="1021"/>
      <c r="LUD45" s="1021"/>
      <c r="LUE45" s="1021"/>
      <c r="LUF45" s="1021"/>
      <c r="LUG45" s="1021"/>
      <c r="LUH45" s="1021"/>
      <c r="LUI45" s="1021"/>
      <c r="LUJ45" s="1021"/>
      <c r="LUK45" s="1021"/>
      <c r="LUL45" s="1021"/>
      <c r="LUM45" s="1021"/>
      <c r="LUN45" s="1021"/>
      <c r="LUO45" s="1021"/>
      <c r="LUP45" s="1021"/>
      <c r="LUQ45" s="1021"/>
      <c r="LUR45" s="1021"/>
      <c r="LUS45" s="1021"/>
      <c r="LUT45" s="1021"/>
      <c r="LUU45" s="1021"/>
      <c r="LUV45" s="1021"/>
      <c r="LUW45" s="1021"/>
      <c r="LUX45" s="1021"/>
      <c r="LUY45" s="1021"/>
      <c r="LUZ45" s="1021"/>
      <c r="LVA45" s="1021"/>
      <c r="LVB45" s="1021"/>
      <c r="LVC45" s="1021"/>
      <c r="LVD45" s="1021"/>
      <c r="LVE45" s="1021"/>
      <c r="LVF45" s="1021"/>
      <c r="LVG45" s="1021"/>
      <c r="LVH45" s="1021"/>
      <c r="LVI45" s="1021"/>
      <c r="LVJ45" s="1021"/>
      <c r="LVK45" s="1021"/>
      <c r="LVL45" s="1021"/>
      <c r="LVM45" s="1021"/>
      <c r="LVN45" s="1021"/>
      <c r="LVO45" s="1021"/>
      <c r="LVP45" s="1021"/>
      <c r="LVQ45" s="1021"/>
      <c r="LVR45" s="1021"/>
      <c r="LVS45" s="1021"/>
      <c r="LVT45" s="1021"/>
      <c r="LVU45" s="1021"/>
      <c r="LVV45" s="1021"/>
      <c r="LVW45" s="1021"/>
      <c r="LVX45" s="1021"/>
      <c r="LVY45" s="1021"/>
      <c r="LVZ45" s="1021"/>
      <c r="LWA45" s="1021"/>
      <c r="LWB45" s="1021"/>
      <c r="LWC45" s="1021"/>
      <c r="LWD45" s="1021"/>
      <c r="LWE45" s="1021"/>
      <c r="LWF45" s="1021"/>
      <c r="LWG45" s="1021"/>
      <c r="LWH45" s="1021"/>
      <c r="LWI45" s="1021"/>
      <c r="LWJ45" s="1021"/>
      <c r="LWK45" s="1021"/>
      <c r="LWL45" s="1021"/>
      <c r="LWM45" s="1021"/>
      <c r="LWN45" s="1021"/>
      <c r="LWO45" s="1021"/>
      <c r="LWP45" s="1021"/>
      <c r="LWQ45" s="1021"/>
      <c r="LWR45" s="1021"/>
      <c r="LWS45" s="1021"/>
      <c r="LWT45" s="1021"/>
      <c r="LWU45" s="1021"/>
      <c r="LWV45" s="1021"/>
      <c r="LWW45" s="1021"/>
      <c r="LWX45" s="1021"/>
      <c r="LWY45" s="1021"/>
      <c r="LWZ45" s="1021"/>
      <c r="LXA45" s="1021"/>
      <c r="LXB45" s="1021"/>
      <c r="LXC45" s="1021"/>
      <c r="LXD45" s="1021"/>
      <c r="LXE45" s="1021"/>
      <c r="LXF45" s="1021"/>
      <c r="LXG45" s="1021"/>
      <c r="LXH45" s="1021"/>
      <c r="LXI45" s="1021"/>
      <c r="LXJ45" s="1021"/>
      <c r="LXK45" s="1021"/>
      <c r="LXL45" s="1021"/>
      <c r="LXM45" s="1021"/>
      <c r="LXN45" s="1021"/>
      <c r="LXO45" s="1021"/>
      <c r="LXP45" s="1021"/>
      <c r="LXQ45" s="1021"/>
      <c r="LXR45" s="1021"/>
      <c r="LXS45" s="1021"/>
      <c r="LXT45" s="1021"/>
      <c r="LXU45" s="1021"/>
      <c r="LXV45" s="1021"/>
      <c r="LXW45" s="1021"/>
      <c r="LXX45" s="1021"/>
      <c r="LXY45" s="1021"/>
      <c r="LXZ45" s="1021"/>
      <c r="LYA45" s="1021"/>
      <c r="LYB45" s="1021"/>
      <c r="LYC45" s="1021"/>
      <c r="LYD45" s="1021"/>
      <c r="LYE45" s="1021"/>
      <c r="LYF45" s="1021"/>
      <c r="LYG45" s="1021"/>
      <c r="LYH45" s="1021"/>
      <c r="LYI45" s="1021"/>
      <c r="LYJ45" s="1021"/>
      <c r="LYK45" s="1021"/>
      <c r="LYL45" s="1021"/>
      <c r="LYM45" s="1021"/>
      <c r="LYN45" s="1021"/>
      <c r="LYO45" s="1021"/>
      <c r="LYP45" s="1021"/>
      <c r="LYQ45" s="1021"/>
      <c r="LYR45" s="1021"/>
      <c r="LYS45" s="1021"/>
      <c r="LYT45" s="1021"/>
      <c r="LYU45" s="1021"/>
      <c r="LYV45" s="1021"/>
      <c r="LYW45" s="1021"/>
      <c r="LYX45" s="1021"/>
      <c r="LYY45" s="1021"/>
      <c r="LYZ45" s="1021"/>
      <c r="LZA45" s="1021"/>
      <c r="LZB45" s="1021"/>
      <c r="LZC45" s="1021"/>
      <c r="LZD45" s="1021"/>
      <c r="LZE45" s="1021"/>
      <c r="LZF45" s="1021"/>
      <c r="LZG45" s="1021"/>
      <c r="LZH45" s="1021"/>
      <c r="LZI45" s="1021"/>
      <c r="LZJ45" s="1021"/>
      <c r="LZK45" s="1021"/>
      <c r="LZL45" s="1021"/>
      <c r="LZM45" s="1021"/>
      <c r="LZN45" s="1021"/>
      <c r="LZO45" s="1021"/>
      <c r="LZP45" s="1021"/>
      <c r="LZQ45" s="1021"/>
      <c r="LZR45" s="1021"/>
      <c r="LZS45" s="1021"/>
      <c r="LZT45" s="1021"/>
      <c r="LZU45" s="1021"/>
      <c r="LZV45" s="1021"/>
      <c r="LZW45" s="1021"/>
      <c r="LZX45" s="1021"/>
      <c r="LZY45" s="1021"/>
      <c r="LZZ45" s="1021"/>
      <c r="MAA45" s="1021"/>
      <c r="MAB45" s="1021"/>
      <c r="MAC45" s="1021"/>
      <c r="MAD45" s="1021"/>
      <c r="MAE45" s="1021"/>
      <c r="MAF45" s="1021"/>
      <c r="MAG45" s="1021"/>
      <c r="MAH45" s="1021"/>
      <c r="MAI45" s="1021"/>
      <c r="MAJ45" s="1021"/>
      <c r="MAK45" s="1021"/>
      <c r="MAL45" s="1021"/>
      <c r="MAM45" s="1021"/>
      <c r="MAN45" s="1021"/>
      <c r="MAO45" s="1021"/>
      <c r="MAP45" s="1021"/>
      <c r="MAQ45" s="1021"/>
      <c r="MAR45" s="1021"/>
      <c r="MAS45" s="1021"/>
      <c r="MAT45" s="1021"/>
      <c r="MAU45" s="1021"/>
      <c r="MAV45" s="1021"/>
      <c r="MAW45" s="1021"/>
      <c r="MAX45" s="1021"/>
      <c r="MAY45" s="1021"/>
      <c r="MAZ45" s="1021"/>
      <c r="MBA45" s="1021"/>
      <c r="MBB45" s="1021"/>
      <c r="MBC45" s="1021"/>
      <c r="MBD45" s="1021"/>
      <c r="MBE45" s="1021"/>
      <c r="MBF45" s="1021"/>
      <c r="MBG45" s="1021"/>
      <c r="MBH45" s="1021"/>
      <c r="MBI45" s="1021"/>
      <c r="MBJ45" s="1021"/>
      <c r="MBK45" s="1021"/>
      <c r="MBL45" s="1021"/>
      <c r="MBM45" s="1021"/>
      <c r="MBN45" s="1021"/>
      <c r="MBO45" s="1021"/>
      <c r="MBP45" s="1021"/>
      <c r="MBQ45" s="1021"/>
      <c r="MBR45" s="1021"/>
      <c r="MBS45" s="1021"/>
      <c r="MBT45" s="1021"/>
      <c r="MBU45" s="1021"/>
      <c r="MBV45" s="1021"/>
      <c r="MBW45" s="1021"/>
      <c r="MBX45" s="1021"/>
      <c r="MBY45" s="1021"/>
      <c r="MBZ45" s="1021"/>
      <c r="MCA45" s="1021"/>
      <c r="MCB45" s="1021"/>
      <c r="MCC45" s="1021"/>
      <c r="MCD45" s="1021"/>
      <c r="MCE45" s="1021"/>
      <c r="MCF45" s="1021"/>
      <c r="MCG45" s="1021"/>
      <c r="MCH45" s="1021"/>
      <c r="MCI45" s="1021"/>
      <c r="MCJ45" s="1021"/>
      <c r="MCK45" s="1021"/>
      <c r="MCL45" s="1021"/>
      <c r="MCM45" s="1021"/>
      <c r="MCN45" s="1021"/>
      <c r="MCO45" s="1021"/>
      <c r="MCP45" s="1021"/>
      <c r="MCQ45" s="1021"/>
      <c r="MCR45" s="1021"/>
      <c r="MCS45" s="1021"/>
      <c r="MCT45" s="1021"/>
      <c r="MCU45" s="1021"/>
      <c r="MCV45" s="1021"/>
      <c r="MCW45" s="1021"/>
      <c r="MCX45" s="1021"/>
      <c r="MCY45" s="1021"/>
      <c r="MCZ45" s="1021"/>
      <c r="MDA45" s="1021"/>
      <c r="MDB45" s="1021"/>
      <c r="MDC45" s="1021"/>
      <c r="MDD45" s="1021"/>
      <c r="MDE45" s="1021"/>
      <c r="MDF45" s="1021"/>
      <c r="MDG45" s="1021"/>
      <c r="MDH45" s="1021"/>
      <c r="MDI45" s="1021"/>
      <c r="MDJ45" s="1021"/>
      <c r="MDK45" s="1021"/>
      <c r="MDL45" s="1021"/>
      <c r="MDM45" s="1021"/>
      <c r="MDN45" s="1021"/>
      <c r="MDO45" s="1021"/>
      <c r="MDP45" s="1021"/>
      <c r="MDQ45" s="1021"/>
      <c r="MDR45" s="1021"/>
      <c r="MDS45" s="1021"/>
      <c r="MDT45" s="1021"/>
      <c r="MDU45" s="1021"/>
      <c r="MDV45" s="1021"/>
      <c r="MDW45" s="1021"/>
      <c r="MDX45" s="1021"/>
      <c r="MDY45" s="1021"/>
      <c r="MDZ45" s="1021"/>
      <c r="MEA45" s="1021"/>
      <c r="MEB45" s="1021"/>
      <c r="MEC45" s="1021"/>
      <c r="MED45" s="1021"/>
      <c r="MEE45" s="1021"/>
      <c r="MEF45" s="1021"/>
      <c r="MEG45" s="1021"/>
      <c r="MEH45" s="1021"/>
      <c r="MEI45" s="1021"/>
      <c r="MEJ45" s="1021"/>
      <c r="MEK45" s="1021"/>
      <c r="MEL45" s="1021"/>
      <c r="MEM45" s="1021"/>
      <c r="MEN45" s="1021"/>
      <c r="MEO45" s="1021"/>
      <c r="MEP45" s="1021"/>
      <c r="MEQ45" s="1021"/>
      <c r="MER45" s="1021"/>
      <c r="MES45" s="1021"/>
      <c r="MET45" s="1021"/>
      <c r="MEU45" s="1021"/>
      <c r="MEV45" s="1021"/>
      <c r="MEW45" s="1021"/>
      <c r="MEX45" s="1021"/>
      <c r="MEY45" s="1021"/>
      <c r="MEZ45" s="1021"/>
      <c r="MFA45" s="1021"/>
      <c r="MFB45" s="1021"/>
      <c r="MFC45" s="1021"/>
      <c r="MFD45" s="1021"/>
      <c r="MFE45" s="1021"/>
      <c r="MFF45" s="1021"/>
      <c r="MFG45" s="1021"/>
      <c r="MFH45" s="1021"/>
      <c r="MFI45" s="1021"/>
      <c r="MFJ45" s="1021"/>
      <c r="MFK45" s="1021"/>
      <c r="MFL45" s="1021"/>
      <c r="MFM45" s="1021"/>
      <c r="MFN45" s="1021"/>
      <c r="MFO45" s="1021"/>
      <c r="MFP45" s="1021"/>
      <c r="MFQ45" s="1021"/>
      <c r="MFR45" s="1021"/>
      <c r="MFS45" s="1021"/>
      <c r="MFT45" s="1021"/>
      <c r="MFU45" s="1021"/>
      <c r="MFV45" s="1021"/>
      <c r="MFW45" s="1021"/>
      <c r="MFX45" s="1021"/>
      <c r="MFY45" s="1021"/>
      <c r="MFZ45" s="1021"/>
      <c r="MGA45" s="1021"/>
      <c r="MGB45" s="1021"/>
      <c r="MGC45" s="1021"/>
      <c r="MGD45" s="1021"/>
      <c r="MGE45" s="1021"/>
      <c r="MGF45" s="1021"/>
      <c r="MGG45" s="1021"/>
      <c r="MGH45" s="1021"/>
      <c r="MGI45" s="1021"/>
      <c r="MGJ45" s="1021"/>
      <c r="MGK45" s="1021"/>
      <c r="MGL45" s="1021"/>
      <c r="MGM45" s="1021"/>
      <c r="MGN45" s="1021"/>
      <c r="MGO45" s="1021"/>
      <c r="MGP45" s="1021"/>
      <c r="MGQ45" s="1021"/>
      <c r="MGR45" s="1021"/>
      <c r="MGS45" s="1021"/>
      <c r="MGT45" s="1021"/>
      <c r="MGU45" s="1021"/>
      <c r="MGV45" s="1021"/>
      <c r="MGW45" s="1021"/>
      <c r="MGX45" s="1021"/>
      <c r="MGY45" s="1021"/>
      <c r="MGZ45" s="1021"/>
      <c r="MHA45" s="1021"/>
      <c r="MHB45" s="1021"/>
      <c r="MHC45" s="1021"/>
      <c r="MHD45" s="1021"/>
      <c r="MHE45" s="1021"/>
      <c r="MHF45" s="1021"/>
      <c r="MHG45" s="1021"/>
      <c r="MHH45" s="1021"/>
      <c r="MHI45" s="1021"/>
      <c r="MHJ45" s="1021"/>
      <c r="MHK45" s="1021"/>
      <c r="MHL45" s="1021"/>
      <c r="MHM45" s="1021"/>
      <c r="MHN45" s="1021"/>
      <c r="MHO45" s="1021"/>
      <c r="MHP45" s="1021"/>
      <c r="MHQ45" s="1021"/>
      <c r="MHR45" s="1021"/>
      <c r="MHS45" s="1021"/>
      <c r="MHT45" s="1021"/>
      <c r="MHU45" s="1021"/>
      <c r="MHV45" s="1021"/>
      <c r="MHW45" s="1021"/>
      <c r="MHX45" s="1021"/>
      <c r="MHY45" s="1021"/>
      <c r="MHZ45" s="1021"/>
      <c r="MIA45" s="1021"/>
      <c r="MIB45" s="1021"/>
      <c r="MIC45" s="1021"/>
      <c r="MID45" s="1021"/>
      <c r="MIE45" s="1021"/>
      <c r="MIF45" s="1021"/>
      <c r="MIG45" s="1021"/>
      <c r="MIH45" s="1021"/>
      <c r="MII45" s="1021"/>
      <c r="MIJ45" s="1021"/>
      <c r="MIK45" s="1021"/>
      <c r="MIL45" s="1021"/>
      <c r="MIM45" s="1021"/>
      <c r="MIN45" s="1021"/>
      <c r="MIO45" s="1021"/>
      <c r="MIP45" s="1021"/>
      <c r="MIQ45" s="1021"/>
      <c r="MIR45" s="1021"/>
      <c r="MIS45" s="1021"/>
      <c r="MIT45" s="1021"/>
      <c r="MIU45" s="1021"/>
      <c r="MIV45" s="1021"/>
      <c r="MIW45" s="1021"/>
      <c r="MIX45" s="1021"/>
      <c r="MIY45" s="1021"/>
      <c r="MIZ45" s="1021"/>
      <c r="MJA45" s="1021"/>
      <c r="MJB45" s="1021"/>
      <c r="MJC45" s="1021"/>
      <c r="MJD45" s="1021"/>
      <c r="MJE45" s="1021"/>
      <c r="MJF45" s="1021"/>
      <c r="MJG45" s="1021"/>
      <c r="MJH45" s="1021"/>
      <c r="MJI45" s="1021"/>
      <c r="MJJ45" s="1021"/>
      <c r="MJK45" s="1021"/>
      <c r="MJL45" s="1021"/>
      <c r="MJM45" s="1021"/>
      <c r="MJN45" s="1021"/>
      <c r="MJO45" s="1021"/>
      <c r="MJP45" s="1021"/>
      <c r="MJQ45" s="1021"/>
      <c r="MJR45" s="1021"/>
      <c r="MJS45" s="1021"/>
      <c r="MJT45" s="1021"/>
      <c r="MJU45" s="1021"/>
      <c r="MJV45" s="1021"/>
      <c r="MJW45" s="1021"/>
      <c r="MJX45" s="1021"/>
      <c r="MJY45" s="1021"/>
      <c r="MJZ45" s="1021"/>
      <c r="MKA45" s="1021"/>
      <c r="MKB45" s="1021"/>
      <c r="MKC45" s="1021"/>
      <c r="MKD45" s="1021"/>
      <c r="MKE45" s="1021"/>
      <c r="MKF45" s="1021"/>
      <c r="MKG45" s="1021"/>
      <c r="MKH45" s="1021"/>
      <c r="MKI45" s="1021"/>
      <c r="MKJ45" s="1021"/>
      <c r="MKK45" s="1021"/>
      <c r="MKL45" s="1021"/>
      <c r="MKM45" s="1021"/>
      <c r="MKN45" s="1021"/>
      <c r="MKO45" s="1021"/>
      <c r="MKP45" s="1021"/>
      <c r="MKQ45" s="1021"/>
      <c r="MKR45" s="1021"/>
      <c r="MKS45" s="1021"/>
      <c r="MKT45" s="1021"/>
      <c r="MKU45" s="1021"/>
      <c r="MKV45" s="1021"/>
      <c r="MKW45" s="1021"/>
      <c r="MKX45" s="1021"/>
      <c r="MKY45" s="1021"/>
      <c r="MKZ45" s="1021"/>
      <c r="MLA45" s="1021"/>
      <c r="MLB45" s="1021"/>
      <c r="MLC45" s="1021"/>
      <c r="MLD45" s="1021"/>
      <c r="MLE45" s="1021"/>
      <c r="MLF45" s="1021"/>
      <c r="MLG45" s="1021"/>
      <c r="MLH45" s="1021"/>
      <c r="MLI45" s="1021"/>
      <c r="MLJ45" s="1021"/>
      <c r="MLK45" s="1021"/>
      <c r="MLL45" s="1021"/>
      <c r="MLM45" s="1021"/>
      <c r="MLN45" s="1021"/>
      <c r="MLO45" s="1021"/>
      <c r="MLP45" s="1021"/>
      <c r="MLQ45" s="1021"/>
      <c r="MLR45" s="1021"/>
      <c r="MLS45" s="1021"/>
      <c r="MLT45" s="1021"/>
      <c r="MLU45" s="1021"/>
      <c r="MLV45" s="1021"/>
      <c r="MLW45" s="1021"/>
      <c r="MLX45" s="1021"/>
      <c r="MLY45" s="1021"/>
      <c r="MLZ45" s="1021"/>
      <c r="MMA45" s="1021"/>
      <c r="MMB45" s="1021"/>
      <c r="MMC45" s="1021"/>
      <c r="MMD45" s="1021"/>
      <c r="MME45" s="1021"/>
      <c r="MMF45" s="1021"/>
      <c r="MMG45" s="1021"/>
      <c r="MMH45" s="1021"/>
      <c r="MMI45" s="1021"/>
      <c r="MMJ45" s="1021"/>
      <c r="MMK45" s="1021"/>
      <c r="MML45" s="1021"/>
      <c r="MMM45" s="1021"/>
      <c r="MMN45" s="1021"/>
      <c r="MMO45" s="1021"/>
      <c r="MMP45" s="1021"/>
      <c r="MMQ45" s="1021"/>
      <c r="MMR45" s="1021"/>
      <c r="MMS45" s="1021"/>
      <c r="MMT45" s="1021"/>
      <c r="MMU45" s="1021"/>
      <c r="MMV45" s="1021"/>
      <c r="MMW45" s="1021"/>
      <c r="MMX45" s="1021"/>
      <c r="MMY45" s="1021"/>
      <c r="MMZ45" s="1021"/>
      <c r="MNA45" s="1021"/>
      <c r="MNB45" s="1021"/>
      <c r="MNC45" s="1021"/>
      <c r="MND45" s="1021"/>
      <c r="MNE45" s="1021"/>
      <c r="MNF45" s="1021"/>
      <c r="MNG45" s="1021"/>
      <c r="MNH45" s="1021"/>
      <c r="MNI45" s="1021"/>
      <c r="MNJ45" s="1021"/>
      <c r="MNK45" s="1021"/>
      <c r="MNL45" s="1021"/>
      <c r="MNM45" s="1021"/>
      <c r="MNN45" s="1021"/>
      <c r="MNO45" s="1021"/>
      <c r="MNP45" s="1021"/>
      <c r="MNQ45" s="1021"/>
      <c r="MNR45" s="1021"/>
      <c r="MNS45" s="1021"/>
      <c r="MNT45" s="1021"/>
      <c r="MNU45" s="1021"/>
      <c r="MNV45" s="1021"/>
      <c r="MNW45" s="1021"/>
      <c r="MNX45" s="1021"/>
      <c r="MNY45" s="1021"/>
      <c r="MNZ45" s="1021"/>
      <c r="MOA45" s="1021"/>
      <c r="MOB45" s="1021"/>
      <c r="MOC45" s="1021"/>
      <c r="MOD45" s="1021"/>
      <c r="MOE45" s="1021"/>
      <c r="MOF45" s="1021"/>
      <c r="MOG45" s="1021"/>
      <c r="MOH45" s="1021"/>
      <c r="MOI45" s="1021"/>
      <c r="MOJ45" s="1021"/>
      <c r="MOK45" s="1021"/>
      <c r="MOL45" s="1021"/>
      <c r="MOM45" s="1021"/>
      <c r="MON45" s="1021"/>
      <c r="MOO45" s="1021"/>
      <c r="MOP45" s="1021"/>
      <c r="MOQ45" s="1021"/>
      <c r="MOR45" s="1021"/>
      <c r="MOS45" s="1021"/>
      <c r="MOT45" s="1021"/>
      <c r="MOU45" s="1021"/>
      <c r="MOV45" s="1021"/>
      <c r="MOW45" s="1021"/>
      <c r="MOX45" s="1021"/>
      <c r="MOY45" s="1021"/>
      <c r="MOZ45" s="1021"/>
      <c r="MPA45" s="1021"/>
      <c r="MPB45" s="1021"/>
      <c r="MPC45" s="1021"/>
      <c r="MPD45" s="1021"/>
      <c r="MPE45" s="1021"/>
      <c r="MPF45" s="1021"/>
      <c r="MPG45" s="1021"/>
      <c r="MPH45" s="1021"/>
      <c r="MPI45" s="1021"/>
      <c r="MPJ45" s="1021"/>
      <c r="MPK45" s="1021"/>
      <c r="MPL45" s="1021"/>
      <c r="MPM45" s="1021"/>
      <c r="MPN45" s="1021"/>
      <c r="MPO45" s="1021"/>
      <c r="MPP45" s="1021"/>
      <c r="MPQ45" s="1021"/>
      <c r="MPR45" s="1021"/>
      <c r="MPS45" s="1021"/>
      <c r="MPT45" s="1021"/>
      <c r="MPU45" s="1021"/>
      <c r="MPV45" s="1021"/>
      <c r="MPW45" s="1021"/>
      <c r="MPX45" s="1021"/>
      <c r="MPY45" s="1021"/>
      <c r="MPZ45" s="1021"/>
      <c r="MQA45" s="1021"/>
      <c r="MQB45" s="1021"/>
      <c r="MQC45" s="1021"/>
      <c r="MQD45" s="1021"/>
      <c r="MQE45" s="1021"/>
      <c r="MQF45" s="1021"/>
      <c r="MQG45" s="1021"/>
      <c r="MQH45" s="1021"/>
      <c r="MQI45" s="1021"/>
      <c r="MQJ45" s="1021"/>
      <c r="MQK45" s="1021"/>
      <c r="MQL45" s="1021"/>
      <c r="MQM45" s="1021"/>
      <c r="MQN45" s="1021"/>
      <c r="MQO45" s="1021"/>
      <c r="MQP45" s="1021"/>
      <c r="MQQ45" s="1021"/>
      <c r="MQR45" s="1021"/>
      <c r="MQS45" s="1021"/>
      <c r="MQT45" s="1021"/>
      <c r="MQU45" s="1021"/>
      <c r="MQV45" s="1021"/>
      <c r="MQW45" s="1021"/>
      <c r="MQX45" s="1021"/>
      <c r="MQY45" s="1021"/>
      <c r="MQZ45" s="1021"/>
      <c r="MRA45" s="1021"/>
      <c r="MRB45" s="1021"/>
      <c r="MRC45" s="1021"/>
      <c r="MRD45" s="1021"/>
      <c r="MRE45" s="1021"/>
      <c r="MRF45" s="1021"/>
      <c r="MRG45" s="1021"/>
      <c r="MRH45" s="1021"/>
      <c r="MRI45" s="1021"/>
      <c r="MRJ45" s="1021"/>
      <c r="MRK45" s="1021"/>
      <c r="MRL45" s="1021"/>
      <c r="MRM45" s="1021"/>
      <c r="MRN45" s="1021"/>
      <c r="MRO45" s="1021"/>
      <c r="MRP45" s="1021"/>
      <c r="MRQ45" s="1021"/>
      <c r="MRR45" s="1021"/>
      <c r="MRS45" s="1021"/>
      <c r="MRT45" s="1021"/>
      <c r="MRU45" s="1021"/>
      <c r="MRV45" s="1021"/>
      <c r="MRW45" s="1021"/>
      <c r="MRX45" s="1021"/>
      <c r="MRY45" s="1021"/>
      <c r="MRZ45" s="1021"/>
      <c r="MSA45" s="1021"/>
      <c r="MSB45" s="1021"/>
      <c r="MSC45" s="1021"/>
      <c r="MSD45" s="1021"/>
      <c r="MSE45" s="1021"/>
      <c r="MSF45" s="1021"/>
      <c r="MSG45" s="1021"/>
      <c r="MSH45" s="1021"/>
      <c r="MSI45" s="1021"/>
      <c r="MSJ45" s="1021"/>
      <c r="MSK45" s="1021"/>
      <c r="MSL45" s="1021"/>
      <c r="MSM45" s="1021"/>
      <c r="MSN45" s="1021"/>
      <c r="MSO45" s="1021"/>
      <c r="MSP45" s="1021"/>
      <c r="MSQ45" s="1021"/>
      <c r="MSR45" s="1021"/>
      <c r="MSS45" s="1021"/>
      <c r="MST45" s="1021"/>
      <c r="MSU45" s="1021"/>
      <c r="MSV45" s="1021"/>
      <c r="MSW45" s="1021"/>
      <c r="MSX45" s="1021"/>
      <c r="MSY45" s="1021"/>
      <c r="MSZ45" s="1021"/>
      <c r="MTA45" s="1021"/>
      <c r="MTB45" s="1021"/>
      <c r="MTC45" s="1021"/>
      <c r="MTD45" s="1021"/>
      <c r="MTE45" s="1021"/>
      <c r="MTF45" s="1021"/>
      <c r="MTG45" s="1021"/>
      <c r="MTH45" s="1021"/>
      <c r="MTI45" s="1021"/>
      <c r="MTJ45" s="1021"/>
      <c r="MTK45" s="1021"/>
      <c r="MTL45" s="1021"/>
      <c r="MTM45" s="1021"/>
      <c r="MTN45" s="1021"/>
      <c r="MTO45" s="1021"/>
      <c r="MTP45" s="1021"/>
      <c r="MTQ45" s="1021"/>
      <c r="MTR45" s="1021"/>
      <c r="MTS45" s="1021"/>
      <c r="MTT45" s="1021"/>
      <c r="MTU45" s="1021"/>
      <c r="MTV45" s="1021"/>
      <c r="MTW45" s="1021"/>
      <c r="MTX45" s="1021"/>
      <c r="MTY45" s="1021"/>
      <c r="MTZ45" s="1021"/>
      <c r="MUA45" s="1021"/>
      <c r="MUB45" s="1021"/>
      <c r="MUC45" s="1021"/>
      <c r="MUD45" s="1021"/>
      <c r="MUE45" s="1021"/>
      <c r="MUF45" s="1021"/>
      <c r="MUG45" s="1021"/>
      <c r="MUH45" s="1021"/>
      <c r="MUI45" s="1021"/>
      <c r="MUJ45" s="1021"/>
      <c r="MUK45" s="1021"/>
      <c r="MUL45" s="1021"/>
      <c r="MUM45" s="1021"/>
      <c r="MUN45" s="1021"/>
      <c r="MUO45" s="1021"/>
      <c r="MUP45" s="1021"/>
      <c r="MUQ45" s="1021"/>
      <c r="MUR45" s="1021"/>
      <c r="MUS45" s="1021"/>
      <c r="MUT45" s="1021"/>
      <c r="MUU45" s="1021"/>
      <c r="MUV45" s="1021"/>
      <c r="MUW45" s="1021"/>
      <c r="MUX45" s="1021"/>
      <c r="MUY45" s="1021"/>
      <c r="MUZ45" s="1021"/>
      <c r="MVA45" s="1021"/>
      <c r="MVB45" s="1021"/>
      <c r="MVC45" s="1021"/>
      <c r="MVD45" s="1021"/>
      <c r="MVE45" s="1021"/>
      <c r="MVF45" s="1021"/>
      <c r="MVG45" s="1021"/>
      <c r="MVH45" s="1021"/>
      <c r="MVI45" s="1021"/>
      <c r="MVJ45" s="1021"/>
      <c r="MVK45" s="1021"/>
      <c r="MVL45" s="1021"/>
      <c r="MVM45" s="1021"/>
      <c r="MVN45" s="1021"/>
      <c r="MVO45" s="1021"/>
      <c r="MVP45" s="1021"/>
      <c r="MVQ45" s="1021"/>
      <c r="MVR45" s="1021"/>
      <c r="MVS45" s="1021"/>
      <c r="MVT45" s="1021"/>
      <c r="MVU45" s="1021"/>
      <c r="MVV45" s="1021"/>
      <c r="MVW45" s="1021"/>
      <c r="MVX45" s="1021"/>
      <c r="MVY45" s="1021"/>
      <c r="MVZ45" s="1021"/>
      <c r="MWA45" s="1021"/>
      <c r="MWB45" s="1021"/>
      <c r="MWC45" s="1021"/>
      <c r="MWD45" s="1021"/>
      <c r="MWE45" s="1021"/>
      <c r="MWF45" s="1021"/>
      <c r="MWG45" s="1021"/>
      <c r="MWH45" s="1021"/>
      <c r="MWI45" s="1021"/>
      <c r="MWJ45" s="1021"/>
      <c r="MWK45" s="1021"/>
      <c r="MWL45" s="1021"/>
      <c r="MWM45" s="1021"/>
      <c r="MWN45" s="1021"/>
      <c r="MWO45" s="1021"/>
      <c r="MWP45" s="1021"/>
      <c r="MWQ45" s="1021"/>
      <c r="MWR45" s="1021"/>
      <c r="MWS45" s="1021"/>
      <c r="MWT45" s="1021"/>
      <c r="MWU45" s="1021"/>
      <c r="MWV45" s="1021"/>
      <c r="MWW45" s="1021"/>
      <c r="MWX45" s="1021"/>
      <c r="MWY45" s="1021"/>
      <c r="MWZ45" s="1021"/>
      <c r="MXA45" s="1021"/>
      <c r="MXB45" s="1021"/>
      <c r="MXC45" s="1021"/>
      <c r="MXD45" s="1021"/>
      <c r="MXE45" s="1021"/>
      <c r="MXF45" s="1021"/>
      <c r="MXG45" s="1021"/>
      <c r="MXH45" s="1021"/>
      <c r="MXI45" s="1021"/>
      <c r="MXJ45" s="1021"/>
      <c r="MXK45" s="1021"/>
      <c r="MXL45" s="1021"/>
      <c r="MXM45" s="1021"/>
      <c r="MXN45" s="1021"/>
      <c r="MXO45" s="1021"/>
      <c r="MXP45" s="1021"/>
      <c r="MXQ45" s="1021"/>
      <c r="MXR45" s="1021"/>
      <c r="MXS45" s="1021"/>
      <c r="MXT45" s="1021"/>
      <c r="MXU45" s="1021"/>
      <c r="MXV45" s="1021"/>
      <c r="MXW45" s="1021"/>
      <c r="MXX45" s="1021"/>
      <c r="MXY45" s="1021"/>
      <c r="MXZ45" s="1021"/>
      <c r="MYA45" s="1021"/>
      <c r="MYB45" s="1021"/>
      <c r="MYC45" s="1021"/>
      <c r="MYD45" s="1021"/>
      <c r="MYE45" s="1021"/>
      <c r="MYF45" s="1021"/>
      <c r="MYG45" s="1021"/>
      <c r="MYH45" s="1021"/>
      <c r="MYI45" s="1021"/>
      <c r="MYJ45" s="1021"/>
      <c r="MYK45" s="1021"/>
      <c r="MYL45" s="1021"/>
      <c r="MYM45" s="1021"/>
      <c r="MYN45" s="1021"/>
      <c r="MYO45" s="1021"/>
      <c r="MYP45" s="1021"/>
      <c r="MYQ45" s="1021"/>
      <c r="MYR45" s="1021"/>
      <c r="MYS45" s="1021"/>
      <c r="MYT45" s="1021"/>
      <c r="MYU45" s="1021"/>
      <c r="MYV45" s="1021"/>
      <c r="MYW45" s="1021"/>
      <c r="MYX45" s="1021"/>
      <c r="MYY45" s="1021"/>
      <c r="MYZ45" s="1021"/>
      <c r="MZA45" s="1021"/>
      <c r="MZB45" s="1021"/>
      <c r="MZC45" s="1021"/>
      <c r="MZD45" s="1021"/>
      <c r="MZE45" s="1021"/>
      <c r="MZF45" s="1021"/>
      <c r="MZG45" s="1021"/>
      <c r="MZH45" s="1021"/>
      <c r="MZI45" s="1021"/>
      <c r="MZJ45" s="1021"/>
      <c r="MZK45" s="1021"/>
      <c r="MZL45" s="1021"/>
      <c r="MZM45" s="1021"/>
      <c r="MZN45" s="1021"/>
      <c r="MZO45" s="1021"/>
      <c r="MZP45" s="1021"/>
      <c r="MZQ45" s="1021"/>
      <c r="MZR45" s="1021"/>
      <c r="MZS45" s="1021"/>
      <c r="MZT45" s="1021"/>
      <c r="MZU45" s="1021"/>
      <c r="MZV45" s="1021"/>
      <c r="MZW45" s="1021"/>
      <c r="MZX45" s="1021"/>
      <c r="MZY45" s="1021"/>
      <c r="MZZ45" s="1021"/>
      <c r="NAA45" s="1021"/>
      <c r="NAB45" s="1021"/>
      <c r="NAC45" s="1021"/>
      <c r="NAD45" s="1021"/>
      <c r="NAE45" s="1021"/>
      <c r="NAF45" s="1021"/>
      <c r="NAG45" s="1021"/>
      <c r="NAH45" s="1021"/>
      <c r="NAI45" s="1021"/>
      <c r="NAJ45" s="1021"/>
      <c r="NAK45" s="1021"/>
      <c r="NAL45" s="1021"/>
      <c r="NAM45" s="1021"/>
      <c r="NAN45" s="1021"/>
      <c r="NAO45" s="1021"/>
      <c r="NAP45" s="1021"/>
      <c r="NAQ45" s="1021"/>
      <c r="NAR45" s="1021"/>
      <c r="NAS45" s="1021"/>
      <c r="NAT45" s="1021"/>
      <c r="NAU45" s="1021"/>
      <c r="NAV45" s="1021"/>
      <c r="NAW45" s="1021"/>
      <c r="NAX45" s="1021"/>
      <c r="NAY45" s="1021"/>
      <c r="NAZ45" s="1021"/>
      <c r="NBA45" s="1021"/>
      <c r="NBB45" s="1021"/>
      <c r="NBC45" s="1021"/>
      <c r="NBD45" s="1021"/>
      <c r="NBE45" s="1021"/>
      <c r="NBF45" s="1021"/>
      <c r="NBG45" s="1021"/>
      <c r="NBH45" s="1021"/>
      <c r="NBI45" s="1021"/>
      <c r="NBJ45" s="1021"/>
      <c r="NBK45" s="1021"/>
      <c r="NBL45" s="1021"/>
      <c r="NBM45" s="1021"/>
      <c r="NBN45" s="1021"/>
      <c r="NBO45" s="1021"/>
      <c r="NBP45" s="1021"/>
      <c r="NBQ45" s="1021"/>
      <c r="NBR45" s="1021"/>
      <c r="NBS45" s="1021"/>
      <c r="NBT45" s="1021"/>
      <c r="NBU45" s="1021"/>
      <c r="NBV45" s="1021"/>
      <c r="NBW45" s="1021"/>
      <c r="NBX45" s="1021"/>
      <c r="NBY45" s="1021"/>
      <c r="NBZ45" s="1021"/>
      <c r="NCA45" s="1021"/>
      <c r="NCB45" s="1021"/>
      <c r="NCC45" s="1021"/>
      <c r="NCD45" s="1021"/>
      <c r="NCE45" s="1021"/>
      <c r="NCF45" s="1021"/>
      <c r="NCG45" s="1021"/>
      <c r="NCH45" s="1021"/>
      <c r="NCI45" s="1021"/>
      <c r="NCJ45" s="1021"/>
      <c r="NCK45" s="1021"/>
      <c r="NCL45" s="1021"/>
      <c r="NCM45" s="1021"/>
      <c r="NCN45" s="1021"/>
      <c r="NCO45" s="1021"/>
      <c r="NCP45" s="1021"/>
      <c r="NCQ45" s="1021"/>
      <c r="NCR45" s="1021"/>
      <c r="NCS45" s="1021"/>
      <c r="NCT45" s="1021"/>
      <c r="NCU45" s="1021"/>
      <c r="NCV45" s="1021"/>
      <c r="NCW45" s="1021"/>
      <c r="NCX45" s="1021"/>
      <c r="NCY45" s="1021"/>
      <c r="NCZ45" s="1021"/>
      <c r="NDA45" s="1021"/>
      <c r="NDB45" s="1021"/>
      <c r="NDC45" s="1021"/>
      <c r="NDD45" s="1021"/>
      <c r="NDE45" s="1021"/>
      <c r="NDF45" s="1021"/>
      <c r="NDG45" s="1021"/>
      <c r="NDH45" s="1021"/>
      <c r="NDI45" s="1021"/>
      <c r="NDJ45" s="1021"/>
      <c r="NDK45" s="1021"/>
      <c r="NDL45" s="1021"/>
      <c r="NDM45" s="1021"/>
      <c r="NDN45" s="1021"/>
      <c r="NDO45" s="1021"/>
      <c r="NDP45" s="1021"/>
      <c r="NDQ45" s="1021"/>
      <c r="NDR45" s="1021"/>
      <c r="NDS45" s="1021"/>
      <c r="NDT45" s="1021"/>
      <c r="NDU45" s="1021"/>
      <c r="NDV45" s="1021"/>
      <c r="NDW45" s="1021"/>
      <c r="NDX45" s="1021"/>
      <c r="NDY45" s="1021"/>
      <c r="NDZ45" s="1021"/>
      <c r="NEA45" s="1021"/>
      <c r="NEB45" s="1021"/>
      <c r="NEC45" s="1021"/>
      <c r="NED45" s="1021"/>
      <c r="NEE45" s="1021"/>
      <c r="NEF45" s="1021"/>
      <c r="NEG45" s="1021"/>
      <c r="NEH45" s="1021"/>
      <c r="NEI45" s="1021"/>
      <c r="NEJ45" s="1021"/>
      <c r="NEK45" s="1021"/>
      <c r="NEL45" s="1021"/>
      <c r="NEM45" s="1021"/>
      <c r="NEN45" s="1021"/>
      <c r="NEO45" s="1021"/>
      <c r="NEP45" s="1021"/>
      <c r="NEQ45" s="1021"/>
      <c r="NER45" s="1021"/>
      <c r="NES45" s="1021"/>
      <c r="NET45" s="1021"/>
      <c r="NEU45" s="1021"/>
      <c r="NEV45" s="1021"/>
      <c r="NEW45" s="1021"/>
      <c r="NEX45" s="1021"/>
      <c r="NEY45" s="1021"/>
      <c r="NEZ45" s="1021"/>
      <c r="NFA45" s="1021"/>
      <c r="NFB45" s="1021"/>
      <c r="NFC45" s="1021"/>
      <c r="NFD45" s="1021"/>
      <c r="NFE45" s="1021"/>
      <c r="NFF45" s="1021"/>
      <c r="NFG45" s="1021"/>
      <c r="NFH45" s="1021"/>
      <c r="NFI45" s="1021"/>
      <c r="NFJ45" s="1021"/>
      <c r="NFK45" s="1021"/>
      <c r="NFL45" s="1021"/>
      <c r="NFM45" s="1021"/>
      <c r="NFN45" s="1021"/>
      <c r="NFO45" s="1021"/>
      <c r="NFP45" s="1021"/>
      <c r="NFQ45" s="1021"/>
      <c r="NFR45" s="1021"/>
      <c r="NFS45" s="1021"/>
      <c r="NFT45" s="1021"/>
      <c r="NFU45" s="1021"/>
      <c r="NFV45" s="1021"/>
      <c r="NFW45" s="1021"/>
      <c r="NFX45" s="1021"/>
      <c r="NFY45" s="1021"/>
      <c r="NFZ45" s="1021"/>
      <c r="NGA45" s="1021"/>
      <c r="NGB45" s="1021"/>
      <c r="NGC45" s="1021"/>
      <c r="NGD45" s="1021"/>
      <c r="NGE45" s="1021"/>
      <c r="NGF45" s="1021"/>
      <c r="NGG45" s="1021"/>
      <c r="NGH45" s="1021"/>
      <c r="NGI45" s="1021"/>
      <c r="NGJ45" s="1021"/>
      <c r="NGK45" s="1021"/>
      <c r="NGL45" s="1021"/>
      <c r="NGM45" s="1021"/>
      <c r="NGN45" s="1021"/>
      <c r="NGO45" s="1021"/>
      <c r="NGP45" s="1021"/>
      <c r="NGQ45" s="1021"/>
      <c r="NGR45" s="1021"/>
      <c r="NGS45" s="1021"/>
      <c r="NGT45" s="1021"/>
      <c r="NGU45" s="1021"/>
      <c r="NGV45" s="1021"/>
      <c r="NGW45" s="1021"/>
      <c r="NGX45" s="1021"/>
      <c r="NGY45" s="1021"/>
      <c r="NGZ45" s="1021"/>
      <c r="NHA45" s="1021"/>
      <c r="NHB45" s="1021"/>
      <c r="NHC45" s="1021"/>
      <c r="NHD45" s="1021"/>
      <c r="NHE45" s="1021"/>
      <c r="NHF45" s="1021"/>
      <c r="NHG45" s="1021"/>
      <c r="NHH45" s="1021"/>
      <c r="NHI45" s="1021"/>
      <c r="NHJ45" s="1021"/>
      <c r="NHK45" s="1021"/>
      <c r="NHL45" s="1021"/>
      <c r="NHM45" s="1021"/>
      <c r="NHN45" s="1021"/>
      <c r="NHO45" s="1021"/>
      <c r="NHP45" s="1021"/>
      <c r="NHQ45" s="1021"/>
      <c r="NHR45" s="1021"/>
      <c r="NHS45" s="1021"/>
      <c r="NHT45" s="1021"/>
      <c r="NHU45" s="1021"/>
      <c r="NHV45" s="1021"/>
      <c r="NHW45" s="1021"/>
      <c r="NHX45" s="1021"/>
      <c r="NHY45" s="1021"/>
      <c r="NHZ45" s="1021"/>
      <c r="NIA45" s="1021"/>
      <c r="NIB45" s="1021"/>
      <c r="NIC45" s="1021"/>
      <c r="NID45" s="1021"/>
      <c r="NIE45" s="1021"/>
      <c r="NIF45" s="1021"/>
      <c r="NIG45" s="1021"/>
      <c r="NIH45" s="1021"/>
      <c r="NII45" s="1021"/>
      <c r="NIJ45" s="1021"/>
      <c r="NIK45" s="1021"/>
      <c r="NIL45" s="1021"/>
      <c r="NIM45" s="1021"/>
      <c r="NIN45" s="1021"/>
      <c r="NIO45" s="1021"/>
      <c r="NIP45" s="1021"/>
      <c r="NIQ45" s="1021"/>
      <c r="NIR45" s="1021"/>
      <c r="NIS45" s="1021"/>
      <c r="NIT45" s="1021"/>
      <c r="NIU45" s="1021"/>
      <c r="NIV45" s="1021"/>
      <c r="NIW45" s="1021"/>
      <c r="NIX45" s="1021"/>
      <c r="NIY45" s="1021"/>
      <c r="NIZ45" s="1021"/>
      <c r="NJA45" s="1021"/>
      <c r="NJB45" s="1021"/>
      <c r="NJC45" s="1021"/>
      <c r="NJD45" s="1021"/>
      <c r="NJE45" s="1021"/>
      <c r="NJF45" s="1021"/>
      <c r="NJG45" s="1021"/>
      <c r="NJH45" s="1021"/>
      <c r="NJI45" s="1021"/>
      <c r="NJJ45" s="1021"/>
      <c r="NJK45" s="1021"/>
      <c r="NJL45" s="1021"/>
      <c r="NJM45" s="1021"/>
      <c r="NJN45" s="1021"/>
      <c r="NJO45" s="1021"/>
      <c r="NJP45" s="1021"/>
      <c r="NJQ45" s="1021"/>
      <c r="NJR45" s="1021"/>
      <c r="NJS45" s="1021"/>
      <c r="NJT45" s="1021"/>
      <c r="NJU45" s="1021"/>
      <c r="NJV45" s="1021"/>
      <c r="NJW45" s="1021"/>
      <c r="NJX45" s="1021"/>
      <c r="NJY45" s="1021"/>
      <c r="NJZ45" s="1021"/>
      <c r="NKA45" s="1021"/>
      <c r="NKB45" s="1021"/>
      <c r="NKC45" s="1021"/>
      <c r="NKD45" s="1021"/>
      <c r="NKE45" s="1021"/>
      <c r="NKF45" s="1021"/>
      <c r="NKG45" s="1021"/>
      <c r="NKH45" s="1021"/>
      <c r="NKI45" s="1021"/>
      <c r="NKJ45" s="1021"/>
      <c r="NKK45" s="1021"/>
      <c r="NKL45" s="1021"/>
      <c r="NKM45" s="1021"/>
      <c r="NKN45" s="1021"/>
      <c r="NKO45" s="1021"/>
      <c r="NKP45" s="1021"/>
      <c r="NKQ45" s="1021"/>
      <c r="NKR45" s="1021"/>
      <c r="NKS45" s="1021"/>
      <c r="NKT45" s="1021"/>
      <c r="NKU45" s="1021"/>
      <c r="NKV45" s="1021"/>
      <c r="NKW45" s="1021"/>
      <c r="NKX45" s="1021"/>
      <c r="NKY45" s="1021"/>
      <c r="NKZ45" s="1021"/>
      <c r="NLA45" s="1021"/>
      <c r="NLB45" s="1021"/>
      <c r="NLC45" s="1021"/>
      <c r="NLD45" s="1021"/>
      <c r="NLE45" s="1021"/>
      <c r="NLF45" s="1021"/>
      <c r="NLG45" s="1021"/>
      <c r="NLH45" s="1021"/>
      <c r="NLI45" s="1021"/>
      <c r="NLJ45" s="1021"/>
      <c r="NLK45" s="1021"/>
      <c r="NLL45" s="1021"/>
      <c r="NLM45" s="1021"/>
      <c r="NLN45" s="1021"/>
      <c r="NLO45" s="1021"/>
      <c r="NLP45" s="1021"/>
      <c r="NLQ45" s="1021"/>
      <c r="NLR45" s="1021"/>
      <c r="NLS45" s="1021"/>
      <c r="NLT45" s="1021"/>
      <c r="NLU45" s="1021"/>
      <c r="NLV45" s="1021"/>
      <c r="NLW45" s="1021"/>
      <c r="NLX45" s="1021"/>
      <c r="NLY45" s="1021"/>
      <c r="NLZ45" s="1021"/>
      <c r="NMA45" s="1021"/>
      <c r="NMB45" s="1021"/>
      <c r="NMC45" s="1021"/>
      <c r="NMD45" s="1021"/>
      <c r="NME45" s="1021"/>
      <c r="NMF45" s="1021"/>
      <c r="NMG45" s="1021"/>
      <c r="NMH45" s="1021"/>
      <c r="NMI45" s="1021"/>
      <c r="NMJ45" s="1021"/>
      <c r="NMK45" s="1021"/>
      <c r="NML45" s="1021"/>
      <c r="NMM45" s="1021"/>
      <c r="NMN45" s="1021"/>
      <c r="NMO45" s="1021"/>
      <c r="NMP45" s="1021"/>
      <c r="NMQ45" s="1021"/>
      <c r="NMR45" s="1021"/>
      <c r="NMS45" s="1021"/>
      <c r="NMT45" s="1021"/>
      <c r="NMU45" s="1021"/>
      <c r="NMV45" s="1021"/>
      <c r="NMW45" s="1021"/>
      <c r="NMX45" s="1021"/>
      <c r="NMY45" s="1021"/>
      <c r="NMZ45" s="1021"/>
      <c r="NNA45" s="1021"/>
      <c r="NNB45" s="1021"/>
      <c r="NNC45" s="1021"/>
      <c r="NND45" s="1021"/>
      <c r="NNE45" s="1021"/>
      <c r="NNF45" s="1021"/>
      <c r="NNG45" s="1021"/>
      <c r="NNH45" s="1021"/>
      <c r="NNI45" s="1021"/>
      <c r="NNJ45" s="1021"/>
      <c r="NNK45" s="1021"/>
      <c r="NNL45" s="1021"/>
      <c r="NNM45" s="1021"/>
      <c r="NNN45" s="1021"/>
      <c r="NNO45" s="1021"/>
      <c r="NNP45" s="1021"/>
      <c r="NNQ45" s="1021"/>
      <c r="NNR45" s="1021"/>
      <c r="NNS45" s="1021"/>
      <c r="NNT45" s="1021"/>
      <c r="NNU45" s="1021"/>
      <c r="NNV45" s="1021"/>
      <c r="NNW45" s="1021"/>
      <c r="NNX45" s="1021"/>
      <c r="NNY45" s="1021"/>
      <c r="NNZ45" s="1021"/>
      <c r="NOA45" s="1021"/>
      <c r="NOB45" s="1021"/>
      <c r="NOC45" s="1021"/>
      <c r="NOD45" s="1021"/>
      <c r="NOE45" s="1021"/>
      <c r="NOF45" s="1021"/>
      <c r="NOG45" s="1021"/>
      <c r="NOH45" s="1021"/>
      <c r="NOI45" s="1021"/>
      <c r="NOJ45" s="1021"/>
      <c r="NOK45" s="1021"/>
      <c r="NOL45" s="1021"/>
      <c r="NOM45" s="1021"/>
      <c r="NON45" s="1021"/>
      <c r="NOO45" s="1021"/>
      <c r="NOP45" s="1021"/>
      <c r="NOQ45" s="1021"/>
      <c r="NOR45" s="1021"/>
      <c r="NOS45" s="1021"/>
      <c r="NOT45" s="1021"/>
      <c r="NOU45" s="1021"/>
      <c r="NOV45" s="1021"/>
      <c r="NOW45" s="1021"/>
      <c r="NOX45" s="1021"/>
      <c r="NOY45" s="1021"/>
      <c r="NOZ45" s="1021"/>
      <c r="NPA45" s="1021"/>
      <c r="NPB45" s="1021"/>
      <c r="NPC45" s="1021"/>
      <c r="NPD45" s="1021"/>
      <c r="NPE45" s="1021"/>
      <c r="NPF45" s="1021"/>
      <c r="NPG45" s="1021"/>
      <c r="NPH45" s="1021"/>
      <c r="NPI45" s="1021"/>
      <c r="NPJ45" s="1021"/>
      <c r="NPK45" s="1021"/>
      <c r="NPL45" s="1021"/>
      <c r="NPM45" s="1021"/>
      <c r="NPN45" s="1021"/>
      <c r="NPO45" s="1021"/>
      <c r="NPP45" s="1021"/>
      <c r="NPQ45" s="1021"/>
      <c r="NPR45" s="1021"/>
      <c r="NPS45" s="1021"/>
      <c r="NPT45" s="1021"/>
      <c r="NPU45" s="1021"/>
      <c r="NPV45" s="1021"/>
      <c r="NPW45" s="1021"/>
      <c r="NPX45" s="1021"/>
      <c r="NPY45" s="1021"/>
      <c r="NPZ45" s="1021"/>
      <c r="NQA45" s="1021"/>
      <c r="NQB45" s="1021"/>
      <c r="NQC45" s="1021"/>
      <c r="NQD45" s="1021"/>
      <c r="NQE45" s="1021"/>
      <c r="NQF45" s="1021"/>
      <c r="NQG45" s="1021"/>
      <c r="NQH45" s="1021"/>
      <c r="NQI45" s="1021"/>
      <c r="NQJ45" s="1021"/>
      <c r="NQK45" s="1021"/>
      <c r="NQL45" s="1021"/>
      <c r="NQM45" s="1021"/>
      <c r="NQN45" s="1021"/>
      <c r="NQO45" s="1021"/>
      <c r="NQP45" s="1021"/>
      <c r="NQQ45" s="1021"/>
      <c r="NQR45" s="1021"/>
      <c r="NQS45" s="1021"/>
      <c r="NQT45" s="1021"/>
      <c r="NQU45" s="1021"/>
      <c r="NQV45" s="1021"/>
      <c r="NQW45" s="1021"/>
      <c r="NQX45" s="1021"/>
      <c r="NQY45" s="1021"/>
      <c r="NQZ45" s="1021"/>
      <c r="NRA45" s="1021"/>
      <c r="NRB45" s="1021"/>
      <c r="NRC45" s="1021"/>
      <c r="NRD45" s="1021"/>
      <c r="NRE45" s="1021"/>
      <c r="NRF45" s="1021"/>
      <c r="NRG45" s="1021"/>
      <c r="NRH45" s="1021"/>
      <c r="NRI45" s="1021"/>
      <c r="NRJ45" s="1021"/>
      <c r="NRK45" s="1021"/>
      <c r="NRL45" s="1021"/>
      <c r="NRM45" s="1021"/>
      <c r="NRN45" s="1021"/>
      <c r="NRO45" s="1021"/>
      <c r="NRP45" s="1021"/>
      <c r="NRQ45" s="1021"/>
      <c r="NRR45" s="1021"/>
      <c r="NRS45" s="1021"/>
      <c r="NRT45" s="1021"/>
      <c r="NRU45" s="1021"/>
      <c r="NRV45" s="1021"/>
      <c r="NRW45" s="1021"/>
      <c r="NRX45" s="1021"/>
      <c r="NRY45" s="1021"/>
      <c r="NRZ45" s="1021"/>
      <c r="NSA45" s="1021"/>
      <c r="NSB45" s="1021"/>
      <c r="NSC45" s="1021"/>
      <c r="NSD45" s="1021"/>
      <c r="NSE45" s="1021"/>
      <c r="NSF45" s="1021"/>
      <c r="NSG45" s="1021"/>
      <c r="NSH45" s="1021"/>
      <c r="NSI45" s="1021"/>
      <c r="NSJ45" s="1021"/>
      <c r="NSK45" s="1021"/>
      <c r="NSL45" s="1021"/>
      <c r="NSM45" s="1021"/>
      <c r="NSN45" s="1021"/>
      <c r="NSO45" s="1021"/>
      <c r="NSP45" s="1021"/>
      <c r="NSQ45" s="1021"/>
      <c r="NSR45" s="1021"/>
      <c r="NSS45" s="1021"/>
      <c r="NST45" s="1021"/>
      <c r="NSU45" s="1021"/>
      <c r="NSV45" s="1021"/>
      <c r="NSW45" s="1021"/>
      <c r="NSX45" s="1021"/>
      <c r="NSY45" s="1021"/>
      <c r="NSZ45" s="1021"/>
      <c r="NTA45" s="1021"/>
      <c r="NTB45" s="1021"/>
      <c r="NTC45" s="1021"/>
      <c r="NTD45" s="1021"/>
      <c r="NTE45" s="1021"/>
      <c r="NTF45" s="1021"/>
      <c r="NTG45" s="1021"/>
      <c r="NTH45" s="1021"/>
      <c r="NTI45" s="1021"/>
      <c r="NTJ45" s="1021"/>
      <c r="NTK45" s="1021"/>
      <c r="NTL45" s="1021"/>
      <c r="NTM45" s="1021"/>
      <c r="NTN45" s="1021"/>
      <c r="NTO45" s="1021"/>
      <c r="NTP45" s="1021"/>
      <c r="NTQ45" s="1021"/>
      <c r="NTR45" s="1021"/>
      <c r="NTS45" s="1021"/>
      <c r="NTT45" s="1021"/>
      <c r="NTU45" s="1021"/>
      <c r="NTV45" s="1021"/>
      <c r="NTW45" s="1021"/>
      <c r="NTX45" s="1021"/>
      <c r="NTY45" s="1021"/>
      <c r="NTZ45" s="1021"/>
      <c r="NUA45" s="1021"/>
      <c r="NUB45" s="1021"/>
      <c r="NUC45" s="1021"/>
      <c r="NUD45" s="1021"/>
      <c r="NUE45" s="1021"/>
      <c r="NUF45" s="1021"/>
      <c r="NUG45" s="1021"/>
      <c r="NUH45" s="1021"/>
      <c r="NUI45" s="1021"/>
      <c r="NUJ45" s="1021"/>
      <c r="NUK45" s="1021"/>
      <c r="NUL45" s="1021"/>
      <c r="NUM45" s="1021"/>
      <c r="NUN45" s="1021"/>
      <c r="NUO45" s="1021"/>
      <c r="NUP45" s="1021"/>
      <c r="NUQ45" s="1021"/>
      <c r="NUR45" s="1021"/>
      <c r="NUS45" s="1021"/>
      <c r="NUT45" s="1021"/>
      <c r="NUU45" s="1021"/>
      <c r="NUV45" s="1021"/>
      <c r="NUW45" s="1021"/>
      <c r="NUX45" s="1021"/>
      <c r="NUY45" s="1021"/>
      <c r="NUZ45" s="1021"/>
      <c r="NVA45" s="1021"/>
      <c r="NVB45" s="1021"/>
      <c r="NVC45" s="1021"/>
      <c r="NVD45" s="1021"/>
      <c r="NVE45" s="1021"/>
      <c r="NVF45" s="1021"/>
      <c r="NVG45" s="1021"/>
      <c r="NVH45" s="1021"/>
      <c r="NVI45" s="1021"/>
      <c r="NVJ45" s="1021"/>
      <c r="NVK45" s="1021"/>
      <c r="NVL45" s="1021"/>
      <c r="NVM45" s="1021"/>
      <c r="NVN45" s="1021"/>
      <c r="NVO45" s="1021"/>
      <c r="NVP45" s="1021"/>
      <c r="NVQ45" s="1021"/>
      <c r="NVR45" s="1021"/>
      <c r="NVS45" s="1021"/>
      <c r="NVT45" s="1021"/>
      <c r="NVU45" s="1021"/>
      <c r="NVV45" s="1021"/>
      <c r="NVW45" s="1021"/>
      <c r="NVX45" s="1021"/>
      <c r="NVY45" s="1021"/>
      <c r="NVZ45" s="1021"/>
      <c r="NWA45" s="1021"/>
      <c r="NWB45" s="1021"/>
      <c r="NWC45" s="1021"/>
      <c r="NWD45" s="1021"/>
      <c r="NWE45" s="1021"/>
      <c r="NWF45" s="1021"/>
      <c r="NWG45" s="1021"/>
      <c r="NWH45" s="1021"/>
      <c r="NWI45" s="1021"/>
      <c r="NWJ45" s="1021"/>
      <c r="NWK45" s="1021"/>
      <c r="NWL45" s="1021"/>
      <c r="NWM45" s="1021"/>
      <c r="NWN45" s="1021"/>
      <c r="NWO45" s="1021"/>
      <c r="NWP45" s="1021"/>
      <c r="NWQ45" s="1021"/>
      <c r="NWR45" s="1021"/>
      <c r="NWS45" s="1021"/>
      <c r="NWT45" s="1021"/>
      <c r="NWU45" s="1021"/>
      <c r="NWV45" s="1021"/>
      <c r="NWW45" s="1021"/>
      <c r="NWX45" s="1021"/>
      <c r="NWY45" s="1021"/>
      <c r="NWZ45" s="1021"/>
      <c r="NXA45" s="1021"/>
      <c r="NXB45" s="1021"/>
      <c r="NXC45" s="1021"/>
      <c r="NXD45" s="1021"/>
      <c r="NXE45" s="1021"/>
      <c r="NXF45" s="1021"/>
      <c r="NXG45" s="1021"/>
      <c r="NXH45" s="1021"/>
      <c r="NXI45" s="1021"/>
      <c r="NXJ45" s="1021"/>
      <c r="NXK45" s="1021"/>
      <c r="NXL45" s="1021"/>
      <c r="NXM45" s="1021"/>
      <c r="NXN45" s="1021"/>
      <c r="NXO45" s="1021"/>
      <c r="NXP45" s="1021"/>
      <c r="NXQ45" s="1021"/>
      <c r="NXR45" s="1021"/>
      <c r="NXS45" s="1021"/>
      <c r="NXT45" s="1021"/>
      <c r="NXU45" s="1021"/>
      <c r="NXV45" s="1021"/>
      <c r="NXW45" s="1021"/>
      <c r="NXX45" s="1021"/>
      <c r="NXY45" s="1021"/>
      <c r="NXZ45" s="1021"/>
      <c r="NYA45" s="1021"/>
      <c r="NYB45" s="1021"/>
      <c r="NYC45" s="1021"/>
      <c r="NYD45" s="1021"/>
      <c r="NYE45" s="1021"/>
      <c r="NYF45" s="1021"/>
      <c r="NYG45" s="1021"/>
      <c r="NYH45" s="1021"/>
      <c r="NYI45" s="1021"/>
      <c r="NYJ45" s="1021"/>
      <c r="NYK45" s="1021"/>
      <c r="NYL45" s="1021"/>
      <c r="NYM45" s="1021"/>
      <c r="NYN45" s="1021"/>
      <c r="NYO45" s="1021"/>
      <c r="NYP45" s="1021"/>
      <c r="NYQ45" s="1021"/>
      <c r="NYR45" s="1021"/>
      <c r="NYS45" s="1021"/>
      <c r="NYT45" s="1021"/>
      <c r="NYU45" s="1021"/>
      <c r="NYV45" s="1021"/>
      <c r="NYW45" s="1021"/>
      <c r="NYX45" s="1021"/>
      <c r="NYY45" s="1021"/>
      <c r="NYZ45" s="1021"/>
      <c r="NZA45" s="1021"/>
      <c r="NZB45" s="1021"/>
      <c r="NZC45" s="1021"/>
      <c r="NZD45" s="1021"/>
      <c r="NZE45" s="1021"/>
      <c r="NZF45" s="1021"/>
      <c r="NZG45" s="1021"/>
      <c r="NZH45" s="1021"/>
      <c r="NZI45" s="1021"/>
      <c r="NZJ45" s="1021"/>
      <c r="NZK45" s="1021"/>
      <c r="NZL45" s="1021"/>
      <c r="NZM45" s="1021"/>
      <c r="NZN45" s="1021"/>
      <c r="NZO45" s="1021"/>
      <c r="NZP45" s="1021"/>
      <c r="NZQ45" s="1021"/>
      <c r="NZR45" s="1021"/>
      <c r="NZS45" s="1021"/>
      <c r="NZT45" s="1021"/>
      <c r="NZU45" s="1021"/>
      <c r="NZV45" s="1021"/>
      <c r="NZW45" s="1021"/>
      <c r="NZX45" s="1021"/>
      <c r="NZY45" s="1021"/>
      <c r="NZZ45" s="1021"/>
      <c r="OAA45" s="1021"/>
      <c r="OAB45" s="1021"/>
      <c r="OAC45" s="1021"/>
      <c r="OAD45" s="1021"/>
      <c r="OAE45" s="1021"/>
      <c r="OAF45" s="1021"/>
      <c r="OAG45" s="1021"/>
      <c r="OAH45" s="1021"/>
      <c r="OAI45" s="1021"/>
      <c r="OAJ45" s="1021"/>
      <c r="OAK45" s="1021"/>
      <c r="OAL45" s="1021"/>
      <c r="OAM45" s="1021"/>
      <c r="OAN45" s="1021"/>
      <c r="OAO45" s="1021"/>
      <c r="OAP45" s="1021"/>
      <c r="OAQ45" s="1021"/>
      <c r="OAR45" s="1021"/>
      <c r="OAS45" s="1021"/>
      <c r="OAT45" s="1021"/>
      <c r="OAU45" s="1021"/>
      <c r="OAV45" s="1021"/>
      <c r="OAW45" s="1021"/>
      <c r="OAX45" s="1021"/>
      <c r="OAY45" s="1021"/>
      <c r="OAZ45" s="1021"/>
      <c r="OBA45" s="1021"/>
      <c r="OBB45" s="1021"/>
      <c r="OBC45" s="1021"/>
      <c r="OBD45" s="1021"/>
      <c r="OBE45" s="1021"/>
      <c r="OBF45" s="1021"/>
      <c r="OBG45" s="1021"/>
      <c r="OBH45" s="1021"/>
      <c r="OBI45" s="1021"/>
      <c r="OBJ45" s="1021"/>
      <c r="OBK45" s="1021"/>
      <c r="OBL45" s="1021"/>
      <c r="OBM45" s="1021"/>
      <c r="OBN45" s="1021"/>
      <c r="OBO45" s="1021"/>
      <c r="OBP45" s="1021"/>
      <c r="OBQ45" s="1021"/>
      <c r="OBR45" s="1021"/>
      <c r="OBS45" s="1021"/>
      <c r="OBT45" s="1021"/>
      <c r="OBU45" s="1021"/>
      <c r="OBV45" s="1021"/>
      <c r="OBW45" s="1021"/>
      <c r="OBX45" s="1021"/>
      <c r="OBY45" s="1021"/>
      <c r="OBZ45" s="1021"/>
      <c r="OCA45" s="1021"/>
      <c r="OCB45" s="1021"/>
      <c r="OCC45" s="1021"/>
      <c r="OCD45" s="1021"/>
      <c r="OCE45" s="1021"/>
      <c r="OCF45" s="1021"/>
      <c r="OCG45" s="1021"/>
      <c r="OCH45" s="1021"/>
      <c r="OCI45" s="1021"/>
      <c r="OCJ45" s="1021"/>
      <c r="OCK45" s="1021"/>
      <c r="OCL45" s="1021"/>
      <c r="OCM45" s="1021"/>
      <c r="OCN45" s="1021"/>
      <c r="OCO45" s="1021"/>
      <c r="OCP45" s="1021"/>
      <c r="OCQ45" s="1021"/>
      <c r="OCR45" s="1021"/>
      <c r="OCS45" s="1021"/>
      <c r="OCT45" s="1021"/>
      <c r="OCU45" s="1021"/>
      <c r="OCV45" s="1021"/>
      <c r="OCW45" s="1021"/>
      <c r="OCX45" s="1021"/>
      <c r="OCY45" s="1021"/>
      <c r="OCZ45" s="1021"/>
      <c r="ODA45" s="1021"/>
      <c r="ODB45" s="1021"/>
      <c r="ODC45" s="1021"/>
      <c r="ODD45" s="1021"/>
      <c r="ODE45" s="1021"/>
      <c r="ODF45" s="1021"/>
      <c r="ODG45" s="1021"/>
      <c r="ODH45" s="1021"/>
      <c r="ODI45" s="1021"/>
      <c r="ODJ45" s="1021"/>
      <c r="ODK45" s="1021"/>
      <c r="ODL45" s="1021"/>
      <c r="ODM45" s="1021"/>
      <c r="ODN45" s="1021"/>
      <c r="ODO45" s="1021"/>
      <c r="ODP45" s="1021"/>
      <c r="ODQ45" s="1021"/>
      <c r="ODR45" s="1021"/>
      <c r="ODS45" s="1021"/>
      <c r="ODT45" s="1021"/>
      <c r="ODU45" s="1021"/>
      <c r="ODV45" s="1021"/>
      <c r="ODW45" s="1021"/>
      <c r="ODX45" s="1021"/>
      <c r="ODY45" s="1021"/>
      <c r="ODZ45" s="1021"/>
      <c r="OEA45" s="1021"/>
      <c r="OEB45" s="1021"/>
      <c r="OEC45" s="1021"/>
      <c r="OED45" s="1021"/>
      <c r="OEE45" s="1021"/>
      <c r="OEF45" s="1021"/>
      <c r="OEG45" s="1021"/>
      <c r="OEH45" s="1021"/>
      <c r="OEI45" s="1021"/>
      <c r="OEJ45" s="1021"/>
      <c r="OEK45" s="1021"/>
      <c r="OEL45" s="1021"/>
      <c r="OEM45" s="1021"/>
      <c r="OEN45" s="1021"/>
      <c r="OEO45" s="1021"/>
      <c r="OEP45" s="1021"/>
      <c r="OEQ45" s="1021"/>
      <c r="OER45" s="1021"/>
      <c r="OES45" s="1021"/>
      <c r="OET45" s="1021"/>
      <c r="OEU45" s="1021"/>
      <c r="OEV45" s="1021"/>
      <c r="OEW45" s="1021"/>
      <c r="OEX45" s="1021"/>
      <c r="OEY45" s="1021"/>
      <c r="OEZ45" s="1021"/>
      <c r="OFA45" s="1021"/>
      <c r="OFB45" s="1021"/>
      <c r="OFC45" s="1021"/>
      <c r="OFD45" s="1021"/>
      <c r="OFE45" s="1021"/>
      <c r="OFF45" s="1021"/>
      <c r="OFG45" s="1021"/>
      <c r="OFH45" s="1021"/>
      <c r="OFI45" s="1021"/>
      <c r="OFJ45" s="1021"/>
      <c r="OFK45" s="1021"/>
      <c r="OFL45" s="1021"/>
      <c r="OFM45" s="1021"/>
      <c r="OFN45" s="1021"/>
      <c r="OFO45" s="1021"/>
      <c r="OFP45" s="1021"/>
      <c r="OFQ45" s="1021"/>
      <c r="OFR45" s="1021"/>
      <c r="OFS45" s="1021"/>
      <c r="OFT45" s="1021"/>
      <c r="OFU45" s="1021"/>
      <c r="OFV45" s="1021"/>
      <c r="OFW45" s="1021"/>
      <c r="OFX45" s="1021"/>
      <c r="OFY45" s="1021"/>
      <c r="OFZ45" s="1021"/>
      <c r="OGA45" s="1021"/>
      <c r="OGB45" s="1021"/>
      <c r="OGC45" s="1021"/>
      <c r="OGD45" s="1021"/>
      <c r="OGE45" s="1021"/>
      <c r="OGF45" s="1021"/>
      <c r="OGG45" s="1021"/>
      <c r="OGH45" s="1021"/>
      <c r="OGI45" s="1021"/>
      <c r="OGJ45" s="1021"/>
      <c r="OGK45" s="1021"/>
      <c r="OGL45" s="1021"/>
      <c r="OGM45" s="1021"/>
      <c r="OGN45" s="1021"/>
      <c r="OGO45" s="1021"/>
      <c r="OGP45" s="1021"/>
      <c r="OGQ45" s="1021"/>
      <c r="OGR45" s="1021"/>
      <c r="OGS45" s="1021"/>
      <c r="OGT45" s="1021"/>
      <c r="OGU45" s="1021"/>
      <c r="OGV45" s="1021"/>
      <c r="OGW45" s="1021"/>
      <c r="OGX45" s="1021"/>
      <c r="OGY45" s="1021"/>
      <c r="OGZ45" s="1021"/>
      <c r="OHA45" s="1021"/>
      <c r="OHB45" s="1021"/>
      <c r="OHC45" s="1021"/>
      <c r="OHD45" s="1021"/>
      <c r="OHE45" s="1021"/>
      <c r="OHF45" s="1021"/>
      <c r="OHG45" s="1021"/>
      <c r="OHH45" s="1021"/>
      <c r="OHI45" s="1021"/>
      <c r="OHJ45" s="1021"/>
      <c r="OHK45" s="1021"/>
      <c r="OHL45" s="1021"/>
      <c r="OHM45" s="1021"/>
      <c r="OHN45" s="1021"/>
      <c r="OHO45" s="1021"/>
      <c r="OHP45" s="1021"/>
      <c r="OHQ45" s="1021"/>
      <c r="OHR45" s="1021"/>
      <c r="OHS45" s="1021"/>
      <c r="OHT45" s="1021"/>
      <c r="OHU45" s="1021"/>
      <c r="OHV45" s="1021"/>
      <c r="OHW45" s="1021"/>
      <c r="OHX45" s="1021"/>
      <c r="OHY45" s="1021"/>
      <c r="OHZ45" s="1021"/>
      <c r="OIA45" s="1021"/>
      <c r="OIB45" s="1021"/>
      <c r="OIC45" s="1021"/>
      <c r="OID45" s="1021"/>
      <c r="OIE45" s="1021"/>
      <c r="OIF45" s="1021"/>
      <c r="OIG45" s="1021"/>
      <c r="OIH45" s="1021"/>
      <c r="OII45" s="1021"/>
      <c r="OIJ45" s="1021"/>
      <c r="OIK45" s="1021"/>
      <c r="OIL45" s="1021"/>
      <c r="OIM45" s="1021"/>
      <c r="OIN45" s="1021"/>
      <c r="OIO45" s="1021"/>
      <c r="OIP45" s="1021"/>
      <c r="OIQ45" s="1021"/>
      <c r="OIR45" s="1021"/>
      <c r="OIS45" s="1021"/>
      <c r="OIT45" s="1021"/>
      <c r="OIU45" s="1021"/>
      <c r="OIV45" s="1021"/>
      <c r="OIW45" s="1021"/>
      <c r="OIX45" s="1021"/>
      <c r="OIY45" s="1021"/>
      <c r="OIZ45" s="1021"/>
      <c r="OJA45" s="1021"/>
      <c r="OJB45" s="1021"/>
      <c r="OJC45" s="1021"/>
      <c r="OJD45" s="1021"/>
      <c r="OJE45" s="1021"/>
      <c r="OJF45" s="1021"/>
      <c r="OJG45" s="1021"/>
      <c r="OJH45" s="1021"/>
      <c r="OJI45" s="1021"/>
      <c r="OJJ45" s="1021"/>
      <c r="OJK45" s="1021"/>
      <c r="OJL45" s="1021"/>
      <c r="OJM45" s="1021"/>
      <c r="OJN45" s="1021"/>
      <c r="OJO45" s="1021"/>
      <c r="OJP45" s="1021"/>
      <c r="OJQ45" s="1021"/>
      <c r="OJR45" s="1021"/>
      <c r="OJS45" s="1021"/>
      <c r="OJT45" s="1021"/>
      <c r="OJU45" s="1021"/>
      <c r="OJV45" s="1021"/>
      <c r="OJW45" s="1021"/>
      <c r="OJX45" s="1021"/>
      <c r="OJY45" s="1021"/>
      <c r="OJZ45" s="1021"/>
      <c r="OKA45" s="1021"/>
      <c r="OKB45" s="1021"/>
      <c r="OKC45" s="1021"/>
      <c r="OKD45" s="1021"/>
      <c r="OKE45" s="1021"/>
      <c r="OKF45" s="1021"/>
      <c r="OKG45" s="1021"/>
      <c r="OKH45" s="1021"/>
      <c r="OKI45" s="1021"/>
      <c r="OKJ45" s="1021"/>
      <c r="OKK45" s="1021"/>
      <c r="OKL45" s="1021"/>
      <c r="OKM45" s="1021"/>
      <c r="OKN45" s="1021"/>
      <c r="OKO45" s="1021"/>
      <c r="OKP45" s="1021"/>
      <c r="OKQ45" s="1021"/>
      <c r="OKR45" s="1021"/>
      <c r="OKS45" s="1021"/>
      <c r="OKT45" s="1021"/>
      <c r="OKU45" s="1021"/>
      <c r="OKV45" s="1021"/>
      <c r="OKW45" s="1021"/>
      <c r="OKX45" s="1021"/>
      <c r="OKY45" s="1021"/>
      <c r="OKZ45" s="1021"/>
      <c r="OLA45" s="1021"/>
      <c r="OLB45" s="1021"/>
      <c r="OLC45" s="1021"/>
      <c r="OLD45" s="1021"/>
      <c r="OLE45" s="1021"/>
      <c r="OLF45" s="1021"/>
      <c r="OLG45" s="1021"/>
      <c r="OLH45" s="1021"/>
      <c r="OLI45" s="1021"/>
      <c r="OLJ45" s="1021"/>
      <c r="OLK45" s="1021"/>
      <c r="OLL45" s="1021"/>
      <c r="OLM45" s="1021"/>
      <c r="OLN45" s="1021"/>
      <c r="OLO45" s="1021"/>
      <c r="OLP45" s="1021"/>
      <c r="OLQ45" s="1021"/>
      <c r="OLR45" s="1021"/>
      <c r="OLS45" s="1021"/>
      <c r="OLT45" s="1021"/>
      <c r="OLU45" s="1021"/>
      <c r="OLV45" s="1021"/>
      <c r="OLW45" s="1021"/>
      <c r="OLX45" s="1021"/>
      <c r="OLY45" s="1021"/>
      <c r="OLZ45" s="1021"/>
      <c r="OMA45" s="1021"/>
      <c r="OMB45" s="1021"/>
      <c r="OMC45" s="1021"/>
      <c r="OMD45" s="1021"/>
      <c r="OME45" s="1021"/>
      <c r="OMF45" s="1021"/>
      <c r="OMG45" s="1021"/>
      <c r="OMH45" s="1021"/>
      <c r="OMI45" s="1021"/>
      <c r="OMJ45" s="1021"/>
      <c r="OMK45" s="1021"/>
      <c r="OML45" s="1021"/>
      <c r="OMM45" s="1021"/>
      <c r="OMN45" s="1021"/>
      <c r="OMO45" s="1021"/>
      <c r="OMP45" s="1021"/>
      <c r="OMQ45" s="1021"/>
      <c r="OMR45" s="1021"/>
      <c r="OMS45" s="1021"/>
      <c r="OMT45" s="1021"/>
      <c r="OMU45" s="1021"/>
      <c r="OMV45" s="1021"/>
      <c r="OMW45" s="1021"/>
      <c r="OMX45" s="1021"/>
      <c r="OMY45" s="1021"/>
      <c r="OMZ45" s="1021"/>
      <c r="ONA45" s="1021"/>
      <c r="ONB45" s="1021"/>
      <c r="ONC45" s="1021"/>
      <c r="OND45" s="1021"/>
      <c r="ONE45" s="1021"/>
      <c r="ONF45" s="1021"/>
      <c r="ONG45" s="1021"/>
      <c r="ONH45" s="1021"/>
      <c r="ONI45" s="1021"/>
      <c r="ONJ45" s="1021"/>
      <c r="ONK45" s="1021"/>
      <c r="ONL45" s="1021"/>
      <c r="ONM45" s="1021"/>
      <c r="ONN45" s="1021"/>
      <c r="ONO45" s="1021"/>
      <c r="ONP45" s="1021"/>
      <c r="ONQ45" s="1021"/>
      <c r="ONR45" s="1021"/>
      <c r="ONS45" s="1021"/>
      <c r="ONT45" s="1021"/>
      <c r="ONU45" s="1021"/>
      <c r="ONV45" s="1021"/>
      <c r="ONW45" s="1021"/>
      <c r="ONX45" s="1021"/>
      <c r="ONY45" s="1021"/>
      <c r="ONZ45" s="1021"/>
      <c r="OOA45" s="1021"/>
      <c r="OOB45" s="1021"/>
      <c r="OOC45" s="1021"/>
      <c r="OOD45" s="1021"/>
      <c r="OOE45" s="1021"/>
      <c r="OOF45" s="1021"/>
      <c r="OOG45" s="1021"/>
      <c r="OOH45" s="1021"/>
      <c r="OOI45" s="1021"/>
      <c r="OOJ45" s="1021"/>
      <c r="OOK45" s="1021"/>
      <c r="OOL45" s="1021"/>
      <c r="OOM45" s="1021"/>
      <c r="OON45" s="1021"/>
      <c r="OOO45" s="1021"/>
      <c r="OOP45" s="1021"/>
      <c r="OOQ45" s="1021"/>
      <c r="OOR45" s="1021"/>
      <c r="OOS45" s="1021"/>
      <c r="OOT45" s="1021"/>
      <c r="OOU45" s="1021"/>
      <c r="OOV45" s="1021"/>
      <c r="OOW45" s="1021"/>
      <c r="OOX45" s="1021"/>
      <c r="OOY45" s="1021"/>
      <c r="OOZ45" s="1021"/>
      <c r="OPA45" s="1021"/>
      <c r="OPB45" s="1021"/>
      <c r="OPC45" s="1021"/>
      <c r="OPD45" s="1021"/>
      <c r="OPE45" s="1021"/>
      <c r="OPF45" s="1021"/>
      <c r="OPG45" s="1021"/>
      <c r="OPH45" s="1021"/>
      <c r="OPI45" s="1021"/>
      <c r="OPJ45" s="1021"/>
      <c r="OPK45" s="1021"/>
      <c r="OPL45" s="1021"/>
      <c r="OPM45" s="1021"/>
      <c r="OPN45" s="1021"/>
      <c r="OPO45" s="1021"/>
      <c r="OPP45" s="1021"/>
      <c r="OPQ45" s="1021"/>
      <c r="OPR45" s="1021"/>
      <c r="OPS45" s="1021"/>
      <c r="OPT45" s="1021"/>
      <c r="OPU45" s="1021"/>
      <c r="OPV45" s="1021"/>
      <c r="OPW45" s="1021"/>
      <c r="OPX45" s="1021"/>
      <c r="OPY45" s="1021"/>
      <c r="OPZ45" s="1021"/>
      <c r="OQA45" s="1021"/>
      <c r="OQB45" s="1021"/>
      <c r="OQC45" s="1021"/>
      <c r="OQD45" s="1021"/>
      <c r="OQE45" s="1021"/>
      <c r="OQF45" s="1021"/>
      <c r="OQG45" s="1021"/>
      <c r="OQH45" s="1021"/>
      <c r="OQI45" s="1021"/>
      <c r="OQJ45" s="1021"/>
      <c r="OQK45" s="1021"/>
      <c r="OQL45" s="1021"/>
      <c r="OQM45" s="1021"/>
      <c r="OQN45" s="1021"/>
      <c r="OQO45" s="1021"/>
      <c r="OQP45" s="1021"/>
      <c r="OQQ45" s="1021"/>
      <c r="OQR45" s="1021"/>
      <c r="OQS45" s="1021"/>
      <c r="OQT45" s="1021"/>
      <c r="OQU45" s="1021"/>
      <c r="OQV45" s="1021"/>
      <c r="OQW45" s="1021"/>
      <c r="OQX45" s="1021"/>
      <c r="OQY45" s="1021"/>
      <c r="OQZ45" s="1021"/>
      <c r="ORA45" s="1021"/>
      <c r="ORB45" s="1021"/>
      <c r="ORC45" s="1021"/>
      <c r="ORD45" s="1021"/>
      <c r="ORE45" s="1021"/>
      <c r="ORF45" s="1021"/>
      <c r="ORG45" s="1021"/>
      <c r="ORH45" s="1021"/>
      <c r="ORI45" s="1021"/>
      <c r="ORJ45" s="1021"/>
      <c r="ORK45" s="1021"/>
      <c r="ORL45" s="1021"/>
      <c r="ORM45" s="1021"/>
      <c r="ORN45" s="1021"/>
      <c r="ORO45" s="1021"/>
      <c r="ORP45" s="1021"/>
      <c r="ORQ45" s="1021"/>
      <c r="ORR45" s="1021"/>
      <c r="ORS45" s="1021"/>
      <c r="ORT45" s="1021"/>
      <c r="ORU45" s="1021"/>
      <c r="ORV45" s="1021"/>
      <c r="ORW45" s="1021"/>
      <c r="ORX45" s="1021"/>
      <c r="ORY45" s="1021"/>
      <c r="ORZ45" s="1021"/>
      <c r="OSA45" s="1021"/>
      <c r="OSB45" s="1021"/>
      <c r="OSC45" s="1021"/>
      <c r="OSD45" s="1021"/>
      <c r="OSE45" s="1021"/>
      <c r="OSF45" s="1021"/>
      <c r="OSG45" s="1021"/>
      <c r="OSH45" s="1021"/>
      <c r="OSI45" s="1021"/>
      <c r="OSJ45" s="1021"/>
      <c r="OSK45" s="1021"/>
      <c r="OSL45" s="1021"/>
      <c r="OSM45" s="1021"/>
      <c r="OSN45" s="1021"/>
      <c r="OSO45" s="1021"/>
      <c r="OSP45" s="1021"/>
      <c r="OSQ45" s="1021"/>
      <c r="OSR45" s="1021"/>
      <c r="OSS45" s="1021"/>
      <c r="OST45" s="1021"/>
      <c r="OSU45" s="1021"/>
      <c r="OSV45" s="1021"/>
      <c r="OSW45" s="1021"/>
      <c r="OSX45" s="1021"/>
      <c r="OSY45" s="1021"/>
      <c r="OSZ45" s="1021"/>
      <c r="OTA45" s="1021"/>
      <c r="OTB45" s="1021"/>
      <c r="OTC45" s="1021"/>
      <c r="OTD45" s="1021"/>
      <c r="OTE45" s="1021"/>
      <c r="OTF45" s="1021"/>
      <c r="OTG45" s="1021"/>
      <c r="OTH45" s="1021"/>
      <c r="OTI45" s="1021"/>
      <c r="OTJ45" s="1021"/>
      <c r="OTK45" s="1021"/>
      <c r="OTL45" s="1021"/>
      <c r="OTM45" s="1021"/>
      <c r="OTN45" s="1021"/>
      <c r="OTO45" s="1021"/>
      <c r="OTP45" s="1021"/>
      <c r="OTQ45" s="1021"/>
      <c r="OTR45" s="1021"/>
      <c r="OTS45" s="1021"/>
      <c r="OTT45" s="1021"/>
      <c r="OTU45" s="1021"/>
      <c r="OTV45" s="1021"/>
      <c r="OTW45" s="1021"/>
      <c r="OTX45" s="1021"/>
      <c r="OTY45" s="1021"/>
      <c r="OTZ45" s="1021"/>
      <c r="OUA45" s="1021"/>
      <c r="OUB45" s="1021"/>
      <c r="OUC45" s="1021"/>
      <c r="OUD45" s="1021"/>
      <c r="OUE45" s="1021"/>
      <c r="OUF45" s="1021"/>
      <c r="OUG45" s="1021"/>
      <c r="OUH45" s="1021"/>
      <c r="OUI45" s="1021"/>
      <c r="OUJ45" s="1021"/>
      <c r="OUK45" s="1021"/>
      <c r="OUL45" s="1021"/>
      <c r="OUM45" s="1021"/>
      <c r="OUN45" s="1021"/>
      <c r="OUO45" s="1021"/>
      <c r="OUP45" s="1021"/>
      <c r="OUQ45" s="1021"/>
      <c r="OUR45" s="1021"/>
      <c r="OUS45" s="1021"/>
      <c r="OUT45" s="1021"/>
      <c r="OUU45" s="1021"/>
      <c r="OUV45" s="1021"/>
      <c r="OUW45" s="1021"/>
      <c r="OUX45" s="1021"/>
      <c r="OUY45" s="1021"/>
      <c r="OUZ45" s="1021"/>
      <c r="OVA45" s="1021"/>
      <c r="OVB45" s="1021"/>
      <c r="OVC45" s="1021"/>
      <c r="OVD45" s="1021"/>
      <c r="OVE45" s="1021"/>
      <c r="OVF45" s="1021"/>
      <c r="OVG45" s="1021"/>
      <c r="OVH45" s="1021"/>
      <c r="OVI45" s="1021"/>
      <c r="OVJ45" s="1021"/>
      <c r="OVK45" s="1021"/>
      <c r="OVL45" s="1021"/>
      <c r="OVM45" s="1021"/>
      <c r="OVN45" s="1021"/>
      <c r="OVO45" s="1021"/>
      <c r="OVP45" s="1021"/>
      <c r="OVQ45" s="1021"/>
      <c r="OVR45" s="1021"/>
      <c r="OVS45" s="1021"/>
      <c r="OVT45" s="1021"/>
      <c r="OVU45" s="1021"/>
      <c r="OVV45" s="1021"/>
      <c r="OVW45" s="1021"/>
      <c r="OVX45" s="1021"/>
      <c r="OVY45" s="1021"/>
      <c r="OVZ45" s="1021"/>
      <c r="OWA45" s="1021"/>
      <c r="OWB45" s="1021"/>
      <c r="OWC45" s="1021"/>
      <c r="OWD45" s="1021"/>
      <c r="OWE45" s="1021"/>
      <c r="OWF45" s="1021"/>
      <c r="OWG45" s="1021"/>
      <c r="OWH45" s="1021"/>
      <c r="OWI45" s="1021"/>
      <c r="OWJ45" s="1021"/>
      <c r="OWK45" s="1021"/>
      <c r="OWL45" s="1021"/>
      <c r="OWM45" s="1021"/>
      <c r="OWN45" s="1021"/>
      <c r="OWO45" s="1021"/>
      <c r="OWP45" s="1021"/>
      <c r="OWQ45" s="1021"/>
      <c r="OWR45" s="1021"/>
      <c r="OWS45" s="1021"/>
      <c r="OWT45" s="1021"/>
      <c r="OWU45" s="1021"/>
      <c r="OWV45" s="1021"/>
      <c r="OWW45" s="1021"/>
      <c r="OWX45" s="1021"/>
      <c r="OWY45" s="1021"/>
      <c r="OWZ45" s="1021"/>
      <c r="OXA45" s="1021"/>
      <c r="OXB45" s="1021"/>
      <c r="OXC45" s="1021"/>
      <c r="OXD45" s="1021"/>
      <c r="OXE45" s="1021"/>
      <c r="OXF45" s="1021"/>
      <c r="OXG45" s="1021"/>
      <c r="OXH45" s="1021"/>
      <c r="OXI45" s="1021"/>
      <c r="OXJ45" s="1021"/>
      <c r="OXK45" s="1021"/>
      <c r="OXL45" s="1021"/>
      <c r="OXM45" s="1021"/>
      <c r="OXN45" s="1021"/>
      <c r="OXO45" s="1021"/>
      <c r="OXP45" s="1021"/>
      <c r="OXQ45" s="1021"/>
      <c r="OXR45" s="1021"/>
      <c r="OXS45" s="1021"/>
      <c r="OXT45" s="1021"/>
      <c r="OXU45" s="1021"/>
      <c r="OXV45" s="1021"/>
      <c r="OXW45" s="1021"/>
      <c r="OXX45" s="1021"/>
      <c r="OXY45" s="1021"/>
      <c r="OXZ45" s="1021"/>
      <c r="OYA45" s="1021"/>
      <c r="OYB45" s="1021"/>
      <c r="OYC45" s="1021"/>
      <c r="OYD45" s="1021"/>
      <c r="OYE45" s="1021"/>
      <c r="OYF45" s="1021"/>
      <c r="OYG45" s="1021"/>
      <c r="OYH45" s="1021"/>
      <c r="OYI45" s="1021"/>
      <c r="OYJ45" s="1021"/>
      <c r="OYK45" s="1021"/>
      <c r="OYL45" s="1021"/>
      <c r="OYM45" s="1021"/>
      <c r="OYN45" s="1021"/>
      <c r="OYO45" s="1021"/>
      <c r="OYP45" s="1021"/>
      <c r="OYQ45" s="1021"/>
      <c r="OYR45" s="1021"/>
      <c r="OYS45" s="1021"/>
      <c r="OYT45" s="1021"/>
      <c r="OYU45" s="1021"/>
      <c r="OYV45" s="1021"/>
      <c r="OYW45" s="1021"/>
      <c r="OYX45" s="1021"/>
      <c r="OYY45" s="1021"/>
      <c r="OYZ45" s="1021"/>
      <c r="OZA45" s="1021"/>
      <c r="OZB45" s="1021"/>
      <c r="OZC45" s="1021"/>
      <c r="OZD45" s="1021"/>
      <c r="OZE45" s="1021"/>
      <c r="OZF45" s="1021"/>
      <c r="OZG45" s="1021"/>
      <c r="OZH45" s="1021"/>
      <c r="OZI45" s="1021"/>
      <c r="OZJ45" s="1021"/>
      <c r="OZK45" s="1021"/>
      <c r="OZL45" s="1021"/>
      <c r="OZM45" s="1021"/>
      <c r="OZN45" s="1021"/>
      <c r="OZO45" s="1021"/>
      <c r="OZP45" s="1021"/>
      <c r="OZQ45" s="1021"/>
      <c r="OZR45" s="1021"/>
      <c r="OZS45" s="1021"/>
      <c r="OZT45" s="1021"/>
      <c r="OZU45" s="1021"/>
      <c r="OZV45" s="1021"/>
      <c r="OZW45" s="1021"/>
      <c r="OZX45" s="1021"/>
      <c r="OZY45" s="1021"/>
      <c r="OZZ45" s="1021"/>
      <c r="PAA45" s="1021"/>
      <c r="PAB45" s="1021"/>
      <c r="PAC45" s="1021"/>
      <c r="PAD45" s="1021"/>
      <c r="PAE45" s="1021"/>
      <c r="PAF45" s="1021"/>
      <c r="PAG45" s="1021"/>
      <c r="PAH45" s="1021"/>
      <c r="PAI45" s="1021"/>
      <c r="PAJ45" s="1021"/>
      <c r="PAK45" s="1021"/>
      <c r="PAL45" s="1021"/>
      <c r="PAM45" s="1021"/>
      <c r="PAN45" s="1021"/>
      <c r="PAO45" s="1021"/>
      <c r="PAP45" s="1021"/>
      <c r="PAQ45" s="1021"/>
      <c r="PAR45" s="1021"/>
      <c r="PAS45" s="1021"/>
      <c r="PAT45" s="1021"/>
      <c r="PAU45" s="1021"/>
      <c r="PAV45" s="1021"/>
      <c r="PAW45" s="1021"/>
      <c r="PAX45" s="1021"/>
      <c r="PAY45" s="1021"/>
      <c r="PAZ45" s="1021"/>
      <c r="PBA45" s="1021"/>
      <c r="PBB45" s="1021"/>
      <c r="PBC45" s="1021"/>
      <c r="PBD45" s="1021"/>
      <c r="PBE45" s="1021"/>
      <c r="PBF45" s="1021"/>
      <c r="PBG45" s="1021"/>
      <c r="PBH45" s="1021"/>
      <c r="PBI45" s="1021"/>
      <c r="PBJ45" s="1021"/>
      <c r="PBK45" s="1021"/>
      <c r="PBL45" s="1021"/>
      <c r="PBM45" s="1021"/>
      <c r="PBN45" s="1021"/>
      <c r="PBO45" s="1021"/>
      <c r="PBP45" s="1021"/>
      <c r="PBQ45" s="1021"/>
      <c r="PBR45" s="1021"/>
      <c r="PBS45" s="1021"/>
      <c r="PBT45" s="1021"/>
      <c r="PBU45" s="1021"/>
      <c r="PBV45" s="1021"/>
      <c r="PBW45" s="1021"/>
      <c r="PBX45" s="1021"/>
      <c r="PBY45" s="1021"/>
      <c r="PBZ45" s="1021"/>
      <c r="PCA45" s="1021"/>
      <c r="PCB45" s="1021"/>
      <c r="PCC45" s="1021"/>
      <c r="PCD45" s="1021"/>
      <c r="PCE45" s="1021"/>
      <c r="PCF45" s="1021"/>
      <c r="PCG45" s="1021"/>
      <c r="PCH45" s="1021"/>
      <c r="PCI45" s="1021"/>
      <c r="PCJ45" s="1021"/>
      <c r="PCK45" s="1021"/>
      <c r="PCL45" s="1021"/>
      <c r="PCM45" s="1021"/>
      <c r="PCN45" s="1021"/>
      <c r="PCO45" s="1021"/>
      <c r="PCP45" s="1021"/>
      <c r="PCQ45" s="1021"/>
      <c r="PCR45" s="1021"/>
      <c r="PCS45" s="1021"/>
      <c r="PCT45" s="1021"/>
      <c r="PCU45" s="1021"/>
      <c r="PCV45" s="1021"/>
      <c r="PCW45" s="1021"/>
      <c r="PCX45" s="1021"/>
      <c r="PCY45" s="1021"/>
      <c r="PCZ45" s="1021"/>
      <c r="PDA45" s="1021"/>
      <c r="PDB45" s="1021"/>
      <c r="PDC45" s="1021"/>
      <c r="PDD45" s="1021"/>
      <c r="PDE45" s="1021"/>
      <c r="PDF45" s="1021"/>
      <c r="PDG45" s="1021"/>
      <c r="PDH45" s="1021"/>
      <c r="PDI45" s="1021"/>
      <c r="PDJ45" s="1021"/>
      <c r="PDK45" s="1021"/>
      <c r="PDL45" s="1021"/>
      <c r="PDM45" s="1021"/>
      <c r="PDN45" s="1021"/>
      <c r="PDO45" s="1021"/>
      <c r="PDP45" s="1021"/>
      <c r="PDQ45" s="1021"/>
      <c r="PDR45" s="1021"/>
      <c r="PDS45" s="1021"/>
      <c r="PDT45" s="1021"/>
      <c r="PDU45" s="1021"/>
      <c r="PDV45" s="1021"/>
      <c r="PDW45" s="1021"/>
      <c r="PDX45" s="1021"/>
      <c r="PDY45" s="1021"/>
      <c r="PDZ45" s="1021"/>
      <c r="PEA45" s="1021"/>
      <c r="PEB45" s="1021"/>
      <c r="PEC45" s="1021"/>
      <c r="PED45" s="1021"/>
      <c r="PEE45" s="1021"/>
      <c r="PEF45" s="1021"/>
      <c r="PEG45" s="1021"/>
      <c r="PEH45" s="1021"/>
      <c r="PEI45" s="1021"/>
      <c r="PEJ45" s="1021"/>
      <c r="PEK45" s="1021"/>
      <c r="PEL45" s="1021"/>
      <c r="PEM45" s="1021"/>
      <c r="PEN45" s="1021"/>
      <c r="PEO45" s="1021"/>
      <c r="PEP45" s="1021"/>
      <c r="PEQ45" s="1021"/>
      <c r="PER45" s="1021"/>
      <c r="PES45" s="1021"/>
      <c r="PET45" s="1021"/>
      <c r="PEU45" s="1021"/>
      <c r="PEV45" s="1021"/>
      <c r="PEW45" s="1021"/>
      <c r="PEX45" s="1021"/>
      <c r="PEY45" s="1021"/>
      <c r="PEZ45" s="1021"/>
      <c r="PFA45" s="1021"/>
      <c r="PFB45" s="1021"/>
      <c r="PFC45" s="1021"/>
      <c r="PFD45" s="1021"/>
      <c r="PFE45" s="1021"/>
      <c r="PFF45" s="1021"/>
      <c r="PFG45" s="1021"/>
      <c r="PFH45" s="1021"/>
      <c r="PFI45" s="1021"/>
      <c r="PFJ45" s="1021"/>
      <c r="PFK45" s="1021"/>
      <c r="PFL45" s="1021"/>
      <c r="PFM45" s="1021"/>
      <c r="PFN45" s="1021"/>
      <c r="PFO45" s="1021"/>
      <c r="PFP45" s="1021"/>
      <c r="PFQ45" s="1021"/>
      <c r="PFR45" s="1021"/>
      <c r="PFS45" s="1021"/>
      <c r="PFT45" s="1021"/>
      <c r="PFU45" s="1021"/>
      <c r="PFV45" s="1021"/>
      <c r="PFW45" s="1021"/>
      <c r="PFX45" s="1021"/>
      <c r="PFY45" s="1021"/>
      <c r="PFZ45" s="1021"/>
      <c r="PGA45" s="1021"/>
      <c r="PGB45" s="1021"/>
      <c r="PGC45" s="1021"/>
      <c r="PGD45" s="1021"/>
      <c r="PGE45" s="1021"/>
      <c r="PGF45" s="1021"/>
      <c r="PGG45" s="1021"/>
      <c r="PGH45" s="1021"/>
      <c r="PGI45" s="1021"/>
      <c r="PGJ45" s="1021"/>
      <c r="PGK45" s="1021"/>
      <c r="PGL45" s="1021"/>
      <c r="PGM45" s="1021"/>
      <c r="PGN45" s="1021"/>
      <c r="PGO45" s="1021"/>
      <c r="PGP45" s="1021"/>
      <c r="PGQ45" s="1021"/>
      <c r="PGR45" s="1021"/>
      <c r="PGS45" s="1021"/>
      <c r="PGT45" s="1021"/>
      <c r="PGU45" s="1021"/>
      <c r="PGV45" s="1021"/>
      <c r="PGW45" s="1021"/>
      <c r="PGX45" s="1021"/>
      <c r="PGY45" s="1021"/>
      <c r="PGZ45" s="1021"/>
      <c r="PHA45" s="1021"/>
      <c r="PHB45" s="1021"/>
      <c r="PHC45" s="1021"/>
      <c r="PHD45" s="1021"/>
      <c r="PHE45" s="1021"/>
      <c r="PHF45" s="1021"/>
      <c r="PHG45" s="1021"/>
      <c r="PHH45" s="1021"/>
      <c r="PHI45" s="1021"/>
      <c r="PHJ45" s="1021"/>
      <c r="PHK45" s="1021"/>
      <c r="PHL45" s="1021"/>
      <c r="PHM45" s="1021"/>
      <c r="PHN45" s="1021"/>
      <c r="PHO45" s="1021"/>
      <c r="PHP45" s="1021"/>
      <c r="PHQ45" s="1021"/>
      <c r="PHR45" s="1021"/>
      <c r="PHS45" s="1021"/>
      <c r="PHT45" s="1021"/>
      <c r="PHU45" s="1021"/>
      <c r="PHV45" s="1021"/>
      <c r="PHW45" s="1021"/>
      <c r="PHX45" s="1021"/>
      <c r="PHY45" s="1021"/>
      <c r="PHZ45" s="1021"/>
      <c r="PIA45" s="1021"/>
      <c r="PIB45" s="1021"/>
      <c r="PIC45" s="1021"/>
      <c r="PID45" s="1021"/>
      <c r="PIE45" s="1021"/>
      <c r="PIF45" s="1021"/>
      <c r="PIG45" s="1021"/>
      <c r="PIH45" s="1021"/>
      <c r="PII45" s="1021"/>
      <c r="PIJ45" s="1021"/>
      <c r="PIK45" s="1021"/>
      <c r="PIL45" s="1021"/>
      <c r="PIM45" s="1021"/>
      <c r="PIN45" s="1021"/>
      <c r="PIO45" s="1021"/>
      <c r="PIP45" s="1021"/>
      <c r="PIQ45" s="1021"/>
      <c r="PIR45" s="1021"/>
      <c r="PIS45" s="1021"/>
      <c r="PIT45" s="1021"/>
      <c r="PIU45" s="1021"/>
      <c r="PIV45" s="1021"/>
      <c r="PIW45" s="1021"/>
      <c r="PIX45" s="1021"/>
      <c r="PIY45" s="1021"/>
      <c r="PIZ45" s="1021"/>
      <c r="PJA45" s="1021"/>
      <c r="PJB45" s="1021"/>
      <c r="PJC45" s="1021"/>
      <c r="PJD45" s="1021"/>
      <c r="PJE45" s="1021"/>
      <c r="PJF45" s="1021"/>
      <c r="PJG45" s="1021"/>
      <c r="PJH45" s="1021"/>
      <c r="PJI45" s="1021"/>
      <c r="PJJ45" s="1021"/>
      <c r="PJK45" s="1021"/>
      <c r="PJL45" s="1021"/>
      <c r="PJM45" s="1021"/>
      <c r="PJN45" s="1021"/>
      <c r="PJO45" s="1021"/>
      <c r="PJP45" s="1021"/>
      <c r="PJQ45" s="1021"/>
      <c r="PJR45" s="1021"/>
      <c r="PJS45" s="1021"/>
      <c r="PJT45" s="1021"/>
      <c r="PJU45" s="1021"/>
      <c r="PJV45" s="1021"/>
      <c r="PJW45" s="1021"/>
      <c r="PJX45" s="1021"/>
      <c r="PJY45" s="1021"/>
      <c r="PJZ45" s="1021"/>
      <c r="PKA45" s="1021"/>
      <c r="PKB45" s="1021"/>
      <c r="PKC45" s="1021"/>
      <c r="PKD45" s="1021"/>
      <c r="PKE45" s="1021"/>
      <c r="PKF45" s="1021"/>
      <c r="PKG45" s="1021"/>
      <c r="PKH45" s="1021"/>
      <c r="PKI45" s="1021"/>
      <c r="PKJ45" s="1021"/>
      <c r="PKK45" s="1021"/>
      <c r="PKL45" s="1021"/>
      <c r="PKM45" s="1021"/>
      <c r="PKN45" s="1021"/>
      <c r="PKO45" s="1021"/>
      <c r="PKP45" s="1021"/>
      <c r="PKQ45" s="1021"/>
      <c r="PKR45" s="1021"/>
      <c r="PKS45" s="1021"/>
      <c r="PKT45" s="1021"/>
      <c r="PKU45" s="1021"/>
      <c r="PKV45" s="1021"/>
      <c r="PKW45" s="1021"/>
      <c r="PKX45" s="1021"/>
      <c r="PKY45" s="1021"/>
      <c r="PKZ45" s="1021"/>
      <c r="PLA45" s="1021"/>
      <c r="PLB45" s="1021"/>
      <c r="PLC45" s="1021"/>
      <c r="PLD45" s="1021"/>
      <c r="PLE45" s="1021"/>
      <c r="PLF45" s="1021"/>
      <c r="PLG45" s="1021"/>
      <c r="PLH45" s="1021"/>
      <c r="PLI45" s="1021"/>
      <c r="PLJ45" s="1021"/>
      <c r="PLK45" s="1021"/>
      <c r="PLL45" s="1021"/>
      <c r="PLM45" s="1021"/>
      <c r="PLN45" s="1021"/>
      <c r="PLO45" s="1021"/>
      <c r="PLP45" s="1021"/>
      <c r="PLQ45" s="1021"/>
      <c r="PLR45" s="1021"/>
      <c r="PLS45" s="1021"/>
      <c r="PLT45" s="1021"/>
      <c r="PLU45" s="1021"/>
      <c r="PLV45" s="1021"/>
      <c r="PLW45" s="1021"/>
      <c r="PLX45" s="1021"/>
      <c r="PLY45" s="1021"/>
      <c r="PLZ45" s="1021"/>
      <c r="PMA45" s="1021"/>
      <c r="PMB45" s="1021"/>
      <c r="PMC45" s="1021"/>
      <c r="PMD45" s="1021"/>
      <c r="PME45" s="1021"/>
      <c r="PMF45" s="1021"/>
      <c r="PMG45" s="1021"/>
      <c r="PMH45" s="1021"/>
      <c r="PMI45" s="1021"/>
      <c r="PMJ45" s="1021"/>
      <c r="PMK45" s="1021"/>
      <c r="PML45" s="1021"/>
      <c r="PMM45" s="1021"/>
      <c r="PMN45" s="1021"/>
      <c r="PMO45" s="1021"/>
      <c r="PMP45" s="1021"/>
      <c r="PMQ45" s="1021"/>
      <c r="PMR45" s="1021"/>
      <c r="PMS45" s="1021"/>
      <c r="PMT45" s="1021"/>
      <c r="PMU45" s="1021"/>
      <c r="PMV45" s="1021"/>
      <c r="PMW45" s="1021"/>
      <c r="PMX45" s="1021"/>
      <c r="PMY45" s="1021"/>
      <c r="PMZ45" s="1021"/>
      <c r="PNA45" s="1021"/>
      <c r="PNB45" s="1021"/>
      <c r="PNC45" s="1021"/>
      <c r="PND45" s="1021"/>
      <c r="PNE45" s="1021"/>
      <c r="PNF45" s="1021"/>
      <c r="PNG45" s="1021"/>
      <c r="PNH45" s="1021"/>
      <c r="PNI45" s="1021"/>
      <c r="PNJ45" s="1021"/>
      <c r="PNK45" s="1021"/>
      <c r="PNL45" s="1021"/>
      <c r="PNM45" s="1021"/>
      <c r="PNN45" s="1021"/>
      <c r="PNO45" s="1021"/>
      <c r="PNP45" s="1021"/>
      <c r="PNQ45" s="1021"/>
      <c r="PNR45" s="1021"/>
      <c r="PNS45" s="1021"/>
      <c r="PNT45" s="1021"/>
      <c r="PNU45" s="1021"/>
      <c r="PNV45" s="1021"/>
      <c r="PNW45" s="1021"/>
      <c r="PNX45" s="1021"/>
      <c r="PNY45" s="1021"/>
      <c r="PNZ45" s="1021"/>
      <c r="POA45" s="1021"/>
      <c r="POB45" s="1021"/>
      <c r="POC45" s="1021"/>
      <c r="POD45" s="1021"/>
      <c r="POE45" s="1021"/>
      <c r="POF45" s="1021"/>
      <c r="POG45" s="1021"/>
      <c r="POH45" s="1021"/>
      <c r="POI45" s="1021"/>
      <c r="POJ45" s="1021"/>
      <c r="POK45" s="1021"/>
      <c r="POL45" s="1021"/>
      <c r="POM45" s="1021"/>
      <c r="PON45" s="1021"/>
      <c r="POO45" s="1021"/>
      <c r="POP45" s="1021"/>
      <c r="POQ45" s="1021"/>
      <c r="POR45" s="1021"/>
      <c r="POS45" s="1021"/>
      <c r="POT45" s="1021"/>
      <c r="POU45" s="1021"/>
      <c r="POV45" s="1021"/>
      <c r="POW45" s="1021"/>
      <c r="POX45" s="1021"/>
      <c r="POY45" s="1021"/>
      <c r="POZ45" s="1021"/>
      <c r="PPA45" s="1021"/>
      <c r="PPB45" s="1021"/>
      <c r="PPC45" s="1021"/>
      <c r="PPD45" s="1021"/>
      <c r="PPE45" s="1021"/>
      <c r="PPF45" s="1021"/>
      <c r="PPG45" s="1021"/>
      <c r="PPH45" s="1021"/>
      <c r="PPI45" s="1021"/>
      <c r="PPJ45" s="1021"/>
      <c r="PPK45" s="1021"/>
      <c r="PPL45" s="1021"/>
      <c r="PPM45" s="1021"/>
      <c r="PPN45" s="1021"/>
      <c r="PPO45" s="1021"/>
      <c r="PPP45" s="1021"/>
      <c r="PPQ45" s="1021"/>
      <c r="PPR45" s="1021"/>
      <c r="PPS45" s="1021"/>
      <c r="PPT45" s="1021"/>
      <c r="PPU45" s="1021"/>
      <c r="PPV45" s="1021"/>
      <c r="PPW45" s="1021"/>
      <c r="PPX45" s="1021"/>
      <c r="PPY45" s="1021"/>
      <c r="PPZ45" s="1021"/>
      <c r="PQA45" s="1021"/>
      <c r="PQB45" s="1021"/>
      <c r="PQC45" s="1021"/>
      <c r="PQD45" s="1021"/>
      <c r="PQE45" s="1021"/>
      <c r="PQF45" s="1021"/>
      <c r="PQG45" s="1021"/>
      <c r="PQH45" s="1021"/>
      <c r="PQI45" s="1021"/>
      <c r="PQJ45" s="1021"/>
      <c r="PQK45" s="1021"/>
      <c r="PQL45" s="1021"/>
      <c r="PQM45" s="1021"/>
      <c r="PQN45" s="1021"/>
      <c r="PQO45" s="1021"/>
      <c r="PQP45" s="1021"/>
      <c r="PQQ45" s="1021"/>
      <c r="PQR45" s="1021"/>
      <c r="PQS45" s="1021"/>
      <c r="PQT45" s="1021"/>
      <c r="PQU45" s="1021"/>
      <c r="PQV45" s="1021"/>
      <c r="PQW45" s="1021"/>
      <c r="PQX45" s="1021"/>
      <c r="PQY45" s="1021"/>
      <c r="PQZ45" s="1021"/>
      <c r="PRA45" s="1021"/>
      <c r="PRB45" s="1021"/>
      <c r="PRC45" s="1021"/>
      <c r="PRD45" s="1021"/>
      <c r="PRE45" s="1021"/>
      <c r="PRF45" s="1021"/>
      <c r="PRG45" s="1021"/>
      <c r="PRH45" s="1021"/>
      <c r="PRI45" s="1021"/>
      <c r="PRJ45" s="1021"/>
      <c r="PRK45" s="1021"/>
      <c r="PRL45" s="1021"/>
      <c r="PRM45" s="1021"/>
      <c r="PRN45" s="1021"/>
      <c r="PRO45" s="1021"/>
      <c r="PRP45" s="1021"/>
      <c r="PRQ45" s="1021"/>
      <c r="PRR45" s="1021"/>
      <c r="PRS45" s="1021"/>
      <c r="PRT45" s="1021"/>
      <c r="PRU45" s="1021"/>
      <c r="PRV45" s="1021"/>
      <c r="PRW45" s="1021"/>
      <c r="PRX45" s="1021"/>
      <c r="PRY45" s="1021"/>
      <c r="PRZ45" s="1021"/>
      <c r="PSA45" s="1021"/>
      <c r="PSB45" s="1021"/>
      <c r="PSC45" s="1021"/>
      <c r="PSD45" s="1021"/>
      <c r="PSE45" s="1021"/>
      <c r="PSF45" s="1021"/>
      <c r="PSG45" s="1021"/>
      <c r="PSH45" s="1021"/>
      <c r="PSI45" s="1021"/>
      <c r="PSJ45" s="1021"/>
      <c r="PSK45" s="1021"/>
      <c r="PSL45" s="1021"/>
      <c r="PSM45" s="1021"/>
      <c r="PSN45" s="1021"/>
      <c r="PSO45" s="1021"/>
      <c r="PSP45" s="1021"/>
      <c r="PSQ45" s="1021"/>
      <c r="PSR45" s="1021"/>
      <c r="PSS45" s="1021"/>
      <c r="PST45" s="1021"/>
      <c r="PSU45" s="1021"/>
      <c r="PSV45" s="1021"/>
      <c r="PSW45" s="1021"/>
      <c r="PSX45" s="1021"/>
      <c r="PSY45" s="1021"/>
      <c r="PSZ45" s="1021"/>
      <c r="PTA45" s="1021"/>
      <c r="PTB45" s="1021"/>
      <c r="PTC45" s="1021"/>
      <c r="PTD45" s="1021"/>
      <c r="PTE45" s="1021"/>
      <c r="PTF45" s="1021"/>
      <c r="PTG45" s="1021"/>
      <c r="PTH45" s="1021"/>
      <c r="PTI45" s="1021"/>
      <c r="PTJ45" s="1021"/>
      <c r="PTK45" s="1021"/>
      <c r="PTL45" s="1021"/>
      <c r="PTM45" s="1021"/>
      <c r="PTN45" s="1021"/>
      <c r="PTO45" s="1021"/>
      <c r="PTP45" s="1021"/>
      <c r="PTQ45" s="1021"/>
      <c r="PTR45" s="1021"/>
      <c r="PTS45" s="1021"/>
      <c r="PTT45" s="1021"/>
      <c r="PTU45" s="1021"/>
      <c r="PTV45" s="1021"/>
      <c r="PTW45" s="1021"/>
      <c r="PTX45" s="1021"/>
      <c r="PTY45" s="1021"/>
      <c r="PTZ45" s="1021"/>
      <c r="PUA45" s="1021"/>
      <c r="PUB45" s="1021"/>
      <c r="PUC45" s="1021"/>
      <c r="PUD45" s="1021"/>
      <c r="PUE45" s="1021"/>
      <c r="PUF45" s="1021"/>
      <c r="PUG45" s="1021"/>
      <c r="PUH45" s="1021"/>
      <c r="PUI45" s="1021"/>
      <c r="PUJ45" s="1021"/>
      <c r="PUK45" s="1021"/>
      <c r="PUL45" s="1021"/>
      <c r="PUM45" s="1021"/>
      <c r="PUN45" s="1021"/>
      <c r="PUO45" s="1021"/>
      <c r="PUP45" s="1021"/>
      <c r="PUQ45" s="1021"/>
      <c r="PUR45" s="1021"/>
      <c r="PUS45" s="1021"/>
      <c r="PUT45" s="1021"/>
      <c r="PUU45" s="1021"/>
      <c r="PUV45" s="1021"/>
      <c r="PUW45" s="1021"/>
      <c r="PUX45" s="1021"/>
      <c r="PUY45" s="1021"/>
      <c r="PUZ45" s="1021"/>
      <c r="PVA45" s="1021"/>
      <c r="PVB45" s="1021"/>
      <c r="PVC45" s="1021"/>
      <c r="PVD45" s="1021"/>
      <c r="PVE45" s="1021"/>
      <c r="PVF45" s="1021"/>
      <c r="PVG45" s="1021"/>
      <c r="PVH45" s="1021"/>
      <c r="PVI45" s="1021"/>
      <c r="PVJ45" s="1021"/>
      <c r="PVK45" s="1021"/>
      <c r="PVL45" s="1021"/>
      <c r="PVM45" s="1021"/>
      <c r="PVN45" s="1021"/>
      <c r="PVO45" s="1021"/>
      <c r="PVP45" s="1021"/>
      <c r="PVQ45" s="1021"/>
      <c r="PVR45" s="1021"/>
      <c r="PVS45" s="1021"/>
      <c r="PVT45" s="1021"/>
      <c r="PVU45" s="1021"/>
      <c r="PVV45" s="1021"/>
      <c r="PVW45" s="1021"/>
      <c r="PVX45" s="1021"/>
      <c r="PVY45" s="1021"/>
      <c r="PVZ45" s="1021"/>
      <c r="PWA45" s="1021"/>
      <c r="PWB45" s="1021"/>
      <c r="PWC45" s="1021"/>
      <c r="PWD45" s="1021"/>
      <c r="PWE45" s="1021"/>
      <c r="PWF45" s="1021"/>
      <c r="PWG45" s="1021"/>
      <c r="PWH45" s="1021"/>
      <c r="PWI45" s="1021"/>
      <c r="PWJ45" s="1021"/>
      <c r="PWK45" s="1021"/>
      <c r="PWL45" s="1021"/>
      <c r="PWM45" s="1021"/>
      <c r="PWN45" s="1021"/>
      <c r="PWO45" s="1021"/>
      <c r="PWP45" s="1021"/>
      <c r="PWQ45" s="1021"/>
      <c r="PWR45" s="1021"/>
      <c r="PWS45" s="1021"/>
      <c r="PWT45" s="1021"/>
      <c r="PWU45" s="1021"/>
      <c r="PWV45" s="1021"/>
      <c r="PWW45" s="1021"/>
      <c r="PWX45" s="1021"/>
      <c r="PWY45" s="1021"/>
      <c r="PWZ45" s="1021"/>
      <c r="PXA45" s="1021"/>
      <c r="PXB45" s="1021"/>
      <c r="PXC45" s="1021"/>
      <c r="PXD45" s="1021"/>
      <c r="PXE45" s="1021"/>
      <c r="PXF45" s="1021"/>
      <c r="PXG45" s="1021"/>
      <c r="PXH45" s="1021"/>
      <c r="PXI45" s="1021"/>
      <c r="PXJ45" s="1021"/>
      <c r="PXK45" s="1021"/>
      <c r="PXL45" s="1021"/>
      <c r="PXM45" s="1021"/>
      <c r="PXN45" s="1021"/>
      <c r="PXO45" s="1021"/>
      <c r="PXP45" s="1021"/>
      <c r="PXQ45" s="1021"/>
      <c r="PXR45" s="1021"/>
      <c r="PXS45" s="1021"/>
      <c r="PXT45" s="1021"/>
      <c r="PXU45" s="1021"/>
      <c r="PXV45" s="1021"/>
      <c r="PXW45" s="1021"/>
      <c r="PXX45" s="1021"/>
      <c r="PXY45" s="1021"/>
      <c r="PXZ45" s="1021"/>
      <c r="PYA45" s="1021"/>
      <c r="PYB45" s="1021"/>
      <c r="PYC45" s="1021"/>
      <c r="PYD45" s="1021"/>
      <c r="PYE45" s="1021"/>
      <c r="PYF45" s="1021"/>
      <c r="PYG45" s="1021"/>
      <c r="PYH45" s="1021"/>
      <c r="PYI45" s="1021"/>
      <c r="PYJ45" s="1021"/>
      <c r="PYK45" s="1021"/>
      <c r="PYL45" s="1021"/>
      <c r="PYM45" s="1021"/>
      <c r="PYN45" s="1021"/>
      <c r="PYO45" s="1021"/>
      <c r="PYP45" s="1021"/>
      <c r="PYQ45" s="1021"/>
      <c r="PYR45" s="1021"/>
      <c r="PYS45" s="1021"/>
      <c r="PYT45" s="1021"/>
      <c r="PYU45" s="1021"/>
      <c r="PYV45" s="1021"/>
      <c r="PYW45" s="1021"/>
      <c r="PYX45" s="1021"/>
      <c r="PYY45" s="1021"/>
      <c r="PYZ45" s="1021"/>
      <c r="PZA45" s="1021"/>
      <c r="PZB45" s="1021"/>
      <c r="PZC45" s="1021"/>
      <c r="PZD45" s="1021"/>
      <c r="PZE45" s="1021"/>
      <c r="PZF45" s="1021"/>
      <c r="PZG45" s="1021"/>
      <c r="PZH45" s="1021"/>
      <c r="PZI45" s="1021"/>
      <c r="PZJ45" s="1021"/>
      <c r="PZK45" s="1021"/>
      <c r="PZL45" s="1021"/>
      <c r="PZM45" s="1021"/>
      <c r="PZN45" s="1021"/>
      <c r="PZO45" s="1021"/>
      <c r="PZP45" s="1021"/>
      <c r="PZQ45" s="1021"/>
      <c r="PZR45" s="1021"/>
      <c r="PZS45" s="1021"/>
      <c r="PZT45" s="1021"/>
      <c r="PZU45" s="1021"/>
      <c r="PZV45" s="1021"/>
      <c r="PZW45" s="1021"/>
      <c r="PZX45" s="1021"/>
      <c r="PZY45" s="1021"/>
      <c r="PZZ45" s="1021"/>
      <c r="QAA45" s="1021"/>
      <c r="QAB45" s="1021"/>
      <c r="QAC45" s="1021"/>
      <c r="QAD45" s="1021"/>
      <c r="QAE45" s="1021"/>
      <c r="QAF45" s="1021"/>
      <c r="QAG45" s="1021"/>
      <c r="QAH45" s="1021"/>
      <c r="QAI45" s="1021"/>
      <c r="QAJ45" s="1021"/>
      <c r="QAK45" s="1021"/>
      <c r="QAL45" s="1021"/>
      <c r="QAM45" s="1021"/>
      <c r="QAN45" s="1021"/>
      <c r="QAO45" s="1021"/>
      <c r="QAP45" s="1021"/>
      <c r="QAQ45" s="1021"/>
      <c r="QAR45" s="1021"/>
      <c r="QAS45" s="1021"/>
      <c r="QAT45" s="1021"/>
      <c r="QAU45" s="1021"/>
      <c r="QAV45" s="1021"/>
      <c r="QAW45" s="1021"/>
      <c r="QAX45" s="1021"/>
      <c r="QAY45" s="1021"/>
      <c r="QAZ45" s="1021"/>
      <c r="QBA45" s="1021"/>
      <c r="QBB45" s="1021"/>
      <c r="QBC45" s="1021"/>
      <c r="QBD45" s="1021"/>
      <c r="QBE45" s="1021"/>
      <c r="QBF45" s="1021"/>
      <c r="QBG45" s="1021"/>
      <c r="QBH45" s="1021"/>
      <c r="QBI45" s="1021"/>
      <c r="QBJ45" s="1021"/>
      <c r="QBK45" s="1021"/>
      <c r="QBL45" s="1021"/>
      <c r="QBM45" s="1021"/>
      <c r="QBN45" s="1021"/>
      <c r="QBO45" s="1021"/>
      <c r="QBP45" s="1021"/>
      <c r="QBQ45" s="1021"/>
      <c r="QBR45" s="1021"/>
      <c r="QBS45" s="1021"/>
      <c r="QBT45" s="1021"/>
      <c r="QBU45" s="1021"/>
      <c r="QBV45" s="1021"/>
      <c r="QBW45" s="1021"/>
      <c r="QBX45" s="1021"/>
      <c r="QBY45" s="1021"/>
      <c r="QBZ45" s="1021"/>
      <c r="QCA45" s="1021"/>
      <c r="QCB45" s="1021"/>
      <c r="QCC45" s="1021"/>
      <c r="QCD45" s="1021"/>
      <c r="QCE45" s="1021"/>
      <c r="QCF45" s="1021"/>
      <c r="QCG45" s="1021"/>
      <c r="QCH45" s="1021"/>
      <c r="QCI45" s="1021"/>
      <c r="QCJ45" s="1021"/>
      <c r="QCK45" s="1021"/>
      <c r="QCL45" s="1021"/>
      <c r="QCM45" s="1021"/>
      <c r="QCN45" s="1021"/>
      <c r="QCO45" s="1021"/>
      <c r="QCP45" s="1021"/>
      <c r="QCQ45" s="1021"/>
      <c r="QCR45" s="1021"/>
      <c r="QCS45" s="1021"/>
      <c r="QCT45" s="1021"/>
      <c r="QCU45" s="1021"/>
      <c r="QCV45" s="1021"/>
      <c r="QCW45" s="1021"/>
      <c r="QCX45" s="1021"/>
      <c r="QCY45" s="1021"/>
      <c r="QCZ45" s="1021"/>
      <c r="QDA45" s="1021"/>
      <c r="QDB45" s="1021"/>
      <c r="QDC45" s="1021"/>
      <c r="QDD45" s="1021"/>
      <c r="QDE45" s="1021"/>
      <c r="QDF45" s="1021"/>
      <c r="QDG45" s="1021"/>
      <c r="QDH45" s="1021"/>
      <c r="QDI45" s="1021"/>
      <c r="QDJ45" s="1021"/>
      <c r="QDK45" s="1021"/>
      <c r="QDL45" s="1021"/>
      <c r="QDM45" s="1021"/>
      <c r="QDN45" s="1021"/>
      <c r="QDO45" s="1021"/>
      <c r="QDP45" s="1021"/>
      <c r="QDQ45" s="1021"/>
      <c r="QDR45" s="1021"/>
      <c r="QDS45" s="1021"/>
      <c r="QDT45" s="1021"/>
      <c r="QDU45" s="1021"/>
      <c r="QDV45" s="1021"/>
      <c r="QDW45" s="1021"/>
      <c r="QDX45" s="1021"/>
      <c r="QDY45" s="1021"/>
      <c r="QDZ45" s="1021"/>
      <c r="QEA45" s="1021"/>
      <c r="QEB45" s="1021"/>
      <c r="QEC45" s="1021"/>
      <c r="QED45" s="1021"/>
      <c r="QEE45" s="1021"/>
      <c r="QEF45" s="1021"/>
      <c r="QEG45" s="1021"/>
      <c r="QEH45" s="1021"/>
      <c r="QEI45" s="1021"/>
      <c r="QEJ45" s="1021"/>
      <c r="QEK45" s="1021"/>
      <c r="QEL45" s="1021"/>
      <c r="QEM45" s="1021"/>
      <c r="QEN45" s="1021"/>
      <c r="QEO45" s="1021"/>
      <c r="QEP45" s="1021"/>
      <c r="QEQ45" s="1021"/>
      <c r="QER45" s="1021"/>
      <c r="QES45" s="1021"/>
      <c r="QET45" s="1021"/>
      <c r="QEU45" s="1021"/>
      <c r="QEV45" s="1021"/>
      <c r="QEW45" s="1021"/>
      <c r="QEX45" s="1021"/>
      <c r="QEY45" s="1021"/>
      <c r="QEZ45" s="1021"/>
      <c r="QFA45" s="1021"/>
      <c r="QFB45" s="1021"/>
      <c r="QFC45" s="1021"/>
      <c r="QFD45" s="1021"/>
      <c r="QFE45" s="1021"/>
      <c r="QFF45" s="1021"/>
      <c r="QFG45" s="1021"/>
      <c r="QFH45" s="1021"/>
      <c r="QFI45" s="1021"/>
      <c r="QFJ45" s="1021"/>
      <c r="QFK45" s="1021"/>
      <c r="QFL45" s="1021"/>
      <c r="QFM45" s="1021"/>
      <c r="QFN45" s="1021"/>
      <c r="QFO45" s="1021"/>
      <c r="QFP45" s="1021"/>
      <c r="QFQ45" s="1021"/>
      <c r="QFR45" s="1021"/>
      <c r="QFS45" s="1021"/>
      <c r="QFT45" s="1021"/>
      <c r="QFU45" s="1021"/>
      <c r="QFV45" s="1021"/>
      <c r="QFW45" s="1021"/>
      <c r="QFX45" s="1021"/>
      <c r="QFY45" s="1021"/>
      <c r="QFZ45" s="1021"/>
      <c r="QGA45" s="1021"/>
      <c r="QGB45" s="1021"/>
      <c r="QGC45" s="1021"/>
      <c r="QGD45" s="1021"/>
      <c r="QGE45" s="1021"/>
      <c r="QGF45" s="1021"/>
      <c r="QGG45" s="1021"/>
      <c r="QGH45" s="1021"/>
      <c r="QGI45" s="1021"/>
      <c r="QGJ45" s="1021"/>
      <c r="QGK45" s="1021"/>
      <c r="QGL45" s="1021"/>
      <c r="QGM45" s="1021"/>
      <c r="QGN45" s="1021"/>
      <c r="QGO45" s="1021"/>
      <c r="QGP45" s="1021"/>
      <c r="QGQ45" s="1021"/>
      <c r="QGR45" s="1021"/>
      <c r="QGS45" s="1021"/>
      <c r="QGT45" s="1021"/>
      <c r="QGU45" s="1021"/>
      <c r="QGV45" s="1021"/>
      <c r="QGW45" s="1021"/>
      <c r="QGX45" s="1021"/>
      <c r="QGY45" s="1021"/>
      <c r="QGZ45" s="1021"/>
      <c r="QHA45" s="1021"/>
      <c r="QHB45" s="1021"/>
      <c r="QHC45" s="1021"/>
      <c r="QHD45" s="1021"/>
      <c r="QHE45" s="1021"/>
      <c r="QHF45" s="1021"/>
      <c r="QHG45" s="1021"/>
      <c r="QHH45" s="1021"/>
      <c r="QHI45" s="1021"/>
      <c r="QHJ45" s="1021"/>
      <c r="QHK45" s="1021"/>
      <c r="QHL45" s="1021"/>
      <c r="QHM45" s="1021"/>
      <c r="QHN45" s="1021"/>
      <c r="QHO45" s="1021"/>
      <c r="QHP45" s="1021"/>
      <c r="QHQ45" s="1021"/>
      <c r="QHR45" s="1021"/>
      <c r="QHS45" s="1021"/>
      <c r="QHT45" s="1021"/>
      <c r="QHU45" s="1021"/>
      <c r="QHV45" s="1021"/>
      <c r="QHW45" s="1021"/>
      <c r="QHX45" s="1021"/>
      <c r="QHY45" s="1021"/>
      <c r="QHZ45" s="1021"/>
      <c r="QIA45" s="1021"/>
      <c r="QIB45" s="1021"/>
      <c r="QIC45" s="1021"/>
      <c r="QID45" s="1021"/>
      <c r="QIE45" s="1021"/>
      <c r="QIF45" s="1021"/>
      <c r="QIG45" s="1021"/>
      <c r="QIH45" s="1021"/>
      <c r="QII45" s="1021"/>
      <c r="QIJ45" s="1021"/>
      <c r="QIK45" s="1021"/>
      <c r="QIL45" s="1021"/>
      <c r="QIM45" s="1021"/>
      <c r="QIN45" s="1021"/>
      <c r="QIO45" s="1021"/>
      <c r="QIP45" s="1021"/>
      <c r="QIQ45" s="1021"/>
      <c r="QIR45" s="1021"/>
      <c r="QIS45" s="1021"/>
      <c r="QIT45" s="1021"/>
      <c r="QIU45" s="1021"/>
      <c r="QIV45" s="1021"/>
      <c r="QIW45" s="1021"/>
      <c r="QIX45" s="1021"/>
      <c r="QIY45" s="1021"/>
      <c r="QIZ45" s="1021"/>
      <c r="QJA45" s="1021"/>
      <c r="QJB45" s="1021"/>
      <c r="QJC45" s="1021"/>
      <c r="QJD45" s="1021"/>
      <c r="QJE45" s="1021"/>
      <c r="QJF45" s="1021"/>
      <c r="QJG45" s="1021"/>
      <c r="QJH45" s="1021"/>
      <c r="QJI45" s="1021"/>
      <c r="QJJ45" s="1021"/>
      <c r="QJK45" s="1021"/>
      <c r="QJL45" s="1021"/>
      <c r="QJM45" s="1021"/>
      <c r="QJN45" s="1021"/>
      <c r="QJO45" s="1021"/>
      <c r="QJP45" s="1021"/>
      <c r="QJQ45" s="1021"/>
      <c r="QJR45" s="1021"/>
      <c r="QJS45" s="1021"/>
      <c r="QJT45" s="1021"/>
      <c r="QJU45" s="1021"/>
      <c r="QJV45" s="1021"/>
      <c r="QJW45" s="1021"/>
      <c r="QJX45" s="1021"/>
      <c r="QJY45" s="1021"/>
      <c r="QJZ45" s="1021"/>
      <c r="QKA45" s="1021"/>
      <c r="QKB45" s="1021"/>
      <c r="QKC45" s="1021"/>
      <c r="QKD45" s="1021"/>
      <c r="QKE45" s="1021"/>
      <c r="QKF45" s="1021"/>
      <c r="QKG45" s="1021"/>
      <c r="QKH45" s="1021"/>
      <c r="QKI45" s="1021"/>
      <c r="QKJ45" s="1021"/>
      <c r="QKK45" s="1021"/>
      <c r="QKL45" s="1021"/>
      <c r="QKM45" s="1021"/>
      <c r="QKN45" s="1021"/>
      <c r="QKO45" s="1021"/>
      <c r="QKP45" s="1021"/>
      <c r="QKQ45" s="1021"/>
      <c r="QKR45" s="1021"/>
      <c r="QKS45" s="1021"/>
      <c r="QKT45" s="1021"/>
      <c r="QKU45" s="1021"/>
      <c r="QKV45" s="1021"/>
      <c r="QKW45" s="1021"/>
      <c r="QKX45" s="1021"/>
      <c r="QKY45" s="1021"/>
      <c r="QKZ45" s="1021"/>
      <c r="QLA45" s="1021"/>
      <c r="QLB45" s="1021"/>
      <c r="QLC45" s="1021"/>
      <c r="QLD45" s="1021"/>
      <c r="QLE45" s="1021"/>
      <c r="QLF45" s="1021"/>
      <c r="QLG45" s="1021"/>
      <c r="QLH45" s="1021"/>
      <c r="QLI45" s="1021"/>
      <c r="QLJ45" s="1021"/>
      <c r="QLK45" s="1021"/>
      <c r="QLL45" s="1021"/>
      <c r="QLM45" s="1021"/>
      <c r="QLN45" s="1021"/>
      <c r="QLO45" s="1021"/>
      <c r="QLP45" s="1021"/>
      <c r="QLQ45" s="1021"/>
      <c r="QLR45" s="1021"/>
      <c r="QLS45" s="1021"/>
      <c r="QLT45" s="1021"/>
      <c r="QLU45" s="1021"/>
      <c r="QLV45" s="1021"/>
      <c r="QLW45" s="1021"/>
      <c r="QLX45" s="1021"/>
      <c r="QLY45" s="1021"/>
      <c r="QLZ45" s="1021"/>
      <c r="QMA45" s="1021"/>
      <c r="QMB45" s="1021"/>
      <c r="QMC45" s="1021"/>
      <c r="QMD45" s="1021"/>
      <c r="QME45" s="1021"/>
      <c r="QMF45" s="1021"/>
      <c r="QMG45" s="1021"/>
      <c r="QMH45" s="1021"/>
      <c r="QMI45" s="1021"/>
      <c r="QMJ45" s="1021"/>
      <c r="QMK45" s="1021"/>
      <c r="QML45" s="1021"/>
      <c r="QMM45" s="1021"/>
      <c r="QMN45" s="1021"/>
      <c r="QMO45" s="1021"/>
      <c r="QMP45" s="1021"/>
      <c r="QMQ45" s="1021"/>
      <c r="QMR45" s="1021"/>
      <c r="QMS45" s="1021"/>
      <c r="QMT45" s="1021"/>
      <c r="QMU45" s="1021"/>
      <c r="QMV45" s="1021"/>
      <c r="QMW45" s="1021"/>
      <c r="QMX45" s="1021"/>
      <c r="QMY45" s="1021"/>
      <c r="QMZ45" s="1021"/>
      <c r="QNA45" s="1021"/>
      <c r="QNB45" s="1021"/>
      <c r="QNC45" s="1021"/>
      <c r="QND45" s="1021"/>
      <c r="QNE45" s="1021"/>
      <c r="QNF45" s="1021"/>
      <c r="QNG45" s="1021"/>
      <c r="QNH45" s="1021"/>
      <c r="QNI45" s="1021"/>
      <c r="QNJ45" s="1021"/>
      <c r="QNK45" s="1021"/>
      <c r="QNL45" s="1021"/>
      <c r="QNM45" s="1021"/>
      <c r="QNN45" s="1021"/>
      <c r="QNO45" s="1021"/>
      <c r="QNP45" s="1021"/>
      <c r="QNQ45" s="1021"/>
      <c r="QNR45" s="1021"/>
      <c r="QNS45" s="1021"/>
      <c r="QNT45" s="1021"/>
      <c r="QNU45" s="1021"/>
      <c r="QNV45" s="1021"/>
      <c r="QNW45" s="1021"/>
      <c r="QNX45" s="1021"/>
      <c r="QNY45" s="1021"/>
      <c r="QNZ45" s="1021"/>
      <c r="QOA45" s="1021"/>
      <c r="QOB45" s="1021"/>
      <c r="QOC45" s="1021"/>
      <c r="QOD45" s="1021"/>
      <c r="QOE45" s="1021"/>
      <c r="QOF45" s="1021"/>
      <c r="QOG45" s="1021"/>
      <c r="QOH45" s="1021"/>
      <c r="QOI45" s="1021"/>
      <c r="QOJ45" s="1021"/>
      <c r="QOK45" s="1021"/>
      <c r="QOL45" s="1021"/>
      <c r="QOM45" s="1021"/>
      <c r="QON45" s="1021"/>
      <c r="QOO45" s="1021"/>
      <c r="QOP45" s="1021"/>
      <c r="QOQ45" s="1021"/>
      <c r="QOR45" s="1021"/>
      <c r="QOS45" s="1021"/>
      <c r="QOT45" s="1021"/>
      <c r="QOU45" s="1021"/>
      <c r="QOV45" s="1021"/>
      <c r="QOW45" s="1021"/>
      <c r="QOX45" s="1021"/>
      <c r="QOY45" s="1021"/>
      <c r="QOZ45" s="1021"/>
      <c r="QPA45" s="1021"/>
      <c r="QPB45" s="1021"/>
      <c r="QPC45" s="1021"/>
      <c r="QPD45" s="1021"/>
      <c r="QPE45" s="1021"/>
      <c r="QPF45" s="1021"/>
      <c r="QPG45" s="1021"/>
      <c r="QPH45" s="1021"/>
      <c r="QPI45" s="1021"/>
      <c r="QPJ45" s="1021"/>
      <c r="QPK45" s="1021"/>
      <c r="QPL45" s="1021"/>
      <c r="QPM45" s="1021"/>
      <c r="QPN45" s="1021"/>
      <c r="QPO45" s="1021"/>
      <c r="QPP45" s="1021"/>
      <c r="QPQ45" s="1021"/>
      <c r="QPR45" s="1021"/>
      <c r="QPS45" s="1021"/>
      <c r="QPT45" s="1021"/>
      <c r="QPU45" s="1021"/>
      <c r="QPV45" s="1021"/>
      <c r="QPW45" s="1021"/>
      <c r="QPX45" s="1021"/>
      <c r="QPY45" s="1021"/>
      <c r="QPZ45" s="1021"/>
      <c r="QQA45" s="1021"/>
      <c r="QQB45" s="1021"/>
      <c r="QQC45" s="1021"/>
      <c r="QQD45" s="1021"/>
      <c r="QQE45" s="1021"/>
      <c r="QQF45" s="1021"/>
      <c r="QQG45" s="1021"/>
      <c r="QQH45" s="1021"/>
      <c r="QQI45" s="1021"/>
      <c r="QQJ45" s="1021"/>
      <c r="QQK45" s="1021"/>
      <c r="QQL45" s="1021"/>
      <c r="QQM45" s="1021"/>
      <c r="QQN45" s="1021"/>
      <c r="QQO45" s="1021"/>
      <c r="QQP45" s="1021"/>
      <c r="QQQ45" s="1021"/>
      <c r="QQR45" s="1021"/>
      <c r="QQS45" s="1021"/>
      <c r="QQT45" s="1021"/>
      <c r="QQU45" s="1021"/>
      <c r="QQV45" s="1021"/>
      <c r="QQW45" s="1021"/>
      <c r="QQX45" s="1021"/>
      <c r="QQY45" s="1021"/>
      <c r="QQZ45" s="1021"/>
      <c r="QRA45" s="1021"/>
      <c r="QRB45" s="1021"/>
      <c r="QRC45" s="1021"/>
      <c r="QRD45" s="1021"/>
      <c r="QRE45" s="1021"/>
      <c r="QRF45" s="1021"/>
      <c r="QRG45" s="1021"/>
      <c r="QRH45" s="1021"/>
      <c r="QRI45" s="1021"/>
      <c r="QRJ45" s="1021"/>
      <c r="QRK45" s="1021"/>
      <c r="QRL45" s="1021"/>
      <c r="QRM45" s="1021"/>
      <c r="QRN45" s="1021"/>
      <c r="QRO45" s="1021"/>
      <c r="QRP45" s="1021"/>
      <c r="QRQ45" s="1021"/>
      <c r="QRR45" s="1021"/>
      <c r="QRS45" s="1021"/>
      <c r="QRT45" s="1021"/>
      <c r="QRU45" s="1021"/>
      <c r="QRV45" s="1021"/>
      <c r="QRW45" s="1021"/>
      <c r="QRX45" s="1021"/>
      <c r="QRY45" s="1021"/>
      <c r="QRZ45" s="1021"/>
      <c r="QSA45" s="1021"/>
      <c r="QSB45" s="1021"/>
      <c r="QSC45" s="1021"/>
      <c r="QSD45" s="1021"/>
      <c r="QSE45" s="1021"/>
      <c r="QSF45" s="1021"/>
      <c r="QSG45" s="1021"/>
      <c r="QSH45" s="1021"/>
      <c r="QSI45" s="1021"/>
      <c r="QSJ45" s="1021"/>
      <c r="QSK45" s="1021"/>
      <c r="QSL45" s="1021"/>
      <c r="QSM45" s="1021"/>
      <c r="QSN45" s="1021"/>
      <c r="QSO45" s="1021"/>
      <c r="QSP45" s="1021"/>
      <c r="QSQ45" s="1021"/>
      <c r="QSR45" s="1021"/>
      <c r="QSS45" s="1021"/>
      <c r="QST45" s="1021"/>
      <c r="QSU45" s="1021"/>
      <c r="QSV45" s="1021"/>
      <c r="QSW45" s="1021"/>
      <c r="QSX45" s="1021"/>
      <c r="QSY45" s="1021"/>
      <c r="QSZ45" s="1021"/>
      <c r="QTA45" s="1021"/>
      <c r="QTB45" s="1021"/>
      <c r="QTC45" s="1021"/>
      <c r="QTD45" s="1021"/>
      <c r="QTE45" s="1021"/>
      <c r="QTF45" s="1021"/>
      <c r="QTG45" s="1021"/>
      <c r="QTH45" s="1021"/>
      <c r="QTI45" s="1021"/>
      <c r="QTJ45" s="1021"/>
      <c r="QTK45" s="1021"/>
      <c r="QTL45" s="1021"/>
      <c r="QTM45" s="1021"/>
      <c r="QTN45" s="1021"/>
      <c r="QTO45" s="1021"/>
      <c r="QTP45" s="1021"/>
      <c r="QTQ45" s="1021"/>
      <c r="QTR45" s="1021"/>
      <c r="QTS45" s="1021"/>
      <c r="QTT45" s="1021"/>
      <c r="QTU45" s="1021"/>
      <c r="QTV45" s="1021"/>
      <c r="QTW45" s="1021"/>
      <c r="QTX45" s="1021"/>
      <c r="QTY45" s="1021"/>
      <c r="QTZ45" s="1021"/>
      <c r="QUA45" s="1021"/>
      <c r="QUB45" s="1021"/>
      <c r="QUC45" s="1021"/>
      <c r="QUD45" s="1021"/>
      <c r="QUE45" s="1021"/>
      <c r="QUF45" s="1021"/>
      <c r="QUG45" s="1021"/>
      <c r="QUH45" s="1021"/>
      <c r="QUI45" s="1021"/>
      <c r="QUJ45" s="1021"/>
      <c r="QUK45" s="1021"/>
      <c r="QUL45" s="1021"/>
      <c r="QUM45" s="1021"/>
      <c r="QUN45" s="1021"/>
      <c r="QUO45" s="1021"/>
      <c r="QUP45" s="1021"/>
      <c r="QUQ45" s="1021"/>
      <c r="QUR45" s="1021"/>
      <c r="QUS45" s="1021"/>
      <c r="QUT45" s="1021"/>
      <c r="QUU45" s="1021"/>
      <c r="QUV45" s="1021"/>
      <c r="QUW45" s="1021"/>
      <c r="QUX45" s="1021"/>
      <c r="QUY45" s="1021"/>
      <c r="QUZ45" s="1021"/>
      <c r="QVA45" s="1021"/>
      <c r="QVB45" s="1021"/>
      <c r="QVC45" s="1021"/>
      <c r="QVD45" s="1021"/>
      <c r="QVE45" s="1021"/>
      <c r="QVF45" s="1021"/>
      <c r="QVG45" s="1021"/>
      <c r="QVH45" s="1021"/>
      <c r="QVI45" s="1021"/>
      <c r="QVJ45" s="1021"/>
      <c r="QVK45" s="1021"/>
      <c r="QVL45" s="1021"/>
      <c r="QVM45" s="1021"/>
      <c r="QVN45" s="1021"/>
      <c r="QVO45" s="1021"/>
      <c r="QVP45" s="1021"/>
      <c r="QVQ45" s="1021"/>
      <c r="QVR45" s="1021"/>
      <c r="QVS45" s="1021"/>
      <c r="QVT45" s="1021"/>
      <c r="QVU45" s="1021"/>
      <c r="QVV45" s="1021"/>
      <c r="QVW45" s="1021"/>
      <c r="QVX45" s="1021"/>
      <c r="QVY45" s="1021"/>
      <c r="QVZ45" s="1021"/>
      <c r="QWA45" s="1021"/>
      <c r="QWB45" s="1021"/>
      <c r="QWC45" s="1021"/>
      <c r="QWD45" s="1021"/>
      <c r="QWE45" s="1021"/>
      <c r="QWF45" s="1021"/>
      <c r="QWG45" s="1021"/>
      <c r="QWH45" s="1021"/>
      <c r="QWI45" s="1021"/>
      <c r="QWJ45" s="1021"/>
      <c r="QWK45" s="1021"/>
      <c r="QWL45" s="1021"/>
      <c r="QWM45" s="1021"/>
      <c r="QWN45" s="1021"/>
      <c r="QWO45" s="1021"/>
      <c r="QWP45" s="1021"/>
      <c r="QWQ45" s="1021"/>
      <c r="QWR45" s="1021"/>
      <c r="QWS45" s="1021"/>
      <c r="QWT45" s="1021"/>
      <c r="QWU45" s="1021"/>
      <c r="QWV45" s="1021"/>
      <c r="QWW45" s="1021"/>
      <c r="QWX45" s="1021"/>
      <c r="QWY45" s="1021"/>
      <c r="QWZ45" s="1021"/>
      <c r="QXA45" s="1021"/>
      <c r="QXB45" s="1021"/>
      <c r="QXC45" s="1021"/>
      <c r="QXD45" s="1021"/>
      <c r="QXE45" s="1021"/>
      <c r="QXF45" s="1021"/>
      <c r="QXG45" s="1021"/>
      <c r="QXH45" s="1021"/>
      <c r="QXI45" s="1021"/>
      <c r="QXJ45" s="1021"/>
      <c r="QXK45" s="1021"/>
      <c r="QXL45" s="1021"/>
      <c r="QXM45" s="1021"/>
      <c r="QXN45" s="1021"/>
      <c r="QXO45" s="1021"/>
      <c r="QXP45" s="1021"/>
      <c r="QXQ45" s="1021"/>
      <c r="QXR45" s="1021"/>
      <c r="QXS45" s="1021"/>
      <c r="QXT45" s="1021"/>
      <c r="QXU45" s="1021"/>
      <c r="QXV45" s="1021"/>
      <c r="QXW45" s="1021"/>
      <c r="QXX45" s="1021"/>
      <c r="QXY45" s="1021"/>
      <c r="QXZ45" s="1021"/>
      <c r="QYA45" s="1021"/>
      <c r="QYB45" s="1021"/>
      <c r="QYC45" s="1021"/>
      <c r="QYD45" s="1021"/>
      <c r="QYE45" s="1021"/>
      <c r="QYF45" s="1021"/>
      <c r="QYG45" s="1021"/>
      <c r="QYH45" s="1021"/>
      <c r="QYI45" s="1021"/>
      <c r="QYJ45" s="1021"/>
      <c r="QYK45" s="1021"/>
      <c r="QYL45" s="1021"/>
      <c r="QYM45" s="1021"/>
      <c r="QYN45" s="1021"/>
      <c r="QYO45" s="1021"/>
      <c r="QYP45" s="1021"/>
      <c r="QYQ45" s="1021"/>
      <c r="QYR45" s="1021"/>
      <c r="QYS45" s="1021"/>
      <c r="QYT45" s="1021"/>
      <c r="QYU45" s="1021"/>
      <c r="QYV45" s="1021"/>
      <c r="QYW45" s="1021"/>
      <c r="QYX45" s="1021"/>
      <c r="QYY45" s="1021"/>
      <c r="QYZ45" s="1021"/>
      <c r="QZA45" s="1021"/>
      <c r="QZB45" s="1021"/>
      <c r="QZC45" s="1021"/>
      <c r="QZD45" s="1021"/>
      <c r="QZE45" s="1021"/>
      <c r="QZF45" s="1021"/>
      <c r="QZG45" s="1021"/>
      <c r="QZH45" s="1021"/>
      <c r="QZI45" s="1021"/>
      <c r="QZJ45" s="1021"/>
      <c r="QZK45" s="1021"/>
      <c r="QZL45" s="1021"/>
      <c r="QZM45" s="1021"/>
      <c r="QZN45" s="1021"/>
      <c r="QZO45" s="1021"/>
      <c r="QZP45" s="1021"/>
      <c r="QZQ45" s="1021"/>
      <c r="QZR45" s="1021"/>
      <c r="QZS45" s="1021"/>
      <c r="QZT45" s="1021"/>
      <c r="QZU45" s="1021"/>
      <c r="QZV45" s="1021"/>
      <c r="QZW45" s="1021"/>
      <c r="QZX45" s="1021"/>
      <c r="QZY45" s="1021"/>
      <c r="QZZ45" s="1021"/>
      <c r="RAA45" s="1021"/>
      <c r="RAB45" s="1021"/>
      <c r="RAC45" s="1021"/>
      <c r="RAD45" s="1021"/>
      <c r="RAE45" s="1021"/>
      <c r="RAF45" s="1021"/>
      <c r="RAG45" s="1021"/>
      <c r="RAH45" s="1021"/>
      <c r="RAI45" s="1021"/>
      <c r="RAJ45" s="1021"/>
      <c r="RAK45" s="1021"/>
      <c r="RAL45" s="1021"/>
      <c r="RAM45" s="1021"/>
      <c r="RAN45" s="1021"/>
      <c r="RAO45" s="1021"/>
      <c r="RAP45" s="1021"/>
      <c r="RAQ45" s="1021"/>
      <c r="RAR45" s="1021"/>
      <c r="RAS45" s="1021"/>
      <c r="RAT45" s="1021"/>
      <c r="RAU45" s="1021"/>
      <c r="RAV45" s="1021"/>
      <c r="RAW45" s="1021"/>
      <c r="RAX45" s="1021"/>
      <c r="RAY45" s="1021"/>
      <c r="RAZ45" s="1021"/>
      <c r="RBA45" s="1021"/>
      <c r="RBB45" s="1021"/>
      <c r="RBC45" s="1021"/>
      <c r="RBD45" s="1021"/>
      <c r="RBE45" s="1021"/>
      <c r="RBF45" s="1021"/>
      <c r="RBG45" s="1021"/>
      <c r="RBH45" s="1021"/>
      <c r="RBI45" s="1021"/>
      <c r="RBJ45" s="1021"/>
      <c r="RBK45" s="1021"/>
      <c r="RBL45" s="1021"/>
      <c r="RBM45" s="1021"/>
      <c r="RBN45" s="1021"/>
      <c r="RBO45" s="1021"/>
      <c r="RBP45" s="1021"/>
      <c r="RBQ45" s="1021"/>
      <c r="RBR45" s="1021"/>
      <c r="RBS45" s="1021"/>
      <c r="RBT45" s="1021"/>
      <c r="RBU45" s="1021"/>
      <c r="RBV45" s="1021"/>
      <c r="RBW45" s="1021"/>
      <c r="RBX45" s="1021"/>
      <c r="RBY45" s="1021"/>
      <c r="RBZ45" s="1021"/>
      <c r="RCA45" s="1021"/>
      <c r="RCB45" s="1021"/>
      <c r="RCC45" s="1021"/>
      <c r="RCD45" s="1021"/>
      <c r="RCE45" s="1021"/>
      <c r="RCF45" s="1021"/>
      <c r="RCG45" s="1021"/>
      <c r="RCH45" s="1021"/>
      <c r="RCI45" s="1021"/>
      <c r="RCJ45" s="1021"/>
      <c r="RCK45" s="1021"/>
      <c r="RCL45" s="1021"/>
      <c r="RCM45" s="1021"/>
      <c r="RCN45" s="1021"/>
      <c r="RCO45" s="1021"/>
      <c r="RCP45" s="1021"/>
      <c r="RCQ45" s="1021"/>
      <c r="RCR45" s="1021"/>
      <c r="RCS45" s="1021"/>
      <c r="RCT45" s="1021"/>
      <c r="RCU45" s="1021"/>
      <c r="RCV45" s="1021"/>
      <c r="RCW45" s="1021"/>
      <c r="RCX45" s="1021"/>
      <c r="RCY45" s="1021"/>
      <c r="RCZ45" s="1021"/>
      <c r="RDA45" s="1021"/>
      <c r="RDB45" s="1021"/>
      <c r="RDC45" s="1021"/>
      <c r="RDD45" s="1021"/>
      <c r="RDE45" s="1021"/>
      <c r="RDF45" s="1021"/>
      <c r="RDG45" s="1021"/>
      <c r="RDH45" s="1021"/>
      <c r="RDI45" s="1021"/>
      <c r="RDJ45" s="1021"/>
      <c r="RDK45" s="1021"/>
      <c r="RDL45" s="1021"/>
      <c r="RDM45" s="1021"/>
      <c r="RDN45" s="1021"/>
      <c r="RDO45" s="1021"/>
      <c r="RDP45" s="1021"/>
      <c r="RDQ45" s="1021"/>
      <c r="RDR45" s="1021"/>
      <c r="RDS45" s="1021"/>
      <c r="RDT45" s="1021"/>
      <c r="RDU45" s="1021"/>
      <c r="RDV45" s="1021"/>
      <c r="RDW45" s="1021"/>
      <c r="RDX45" s="1021"/>
      <c r="RDY45" s="1021"/>
      <c r="RDZ45" s="1021"/>
      <c r="REA45" s="1021"/>
      <c r="REB45" s="1021"/>
      <c r="REC45" s="1021"/>
      <c r="RED45" s="1021"/>
      <c r="REE45" s="1021"/>
      <c r="REF45" s="1021"/>
      <c r="REG45" s="1021"/>
      <c r="REH45" s="1021"/>
      <c r="REI45" s="1021"/>
      <c r="REJ45" s="1021"/>
      <c r="REK45" s="1021"/>
      <c r="REL45" s="1021"/>
      <c r="REM45" s="1021"/>
      <c r="REN45" s="1021"/>
      <c r="REO45" s="1021"/>
      <c r="REP45" s="1021"/>
      <c r="REQ45" s="1021"/>
      <c r="RER45" s="1021"/>
      <c r="RES45" s="1021"/>
      <c r="RET45" s="1021"/>
      <c r="REU45" s="1021"/>
      <c r="REV45" s="1021"/>
      <c r="REW45" s="1021"/>
      <c r="REX45" s="1021"/>
      <c r="REY45" s="1021"/>
      <c r="REZ45" s="1021"/>
      <c r="RFA45" s="1021"/>
      <c r="RFB45" s="1021"/>
      <c r="RFC45" s="1021"/>
      <c r="RFD45" s="1021"/>
      <c r="RFE45" s="1021"/>
      <c r="RFF45" s="1021"/>
      <c r="RFG45" s="1021"/>
      <c r="RFH45" s="1021"/>
      <c r="RFI45" s="1021"/>
      <c r="RFJ45" s="1021"/>
      <c r="RFK45" s="1021"/>
      <c r="RFL45" s="1021"/>
      <c r="RFM45" s="1021"/>
      <c r="RFN45" s="1021"/>
      <c r="RFO45" s="1021"/>
      <c r="RFP45" s="1021"/>
      <c r="RFQ45" s="1021"/>
      <c r="RFR45" s="1021"/>
      <c r="RFS45" s="1021"/>
      <c r="RFT45" s="1021"/>
      <c r="RFU45" s="1021"/>
      <c r="RFV45" s="1021"/>
      <c r="RFW45" s="1021"/>
      <c r="RFX45" s="1021"/>
      <c r="RFY45" s="1021"/>
      <c r="RFZ45" s="1021"/>
      <c r="RGA45" s="1021"/>
      <c r="RGB45" s="1021"/>
      <c r="RGC45" s="1021"/>
      <c r="RGD45" s="1021"/>
      <c r="RGE45" s="1021"/>
      <c r="RGF45" s="1021"/>
      <c r="RGG45" s="1021"/>
      <c r="RGH45" s="1021"/>
      <c r="RGI45" s="1021"/>
      <c r="RGJ45" s="1021"/>
      <c r="RGK45" s="1021"/>
      <c r="RGL45" s="1021"/>
      <c r="RGM45" s="1021"/>
      <c r="RGN45" s="1021"/>
      <c r="RGO45" s="1021"/>
      <c r="RGP45" s="1021"/>
      <c r="RGQ45" s="1021"/>
      <c r="RGR45" s="1021"/>
      <c r="RGS45" s="1021"/>
      <c r="RGT45" s="1021"/>
      <c r="RGU45" s="1021"/>
      <c r="RGV45" s="1021"/>
      <c r="RGW45" s="1021"/>
      <c r="RGX45" s="1021"/>
      <c r="RGY45" s="1021"/>
      <c r="RGZ45" s="1021"/>
      <c r="RHA45" s="1021"/>
      <c r="RHB45" s="1021"/>
      <c r="RHC45" s="1021"/>
      <c r="RHD45" s="1021"/>
      <c r="RHE45" s="1021"/>
      <c r="RHF45" s="1021"/>
      <c r="RHG45" s="1021"/>
      <c r="RHH45" s="1021"/>
      <c r="RHI45" s="1021"/>
      <c r="RHJ45" s="1021"/>
      <c r="RHK45" s="1021"/>
      <c r="RHL45" s="1021"/>
      <c r="RHM45" s="1021"/>
      <c r="RHN45" s="1021"/>
      <c r="RHO45" s="1021"/>
      <c r="RHP45" s="1021"/>
      <c r="RHQ45" s="1021"/>
      <c r="RHR45" s="1021"/>
      <c r="RHS45" s="1021"/>
      <c r="RHT45" s="1021"/>
      <c r="RHU45" s="1021"/>
      <c r="RHV45" s="1021"/>
      <c r="RHW45" s="1021"/>
      <c r="RHX45" s="1021"/>
      <c r="RHY45" s="1021"/>
      <c r="RHZ45" s="1021"/>
      <c r="RIA45" s="1021"/>
      <c r="RIB45" s="1021"/>
      <c r="RIC45" s="1021"/>
      <c r="RID45" s="1021"/>
      <c r="RIE45" s="1021"/>
      <c r="RIF45" s="1021"/>
      <c r="RIG45" s="1021"/>
      <c r="RIH45" s="1021"/>
      <c r="RII45" s="1021"/>
      <c r="RIJ45" s="1021"/>
      <c r="RIK45" s="1021"/>
      <c r="RIL45" s="1021"/>
      <c r="RIM45" s="1021"/>
      <c r="RIN45" s="1021"/>
      <c r="RIO45" s="1021"/>
      <c r="RIP45" s="1021"/>
      <c r="RIQ45" s="1021"/>
      <c r="RIR45" s="1021"/>
      <c r="RIS45" s="1021"/>
      <c r="RIT45" s="1021"/>
      <c r="RIU45" s="1021"/>
      <c r="RIV45" s="1021"/>
      <c r="RIW45" s="1021"/>
      <c r="RIX45" s="1021"/>
      <c r="RIY45" s="1021"/>
      <c r="RIZ45" s="1021"/>
      <c r="RJA45" s="1021"/>
      <c r="RJB45" s="1021"/>
      <c r="RJC45" s="1021"/>
      <c r="RJD45" s="1021"/>
      <c r="RJE45" s="1021"/>
      <c r="RJF45" s="1021"/>
      <c r="RJG45" s="1021"/>
      <c r="RJH45" s="1021"/>
      <c r="RJI45" s="1021"/>
      <c r="RJJ45" s="1021"/>
      <c r="RJK45" s="1021"/>
      <c r="RJL45" s="1021"/>
      <c r="RJM45" s="1021"/>
      <c r="RJN45" s="1021"/>
      <c r="RJO45" s="1021"/>
      <c r="RJP45" s="1021"/>
      <c r="RJQ45" s="1021"/>
      <c r="RJR45" s="1021"/>
      <c r="RJS45" s="1021"/>
      <c r="RJT45" s="1021"/>
      <c r="RJU45" s="1021"/>
      <c r="RJV45" s="1021"/>
      <c r="RJW45" s="1021"/>
      <c r="RJX45" s="1021"/>
      <c r="RJY45" s="1021"/>
      <c r="RJZ45" s="1021"/>
      <c r="RKA45" s="1021"/>
      <c r="RKB45" s="1021"/>
      <c r="RKC45" s="1021"/>
      <c r="RKD45" s="1021"/>
      <c r="RKE45" s="1021"/>
      <c r="RKF45" s="1021"/>
      <c r="RKG45" s="1021"/>
      <c r="RKH45" s="1021"/>
      <c r="RKI45" s="1021"/>
      <c r="RKJ45" s="1021"/>
      <c r="RKK45" s="1021"/>
      <c r="RKL45" s="1021"/>
      <c r="RKM45" s="1021"/>
      <c r="RKN45" s="1021"/>
      <c r="RKO45" s="1021"/>
      <c r="RKP45" s="1021"/>
      <c r="RKQ45" s="1021"/>
      <c r="RKR45" s="1021"/>
      <c r="RKS45" s="1021"/>
      <c r="RKT45" s="1021"/>
      <c r="RKU45" s="1021"/>
      <c r="RKV45" s="1021"/>
      <c r="RKW45" s="1021"/>
      <c r="RKX45" s="1021"/>
      <c r="RKY45" s="1021"/>
      <c r="RKZ45" s="1021"/>
      <c r="RLA45" s="1021"/>
      <c r="RLB45" s="1021"/>
      <c r="RLC45" s="1021"/>
      <c r="RLD45" s="1021"/>
      <c r="RLE45" s="1021"/>
      <c r="RLF45" s="1021"/>
      <c r="RLG45" s="1021"/>
      <c r="RLH45" s="1021"/>
      <c r="RLI45" s="1021"/>
      <c r="RLJ45" s="1021"/>
      <c r="RLK45" s="1021"/>
      <c r="RLL45" s="1021"/>
      <c r="RLM45" s="1021"/>
      <c r="RLN45" s="1021"/>
      <c r="RLO45" s="1021"/>
      <c r="RLP45" s="1021"/>
      <c r="RLQ45" s="1021"/>
      <c r="RLR45" s="1021"/>
      <c r="RLS45" s="1021"/>
      <c r="RLT45" s="1021"/>
      <c r="RLU45" s="1021"/>
      <c r="RLV45" s="1021"/>
      <c r="RLW45" s="1021"/>
      <c r="RLX45" s="1021"/>
      <c r="RLY45" s="1021"/>
      <c r="RLZ45" s="1021"/>
      <c r="RMA45" s="1021"/>
      <c r="RMB45" s="1021"/>
      <c r="RMC45" s="1021"/>
      <c r="RMD45" s="1021"/>
      <c r="RME45" s="1021"/>
      <c r="RMF45" s="1021"/>
      <c r="RMG45" s="1021"/>
      <c r="RMH45" s="1021"/>
      <c r="RMI45" s="1021"/>
      <c r="RMJ45" s="1021"/>
      <c r="RMK45" s="1021"/>
      <c r="RML45" s="1021"/>
      <c r="RMM45" s="1021"/>
      <c r="RMN45" s="1021"/>
      <c r="RMO45" s="1021"/>
      <c r="RMP45" s="1021"/>
      <c r="RMQ45" s="1021"/>
      <c r="RMR45" s="1021"/>
      <c r="RMS45" s="1021"/>
      <c r="RMT45" s="1021"/>
      <c r="RMU45" s="1021"/>
      <c r="RMV45" s="1021"/>
      <c r="RMW45" s="1021"/>
      <c r="RMX45" s="1021"/>
      <c r="RMY45" s="1021"/>
      <c r="RMZ45" s="1021"/>
      <c r="RNA45" s="1021"/>
      <c r="RNB45" s="1021"/>
      <c r="RNC45" s="1021"/>
      <c r="RND45" s="1021"/>
      <c r="RNE45" s="1021"/>
      <c r="RNF45" s="1021"/>
      <c r="RNG45" s="1021"/>
      <c r="RNH45" s="1021"/>
      <c r="RNI45" s="1021"/>
      <c r="RNJ45" s="1021"/>
      <c r="RNK45" s="1021"/>
      <c r="RNL45" s="1021"/>
      <c r="RNM45" s="1021"/>
      <c r="RNN45" s="1021"/>
      <c r="RNO45" s="1021"/>
      <c r="RNP45" s="1021"/>
      <c r="RNQ45" s="1021"/>
      <c r="RNR45" s="1021"/>
      <c r="RNS45" s="1021"/>
      <c r="RNT45" s="1021"/>
      <c r="RNU45" s="1021"/>
      <c r="RNV45" s="1021"/>
      <c r="RNW45" s="1021"/>
      <c r="RNX45" s="1021"/>
      <c r="RNY45" s="1021"/>
      <c r="RNZ45" s="1021"/>
      <c r="ROA45" s="1021"/>
      <c r="ROB45" s="1021"/>
      <c r="ROC45" s="1021"/>
      <c r="ROD45" s="1021"/>
      <c r="ROE45" s="1021"/>
      <c r="ROF45" s="1021"/>
      <c r="ROG45" s="1021"/>
      <c r="ROH45" s="1021"/>
      <c r="ROI45" s="1021"/>
      <c r="ROJ45" s="1021"/>
      <c r="ROK45" s="1021"/>
      <c r="ROL45" s="1021"/>
      <c r="ROM45" s="1021"/>
      <c r="RON45" s="1021"/>
      <c r="ROO45" s="1021"/>
      <c r="ROP45" s="1021"/>
      <c r="ROQ45" s="1021"/>
      <c r="ROR45" s="1021"/>
      <c r="ROS45" s="1021"/>
      <c r="ROT45" s="1021"/>
      <c r="ROU45" s="1021"/>
      <c r="ROV45" s="1021"/>
      <c r="ROW45" s="1021"/>
      <c r="ROX45" s="1021"/>
      <c r="ROY45" s="1021"/>
      <c r="ROZ45" s="1021"/>
      <c r="RPA45" s="1021"/>
      <c r="RPB45" s="1021"/>
      <c r="RPC45" s="1021"/>
      <c r="RPD45" s="1021"/>
      <c r="RPE45" s="1021"/>
      <c r="RPF45" s="1021"/>
      <c r="RPG45" s="1021"/>
      <c r="RPH45" s="1021"/>
      <c r="RPI45" s="1021"/>
      <c r="RPJ45" s="1021"/>
      <c r="RPK45" s="1021"/>
      <c r="RPL45" s="1021"/>
      <c r="RPM45" s="1021"/>
      <c r="RPN45" s="1021"/>
      <c r="RPO45" s="1021"/>
      <c r="RPP45" s="1021"/>
      <c r="RPQ45" s="1021"/>
      <c r="RPR45" s="1021"/>
      <c r="RPS45" s="1021"/>
      <c r="RPT45" s="1021"/>
      <c r="RPU45" s="1021"/>
      <c r="RPV45" s="1021"/>
      <c r="RPW45" s="1021"/>
      <c r="RPX45" s="1021"/>
      <c r="RPY45" s="1021"/>
      <c r="RPZ45" s="1021"/>
      <c r="RQA45" s="1021"/>
      <c r="RQB45" s="1021"/>
      <c r="RQC45" s="1021"/>
      <c r="RQD45" s="1021"/>
      <c r="RQE45" s="1021"/>
      <c r="RQF45" s="1021"/>
      <c r="RQG45" s="1021"/>
      <c r="RQH45" s="1021"/>
      <c r="RQI45" s="1021"/>
      <c r="RQJ45" s="1021"/>
      <c r="RQK45" s="1021"/>
      <c r="RQL45" s="1021"/>
      <c r="RQM45" s="1021"/>
      <c r="RQN45" s="1021"/>
      <c r="RQO45" s="1021"/>
      <c r="RQP45" s="1021"/>
      <c r="RQQ45" s="1021"/>
      <c r="RQR45" s="1021"/>
      <c r="RQS45" s="1021"/>
      <c r="RQT45" s="1021"/>
      <c r="RQU45" s="1021"/>
      <c r="RQV45" s="1021"/>
      <c r="RQW45" s="1021"/>
      <c r="RQX45" s="1021"/>
      <c r="RQY45" s="1021"/>
      <c r="RQZ45" s="1021"/>
      <c r="RRA45" s="1021"/>
      <c r="RRB45" s="1021"/>
      <c r="RRC45" s="1021"/>
      <c r="RRD45" s="1021"/>
      <c r="RRE45" s="1021"/>
      <c r="RRF45" s="1021"/>
      <c r="RRG45" s="1021"/>
      <c r="RRH45" s="1021"/>
      <c r="RRI45" s="1021"/>
      <c r="RRJ45" s="1021"/>
      <c r="RRK45" s="1021"/>
      <c r="RRL45" s="1021"/>
      <c r="RRM45" s="1021"/>
      <c r="RRN45" s="1021"/>
      <c r="RRO45" s="1021"/>
      <c r="RRP45" s="1021"/>
      <c r="RRQ45" s="1021"/>
      <c r="RRR45" s="1021"/>
      <c r="RRS45" s="1021"/>
      <c r="RRT45" s="1021"/>
      <c r="RRU45" s="1021"/>
      <c r="RRV45" s="1021"/>
      <c r="RRW45" s="1021"/>
      <c r="RRX45" s="1021"/>
      <c r="RRY45" s="1021"/>
      <c r="RRZ45" s="1021"/>
      <c r="RSA45" s="1021"/>
      <c r="RSB45" s="1021"/>
      <c r="RSC45" s="1021"/>
      <c r="RSD45" s="1021"/>
      <c r="RSE45" s="1021"/>
      <c r="RSF45" s="1021"/>
      <c r="RSG45" s="1021"/>
      <c r="RSH45" s="1021"/>
      <c r="RSI45" s="1021"/>
      <c r="RSJ45" s="1021"/>
      <c r="RSK45" s="1021"/>
      <c r="RSL45" s="1021"/>
      <c r="RSM45" s="1021"/>
      <c r="RSN45" s="1021"/>
      <c r="RSO45" s="1021"/>
      <c r="RSP45" s="1021"/>
      <c r="RSQ45" s="1021"/>
      <c r="RSR45" s="1021"/>
      <c r="RSS45" s="1021"/>
      <c r="RST45" s="1021"/>
      <c r="RSU45" s="1021"/>
      <c r="RSV45" s="1021"/>
      <c r="RSW45" s="1021"/>
      <c r="RSX45" s="1021"/>
      <c r="RSY45" s="1021"/>
      <c r="RSZ45" s="1021"/>
      <c r="RTA45" s="1021"/>
      <c r="RTB45" s="1021"/>
      <c r="RTC45" s="1021"/>
      <c r="RTD45" s="1021"/>
      <c r="RTE45" s="1021"/>
      <c r="RTF45" s="1021"/>
      <c r="RTG45" s="1021"/>
      <c r="RTH45" s="1021"/>
      <c r="RTI45" s="1021"/>
      <c r="RTJ45" s="1021"/>
      <c r="RTK45" s="1021"/>
      <c r="RTL45" s="1021"/>
      <c r="RTM45" s="1021"/>
      <c r="RTN45" s="1021"/>
      <c r="RTO45" s="1021"/>
      <c r="RTP45" s="1021"/>
      <c r="RTQ45" s="1021"/>
      <c r="RTR45" s="1021"/>
      <c r="RTS45" s="1021"/>
      <c r="RTT45" s="1021"/>
      <c r="RTU45" s="1021"/>
      <c r="RTV45" s="1021"/>
      <c r="RTW45" s="1021"/>
      <c r="RTX45" s="1021"/>
      <c r="RTY45" s="1021"/>
      <c r="RTZ45" s="1021"/>
      <c r="RUA45" s="1021"/>
      <c r="RUB45" s="1021"/>
      <c r="RUC45" s="1021"/>
      <c r="RUD45" s="1021"/>
      <c r="RUE45" s="1021"/>
      <c r="RUF45" s="1021"/>
      <c r="RUG45" s="1021"/>
      <c r="RUH45" s="1021"/>
      <c r="RUI45" s="1021"/>
      <c r="RUJ45" s="1021"/>
      <c r="RUK45" s="1021"/>
      <c r="RUL45" s="1021"/>
      <c r="RUM45" s="1021"/>
      <c r="RUN45" s="1021"/>
      <c r="RUO45" s="1021"/>
      <c r="RUP45" s="1021"/>
      <c r="RUQ45" s="1021"/>
      <c r="RUR45" s="1021"/>
      <c r="RUS45" s="1021"/>
      <c r="RUT45" s="1021"/>
      <c r="RUU45" s="1021"/>
      <c r="RUV45" s="1021"/>
      <c r="RUW45" s="1021"/>
      <c r="RUX45" s="1021"/>
      <c r="RUY45" s="1021"/>
      <c r="RUZ45" s="1021"/>
      <c r="RVA45" s="1021"/>
      <c r="RVB45" s="1021"/>
      <c r="RVC45" s="1021"/>
      <c r="RVD45" s="1021"/>
      <c r="RVE45" s="1021"/>
      <c r="RVF45" s="1021"/>
      <c r="RVG45" s="1021"/>
      <c r="RVH45" s="1021"/>
      <c r="RVI45" s="1021"/>
      <c r="RVJ45" s="1021"/>
      <c r="RVK45" s="1021"/>
      <c r="RVL45" s="1021"/>
      <c r="RVM45" s="1021"/>
      <c r="RVN45" s="1021"/>
      <c r="RVO45" s="1021"/>
      <c r="RVP45" s="1021"/>
      <c r="RVQ45" s="1021"/>
      <c r="RVR45" s="1021"/>
      <c r="RVS45" s="1021"/>
      <c r="RVT45" s="1021"/>
      <c r="RVU45" s="1021"/>
      <c r="RVV45" s="1021"/>
      <c r="RVW45" s="1021"/>
      <c r="RVX45" s="1021"/>
      <c r="RVY45" s="1021"/>
      <c r="RVZ45" s="1021"/>
      <c r="RWA45" s="1021"/>
      <c r="RWB45" s="1021"/>
      <c r="RWC45" s="1021"/>
      <c r="RWD45" s="1021"/>
      <c r="RWE45" s="1021"/>
      <c r="RWF45" s="1021"/>
      <c r="RWG45" s="1021"/>
      <c r="RWH45" s="1021"/>
      <c r="RWI45" s="1021"/>
      <c r="RWJ45" s="1021"/>
      <c r="RWK45" s="1021"/>
      <c r="RWL45" s="1021"/>
      <c r="RWM45" s="1021"/>
      <c r="RWN45" s="1021"/>
      <c r="RWO45" s="1021"/>
      <c r="RWP45" s="1021"/>
      <c r="RWQ45" s="1021"/>
      <c r="RWR45" s="1021"/>
      <c r="RWS45" s="1021"/>
      <c r="RWT45" s="1021"/>
      <c r="RWU45" s="1021"/>
      <c r="RWV45" s="1021"/>
      <c r="RWW45" s="1021"/>
      <c r="RWX45" s="1021"/>
      <c r="RWY45" s="1021"/>
      <c r="RWZ45" s="1021"/>
      <c r="RXA45" s="1021"/>
      <c r="RXB45" s="1021"/>
      <c r="RXC45" s="1021"/>
      <c r="RXD45" s="1021"/>
      <c r="RXE45" s="1021"/>
      <c r="RXF45" s="1021"/>
      <c r="RXG45" s="1021"/>
      <c r="RXH45" s="1021"/>
      <c r="RXI45" s="1021"/>
      <c r="RXJ45" s="1021"/>
      <c r="RXK45" s="1021"/>
      <c r="RXL45" s="1021"/>
      <c r="RXM45" s="1021"/>
      <c r="RXN45" s="1021"/>
      <c r="RXO45" s="1021"/>
      <c r="RXP45" s="1021"/>
      <c r="RXQ45" s="1021"/>
      <c r="RXR45" s="1021"/>
      <c r="RXS45" s="1021"/>
      <c r="RXT45" s="1021"/>
      <c r="RXU45" s="1021"/>
      <c r="RXV45" s="1021"/>
      <c r="RXW45" s="1021"/>
      <c r="RXX45" s="1021"/>
      <c r="RXY45" s="1021"/>
      <c r="RXZ45" s="1021"/>
      <c r="RYA45" s="1021"/>
      <c r="RYB45" s="1021"/>
      <c r="RYC45" s="1021"/>
      <c r="RYD45" s="1021"/>
      <c r="RYE45" s="1021"/>
      <c r="RYF45" s="1021"/>
      <c r="RYG45" s="1021"/>
      <c r="RYH45" s="1021"/>
      <c r="RYI45" s="1021"/>
      <c r="RYJ45" s="1021"/>
      <c r="RYK45" s="1021"/>
      <c r="RYL45" s="1021"/>
      <c r="RYM45" s="1021"/>
      <c r="RYN45" s="1021"/>
      <c r="RYO45" s="1021"/>
      <c r="RYP45" s="1021"/>
      <c r="RYQ45" s="1021"/>
      <c r="RYR45" s="1021"/>
      <c r="RYS45" s="1021"/>
      <c r="RYT45" s="1021"/>
      <c r="RYU45" s="1021"/>
      <c r="RYV45" s="1021"/>
      <c r="RYW45" s="1021"/>
      <c r="RYX45" s="1021"/>
      <c r="RYY45" s="1021"/>
      <c r="RYZ45" s="1021"/>
      <c r="RZA45" s="1021"/>
      <c r="RZB45" s="1021"/>
      <c r="RZC45" s="1021"/>
      <c r="RZD45" s="1021"/>
      <c r="RZE45" s="1021"/>
      <c r="RZF45" s="1021"/>
      <c r="RZG45" s="1021"/>
      <c r="RZH45" s="1021"/>
      <c r="RZI45" s="1021"/>
      <c r="RZJ45" s="1021"/>
      <c r="RZK45" s="1021"/>
      <c r="RZL45" s="1021"/>
      <c r="RZM45" s="1021"/>
      <c r="RZN45" s="1021"/>
      <c r="RZO45" s="1021"/>
      <c r="RZP45" s="1021"/>
      <c r="RZQ45" s="1021"/>
      <c r="RZR45" s="1021"/>
      <c r="RZS45" s="1021"/>
      <c r="RZT45" s="1021"/>
      <c r="RZU45" s="1021"/>
      <c r="RZV45" s="1021"/>
      <c r="RZW45" s="1021"/>
      <c r="RZX45" s="1021"/>
      <c r="RZY45" s="1021"/>
      <c r="RZZ45" s="1021"/>
      <c r="SAA45" s="1021"/>
      <c r="SAB45" s="1021"/>
      <c r="SAC45" s="1021"/>
      <c r="SAD45" s="1021"/>
      <c r="SAE45" s="1021"/>
      <c r="SAF45" s="1021"/>
      <c r="SAG45" s="1021"/>
      <c r="SAH45" s="1021"/>
      <c r="SAI45" s="1021"/>
      <c r="SAJ45" s="1021"/>
      <c r="SAK45" s="1021"/>
      <c r="SAL45" s="1021"/>
      <c r="SAM45" s="1021"/>
      <c r="SAN45" s="1021"/>
      <c r="SAO45" s="1021"/>
      <c r="SAP45" s="1021"/>
      <c r="SAQ45" s="1021"/>
      <c r="SAR45" s="1021"/>
      <c r="SAS45" s="1021"/>
      <c r="SAT45" s="1021"/>
      <c r="SAU45" s="1021"/>
      <c r="SAV45" s="1021"/>
      <c r="SAW45" s="1021"/>
      <c r="SAX45" s="1021"/>
      <c r="SAY45" s="1021"/>
      <c r="SAZ45" s="1021"/>
      <c r="SBA45" s="1021"/>
      <c r="SBB45" s="1021"/>
      <c r="SBC45" s="1021"/>
      <c r="SBD45" s="1021"/>
      <c r="SBE45" s="1021"/>
      <c r="SBF45" s="1021"/>
      <c r="SBG45" s="1021"/>
      <c r="SBH45" s="1021"/>
      <c r="SBI45" s="1021"/>
      <c r="SBJ45" s="1021"/>
      <c r="SBK45" s="1021"/>
      <c r="SBL45" s="1021"/>
      <c r="SBM45" s="1021"/>
      <c r="SBN45" s="1021"/>
      <c r="SBO45" s="1021"/>
      <c r="SBP45" s="1021"/>
      <c r="SBQ45" s="1021"/>
      <c r="SBR45" s="1021"/>
      <c r="SBS45" s="1021"/>
      <c r="SBT45" s="1021"/>
      <c r="SBU45" s="1021"/>
      <c r="SBV45" s="1021"/>
      <c r="SBW45" s="1021"/>
      <c r="SBX45" s="1021"/>
      <c r="SBY45" s="1021"/>
      <c r="SBZ45" s="1021"/>
      <c r="SCA45" s="1021"/>
      <c r="SCB45" s="1021"/>
      <c r="SCC45" s="1021"/>
      <c r="SCD45" s="1021"/>
      <c r="SCE45" s="1021"/>
      <c r="SCF45" s="1021"/>
      <c r="SCG45" s="1021"/>
      <c r="SCH45" s="1021"/>
      <c r="SCI45" s="1021"/>
      <c r="SCJ45" s="1021"/>
      <c r="SCK45" s="1021"/>
      <c r="SCL45" s="1021"/>
      <c r="SCM45" s="1021"/>
      <c r="SCN45" s="1021"/>
      <c r="SCO45" s="1021"/>
      <c r="SCP45" s="1021"/>
      <c r="SCQ45" s="1021"/>
      <c r="SCR45" s="1021"/>
      <c r="SCS45" s="1021"/>
      <c r="SCT45" s="1021"/>
      <c r="SCU45" s="1021"/>
      <c r="SCV45" s="1021"/>
      <c r="SCW45" s="1021"/>
      <c r="SCX45" s="1021"/>
      <c r="SCY45" s="1021"/>
      <c r="SCZ45" s="1021"/>
      <c r="SDA45" s="1021"/>
      <c r="SDB45" s="1021"/>
      <c r="SDC45" s="1021"/>
      <c r="SDD45" s="1021"/>
      <c r="SDE45" s="1021"/>
      <c r="SDF45" s="1021"/>
      <c r="SDG45" s="1021"/>
      <c r="SDH45" s="1021"/>
      <c r="SDI45" s="1021"/>
      <c r="SDJ45" s="1021"/>
      <c r="SDK45" s="1021"/>
      <c r="SDL45" s="1021"/>
      <c r="SDM45" s="1021"/>
      <c r="SDN45" s="1021"/>
      <c r="SDO45" s="1021"/>
      <c r="SDP45" s="1021"/>
      <c r="SDQ45" s="1021"/>
      <c r="SDR45" s="1021"/>
      <c r="SDS45" s="1021"/>
      <c r="SDT45" s="1021"/>
      <c r="SDU45" s="1021"/>
      <c r="SDV45" s="1021"/>
      <c r="SDW45" s="1021"/>
      <c r="SDX45" s="1021"/>
      <c r="SDY45" s="1021"/>
      <c r="SDZ45" s="1021"/>
      <c r="SEA45" s="1021"/>
      <c r="SEB45" s="1021"/>
      <c r="SEC45" s="1021"/>
      <c r="SED45" s="1021"/>
      <c r="SEE45" s="1021"/>
      <c r="SEF45" s="1021"/>
      <c r="SEG45" s="1021"/>
      <c r="SEH45" s="1021"/>
      <c r="SEI45" s="1021"/>
      <c r="SEJ45" s="1021"/>
      <c r="SEK45" s="1021"/>
      <c r="SEL45" s="1021"/>
      <c r="SEM45" s="1021"/>
      <c r="SEN45" s="1021"/>
      <c r="SEO45" s="1021"/>
      <c r="SEP45" s="1021"/>
      <c r="SEQ45" s="1021"/>
      <c r="SER45" s="1021"/>
      <c r="SES45" s="1021"/>
      <c r="SET45" s="1021"/>
      <c r="SEU45" s="1021"/>
      <c r="SEV45" s="1021"/>
      <c r="SEW45" s="1021"/>
      <c r="SEX45" s="1021"/>
      <c r="SEY45" s="1021"/>
      <c r="SEZ45" s="1021"/>
      <c r="SFA45" s="1021"/>
      <c r="SFB45" s="1021"/>
      <c r="SFC45" s="1021"/>
      <c r="SFD45" s="1021"/>
      <c r="SFE45" s="1021"/>
      <c r="SFF45" s="1021"/>
      <c r="SFG45" s="1021"/>
      <c r="SFH45" s="1021"/>
      <c r="SFI45" s="1021"/>
      <c r="SFJ45" s="1021"/>
      <c r="SFK45" s="1021"/>
      <c r="SFL45" s="1021"/>
      <c r="SFM45" s="1021"/>
      <c r="SFN45" s="1021"/>
      <c r="SFO45" s="1021"/>
      <c r="SFP45" s="1021"/>
      <c r="SFQ45" s="1021"/>
      <c r="SFR45" s="1021"/>
      <c r="SFS45" s="1021"/>
      <c r="SFT45" s="1021"/>
      <c r="SFU45" s="1021"/>
      <c r="SFV45" s="1021"/>
      <c r="SFW45" s="1021"/>
      <c r="SFX45" s="1021"/>
      <c r="SFY45" s="1021"/>
      <c r="SFZ45" s="1021"/>
      <c r="SGA45" s="1021"/>
      <c r="SGB45" s="1021"/>
      <c r="SGC45" s="1021"/>
      <c r="SGD45" s="1021"/>
      <c r="SGE45" s="1021"/>
      <c r="SGF45" s="1021"/>
      <c r="SGG45" s="1021"/>
      <c r="SGH45" s="1021"/>
      <c r="SGI45" s="1021"/>
      <c r="SGJ45" s="1021"/>
      <c r="SGK45" s="1021"/>
      <c r="SGL45" s="1021"/>
      <c r="SGM45" s="1021"/>
      <c r="SGN45" s="1021"/>
      <c r="SGO45" s="1021"/>
      <c r="SGP45" s="1021"/>
      <c r="SGQ45" s="1021"/>
      <c r="SGR45" s="1021"/>
      <c r="SGS45" s="1021"/>
      <c r="SGT45" s="1021"/>
      <c r="SGU45" s="1021"/>
      <c r="SGV45" s="1021"/>
      <c r="SGW45" s="1021"/>
      <c r="SGX45" s="1021"/>
      <c r="SGY45" s="1021"/>
      <c r="SGZ45" s="1021"/>
      <c r="SHA45" s="1021"/>
      <c r="SHB45" s="1021"/>
      <c r="SHC45" s="1021"/>
      <c r="SHD45" s="1021"/>
      <c r="SHE45" s="1021"/>
      <c r="SHF45" s="1021"/>
      <c r="SHG45" s="1021"/>
      <c r="SHH45" s="1021"/>
      <c r="SHI45" s="1021"/>
      <c r="SHJ45" s="1021"/>
      <c r="SHK45" s="1021"/>
      <c r="SHL45" s="1021"/>
      <c r="SHM45" s="1021"/>
      <c r="SHN45" s="1021"/>
      <c r="SHO45" s="1021"/>
      <c r="SHP45" s="1021"/>
      <c r="SHQ45" s="1021"/>
      <c r="SHR45" s="1021"/>
      <c r="SHS45" s="1021"/>
      <c r="SHT45" s="1021"/>
      <c r="SHU45" s="1021"/>
      <c r="SHV45" s="1021"/>
      <c r="SHW45" s="1021"/>
      <c r="SHX45" s="1021"/>
      <c r="SHY45" s="1021"/>
      <c r="SHZ45" s="1021"/>
      <c r="SIA45" s="1021"/>
      <c r="SIB45" s="1021"/>
      <c r="SIC45" s="1021"/>
      <c r="SID45" s="1021"/>
      <c r="SIE45" s="1021"/>
      <c r="SIF45" s="1021"/>
      <c r="SIG45" s="1021"/>
      <c r="SIH45" s="1021"/>
      <c r="SII45" s="1021"/>
      <c r="SIJ45" s="1021"/>
      <c r="SIK45" s="1021"/>
      <c r="SIL45" s="1021"/>
      <c r="SIM45" s="1021"/>
      <c r="SIN45" s="1021"/>
      <c r="SIO45" s="1021"/>
      <c r="SIP45" s="1021"/>
      <c r="SIQ45" s="1021"/>
      <c r="SIR45" s="1021"/>
      <c r="SIS45" s="1021"/>
      <c r="SIT45" s="1021"/>
      <c r="SIU45" s="1021"/>
      <c r="SIV45" s="1021"/>
      <c r="SIW45" s="1021"/>
      <c r="SIX45" s="1021"/>
      <c r="SIY45" s="1021"/>
      <c r="SIZ45" s="1021"/>
      <c r="SJA45" s="1021"/>
      <c r="SJB45" s="1021"/>
      <c r="SJC45" s="1021"/>
      <c r="SJD45" s="1021"/>
      <c r="SJE45" s="1021"/>
      <c r="SJF45" s="1021"/>
      <c r="SJG45" s="1021"/>
      <c r="SJH45" s="1021"/>
      <c r="SJI45" s="1021"/>
      <c r="SJJ45" s="1021"/>
      <c r="SJK45" s="1021"/>
      <c r="SJL45" s="1021"/>
      <c r="SJM45" s="1021"/>
      <c r="SJN45" s="1021"/>
      <c r="SJO45" s="1021"/>
      <c r="SJP45" s="1021"/>
      <c r="SJQ45" s="1021"/>
      <c r="SJR45" s="1021"/>
      <c r="SJS45" s="1021"/>
      <c r="SJT45" s="1021"/>
      <c r="SJU45" s="1021"/>
      <c r="SJV45" s="1021"/>
      <c r="SJW45" s="1021"/>
      <c r="SJX45" s="1021"/>
      <c r="SJY45" s="1021"/>
      <c r="SJZ45" s="1021"/>
      <c r="SKA45" s="1021"/>
      <c r="SKB45" s="1021"/>
      <c r="SKC45" s="1021"/>
      <c r="SKD45" s="1021"/>
      <c r="SKE45" s="1021"/>
      <c r="SKF45" s="1021"/>
      <c r="SKG45" s="1021"/>
      <c r="SKH45" s="1021"/>
      <c r="SKI45" s="1021"/>
      <c r="SKJ45" s="1021"/>
      <c r="SKK45" s="1021"/>
      <c r="SKL45" s="1021"/>
      <c r="SKM45" s="1021"/>
      <c r="SKN45" s="1021"/>
      <c r="SKO45" s="1021"/>
      <c r="SKP45" s="1021"/>
      <c r="SKQ45" s="1021"/>
      <c r="SKR45" s="1021"/>
      <c r="SKS45" s="1021"/>
      <c r="SKT45" s="1021"/>
      <c r="SKU45" s="1021"/>
      <c r="SKV45" s="1021"/>
      <c r="SKW45" s="1021"/>
      <c r="SKX45" s="1021"/>
      <c r="SKY45" s="1021"/>
      <c r="SKZ45" s="1021"/>
      <c r="SLA45" s="1021"/>
      <c r="SLB45" s="1021"/>
      <c r="SLC45" s="1021"/>
      <c r="SLD45" s="1021"/>
      <c r="SLE45" s="1021"/>
      <c r="SLF45" s="1021"/>
      <c r="SLG45" s="1021"/>
      <c r="SLH45" s="1021"/>
      <c r="SLI45" s="1021"/>
      <c r="SLJ45" s="1021"/>
      <c r="SLK45" s="1021"/>
      <c r="SLL45" s="1021"/>
      <c r="SLM45" s="1021"/>
      <c r="SLN45" s="1021"/>
      <c r="SLO45" s="1021"/>
      <c r="SLP45" s="1021"/>
      <c r="SLQ45" s="1021"/>
      <c r="SLR45" s="1021"/>
      <c r="SLS45" s="1021"/>
      <c r="SLT45" s="1021"/>
      <c r="SLU45" s="1021"/>
      <c r="SLV45" s="1021"/>
      <c r="SLW45" s="1021"/>
      <c r="SLX45" s="1021"/>
      <c r="SLY45" s="1021"/>
      <c r="SLZ45" s="1021"/>
      <c r="SMA45" s="1021"/>
      <c r="SMB45" s="1021"/>
      <c r="SMC45" s="1021"/>
      <c r="SMD45" s="1021"/>
      <c r="SME45" s="1021"/>
      <c r="SMF45" s="1021"/>
      <c r="SMG45" s="1021"/>
      <c r="SMH45" s="1021"/>
      <c r="SMI45" s="1021"/>
      <c r="SMJ45" s="1021"/>
      <c r="SMK45" s="1021"/>
      <c r="SML45" s="1021"/>
      <c r="SMM45" s="1021"/>
      <c r="SMN45" s="1021"/>
      <c r="SMO45" s="1021"/>
      <c r="SMP45" s="1021"/>
      <c r="SMQ45" s="1021"/>
      <c r="SMR45" s="1021"/>
      <c r="SMS45" s="1021"/>
      <c r="SMT45" s="1021"/>
      <c r="SMU45" s="1021"/>
      <c r="SMV45" s="1021"/>
      <c r="SMW45" s="1021"/>
      <c r="SMX45" s="1021"/>
      <c r="SMY45" s="1021"/>
      <c r="SMZ45" s="1021"/>
      <c r="SNA45" s="1021"/>
      <c r="SNB45" s="1021"/>
      <c r="SNC45" s="1021"/>
      <c r="SND45" s="1021"/>
      <c r="SNE45" s="1021"/>
      <c r="SNF45" s="1021"/>
      <c r="SNG45" s="1021"/>
      <c r="SNH45" s="1021"/>
      <c r="SNI45" s="1021"/>
      <c r="SNJ45" s="1021"/>
      <c r="SNK45" s="1021"/>
      <c r="SNL45" s="1021"/>
      <c r="SNM45" s="1021"/>
      <c r="SNN45" s="1021"/>
      <c r="SNO45" s="1021"/>
      <c r="SNP45" s="1021"/>
      <c r="SNQ45" s="1021"/>
      <c r="SNR45" s="1021"/>
      <c r="SNS45" s="1021"/>
      <c r="SNT45" s="1021"/>
      <c r="SNU45" s="1021"/>
      <c r="SNV45" s="1021"/>
      <c r="SNW45" s="1021"/>
      <c r="SNX45" s="1021"/>
      <c r="SNY45" s="1021"/>
      <c r="SNZ45" s="1021"/>
      <c r="SOA45" s="1021"/>
      <c r="SOB45" s="1021"/>
      <c r="SOC45" s="1021"/>
      <c r="SOD45" s="1021"/>
      <c r="SOE45" s="1021"/>
      <c r="SOF45" s="1021"/>
      <c r="SOG45" s="1021"/>
      <c r="SOH45" s="1021"/>
      <c r="SOI45" s="1021"/>
      <c r="SOJ45" s="1021"/>
      <c r="SOK45" s="1021"/>
      <c r="SOL45" s="1021"/>
      <c r="SOM45" s="1021"/>
      <c r="SON45" s="1021"/>
      <c r="SOO45" s="1021"/>
      <c r="SOP45" s="1021"/>
      <c r="SOQ45" s="1021"/>
      <c r="SOR45" s="1021"/>
      <c r="SOS45" s="1021"/>
      <c r="SOT45" s="1021"/>
      <c r="SOU45" s="1021"/>
      <c r="SOV45" s="1021"/>
      <c r="SOW45" s="1021"/>
      <c r="SOX45" s="1021"/>
      <c r="SOY45" s="1021"/>
      <c r="SOZ45" s="1021"/>
      <c r="SPA45" s="1021"/>
      <c r="SPB45" s="1021"/>
      <c r="SPC45" s="1021"/>
      <c r="SPD45" s="1021"/>
      <c r="SPE45" s="1021"/>
      <c r="SPF45" s="1021"/>
      <c r="SPG45" s="1021"/>
      <c r="SPH45" s="1021"/>
      <c r="SPI45" s="1021"/>
      <c r="SPJ45" s="1021"/>
      <c r="SPK45" s="1021"/>
      <c r="SPL45" s="1021"/>
      <c r="SPM45" s="1021"/>
      <c r="SPN45" s="1021"/>
      <c r="SPO45" s="1021"/>
      <c r="SPP45" s="1021"/>
      <c r="SPQ45" s="1021"/>
      <c r="SPR45" s="1021"/>
      <c r="SPS45" s="1021"/>
      <c r="SPT45" s="1021"/>
      <c r="SPU45" s="1021"/>
      <c r="SPV45" s="1021"/>
      <c r="SPW45" s="1021"/>
      <c r="SPX45" s="1021"/>
      <c r="SPY45" s="1021"/>
      <c r="SPZ45" s="1021"/>
      <c r="SQA45" s="1021"/>
      <c r="SQB45" s="1021"/>
      <c r="SQC45" s="1021"/>
      <c r="SQD45" s="1021"/>
      <c r="SQE45" s="1021"/>
      <c r="SQF45" s="1021"/>
      <c r="SQG45" s="1021"/>
      <c r="SQH45" s="1021"/>
      <c r="SQI45" s="1021"/>
      <c r="SQJ45" s="1021"/>
      <c r="SQK45" s="1021"/>
      <c r="SQL45" s="1021"/>
      <c r="SQM45" s="1021"/>
      <c r="SQN45" s="1021"/>
      <c r="SQO45" s="1021"/>
      <c r="SQP45" s="1021"/>
      <c r="SQQ45" s="1021"/>
      <c r="SQR45" s="1021"/>
      <c r="SQS45" s="1021"/>
      <c r="SQT45" s="1021"/>
      <c r="SQU45" s="1021"/>
      <c r="SQV45" s="1021"/>
      <c r="SQW45" s="1021"/>
      <c r="SQX45" s="1021"/>
      <c r="SQY45" s="1021"/>
      <c r="SQZ45" s="1021"/>
      <c r="SRA45" s="1021"/>
      <c r="SRB45" s="1021"/>
      <c r="SRC45" s="1021"/>
      <c r="SRD45" s="1021"/>
      <c r="SRE45" s="1021"/>
      <c r="SRF45" s="1021"/>
      <c r="SRG45" s="1021"/>
      <c r="SRH45" s="1021"/>
      <c r="SRI45" s="1021"/>
      <c r="SRJ45" s="1021"/>
      <c r="SRK45" s="1021"/>
      <c r="SRL45" s="1021"/>
      <c r="SRM45" s="1021"/>
      <c r="SRN45" s="1021"/>
      <c r="SRO45" s="1021"/>
      <c r="SRP45" s="1021"/>
      <c r="SRQ45" s="1021"/>
      <c r="SRR45" s="1021"/>
      <c r="SRS45" s="1021"/>
      <c r="SRT45" s="1021"/>
      <c r="SRU45" s="1021"/>
      <c r="SRV45" s="1021"/>
      <c r="SRW45" s="1021"/>
      <c r="SRX45" s="1021"/>
      <c r="SRY45" s="1021"/>
      <c r="SRZ45" s="1021"/>
      <c r="SSA45" s="1021"/>
      <c r="SSB45" s="1021"/>
      <c r="SSC45" s="1021"/>
      <c r="SSD45" s="1021"/>
      <c r="SSE45" s="1021"/>
      <c r="SSF45" s="1021"/>
      <c r="SSG45" s="1021"/>
      <c r="SSH45" s="1021"/>
      <c r="SSI45" s="1021"/>
      <c r="SSJ45" s="1021"/>
      <c r="SSK45" s="1021"/>
      <c r="SSL45" s="1021"/>
      <c r="SSM45" s="1021"/>
      <c r="SSN45" s="1021"/>
      <c r="SSO45" s="1021"/>
      <c r="SSP45" s="1021"/>
      <c r="SSQ45" s="1021"/>
      <c r="SSR45" s="1021"/>
      <c r="SSS45" s="1021"/>
      <c r="SST45" s="1021"/>
      <c r="SSU45" s="1021"/>
      <c r="SSV45" s="1021"/>
      <c r="SSW45" s="1021"/>
      <c r="SSX45" s="1021"/>
      <c r="SSY45" s="1021"/>
      <c r="SSZ45" s="1021"/>
      <c r="STA45" s="1021"/>
      <c r="STB45" s="1021"/>
      <c r="STC45" s="1021"/>
      <c r="STD45" s="1021"/>
      <c r="STE45" s="1021"/>
      <c r="STF45" s="1021"/>
      <c r="STG45" s="1021"/>
      <c r="STH45" s="1021"/>
      <c r="STI45" s="1021"/>
      <c r="STJ45" s="1021"/>
      <c r="STK45" s="1021"/>
      <c r="STL45" s="1021"/>
      <c r="STM45" s="1021"/>
      <c r="STN45" s="1021"/>
      <c r="STO45" s="1021"/>
      <c r="STP45" s="1021"/>
      <c r="STQ45" s="1021"/>
      <c r="STR45" s="1021"/>
      <c r="STS45" s="1021"/>
      <c r="STT45" s="1021"/>
      <c r="STU45" s="1021"/>
      <c r="STV45" s="1021"/>
      <c r="STW45" s="1021"/>
      <c r="STX45" s="1021"/>
      <c r="STY45" s="1021"/>
      <c r="STZ45" s="1021"/>
      <c r="SUA45" s="1021"/>
      <c r="SUB45" s="1021"/>
      <c r="SUC45" s="1021"/>
      <c r="SUD45" s="1021"/>
      <c r="SUE45" s="1021"/>
      <c r="SUF45" s="1021"/>
      <c r="SUG45" s="1021"/>
      <c r="SUH45" s="1021"/>
      <c r="SUI45" s="1021"/>
      <c r="SUJ45" s="1021"/>
      <c r="SUK45" s="1021"/>
      <c r="SUL45" s="1021"/>
      <c r="SUM45" s="1021"/>
      <c r="SUN45" s="1021"/>
      <c r="SUO45" s="1021"/>
      <c r="SUP45" s="1021"/>
      <c r="SUQ45" s="1021"/>
      <c r="SUR45" s="1021"/>
      <c r="SUS45" s="1021"/>
      <c r="SUT45" s="1021"/>
      <c r="SUU45" s="1021"/>
      <c r="SUV45" s="1021"/>
      <c r="SUW45" s="1021"/>
      <c r="SUX45" s="1021"/>
      <c r="SUY45" s="1021"/>
      <c r="SUZ45" s="1021"/>
      <c r="SVA45" s="1021"/>
      <c r="SVB45" s="1021"/>
      <c r="SVC45" s="1021"/>
      <c r="SVD45" s="1021"/>
      <c r="SVE45" s="1021"/>
      <c r="SVF45" s="1021"/>
      <c r="SVG45" s="1021"/>
      <c r="SVH45" s="1021"/>
      <c r="SVI45" s="1021"/>
      <c r="SVJ45" s="1021"/>
      <c r="SVK45" s="1021"/>
      <c r="SVL45" s="1021"/>
      <c r="SVM45" s="1021"/>
      <c r="SVN45" s="1021"/>
      <c r="SVO45" s="1021"/>
      <c r="SVP45" s="1021"/>
      <c r="SVQ45" s="1021"/>
      <c r="SVR45" s="1021"/>
      <c r="SVS45" s="1021"/>
      <c r="SVT45" s="1021"/>
      <c r="SVU45" s="1021"/>
      <c r="SVV45" s="1021"/>
      <c r="SVW45" s="1021"/>
      <c r="SVX45" s="1021"/>
      <c r="SVY45" s="1021"/>
      <c r="SVZ45" s="1021"/>
      <c r="SWA45" s="1021"/>
      <c r="SWB45" s="1021"/>
      <c r="SWC45" s="1021"/>
      <c r="SWD45" s="1021"/>
      <c r="SWE45" s="1021"/>
      <c r="SWF45" s="1021"/>
      <c r="SWG45" s="1021"/>
      <c r="SWH45" s="1021"/>
      <c r="SWI45" s="1021"/>
      <c r="SWJ45" s="1021"/>
      <c r="SWK45" s="1021"/>
      <c r="SWL45" s="1021"/>
      <c r="SWM45" s="1021"/>
      <c r="SWN45" s="1021"/>
      <c r="SWO45" s="1021"/>
      <c r="SWP45" s="1021"/>
      <c r="SWQ45" s="1021"/>
      <c r="SWR45" s="1021"/>
      <c r="SWS45" s="1021"/>
      <c r="SWT45" s="1021"/>
      <c r="SWU45" s="1021"/>
      <c r="SWV45" s="1021"/>
      <c r="SWW45" s="1021"/>
      <c r="SWX45" s="1021"/>
      <c r="SWY45" s="1021"/>
      <c r="SWZ45" s="1021"/>
      <c r="SXA45" s="1021"/>
      <c r="SXB45" s="1021"/>
      <c r="SXC45" s="1021"/>
      <c r="SXD45" s="1021"/>
      <c r="SXE45" s="1021"/>
      <c r="SXF45" s="1021"/>
      <c r="SXG45" s="1021"/>
      <c r="SXH45" s="1021"/>
      <c r="SXI45" s="1021"/>
      <c r="SXJ45" s="1021"/>
      <c r="SXK45" s="1021"/>
      <c r="SXL45" s="1021"/>
      <c r="SXM45" s="1021"/>
      <c r="SXN45" s="1021"/>
      <c r="SXO45" s="1021"/>
      <c r="SXP45" s="1021"/>
      <c r="SXQ45" s="1021"/>
      <c r="SXR45" s="1021"/>
      <c r="SXS45" s="1021"/>
      <c r="SXT45" s="1021"/>
      <c r="SXU45" s="1021"/>
      <c r="SXV45" s="1021"/>
      <c r="SXW45" s="1021"/>
      <c r="SXX45" s="1021"/>
      <c r="SXY45" s="1021"/>
      <c r="SXZ45" s="1021"/>
      <c r="SYA45" s="1021"/>
      <c r="SYB45" s="1021"/>
      <c r="SYC45" s="1021"/>
      <c r="SYD45" s="1021"/>
      <c r="SYE45" s="1021"/>
      <c r="SYF45" s="1021"/>
      <c r="SYG45" s="1021"/>
      <c r="SYH45" s="1021"/>
      <c r="SYI45" s="1021"/>
      <c r="SYJ45" s="1021"/>
      <c r="SYK45" s="1021"/>
      <c r="SYL45" s="1021"/>
      <c r="SYM45" s="1021"/>
      <c r="SYN45" s="1021"/>
      <c r="SYO45" s="1021"/>
      <c r="SYP45" s="1021"/>
      <c r="SYQ45" s="1021"/>
      <c r="SYR45" s="1021"/>
      <c r="SYS45" s="1021"/>
      <c r="SYT45" s="1021"/>
      <c r="SYU45" s="1021"/>
      <c r="SYV45" s="1021"/>
      <c r="SYW45" s="1021"/>
      <c r="SYX45" s="1021"/>
      <c r="SYY45" s="1021"/>
      <c r="SYZ45" s="1021"/>
      <c r="SZA45" s="1021"/>
      <c r="SZB45" s="1021"/>
      <c r="SZC45" s="1021"/>
      <c r="SZD45" s="1021"/>
      <c r="SZE45" s="1021"/>
      <c r="SZF45" s="1021"/>
      <c r="SZG45" s="1021"/>
      <c r="SZH45" s="1021"/>
      <c r="SZI45" s="1021"/>
      <c r="SZJ45" s="1021"/>
      <c r="SZK45" s="1021"/>
      <c r="SZL45" s="1021"/>
      <c r="SZM45" s="1021"/>
      <c r="SZN45" s="1021"/>
      <c r="SZO45" s="1021"/>
      <c r="SZP45" s="1021"/>
      <c r="SZQ45" s="1021"/>
      <c r="SZR45" s="1021"/>
      <c r="SZS45" s="1021"/>
      <c r="SZT45" s="1021"/>
      <c r="SZU45" s="1021"/>
      <c r="SZV45" s="1021"/>
      <c r="SZW45" s="1021"/>
      <c r="SZX45" s="1021"/>
      <c r="SZY45" s="1021"/>
      <c r="SZZ45" s="1021"/>
      <c r="TAA45" s="1021"/>
      <c r="TAB45" s="1021"/>
      <c r="TAC45" s="1021"/>
      <c r="TAD45" s="1021"/>
      <c r="TAE45" s="1021"/>
      <c r="TAF45" s="1021"/>
      <c r="TAG45" s="1021"/>
      <c r="TAH45" s="1021"/>
      <c r="TAI45" s="1021"/>
      <c r="TAJ45" s="1021"/>
      <c r="TAK45" s="1021"/>
      <c r="TAL45" s="1021"/>
      <c r="TAM45" s="1021"/>
      <c r="TAN45" s="1021"/>
      <c r="TAO45" s="1021"/>
      <c r="TAP45" s="1021"/>
      <c r="TAQ45" s="1021"/>
      <c r="TAR45" s="1021"/>
      <c r="TAS45" s="1021"/>
      <c r="TAT45" s="1021"/>
      <c r="TAU45" s="1021"/>
      <c r="TAV45" s="1021"/>
      <c r="TAW45" s="1021"/>
      <c r="TAX45" s="1021"/>
      <c r="TAY45" s="1021"/>
      <c r="TAZ45" s="1021"/>
      <c r="TBA45" s="1021"/>
      <c r="TBB45" s="1021"/>
      <c r="TBC45" s="1021"/>
      <c r="TBD45" s="1021"/>
      <c r="TBE45" s="1021"/>
      <c r="TBF45" s="1021"/>
      <c r="TBG45" s="1021"/>
      <c r="TBH45" s="1021"/>
      <c r="TBI45" s="1021"/>
      <c r="TBJ45" s="1021"/>
      <c r="TBK45" s="1021"/>
      <c r="TBL45" s="1021"/>
      <c r="TBM45" s="1021"/>
      <c r="TBN45" s="1021"/>
      <c r="TBO45" s="1021"/>
      <c r="TBP45" s="1021"/>
      <c r="TBQ45" s="1021"/>
      <c r="TBR45" s="1021"/>
      <c r="TBS45" s="1021"/>
      <c r="TBT45" s="1021"/>
      <c r="TBU45" s="1021"/>
      <c r="TBV45" s="1021"/>
      <c r="TBW45" s="1021"/>
      <c r="TBX45" s="1021"/>
      <c r="TBY45" s="1021"/>
      <c r="TBZ45" s="1021"/>
      <c r="TCA45" s="1021"/>
      <c r="TCB45" s="1021"/>
      <c r="TCC45" s="1021"/>
      <c r="TCD45" s="1021"/>
      <c r="TCE45" s="1021"/>
      <c r="TCF45" s="1021"/>
      <c r="TCG45" s="1021"/>
      <c r="TCH45" s="1021"/>
      <c r="TCI45" s="1021"/>
      <c r="TCJ45" s="1021"/>
      <c r="TCK45" s="1021"/>
      <c r="TCL45" s="1021"/>
      <c r="TCM45" s="1021"/>
      <c r="TCN45" s="1021"/>
      <c r="TCO45" s="1021"/>
      <c r="TCP45" s="1021"/>
      <c r="TCQ45" s="1021"/>
      <c r="TCR45" s="1021"/>
      <c r="TCS45" s="1021"/>
      <c r="TCT45" s="1021"/>
      <c r="TCU45" s="1021"/>
      <c r="TCV45" s="1021"/>
      <c r="TCW45" s="1021"/>
      <c r="TCX45" s="1021"/>
      <c r="TCY45" s="1021"/>
      <c r="TCZ45" s="1021"/>
      <c r="TDA45" s="1021"/>
      <c r="TDB45" s="1021"/>
      <c r="TDC45" s="1021"/>
      <c r="TDD45" s="1021"/>
      <c r="TDE45" s="1021"/>
      <c r="TDF45" s="1021"/>
      <c r="TDG45" s="1021"/>
      <c r="TDH45" s="1021"/>
      <c r="TDI45" s="1021"/>
      <c r="TDJ45" s="1021"/>
      <c r="TDK45" s="1021"/>
      <c r="TDL45" s="1021"/>
      <c r="TDM45" s="1021"/>
      <c r="TDN45" s="1021"/>
      <c r="TDO45" s="1021"/>
      <c r="TDP45" s="1021"/>
      <c r="TDQ45" s="1021"/>
      <c r="TDR45" s="1021"/>
      <c r="TDS45" s="1021"/>
      <c r="TDT45" s="1021"/>
      <c r="TDU45" s="1021"/>
      <c r="TDV45" s="1021"/>
      <c r="TDW45" s="1021"/>
      <c r="TDX45" s="1021"/>
      <c r="TDY45" s="1021"/>
      <c r="TDZ45" s="1021"/>
      <c r="TEA45" s="1021"/>
      <c r="TEB45" s="1021"/>
      <c r="TEC45" s="1021"/>
      <c r="TED45" s="1021"/>
      <c r="TEE45" s="1021"/>
      <c r="TEF45" s="1021"/>
      <c r="TEG45" s="1021"/>
      <c r="TEH45" s="1021"/>
      <c r="TEI45" s="1021"/>
      <c r="TEJ45" s="1021"/>
      <c r="TEK45" s="1021"/>
      <c r="TEL45" s="1021"/>
      <c r="TEM45" s="1021"/>
      <c r="TEN45" s="1021"/>
      <c r="TEO45" s="1021"/>
      <c r="TEP45" s="1021"/>
      <c r="TEQ45" s="1021"/>
      <c r="TER45" s="1021"/>
      <c r="TES45" s="1021"/>
      <c r="TET45" s="1021"/>
      <c r="TEU45" s="1021"/>
      <c r="TEV45" s="1021"/>
      <c r="TEW45" s="1021"/>
      <c r="TEX45" s="1021"/>
      <c r="TEY45" s="1021"/>
      <c r="TEZ45" s="1021"/>
      <c r="TFA45" s="1021"/>
      <c r="TFB45" s="1021"/>
      <c r="TFC45" s="1021"/>
      <c r="TFD45" s="1021"/>
      <c r="TFE45" s="1021"/>
      <c r="TFF45" s="1021"/>
      <c r="TFG45" s="1021"/>
      <c r="TFH45" s="1021"/>
      <c r="TFI45" s="1021"/>
      <c r="TFJ45" s="1021"/>
      <c r="TFK45" s="1021"/>
      <c r="TFL45" s="1021"/>
      <c r="TFM45" s="1021"/>
      <c r="TFN45" s="1021"/>
      <c r="TFO45" s="1021"/>
      <c r="TFP45" s="1021"/>
      <c r="TFQ45" s="1021"/>
      <c r="TFR45" s="1021"/>
      <c r="TFS45" s="1021"/>
      <c r="TFT45" s="1021"/>
      <c r="TFU45" s="1021"/>
      <c r="TFV45" s="1021"/>
      <c r="TFW45" s="1021"/>
      <c r="TFX45" s="1021"/>
      <c r="TFY45" s="1021"/>
      <c r="TFZ45" s="1021"/>
      <c r="TGA45" s="1021"/>
      <c r="TGB45" s="1021"/>
      <c r="TGC45" s="1021"/>
      <c r="TGD45" s="1021"/>
      <c r="TGE45" s="1021"/>
      <c r="TGF45" s="1021"/>
      <c r="TGG45" s="1021"/>
      <c r="TGH45" s="1021"/>
      <c r="TGI45" s="1021"/>
      <c r="TGJ45" s="1021"/>
      <c r="TGK45" s="1021"/>
      <c r="TGL45" s="1021"/>
      <c r="TGM45" s="1021"/>
      <c r="TGN45" s="1021"/>
      <c r="TGO45" s="1021"/>
      <c r="TGP45" s="1021"/>
      <c r="TGQ45" s="1021"/>
      <c r="TGR45" s="1021"/>
      <c r="TGS45" s="1021"/>
      <c r="TGT45" s="1021"/>
      <c r="TGU45" s="1021"/>
      <c r="TGV45" s="1021"/>
      <c r="TGW45" s="1021"/>
      <c r="TGX45" s="1021"/>
      <c r="TGY45" s="1021"/>
      <c r="TGZ45" s="1021"/>
      <c r="THA45" s="1021"/>
      <c r="THB45" s="1021"/>
      <c r="THC45" s="1021"/>
      <c r="THD45" s="1021"/>
      <c r="THE45" s="1021"/>
      <c r="THF45" s="1021"/>
      <c r="THG45" s="1021"/>
      <c r="THH45" s="1021"/>
      <c r="THI45" s="1021"/>
      <c r="THJ45" s="1021"/>
      <c r="THK45" s="1021"/>
      <c r="THL45" s="1021"/>
      <c r="THM45" s="1021"/>
      <c r="THN45" s="1021"/>
      <c r="THO45" s="1021"/>
      <c r="THP45" s="1021"/>
      <c r="THQ45" s="1021"/>
      <c r="THR45" s="1021"/>
      <c r="THS45" s="1021"/>
      <c r="THT45" s="1021"/>
      <c r="THU45" s="1021"/>
      <c r="THV45" s="1021"/>
      <c r="THW45" s="1021"/>
      <c r="THX45" s="1021"/>
      <c r="THY45" s="1021"/>
      <c r="THZ45" s="1021"/>
      <c r="TIA45" s="1021"/>
      <c r="TIB45" s="1021"/>
      <c r="TIC45" s="1021"/>
      <c r="TID45" s="1021"/>
      <c r="TIE45" s="1021"/>
      <c r="TIF45" s="1021"/>
      <c r="TIG45" s="1021"/>
      <c r="TIH45" s="1021"/>
      <c r="TII45" s="1021"/>
      <c r="TIJ45" s="1021"/>
      <c r="TIK45" s="1021"/>
      <c r="TIL45" s="1021"/>
      <c r="TIM45" s="1021"/>
      <c r="TIN45" s="1021"/>
      <c r="TIO45" s="1021"/>
      <c r="TIP45" s="1021"/>
      <c r="TIQ45" s="1021"/>
      <c r="TIR45" s="1021"/>
      <c r="TIS45" s="1021"/>
      <c r="TIT45" s="1021"/>
      <c r="TIU45" s="1021"/>
      <c r="TIV45" s="1021"/>
      <c r="TIW45" s="1021"/>
      <c r="TIX45" s="1021"/>
      <c r="TIY45" s="1021"/>
      <c r="TIZ45" s="1021"/>
      <c r="TJA45" s="1021"/>
      <c r="TJB45" s="1021"/>
      <c r="TJC45" s="1021"/>
      <c r="TJD45" s="1021"/>
      <c r="TJE45" s="1021"/>
      <c r="TJF45" s="1021"/>
      <c r="TJG45" s="1021"/>
      <c r="TJH45" s="1021"/>
      <c r="TJI45" s="1021"/>
      <c r="TJJ45" s="1021"/>
      <c r="TJK45" s="1021"/>
      <c r="TJL45" s="1021"/>
      <c r="TJM45" s="1021"/>
      <c r="TJN45" s="1021"/>
      <c r="TJO45" s="1021"/>
      <c r="TJP45" s="1021"/>
      <c r="TJQ45" s="1021"/>
      <c r="TJR45" s="1021"/>
      <c r="TJS45" s="1021"/>
      <c r="TJT45" s="1021"/>
      <c r="TJU45" s="1021"/>
      <c r="TJV45" s="1021"/>
      <c r="TJW45" s="1021"/>
      <c r="TJX45" s="1021"/>
      <c r="TJY45" s="1021"/>
      <c r="TJZ45" s="1021"/>
      <c r="TKA45" s="1021"/>
      <c r="TKB45" s="1021"/>
      <c r="TKC45" s="1021"/>
      <c r="TKD45" s="1021"/>
      <c r="TKE45" s="1021"/>
      <c r="TKF45" s="1021"/>
      <c r="TKG45" s="1021"/>
      <c r="TKH45" s="1021"/>
      <c r="TKI45" s="1021"/>
      <c r="TKJ45" s="1021"/>
      <c r="TKK45" s="1021"/>
      <c r="TKL45" s="1021"/>
      <c r="TKM45" s="1021"/>
      <c r="TKN45" s="1021"/>
      <c r="TKO45" s="1021"/>
      <c r="TKP45" s="1021"/>
      <c r="TKQ45" s="1021"/>
      <c r="TKR45" s="1021"/>
      <c r="TKS45" s="1021"/>
      <c r="TKT45" s="1021"/>
      <c r="TKU45" s="1021"/>
      <c r="TKV45" s="1021"/>
      <c r="TKW45" s="1021"/>
      <c r="TKX45" s="1021"/>
      <c r="TKY45" s="1021"/>
      <c r="TKZ45" s="1021"/>
      <c r="TLA45" s="1021"/>
      <c r="TLB45" s="1021"/>
      <c r="TLC45" s="1021"/>
      <c r="TLD45" s="1021"/>
      <c r="TLE45" s="1021"/>
      <c r="TLF45" s="1021"/>
      <c r="TLG45" s="1021"/>
      <c r="TLH45" s="1021"/>
      <c r="TLI45" s="1021"/>
      <c r="TLJ45" s="1021"/>
      <c r="TLK45" s="1021"/>
      <c r="TLL45" s="1021"/>
      <c r="TLM45" s="1021"/>
      <c r="TLN45" s="1021"/>
      <c r="TLO45" s="1021"/>
      <c r="TLP45" s="1021"/>
      <c r="TLQ45" s="1021"/>
      <c r="TLR45" s="1021"/>
      <c r="TLS45" s="1021"/>
      <c r="TLT45" s="1021"/>
      <c r="TLU45" s="1021"/>
      <c r="TLV45" s="1021"/>
      <c r="TLW45" s="1021"/>
      <c r="TLX45" s="1021"/>
      <c r="TLY45" s="1021"/>
      <c r="TLZ45" s="1021"/>
      <c r="TMA45" s="1021"/>
      <c r="TMB45" s="1021"/>
      <c r="TMC45" s="1021"/>
      <c r="TMD45" s="1021"/>
      <c r="TME45" s="1021"/>
      <c r="TMF45" s="1021"/>
      <c r="TMG45" s="1021"/>
      <c r="TMH45" s="1021"/>
      <c r="TMI45" s="1021"/>
      <c r="TMJ45" s="1021"/>
      <c r="TMK45" s="1021"/>
      <c r="TML45" s="1021"/>
      <c r="TMM45" s="1021"/>
      <c r="TMN45" s="1021"/>
      <c r="TMO45" s="1021"/>
      <c r="TMP45" s="1021"/>
      <c r="TMQ45" s="1021"/>
      <c r="TMR45" s="1021"/>
      <c r="TMS45" s="1021"/>
      <c r="TMT45" s="1021"/>
      <c r="TMU45" s="1021"/>
      <c r="TMV45" s="1021"/>
      <c r="TMW45" s="1021"/>
      <c r="TMX45" s="1021"/>
      <c r="TMY45" s="1021"/>
      <c r="TMZ45" s="1021"/>
      <c r="TNA45" s="1021"/>
      <c r="TNB45" s="1021"/>
      <c r="TNC45" s="1021"/>
      <c r="TND45" s="1021"/>
      <c r="TNE45" s="1021"/>
      <c r="TNF45" s="1021"/>
      <c r="TNG45" s="1021"/>
      <c r="TNH45" s="1021"/>
      <c r="TNI45" s="1021"/>
      <c r="TNJ45" s="1021"/>
      <c r="TNK45" s="1021"/>
      <c r="TNL45" s="1021"/>
      <c r="TNM45" s="1021"/>
      <c r="TNN45" s="1021"/>
      <c r="TNO45" s="1021"/>
      <c r="TNP45" s="1021"/>
      <c r="TNQ45" s="1021"/>
      <c r="TNR45" s="1021"/>
      <c r="TNS45" s="1021"/>
      <c r="TNT45" s="1021"/>
      <c r="TNU45" s="1021"/>
      <c r="TNV45" s="1021"/>
      <c r="TNW45" s="1021"/>
      <c r="TNX45" s="1021"/>
      <c r="TNY45" s="1021"/>
      <c r="TNZ45" s="1021"/>
      <c r="TOA45" s="1021"/>
      <c r="TOB45" s="1021"/>
      <c r="TOC45" s="1021"/>
      <c r="TOD45" s="1021"/>
      <c r="TOE45" s="1021"/>
      <c r="TOF45" s="1021"/>
      <c r="TOG45" s="1021"/>
      <c r="TOH45" s="1021"/>
      <c r="TOI45" s="1021"/>
      <c r="TOJ45" s="1021"/>
      <c r="TOK45" s="1021"/>
      <c r="TOL45" s="1021"/>
      <c r="TOM45" s="1021"/>
      <c r="TON45" s="1021"/>
      <c r="TOO45" s="1021"/>
      <c r="TOP45" s="1021"/>
      <c r="TOQ45" s="1021"/>
      <c r="TOR45" s="1021"/>
      <c r="TOS45" s="1021"/>
      <c r="TOT45" s="1021"/>
      <c r="TOU45" s="1021"/>
      <c r="TOV45" s="1021"/>
      <c r="TOW45" s="1021"/>
      <c r="TOX45" s="1021"/>
      <c r="TOY45" s="1021"/>
      <c r="TOZ45" s="1021"/>
      <c r="TPA45" s="1021"/>
      <c r="TPB45" s="1021"/>
      <c r="TPC45" s="1021"/>
      <c r="TPD45" s="1021"/>
      <c r="TPE45" s="1021"/>
      <c r="TPF45" s="1021"/>
      <c r="TPG45" s="1021"/>
      <c r="TPH45" s="1021"/>
      <c r="TPI45" s="1021"/>
      <c r="TPJ45" s="1021"/>
      <c r="TPK45" s="1021"/>
      <c r="TPL45" s="1021"/>
      <c r="TPM45" s="1021"/>
      <c r="TPN45" s="1021"/>
      <c r="TPO45" s="1021"/>
      <c r="TPP45" s="1021"/>
      <c r="TPQ45" s="1021"/>
      <c r="TPR45" s="1021"/>
      <c r="TPS45" s="1021"/>
      <c r="TPT45" s="1021"/>
      <c r="TPU45" s="1021"/>
      <c r="TPV45" s="1021"/>
      <c r="TPW45" s="1021"/>
      <c r="TPX45" s="1021"/>
      <c r="TPY45" s="1021"/>
      <c r="TPZ45" s="1021"/>
      <c r="TQA45" s="1021"/>
      <c r="TQB45" s="1021"/>
      <c r="TQC45" s="1021"/>
      <c r="TQD45" s="1021"/>
      <c r="TQE45" s="1021"/>
      <c r="TQF45" s="1021"/>
      <c r="TQG45" s="1021"/>
      <c r="TQH45" s="1021"/>
      <c r="TQI45" s="1021"/>
      <c r="TQJ45" s="1021"/>
      <c r="TQK45" s="1021"/>
      <c r="TQL45" s="1021"/>
      <c r="TQM45" s="1021"/>
      <c r="TQN45" s="1021"/>
      <c r="TQO45" s="1021"/>
      <c r="TQP45" s="1021"/>
      <c r="TQQ45" s="1021"/>
      <c r="TQR45" s="1021"/>
      <c r="TQS45" s="1021"/>
      <c r="TQT45" s="1021"/>
      <c r="TQU45" s="1021"/>
      <c r="TQV45" s="1021"/>
      <c r="TQW45" s="1021"/>
      <c r="TQX45" s="1021"/>
      <c r="TQY45" s="1021"/>
      <c r="TQZ45" s="1021"/>
      <c r="TRA45" s="1021"/>
      <c r="TRB45" s="1021"/>
      <c r="TRC45" s="1021"/>
      <c r="TRD45" s="1021"/>
      <c r="TRE45" s="1021"/>
      <c r="TRF45" s="1021"/>
      <c r="TRG45" s="1021"/>
      <c r="TRH45" s="1021"/>
      <c r="TRI45" s="1021"/>
      <c r="TRJ45" s="1021"/>
      <c r="TRK45" s="1021"/>
      <c r="TRL45" s="1021"/>
      <c r="TRM45" s="1021"/>
      <c r="TRN45" s="1021"/>
      <c r="TRO45" s="1021"/>
      <c r="TRP45" s="1021"/>
      <c r="TRQ45" s="1021"/>
      <c r="TRR45" s="1021"/>
      <c r="TRS45" s="1021"/>
      <c r="TRT45" s="1021"/>
      <c r="TRU45" s="1021"/>
      <c r="TRV45" s="1021"/>
      <c r="TRW45" s="1021"/>
      <c r="TRX45" s="1021"/>
      <c r="TRY45" s="1021"/>
      <c r="TRZ45" s="1021"/>
      <c r="TSA45" s="1021"/>
      <c r="TSB45" s="1021"/>
      <c r="TSC45" s="1021"/>
      <c r="TSD45" s="1021"/>
      <c r="TSE45" s="1021"/>
      <c r="TSF45" s="1021"/>
      <c r="TSG45" s="1021"/>
      <c r="TSH45" s="1021"/>
      <c r="TSI45" s="1021"/>
      <c r="TSJ45" s="1021"/>
      <c r="TSK45" s="1021"/>
      <c r="TSL45" s="1021"/>
      <c r="TSM45" s="1021"/>
      <c r="TSN45" s="1021"/>
      <c r="TSO45" s="1021"/>
      <c r="TSP45" s="1021"/>
      <c r="TSQ45" s="1021"/>
      <c r="TSR45" s="1021"/>
      <c r="TSS45" s="1021"/>
      <c r="TST45" s="1021"/>
      <c r="TSU45" s="1021"/>
      <c r="TSV45" s="1021"/>
      <c r="TSW45" s="1021"/>
      <c r="TSX45" s="1021"/>
      <c r="TSY45" s="1021"/>
      <c r="TSZ45" s="1021"/>
      <c r="TTA45" s="1021"/>
      <c r="TTB45" s="1021"/>
      <c r="TTC45" s="1021"/>
      <c r="TTD45" s="1021"/>
      <c r="TTE45" s="1021"/>
      <c r="TTF45" s="1021"/>
      <c r="TTG45" s="1021"/>
      <c r="TTH45" s="1021"/>
      <c r="TTI45" s="1021"/>
      <c r="TTJ45" s="1021"/>
      <c r="TTK45" s="1021"/>
      <c r="TTL45" s="1021"/>
      <c r="TTM45" s="1021"/>
      <c r="TTN45" s="1021"/>
      <c r="TTO45" s="1021"/>
      <c r="TTP45" s="1021"/>
      <c r="TTQ45" s="1021"/>
      <c r="TTR45" s="1021"/>
      <c r="TTS45" s="1021"/>
      <c r="TTT45" s="1021"/>
      <c r="TTU45" s="1021"/>
      <c r="TTV45" s="1021"/>
      <c r="TTW45" s="1021"/>
      <c r="TTX45" s="1021"/>
      <c r="TTY45" s="1021"/>
      <c r="TTZ45" s="1021"/>
      <c r="TUA45" s="1021"/>
      <c r="TUB45" s="1021"/>
      <c r="TUC45" s="1021"/>
      <c r="TUD45" s="1021"/>
      <c r="TUE45" s="1021"/>
      <c r="TUF45" s="1021"/>
      <c r="TUG45" s="1021"/>
      <c r="TUH45" s="1021"/>
      <c r="TUI45" s="1021"/>
      <c r="TUJ45" s="1021"/>
      <c r="TUK45" s="1021"/>
      <c r="TUL45" s="1021"/>
      <c r="TUM45" s="1021"/>
      <c r="TUN45" s="1021"/>
      <c r="TUO45" s="1021"/>
      <c r="TUP45" s="1021"/>
      <c r="TUQ45" s="1021"/>
      <c r="TUR45" s="1021"/>
      <c r="TUS45" s="1021"/>
      <c r="TUT45" s="1021"/>
      <c r="TUU45" s="1021"/>
      <c r="TUV45" s="1021"/>
      <c r="TUW45" s="1021"/>
      <c r="TUX45" s="1021"/>
      <c r="TUY45" s="1021"/>
      <c r="TUZ45" s="1021"/>
      <c r="TVA45" s="1021"/>
      <c r="TVB45" s="1021"/>
      <c r="TVC45" s="1021"/>
      <c r="TVD45" s="1021"/>
      <c r="TVE45" s="1021"/>
      <c r="TVF45" s="1021"/>
      <c r="TVG45" s="1021"/>
      <c r="TVH45" s="1021"/>
      <c r="TVI45" s="1021"/>
      <c r="TVJ45" s="1021"/>
      <c r="TVK45" s="1021"/>
      <c r="TVL45" s="1021"/>
      <c r="TVM45" s="1021"/>
      <c r="TVN45" s="1021"/>
      <c r="TVO45" s="1021"/>
      <c r="TVP45" s="1021"/>
      <c r="TVQ45" s="1021"/>
      <c r="TVR45" s="1021"/>
      <c r="TVS45" s="1021"/>
      <c r="TVT45" s="1021"/>
      <c r="TVU45" s="1021"/>
      <c r="TVV45" s="1021"/>
      <c r="TVW45" s="1021"/>
      <c r="TVX45" s="1021"/>
      <c r="TVY45" s="1021"/>
      <c r="TVZ45" s="1021"/>
      <c r="TWA45" s="1021"/>
      <c r="TWB45" s="1021"/>
      <c r="TWC45" s="1021"/>
      <c r="TWD45" s="1021"/>
      <c r="TWE45" s="1021"/>
      <c r="TWF45" s="1021"/>
      <c r="TWG45" s="1021"/>
      <c r="TWH45" s="1021"/>
      <c r="TWI45" s="1021"/>
      <c r="TWJ45" s="1021"/>
      <c r="TWK45" s="1021"/>
      <c r="TWL45" s="1021"/>
      <c r="TWM45" s="1021"/>
      <c r="TWN45" s="1021"/>
      <c r="TWO45" s="1021"/>
      <c r="TWP45" s="1021"/>
      <c r="TWQ45" s="1021"/>
      <c r="TWR45" s="1021"/>
      <c r="TWS45" s="1021"/>
      <c r="TWT45" s="1021"/>
      <c r="TWU45" s="1021"/>
      <c r="TWV45" s="1021"/>
      <c r="TWW45" s="1021"/>
      <c r="TWX45" s="1021"/>
      <c r="TWY45" s="1021"/>
      <c r="TWZ45" s="1021"/>
      <c r="TXA45" s="1021"/>
      <c r="TXB45" s="1021"/>
      <c r="TXC45" s="1021"/>
      <c r="TXD45" s="1021"/>
      <c r="TXE45" s="1021"/>
      <c r="TXF45" s="1021"/>
      <c r="TXG45" s="1021"/>
      <c r="TXH45" s="1021"/>
      <c r="TXI45" s="1021"/>
      <c r="TXJ45" s="1021"/>
      <c r="TXK45" s="1021"/>
      <c r="TXL45" s="1021"/>
      <c r="TXM45" s="1021"/>
      <c r="TXN45" s="1021"/>
      <c r="TXO45" s="1021"/>
      <c r="TXP45" s="1021"/>
      <c r="TXQ45" s="1021"/>
      <c r="TXR45" s="1021"/>
      <c r="TXS45" s="1021"/>
      <c r="TXT45" s="1021"/>
      <c r="TXU45" s="1021"/>
      <c r="TXV45" s="1021"/>
      <c r="TXW45" s="1021"/>
      <c r="TXX45" s="1021"/>
      <c r="TXY45" s="1021"/>
      <c r="TXZ45" s="1021"/>
      <c r="TYA45" s="1021"/>
      <c r="TYB45" s="1021"/>
      <c r="TYC45" s="1021"/>
      <c r="TYD45" s="1021"/>
      <c r="TYE45" s="1021"/>
      <c r="TYF45" s="1021"/>
      <c r="TYG45" s="1021"/>
      <c r="TYH45" s="1021"/>
      <c r="TYI45" s="1021"/>
      <c r="TYJ45" s="1021"/>
      <c r="TYK45" s="1021"/>
      <c r="TYL45" s="1021"/>
      <c r="TYM45" s="1021"/>
      <c r="TYN45" s="1021"/>
      <c r="TYO45" s="1021"/>
      <c r="TYP45" s="1021"/>
      <c r="TYQ45" s="1021"/>
      <c r="TYR45" s="1021"/>
      <c r="TYS45" s="1021"/>
      <c r="TYT45" s="1021"/>
      <c r="TYU45" s="1021"/>
      <c r="TYV45" s="1021"/>
      <c r="TYW45" s="1021"/>
      <c r="TYX45" s="1021"/>
      <c r="TYY45" s="1021"/>
      <c r="TYZ45" s="1021"/>
      <c r="TZA45" s="1021"/>
      <c r="TZB45" s="1021"/>
      <c r="TZC45" s="1021"/>
      <c r="TZD45" s="1021"/>
      <c r="TZE45" s="1021"/>
      <c r="TZF45" s="1021"/>
      <c r="TZG45" s="1021"/>
      <c r="TZH45" s="1021"/>
      <c r="TZI45" s="1021"/>
      <c r="TZJ45" s="1021"/>
      <c r="TZK45" s="1021"/>
      <c r="TZL45" s="1021"/>
      <c r="TZM45" s="1021"/>
      <c r="TZN45" s="1021"/>
      <c r="TZO45" s="1021"/>
      <c r="TZP45" s="1021"/>
      <c r="TZQ45" s="1021"/>
      <c r="TZR45" s="1021"/>
      <c r="TZS45" s="1021"/>
      <c r="TZT45" s="1021"/>
      <c r="TZU45" s="1021"/>
      <c r="TZV45" s="1021"/>
      <c r="TZW45" s="1021"/>
      <c r="TZX45" s="1021"/>
      <c r="TZY45" s="1021"/>
      <c r="TZZ45" s="1021"/>
      <c r="UAA45" s="1021"/>
      <c r="UAB45" s="1021"/>
      <c r="UAC45" s="1021"/>
      <c r="UAD45" s="1021"/>
      <c r="UAE45" s="1021"/>
      <c r="UAF45" s="1021"/>
      <c r="UAG45" s="1021"/>
      <c r="UAH45" s="1021"/>
      <c r="UAI45" s="1021"/>
      <c r="UAJ45" s="1021"/>
      <c r="UAK45" s="1021"/>
      <c r="UAL45" s="1021"/>
      <c r="UAM45" s="1021"/>
      <c r="UAN45" s="1021"/>
      <c r="UAO45" s="1021"/>
      <c r="UAP45" s="1021"/>
      <c r="UAQ45" s="1021"/>
      <c r="UAR45" s="1021"/>
      <c r="UAS45" s="1021"/>
      <c r="UAT45" s="1021"/>
      <c r="UAU45" s="1021"/>
      <c r="UAV45" s="1021"/>
      <c r="UAW45" s="1021"/>
      <c r="UAX45" s="1021"/>
      <c r="UAY45" s="1021"/>
      <c r="UAZ45" s="1021"/>
      <c r="UBA45" s="1021"/>
      <c r="UBB45" s="1021"/>
      <c r="UBC45" s="1021"/>
      <c r="UBD45" s="1021"/>
      <c r="UBE45" s="1021"/>
      <c r="UBF45" s="1021"/>
      <c r="UBG45" s="1021"/>
      <c r="UBH45" s="1021"/>
      <c r="UBI45" s="1021"/>
      <c r="UBJ45" s="1021"/>
      <c r="UBK45" s="1021"/>
      <c r="UBL45" s="1021"/>
      <c r="UBM45" s="1021"/>
      <c r="UBN45" s="1021"/>
      <c r="UBO45" s="1021"/>
      <c r="UBP45" s="1021"/>
      <c r="UBQ45" s="1021"/>
      <c r="UBR45" s="1021"/>
      <c r="UBS45" s="1021"/>
      <c r="UBT45" s="1021"/>
      <c r="UBU45" s="1021"/>
      <c r="UBV45" s="1021"/>
      <c r="UBW45" s="1021"/>
      <c r="UBX45" s="1021"/>
      <c r="UBY45" s="1021"/>
      <c r="UBZ45" s="1021"/>
      <c r="UCA45" s="1021"/>
      <c r="UCB45" s="1021"/>
      <c r="UCC45" s="1021"/>
      <c r="UCD45" s="1021"/>
      <c r="UCE45" s="1021"/>
      <c r="UCF45" s="1021"/>
      <c r="UCG45" s="1021"/>
      <c r="UCH45" s="1021"/>
      <c r="UCI45" s="1021"/>
      <c r="UCJ45" s="1021"/>
      <c r="UCK45" s="1021"/>
      <c r="UCL45" s="1021"/>
      <c r="UCM45" s="1021"/>
      <c r="UCN45" s="1021"/>
      <c r="UCO45" s="1021"/>
      <c r="UCP45" s="1021"/>
      <c r="UCQ45" s="1021"/>
      <c r="UCR45" s="1021"/>
      <c r="UCS45" s="1021"/>
      <c r="UCT45" s="1021"/>
      <c r="UCU45" s="1021"/>
      <c r="UCV45" s="1021"/>
      <c r="UCW45" s="1021"/>
      <c r="UCX45" s="1021"/>
      <c r="UCY45" s="1021"/>
      <c r="UCZ45" s="1021"/>
      <c r="UDA45" s="1021"/>
      <c r="UDB45" s="1021"/>
      <c r="UDC45" s="1021"/>
      <c r="UDD45" s="1021"/>
      <c r="UDE45" s="1021"/>
      <c r="UDF45" s="1021"/>
      <c r="UDG45" s="1021"/>
      <c r="UDH45" s="1021"/>
      <c r="UDI45" s="1021"/>
      <c r="UDJ45" s="1021"/>
      <c r="UDK45" s="1021"/>
      <c r="UDL45" s="1021"/>
      <c r="UDM45" s="1021"/>
      <c r="UDN45" s="1021"/>
      <c r="UDO45" s="1021"/>
      <c r="UDP45" s="1021"/>
      <c r="UDQ45" s="1021"/>
      <c r="UDR45" s="1021"/>
      <c r="UDS45" s="1021"/>
      <c r="UDT45" s="1021"/>
      <c r="UDU45" s="1021"/>
      <c r="UDV45" s="1021"/>
      <c r="UDW45" s="1021"/>
      <c r="UDX45" s="1021"/>
      <c r="UDY45" s="1021"/>
      <c r="UDZ45" s="1021"/>
      <c r="UEA45" s="1021"/>
      <c r="UEB45" s="1021"/>
      <c r="UEC45" s="1021"/>
      <c r="UED45" s="1021"/>
      <c r="UEE45" s="1021"/>
      <c r="UEF45" s="1021"/>
      <c r="UEG45" s="1021"/>
      <c r="UEH45" s="1021"/>
      <c r="UEI45" s="1021"/>
      <c r="UEJ45" s="1021"/>
      <c r="UEK45" s="1021"/>
      <c r="UEL45" s="1021"/>
      <c r="UEM45" s="1021"/>
      <c r="UEN45" s="1021"/>
      <c r="UEO45" s="1021"/>
      <c r="UEP45" s="1021"/>
      <c r="UEQ45" s="1021"/>
      <c r="UER45" s="1021"/>
      <c r="UES45" s="1021"/>
      <c r="UET45" s="1021"/>
      <c r="UEU45" s="1021"/>
      <c r="UEV45" s="1021"/>
      <c r="UEW45" s="1021"/>
      <c r="UEX45" s="1021"/>
      <c r="UEY45" s="1021"/>
      <c r="UEZ45" s="1021"/>
      <c r="UFA45" s="1021"/>
      <c r="UFB45" s="1021"/>
      <c r="UFC45" s="1021"/>
      <c r="UFD45" s="1021"/>
      <c r="UFE45" s="1021"/>
      <c r="UFF45" s="1021"/>
      <c r="UFG45" s="1021"/>
      <c r="UFH45" s="1021"/>
      <c r="UFI45" s="1021"/>
      <c r="UFJ45" s="1021"/>
      <c r="UFK45" s="1021"/>
      <c r="UFL45" s="1021"/>
      <c r="UFM45" s="1021"/>
      <c r="UFN45" s="1021"/>
      <c r="UFO45" s="1021"/>
      <c r="UFP45" s="1021"/>
      <c r="UFQ45" s="1021"/>
      <c r="UFR45" s="1021"/>
      <c r="UFS45" s="1021"/>
      <c r="UFT45" s="1021"/>
      <c r="UFU45" s="1021"/>
      <c r="UFV45" s="1021"/>
      <c r="UFW45" s="1021"/>
      <c r="UFX45" s="1021"/>
      <c r="UFY45" s="1021"/>
      <c r="UFZ45" s="1021"/>
      <c r="UGA45" s="1021"/>
      <c r="UGB45" s="1021"/>
      <c r="UGC45" s="1021"/>
      <c r="UGD45" s="1021"/>
      <c r="UGE45" s="1021"/>
      <c r="UGF45" s="1021"/>
      <c r="UGG45" s="1021"/>
      <c r="UGH45" s="1021"/>
      <c r="UGI45" s="1021"/>
      <c r="UGJ45" s="1021"/>
      <c r="UGK45" s="1021"/>
      <c r="UGL45" s="1021"/>
      <c r="UGM45" s="1021"/>
      <c r="UGN45" s="1021"/>
      <c r="UGO45" s="1021"/>
      <c r="UGP45" s="1021"/>
      <c r="UGQ45" s="1021"/>
      <c r="UGR45" s="1021"/>
      <c r="UGS45" s="1021"/>
      <c r="UGT45" s="1021"/>
      <c r="UGU45" s="1021"/>
      <c r="UGV45" s="1021"/>
      <c r="UGW45" s="1021"/>
      <c r="UGX45" s="1021"/>
      <c r="UGY45" s="1021"/>
      <c r="UGZ45" s="1021"/>
      <c r="UHA45" s="1021"/>
      <c r="UHB45" s="1021"/>
      <c r="UHC45" s="1021"/>
      <c r="UHD45" s="1021"/>
      <c r="UHE45" s="1021"/>
      <c r="UHF45" s="1021"/>
      <c r="UHG45" s="1021"/>
      <c r="UHH45" s="1021"/>
      <c r="UHI45" s="1021"/>
      <c r="UHJ45" s="1021"/>
      <c r="UHK45" s="1021"/>
      <c r="UHL45" s="1021"/>
      <c r="UHM45" s="1021"/>
      <c r="UHN45" s="1021"/>
      <c r="UHO45" s="1021"/>
      <c r="UHP45" s="1021"/>
      <c r="UHQ45" s="1021"/>
      <c r="UHR45" s="1021"/>
      <c r="UHS45" s="1021"/>
      <c r="UHT45" s="1021"/>
      <c r="UHU45" s="1021"/>
      <c r="UHV45" s="1021"/>
      <c r="UHW45" s="1021"/>
      <c r="UHX45" s="1021"/>
      <c r="UHY45" s="1021"/>
      <c r="UHZ45" s="1021"/>
      <c r="UIA45" s="1021"/>
      <c r="UIB45" s="1021"/>
      <c r="UIC45" s="1021"/>
      <c r="UID45" s="1021"/>
      <c r="UIE45" s="1021"/>
      <c r="UIF45" s="1021"/>
      <c r="UIG45" s="1021"/>
      <c r="UIH45" s="1021"/>
      <c r="UII45" s="1021"/>
      <c r="UIJ45" s="1021"/>
      <c r="UIK45" s="1021"/>
      <c r="UIL45" s="1021"/>
      <c r="UIM45" s="1021"/>
      <c r="UIN45" s="1021"/>
      <c r="UIO45" s="1021"/>
      <c r="UIP45" s="1021"/>
      <c r="UIQ45" s="1021"/>
      <c r="UIR45" s="1021"/>
      <c r="UIS45" s="1021"/>
      <c r="UIT45" s="1021"/>
      <c r="UIU45" s="1021"/>
      <c r="UIV45" s="1021"/>
      <c r="UIW45" s="1021"/>
      <c r="UIX45" s="1021"/>
      <c r="UIY45" s="1021"/>
      <c r="UIZ45" s="1021"/>
      <c r="UJA45" s="1021"/>
      <c r="UJB45" s="1021"/>
      <c r="UJC45" s="1021"/>
      <c r="UJD45" s="1021"/>
      <c r="UJE45" s="1021"/>
      <c r="UJF45" s="1021"/>
      <c r="UJG45" s="1021"/>
      <c r="UJH45" s="1021"/>
      <c r="UJI45" s="1021"/>
      <c r="UJJ45" s="1021"/>
      <c r="UJK45" s="1021"/>
      <c r="UJL45" s="1021"/>
      <c r="UJM45" s="1021"/>
      <c r="UJN45" s="1021"/>
      <c r="UJO45" s="1021"/>
      <c r="UJP45" s="1021"/>
      <c r="UJQ45" s="1021"/>
      <c r="UJR45" s="1021"/>
      <c r="UJS45" s="1021"/>
      <c r="UJT45" s="1021"/>
      <c r="UJU45" s="1021"/>
      <c r="UJV45" s="1021"/>
      <c r="UJW45" s="1021"/>
      <c r="UJX45" s="1021"/>
      <c r="UJY45" s="1021"/>
      <c r="UJZ45" s="1021"/>
      <c r="UKA45" s="1021"/>
      <c r="UKB45" s="1021"/>
      <c r="UKC45" s="1021"/>
      <c r="UKD45" s="1021"/>
      <c r="UKE45" s="1021"/>
      <c r="UKF45" s="1021"/>
      <c r="UKG45" s="1021"/>
      <c r="UKH45" s="1021"/>
      <c r="UKI45" s="1021"/>
      <c r="UKJ45" s="1021"/>
      <c r="UKK45" s="1021"/>
      <c r="UKL45" s="1021"/>
      <c r="UKM45" s="1021"/>
      <c r="UKN45" s="1021"/>
      <c r="UKO45" s="1021"/>
      <c r="UKP45" s="1021"/>
      <c r="UKQ45" s="1021"/>
      <c r="UKR45" s="1021"/>
      <c r="UKS45" s="1021"/>
      <c r="UKT45" s="1021"/>
      <c r="UKU45" s="1021"/>
      <c r="UKV45" s="1021"/>
      <c r="UKW45" s="1021"/>
      <c r="UKX45" s="1021"/>
      <c r="UKY45" s="1021"/>
      <c r="UKZ45" s="1021"/>
      <c r="ULA45" s="1021"/>
      <c r="ULB45" s="1021"/>
      <c r="ULC45" s="1021"/>
      <c r="ULD45" s="1021"/>
      <c r="ULE45" s="1021"/>
      <c r="ULF45" s="1021"/>
      <c r="ULG45" s="1021"/>
      <c r="ULH45" s="1021"/>
      <c r="ULI45" s="1021"/>
      <c r="ULJ45" s="1021"/>
      <c r="ULK45" s="1021"/>
      <c r="ULL45" s="1021"/>
      <c r="ULM45" s="1021"/>
      <c r="ULN45" s="1021"/>
      <c r="ULO45" s="1021"/>
      <c r="ULP45" s="1021"/>
      <c r="ULQ45" s="1021"/>
      <c r="ULR45" s="1021"/>
      <c r="ULS45" s="1021"/>
      <c r="ULT45" s="1021"/>
      <c r="ULU45" s="1021"/>
      <c r="ULV45" s="1021"/>
      <c r="ULW45" s="1021"/>
      <c r="ULX45" s="1021"/>
      <c r="ULY45" s="1021"/>
      <c r="ULZ45" s="1021"/>
      <c r="UMA45" s="1021"/>
      <c r="UMB45" s="1021"/>
      <c r="UMC45" s="1021"/>
      <c r="UMD45" s="1021"/>
      <c r="UME45" s="1021"/>
      <c r="UMF45" s="1021"/>
      <c r="UMG45" s="1021"/>
      <c r="UMH45" s="1021"/>
      <c r="UMI45" s="1021"/>
      <c r="UMJ45" s="1021"/>
      <c r="UMK45" s="1021"/>
      <c r="UML45" s="1021"/>
      <c r="UMM45" s="1021"/>
      <c r="UMN45" s="1021"/>
      <c r="UMO45" s="1021"/>
      <c r="UMP45" s="1021"/>
      <c r="UMQ45" s="1021"/>
      <c r="UMR45" s="1021"/>
      <c r="UMS45" s="1021"/>
      <c r="UMT45" s="1021"/>
      <c r="UMU45" s="1021"/>
      <c r="UMV45" s="1021"/>
      <c r="UMW45" s="1021"/>
      <c r="UMX45" s="1021"/>
      <c r="UMY45" s="1021"/>
      <c r="UMZ45" s="1021"/>
      <c r="UNA45" s="1021"/>
      <c r="UNB45" s="1021"/>
      <c r="UNC45" s="1021"/>
      <c r="UND45" s="1021"/>
      <c r="UNE45" s="1021"/>
      <c r="UNF45" s="1021"/>
      <c r="UNG45" s="1021"/>
      <c r="UNH45" s="1021"/>
      <c r="UNI45" s="1021"/>
      <c r="UNJ45" s="1021"/>
      <c r="UNK45" s="1021"/>
      <c r="UNL45" s="1021"/>
      <c r="UNM45" s="1021"/>
      <c r="UNN45" s="1021"/>
      <c r="UNO45" s="1021"/>
      <c r="UNP45" s="1021"/>
      <c r="UNQ45" s="1021"/>
      <c r="UNR45" s="1021"/>
      <c r="UNS45" s="1021"/>
      <c r="UNT45" s="1021"/>
      <c r="UNU45" s="1021"/>
      <c r="UNV45" s="1021"/>
      <c r="UNW45" s="1021"/>
      <c r="UNX45" s="1021"/>
      <c r="UNY45" s="1021"/>
      <c r="UNZ45" s="1021"/>
      <c r="UOA45" s="1021"/>
      <c r="UOB45" s="1021"/>
      <c r="UOC45" s="1021"/>
      <c r="UOD45" s="1021"/>
      <c r="UOE45" s="1021"/>
      <c r="UOF45" s="1021"/>
      <c r="UOG45" s="1021"/>
      <c r="UOH45" s="1021"/>
      <c r="UOI45" s="1021"/>
      <c r="UOJ45" s="1021"/>
      <c r="UOK45" s="1021"/>
      <c r="UOL45" s="1021"/>
      <c r="UOM45" s="1021"/>
      <c r="UON45" s="1021"/>
      <c r="UOO45" s="1021"/>
      <c r="UOP45" s="1021"/>
      <c r="UOQ45" s="1021"/>
      <c r="UOR45" s="1021"/>
      <c r="UOS45" s="1021"/>
      <c r="UOT45" s="1021"/>
      <c r="UOU45" s="1021"/>
      <c r="UOV45" s="1021"/>
      <c r="UOW45" s="1021"/>
      <c r="UOX45" s="1021"/>
      <c r="UOY45" s="1021"/>
      <c r="UOZ45" s="1021"/>
      <c r="UPA45" s="1021"/>
      <c r="UPB45" s="1021"/>
      <c r="UPC45" s="1021"/>
      <c r="UPD45" s="1021"/>
      <c r="UPE45" s="1021"/>
      <c r="UPF45" s="1021"/>
      <c r="UPG45" s="1021"/>
      <c r="UPH45" s="1021"/>
      <c r="UPI45" s="1021"/>
      <c r="UPJ45" s="1021"/>
      <c r="UPK45" s="1021"/>
      <c r="UPL45" s="1021"/>
      <c r="UPM45" s="1021"/>
      <c r="UPN45" s="1021"/>
      <c r="UPO45" s="1021"/>
      <c r="UPP45" s="1021"/>
      <c r="UPQ45" s="1021"/>
      <c r="UPR45" s="1021"/>
      <c r="UPS45" s="1021"/>
      <c r="UPT45" s="1021"/>
      <c r="UPU45" s="1021"/>
      <c r="UPV45" s="1021"/>
      <c r="UPW45" s="1021"/>
      <c r="UPX45" s="1021"/>
      <c r="UPY45" s="1021"/>
      <c r="UPZ45" s="1021"/>
      <c r="UQA45" s="1021"/>
      <c r="UQB45" s="1021"/>
      <c r="UQC45" s="1021"/>
      <c r="UQD45" s="1021"/>
      <c r="UQE45" s="1021"/>
      <c r="UQF45" s="1021"/>
      <c r="UQG45" s="1021"/>
      <c r="UQH45" s="1021"/>
      <c r="UQI45" s="1021"/>
      <c r="UQJ45" s="1021"/>
      <c r="UQK45" s="1021"/>
      <c r="UQL45" s="1021"/>
      <c r="UQM45" s="1021"/>
      <c r="UQN45" s="1021"/>
      <c r="UQO45" s="1021"/>
      <c r="UQP45" s="1021"/>
      <c r="UQQ45" s="1021"/>
      <c r="UQR45" s="1021"/>
      <c r="UQS45" s="1021"/>
      <c r="UQT45" s="1021"/>
      <c r="UQU45" s="1021"/>
      <c r="UQV45" s="1021"/>
      <c r="UQW45" s="1021"/>
      <c r="UQX45" s="1021"/>
      <c r="UQY45" s="1021"/>
      <c r="UQZ45" s="1021"/>
      <c r="URA45" s="1021"/>
      <c r="URB45" s="1021"/>
      <c r="URC45" s="1021"/>
      <c r="URD45" s="1021"/>
      <c r="URE45" s="1021"/>
      <c r="URF45" s="1021"/>
      <c r="URG45" s="1021"/>
      <c r="URH45" s="1021"/>
      <c r="URI45" s="1021"/>
      <c r="URJ45" s="1021"/>
      <c r="URK45" s="1021"/>
      <c r="URL45" s="1021"/>
      <c r="URM45" s="1021"/>
      <c r="URN45" s="1021"/>
      <c r="URO45" s="1021"/>
      <c r="URP45" s="1021"/>
      <c r="URQ45" s="1021"/>
      <c r="URR45" s="1021"/>
      <c r="URS45" s="1021"/>
      <c r="URT45" s="1021"/>
      <c r="URU45" s="1021"/>
      <c r="URV45" s="1021"/>
      <c r="URW45" s="1021"/>
      <c r="URX45" s="1021"/>
      <c r="URY45" s="1021"/>
      <c r="URZ45" s="1021"/>
      <c r="USA45" s="1021"/>
      <c r="USB45" s="1021"/>
      <c r="USC45" s="1021"/>
      <c r="USD45" s="1021"/>
      <c r="USE45" s="1021"/>
      <c r="USF45" s="1021"/>
      <c r="USG45" s="1021"/>
      <c r="USH45" s="1021"/>
      <c r="USI45" s="1021"/>
      <c r="USJ45" s="1021"/>
      <c r="USK45" s="1021"/>
      <c r="USL45" s="1021"/>
      <c r="USM45" s="1021"/>
      <c r="USN45" s="1021"/>
      <c r="USO45" s="1021"/>
      <c r="USP45" s="1021"/>
      <c r="USQ45" s="1021"/>
      <c r="USR45" s="1021"/>
      <c r="USS45" s="1021"/>
      <c r="UST45" s="1021"/>
      <c r="USU45" s="1021"/>
      <c r="USV45" s="1021"/>
      <c r="USW45" s="1021"/>
      <c r="USX45" s="1021"/>
      <c r="USY45" s="1021"/>
      <c r="USZ45" s="1021"/>
      <c r="UTA45" s="1021"/>
      <c r="UTB45" s="1021"/>
      <c r="UTC45" s="1021"/>
      <c r="UTD45" s="1021"/>
      <c r="UTE45" s="1021"/>
      <c r="UTF45" s="1021"/>
      <c r="UTG45" s="1021"/>
      <c r="UTH45" s="1021"/>
      <c r="UTI45" s="1021"/>
      <c r="UTJ45" s="1021"/>
      <c r="UTK45" s="1021"/>
      <c r="UTL45" s="1021"/>
      <c r="UTM45" s="1021"/>
      <c r="UTN45" s="1021"/>
      <c r="UTO45" s="1021"/>
      <c r="UTP45" s="1021"/>
      <c r="UTQ45" s="1021"/>
      <c r="UTR45" s="1021"/>
      <c r="UTS45" s="1021"/>
      <c r="UTT45" s="1021"/>
      <c r="UTU45" s="1021"/>
      <c r="UTV45" s="1021"/>
      <c r="UTW45" s="1021"/>
      <c r="UTX45" s="1021"/>
      <c r="UTY45" s="1021"/>
      <c r="UTZ45" s="1021"/>
      <c r="UUA45" s="1021"/>
      <c r="UUB45" s="1021"/>
      <c r="UUC45" s="1021"/>
      <c r="UUD45" s="1021"/>
      <c r="UUE45" s="1021"/>
      <c r="UUF45" s="1021"/>
      <c r="UUG45" s="1021"/>
      <c r="UUH45" s="1021"/>
      <c r="UUI45" s="1021"/>
      <c r="UUJ45" s="1021"/>
      <c r="UUK45" s="1021"/>
      <c r="UUL45" s="1021"/>
      <c r="UUM45" s="1021"/>
      <c r="UUN45" s="1021"/>
      <c r="UUO45" s="1021"/>
      <c r="UUP45" s="1021"/>
      <c r="UUQ45" s="1021"/>
      <c r="UUR45" s="1021"/>
      <c r="UUS45" s="1021"/>
      <c r="UUT45" s="1021"/>
      <c r="UUU45" s="1021"/>
      <c r="UUV45" s="1021"/>
      <c r="UUW45" s="1021"/>
      <c r="UUX45" s="1021"/>
      <c r="UUY45" s="1021"/>
      <c r="UUZ45" s="1021"/>
      <c r="UVA45" s="1021"/>
      <c r="UVB45" s="1021"/>
      <c r="UVC45" s="1021"/>
      <c r="UVD45" s="1021"/>
      <c r="UVE45" s="1021"/>
      <c r="UVF45" s="1021"/>
      <c r="UVG45" s="1021"/>
      <c r="UVH45" s="1021"/>
      <c r="UVI45" s="1021"/>
      <c r="UVJ45" s="1021"/>
      <c r="UVK45" s="1021"/>
      <c r="UVL45" s="1021"/>
      <c r="UVM45" s="1021"/>
      <c r="UVN45" s="1021"/>
      <c r="UVO45" s="1021"/>
      <c r="UVP45" s="1021"/>
      <c r="UVQ45" s="1021"/>
      <c r="UVR45" s="1021"/>
      <c r="UVS45" s="1021"/>
      <c r="UVT45" s="1021"/>
      <c r="UVU45" s="1021"/>
      <c r="UVV45" s="1021"/>
      <c r="UVW45" s="1021"/>
      <c r="UVX45" s="1021"/>
      <c r="UVY45" s="1021"/>
      <c r="UVZ45" s="1021"/>
      <c r="UWA45" s="1021"/>
      <c r="UWB45" s="1021"/>
      <c r="UWC45" s="1021"/>
      <c r="UWD45" s="1021"/>
      <c r="UWE45" s="1021"/>
      <c r="UWF45" s="1021"/>
      <c r="UWG45" s="1021"/>
      <c r="UWH45" s="1021"/>
      <c r="UWI45" s="1021"/>
      <c r="UWJ45" s="1021"/>
      <c r="UWK45" s="1021"/>
      <c r="UWL45" s="1021"/>
      <c r="UWM45" s="1021"/>
      <c r="UWN45" s="1021"/>
      <c r="UWO45" s="1021"/>
      <c r="UWP45" s="1021"/>
      <c r="UWQ45" s="1021"/>
      <c r="UWR45" s="1021"/>
      <c r="UWS45" s="1021"/>
      <c r="UWT45" s="1021"/>
      <c r="UWU45" s="1021"/>
      <c r="UWV45" s="1021"/>
      <c r="UWW45" s="1021"/>
      <c r="UWX45" s="1021"/>
      <c r="UWY45" s="1021"/>
      <c r="UWZ45" s="1021"/>
      <c r="UXA45" s="1021"/>
      <c r="UXB45" s="1021"/>
      <c r="UXC45" s="1021"/>
      <c r="UXD45" s="1021"/>
      <c r="UXE45" s="1021"/>
      <c r="UXF45" s="1021"/>
      <c r="UXG45" s="1021"/>
      <c r="UXH45" s="1021"/>
      <c r="UXI45" s="1021"/>
      <c r="UXJ45" s="1021"/>
      <c r="UXK45" s="1021"/>
      <c r="UXL45" s="1021"/>
      <c r="UXM45" s="1021"/>
      <c r="UXN45" s="1021"/>
      <c r="UXO45" s="1021"/>
      <c r="UXP45" s="1021"/>
      <c r="UXQ45" s="1021"/>
      <c r="UXR45" s="1021"/>
      <c r="UXS45" s="1021"/>
      <c r="UXT45" s="1021"/>
      <c r="UXU45" s="1021"/>
      <c r="UXV45" s="1021"/>
      <c r="UXW45" s="1021"/>
      <c r="UXX45" s="1021"/>
      <c r="UXY45" s="1021"/>
      <c r="UXZ45" s="1021"/>
      <c r="UYA45" s="1021"/>
      <c r="UYB45" s="1021"/>
      <c r="UYC45" s="1021"/>
      <c r="UYD45" s="1021"/>
      <c r="UYE45" s="1021"/>
      <c r="UYF45" s="1021"/>
      <c r="UYG45" s="1021"/>
      <c r="UYH45" s="1021"/>
      <c r="UYI45" s="1021"/>
      <c r="UYJ45" s="1021"/>
      <c r="UYK45" s="1021"/>
      <c r="UYL45" s="1021"/>
      <c r="UYM45" s="1021"/>
      <c r="UYN45" s="1021"/>
      <c r="UYO45" s="1021"/>
      <c r="UYP45" s="1021"/>
      <c r="UYQ45" s="1021"/>
      <c r="UYR45" s="1021"/>
      <c r="UYS45" s="1021"/>
      <c r="UYT45" s="1021"/>
      <c r="UYU45" s="1021"/>
      <c r="UYV45" s="1021"/>
      <c r="UYW45" s="1021"/>
      <c r="UYX45" s="1021"/>
      <c r="UYY45" s="1021"/>
      <c r="UYZ45" s="1021"/>
      <c r="UZA45" s="1021"/>
      <c r="UZB45" s="1021"/>
      <c r="UZC45" s="1021"/>
      <c r="UZD45" s="1021"/>
      <c r="UZE45" s="1021"/>
      <c r="UZF45" s="1021"/>
      <c r="UZG45" s="1021"/>
      <c r="UZH45" s="1021"/>
      <c r="UZI45" s="1021"/>
      <c r="UZJ45" s="1021"/>
      <c r="UZK45" s="1021"/>
      <c r="UZL45" s="1021"/>
      <c r="UZM45" s="1021"/>
      <c r="UZN45" s="1021"/>
      <c r="UZO45" s="1021"/>
      <c r="UZP45" s="1021"/>
      <c r="UZQ45" s="1021"/>
      <c r="UZR45" s="1021"/>
      <c r="UZS45" s="1021"/>
      <c r="UZT45" s="1021"/>
      <c r="UZU45" s="1021"/>
      <c r="UZV45" s="1021"/>
      <c r="UZW45" s="1021"/>
      <c r="UZX45" s="1021"/>
      <c r="UZY45" s="1021"/>
      <c r="UZZ45" s="1021"/>
      <c r="VAA45" s="1021"/>
      <c r="VAB45" s="1021"/>
      <c r="VAC45" s="1021"/>
      <c r="VAD45" s="1021"/>
      <c r="VAE45" s="1021"/>
      <c r="VAF45" s="1021"/>
      <c r="VAG45" s="1021"/>
      <c r="VAH45" s="1021"/>
      <c r="VAI45" s="1021"/>
      <c r="VAJ45" s="1021"/>
      <c r="VAK45" s="1021"/>
      <c r="VAL45" s="1021"/>
      <c r="VAM45" s="1021"/>
      <c r="VAN45" s="1021"/>
      <c r="VAO45" s="1021"/>
      <c r="VAP45" s="1021"/>
      <c r="VAQ45" s="1021"/>
      <c r="VAR45" s="1021"/>
      <c r="VAS45" s="1021"/>
      <c r="VAT45" s="1021"/>
      <c r="VAU45" s="1021"/>
      <c r="VAV45" s="1021"/>
      <c r="VAW45" s="1021"/>
      <c r="VAX45" s="1021"/>
      <c r="VAY45" s="1021"/>
      <c r="VAZ45" s="1021"/>
      <c r="VBA45" s="1021"/>
      <c r="VBB45" s="1021"/>
      <c r="VBC45" s="1021"/>
      <c r="VBD45" s="1021"/>
      <c r="VBE45" s="1021"/>
      <c r="VBF45" s="1021"/>
      <c r="VBG45" s="1021"/>
      <c r="VBH45" s="1021"/>
      <c r="VBI45" s="1021"/>
      <c r="VBJ45" s="1021"/>
      <c r="VBK45" s="1021"/>
      <c r="VBL45" s="1021"/>
      <c r="VBM45" s="1021"/>
      <c r="VBN45" s="1021"/>
      <c r="VBO45" s="1021"/>
      <c r="VBP45" s="1021"/>
      <c r="VBQ45" s="1021"/>
      <c r="VBR45" s="1021"/>
      <c r="VBS45" s="1021"/>
      <c r="VBT45" s="1021"/>
      <c r="VBU45" s="1021"/>
      <c r="VBV45" s="1021"/>
      <c r="VBW45" s="1021"/>
      <c r="VBX45" s="1021"/>
      <c r="VBY45" s="1021"/>
      <c r="VBZ45" s="1021"/>
      <c r="VCA45" s="1021"/>
      <c r="VCB45" s="1021"/>
      <c r="VCC45" s="1021"/>
      <c r="VCD45" s="1021"/>
      <c r="VCE45" s="1021"/>
      <c r="VCF45" s="1021"/>
      <c r="VCG45" s="1021"/>
      <c r="VCH45" s="1021"/>
      <c r="VCI45" s="1021"/>
      <c r="VCJ45" s="1021"/>
      <c r="VCK45" s="1021"/>
      <c r="VCL45" s="1021"/>
      <c r="VCM45" s="1021"/>
      <c r="VCN45" s="1021"/>
      <c r="VCO45" s="1021"/>
      <c r="VCP45" s="1021"/>
      <c r="VCQ45" s="1021"/>
      <c r="VCR45" s="1021"/>
      <c r="VCS45" s="1021"/>
      <c r="VCT45" s="1021"/>
      <c r="VCU45" s="1021"/>
      <c r="VCV45" s="1021"/>
      <c r="VCW45" s="1021"/>
      <c r="VCX45" s="1021"/>
      <c r="VCY45" s="1021"/>
      <c r="VCZ45" s="1021"/>
      <c r="VDA45" s="1021"/>
      <c r="VDB45" s="1021"/>
      <c r="VDC45" s="1021"/>
      <c r="VDD45" s="1021"/>
      <c r="VDE45" s="1021"/>
      <c r="VDF45" s="1021"/>
      <c r="VDG45" s="1021"/>
      <c r="VDH45" s="1021"/>
      <c r="VDI45" s="1021"/>
      <c r="VDJ45" s="1021"/>
      <c r="VDK45" s="1021"/>
      <c r="VDL45" s="1021"/>
      <c r="VDM45" s="1021"/>
      <c r="VDN45" s="1021"/>
      <c r="VDO45" s="1021"/>
      <c r="VDP45" s="1021"/>
      <c r="VDQ45" s="1021"/>
      <c r="VDR45" s="1021"/>
      <c r="VDS45" s="1021"/>
      <c r="VDT45" s="1021"/>
      <c r="VDU45" s="1021"/>
      <c r="VDV45" s="1021"/>
      <c r="VDW45" s="1021"/>
      <c r="VDX45" s="1021"/>
      <c r="VDY45" s="1021"/>
      <c r="VDZ45" s="1021"/>
      <c r="VEA45" s="1021"/>
      <c r="VEB45" s="1021"/>
      <c r="VEC45" s="1021"/>
      <c r="VED45" s="1021"/>
      <c r="VEE45" s="1021"/>
      <c r="VEF45" s="1021"/>
      <c r="VEG45" s="1021"/>
      <c r="VEH45" s="1021"/>
      <c r="VEI45" s="1021"/>
      <c r="VEJ45" s="1021"/>
      <c r="VEK45" s="1021"/>
      <c r="VEL45" s="1021"/>
      <c r="VEM45" s="1021"/>
      <c r="VEN45" s="1021"/>
      <c r="VEO45" s="1021"/>
      <c r="VEP45" s="1021"/>
      <c r="VEQ45" s="1021"/>
      <c r="VER45" s="1021"/>
      <c r="VES45" s="1021"/>
      <c r="VET45" s="1021"/>
      <c r="VEU45" s="1021"/>
      <c r="VEV45" s="1021"/>
      <c r="VEW45" s="1021"/>
      <c r="VEX45" s="1021"/>
      <c r="VEY45" s="1021"/>
      <c r="VEZ45" s="1021"/>
      <c r="VFA45" s="1021"/>
      <c r="VFB45" s="1021"/>
      <c r="VFC45" s="1021"/>
      <c r="VFD45" s="1021"/>
      <c r="VFE45" s="1021"/>
      <c r="VFF45" s="1021"/>
      <c r="VFG45" s="1021"/>
      <c r="VFH45" s="1021"/>
      <c r="VFI45" s="1021"/>
      <c r="VFJ45" s="1021"/>
      <c r="VFK45" s="1021"/>
      <c r="VFL45" s="1021"/>
      <c r="VFM45" s="1021"/>
      <c r="VFN45" s="1021"/>
      <c r="VFO45" s="1021"/>
      <c r="VFP45" s="1021"/>
      <c r="VFQ45" s="1021"/>
      <c r="VFR45" s="1021"/>
      <c r="VFS45" s="1021"/>
      <c r="VFT45" s="1021"/>
      <c r="VFU45" s="1021"/>
      <c r="VFV45" s="1021"/>
      <c r="VFW45" s="1021"/>
      <c r="VFX45" s="1021"/>
      <c r="VFY45" s="1021"/>
      <c r="VFZ45" s="1021"/>
      <c r="VGA45" s="1021"/>
      <c r="VGB45" s="1021"/>
      <c r="VGC45" s="1021"/>
      <c r="VGD45" s="1021"/>
      <c r="VGE45" s="1021"/>
      <c r="VGF45" s="1021"/>
      <c r="VGG45" s="1021"/>
      <c r="VGH45" s="1021"/>
      <c r="VGI45" s="1021"/>
      <c r="VGJ45" s="1021"/>
      <c r="VGK45" s="1021"/>
      <c r="VGL45" s="1021"/>
      <c r="VGM45" s="1021"/>
      <c r="VGN45" s="1021"/>
      <c r="VGO45" s="1021"/>
      <c r="VGP45" s="1021"/>
      <c r="VGQ45" s="1021"/>
      <c r="VGR45" s="1021"/>
      <c r="VGS45" s="1021"/>
      <c r="VGT45" s="1021"/>
      <c r="VGU45" s="1021"/>
      <c r="VGV45" s="1021"/>
      <c r="VGW45" s="1021"/>
      <c r="VGX45" s="1021"/>
      <c r="VGY45" s="1021"/>
      <c r="VGZ45" s="1021"/>
      <c r="VHA45" s="1021"/>
      <c r="VHB45" s="1021"/>
      <c r="VHC45" s="1021"/>
      <c r="VHD45" s="1021"/>
      <c r="VHE45" s="1021"/>
      <c r="VHF45" s="1021"/>
      <c r="VHG45" s="1021"/>
      <c r="VHH45" s="1021"/>
      <c r="VHI45" s="1021"/>
      <c r="VHJ45" s="1021"/>
      <c r="VHK45" s="1021"/>
      <c r="VHL45" s="1021"/>
      <c r="VHM45" s="1021"/>
      <c r="VHN45" s="1021"/>
      <c r="VHO45" s="1021"/>
      <c r="VHP45" s="1021"/>
      <c r="VHQ45" s="1021"/>
      <c r="VHR45" s="1021"/>
      <c r="VHS45" s="1021"/>
      <c r="VHT45" s="1021"/>
      <c r="VHU45" s="1021"/>
      <c r="VHV45" s="1021"/>
      <c r="VHW45" s="1021"/>
      <c r="VHX45" s="1021"/>
      <c r="VHY45" s="1021"/>
      <c r="VHZ45" s="1021"/>
      <c r="VIA45" s="1021"/>
      <c r="VIB45" s="1021"/>
      <c r="VIC45" s="1021"/>
      <c r="VID45" s="1021"/>
      <c r="VIE45" s="1021"/>
      <c r="VIF45" s="1021"/>
      <c r="VIG45" s="1021"/>
      <c r="VIH45" s="1021"/>
      <c r="VII45" s="1021"/>
      <c r="VIJ45" s="1021"/>
      <c r="VIK45" s="1021"/>
      <c r="VIL45" s="1021"/>
      <c r="VIM45" s="1021"/>
      <c r="VIN45" s="1021"/>
      <c r="VIO45" s="1021"/>
      <c r="VIP45" s="1021"/>
      <c r="VIQ45" s="1021"/>
      <c r="VIR45" s="1021"/>
      <c r="VIS45" s="1021"/>
      <c r="VIT45" s="1021"/>
      <c r="VIU45" s="1021"/>
      <c r="VIV45" s="1021"/>
      <c r="VIW45" s="1021"/>
      <c r="VIX45" s="1021"/>
      <c r="VIY45" s="1021"/>
      <c r="VIZ45" s="1021"/>
      <c r="VJA45" s="1021"/>
      <c r="VJB45" s="1021"/>
      <c r="VJC45" s="1021"/>
      <c r="VJD45" s="1021"/>
      <c r="VJE45" s="1021"/>
      <c r="VJF45" s="1021"/>
      <c r="VJG45" s="1021"/>
      <c r="VJH45" s="1021"/>
      <c r="VJI45" s="1021"/>
      <c r="VJJ45" s="1021"/>
      <c r="VJK45" s="1021"/>
      <c r="VJL45" s="1021"/>
      <c r="VJM45" s="1021"/>
      <c r="VJN45" s="1021"/>
      <c r="VJO45" s="1021"/>
      <c r="VJP45" s="1021"/>
      <c r="VJQ45" s="1021"/>
      <c r="VJR45" s="1021"/>
      <c r="VJS45" s="1021"/>
      <c r="VJT45" s="1021"/>
      <c r="VJU45" s="1021"/>
      <c r="VJV45" s="1021"/>
      <c r="VJW45" s="1021"/>
      <c r="VJX45" s="1021"/>
      <c r="VJY45" s="1021"/>
      <c r="VJZ45" s="1021"/>
      <c r="VKA45" s="1021"/>
      <c r="VKB45" s="1021"/>
      <c r="VKC45" s="1021"/>
      <c r="VKD45" s="1021"/>
      <c r="VKE45" s="1021"/>
      <c r="VKF45" s="1021"/>
      <c r="VKG45" s="1021"/>
      <c r="VKH45" s="1021"/>
      <c r="VKI45" s="1021"/>
      <c r="VKJ45" s="1021"/>
      <c r="VKK45" s="1021"/>
      <c r="VKL45" s="1021"/>
      <c r="VKM45" s="1021"/>
      <c r="VKN45" s="1021"/>
      <c r="VKO45" s="1021"/>
      <c r="VKP45" s="1021"/>
      <c r="VKQ45" s="1021"/>
      <c r="VKR45" s="1021"/>
      <c r="VKS45" s="1021"/>
      <c r="VKT45" s="1021"/>
      <c r="VKU45" s="1021"/>
      <c r="VKV45" s="1021"/>
      <c r="VKW45" s="1021"/>
      <c r="VKX45" s="1021"/>
      <c r="VKY45" s="1021"/>
      <c r="VKZ45" s="1021"/>
      <c r="VLA45" s="1021"/>
      <c r="VLB45" s="1021"/>
      <c r="VLC45" s="1021"/>
      <c r="VLD45" s="1021"/>
      <c r="VLE45" s="1021"/>
      <c r="VLF45" s="1021"/>
      <c r="VLG45" s="1021"/>
      <c r="VLH45" s="1021"/>
      <c r="VLI45" s="1021"/>
      <c r="VLJ45" s="1021"/>
      <c r="VLK45" s="1021"/>
      <c r="VLL45" s="1021"/>
      <c r="VLM45" s="1021"/>
      <c r="VLN45" s="1021"/>
      <c r="VLO45" s="1021"/>
      <c r="VLP45" s="1021"/>
      <c r="VLQ45" s="1021"/>
      <c r="VLR45" s="1021"/>
      <c r="VLS45" s="1021"/>
      <c r="VLT45" s="1021"/>
      <c r="VLU45" s="1021"/>
      <c r="VLV45" s="1021"/>
      <c r="VLW45" s="1021"/>
      <c r="VLX45" s="1021"/>
      <c r="VLY45" s="1021"/>
      <c r="VLZ45" s="1021"/>
      <c r="VMA45" s="1021"/>
      <c r="VMB45" s="1021"/>
      <c r="VMC45" s="1021"/>
      <c r="VMD45" s="1021"/>
      <c r="VME45" s="1021"/>
      <c r="VMF45" s="1021"/>
      <c r="VMG45" s="1021"/>
      <c r="VMH45" s="1021"/>
      <c r="VMI45" s="1021"/>
      <c r="VMJ45" s="1021"/>
      <c r="VMK45" s="1021"/>
      <c r="VML45" s="1021"/>
      <c r="VMM45" s="1021"/>
      <c r="VMN45" s="1021"/>
      <c r="VMO45" s="1021"/>
      <c r="VMP45" s="1021"/>
      <c r="VMQ45" s="1021"/>
      <c r="VMR45" s="1021"/>
      <c r="VMS45" s="1021"/>
      <c r="VMT45" s="1021"/>
      <c r="VMU45" s="1021"/>
      <c r="VMV45" s="1021"/>
      <c r="VMW45" s="1021"/>
      <c r="VMX45" s="1021"/>
      <c r="VMY45" s="1021"/>
      <c r="VMZ45" s="1021"/>
      <c r="VNA45" s="1021"/>
      <c r="VNB45" s="1021"/>
      <c r="VNC45" s="1021"/>
      <c r="VND45" s="1021"/>
      <c r="VNE45" s="1021"/>
      <c r="VNF45" s="1021"/>
      <c r="VNG45" s="1021"/>
      <c r="VNH45" s="1021"/>
      <c r="VNI45" s="1021"/>
      <c r="VNJ45" s="1021"/>
      <c r="VNK45" s="1021"/>
      <c r="VNL45" s="1021"/>
      <c r="VNM45" s="1021"/>
      <c r="VNN45" s="1021"/>
      <c r="VNO45" s="1021"/>
      <c r="VNP45" s="1021"/>
      <c r="VNQ45" s="1021"/>
      <c r="VNR45" s="1021"/>
      <c r="VNS45" s="1021"/>
      <c r="VNT45" s="1021"/>
      <c r="VNU45" s="1021"/>
      <c r="VNV45" s="1021"/>
      <c r="VNW45" s="1021"/>
      <c r="VNX45" s="1021"/>
      <c r="VNY45" s="1021"/>
      <c r="VNZ45" s="1021"/>
      <c r="VOA45" s="1021"/>
      <c r="VOB45" s="1021"/>
      <c r="VOC45" s="1021"/>
      <c r="VOD45" s="1021"/>
      <c r="VOE45" s="1021"/>
      <c r="VOF45" s="1021"/>
      <c r="VOG45" s="1021"/>
      <c r="VOH45" s="1021"/>
      <c r="VOI45" s="1021"/>
      <c r="VOJ45" s="1021"/>
      <c r="VOK45" s="1021"/>
      <c r="VOL45" s="1021"/>
      <c r="VOM45" s="1021"/>
      <c r="VON45" s="1021"/>
      <c r="VOO45" s="1021"/>
      <c r="VOP45" s="1021"/>
      <c r="VOQ45" s="1021"/>
      <c r="VOR45" s="1021"/>
      <c r="VOS45" s="1021"/>
      <c r="VOT45" s="1021"/>
      <c r="VOU45" s="1021"/>
      <c r="VOV45" s="1021"/>
      <c r="VOW45" s="1021"/>
      <c r="VOX45" s="1021"/>
      <c r="VOY45" s="1021"/>
      <c r="VOZ45" s="1021"/>
      <c r="VPA45" s="1021"/>
      <c r="VPB45" s="1021"/>
      <c r="VPC45" s="1021"/>
      <c r="VPD45" s="1021"/>
      <c r="VPE45" s="1021"/>
      <c r="VPF45" s="1021"/>
      <c r="VPG45" s="1021"/>
      <c r="VPH45" s="1021"/>
      <c r="VPI45" s="1021"/>
      <c r="VPJ45" s="1021"/>
      <c r="VPK45" s="1021"/>
      <c r="VPL45" s="1021"/>
      <c r="VPM45" s="1021"/>
      <c r="VPN45" s="1021"/>
      <c r="VPO45" s="1021"/>
      <c r="VPP45" s="1021"/>
      <c r="VPQ45" s="1021"/>
      <c r="VPR45" s="1021"/>
      <c r="VPS45" s="1021"/>
      <c r="VPT45" s="1021"/>
      <c r="VPU45" s="1021"/>
      <c r="VPV45" s="1021"/>
      <c r="VPW45" s="1021"/>
      <c r="VPX45" s="1021"/>
      <c r="VPY45" s="1021"/>
      <c r="VPZ45" s="1021"/>
      <c r="VQA45" s="1021"/>
      <c r="VQB45" s="1021"/>
      <c r="VQC45" s="1021"/>
      <c r="VQD45" s="1021"/>
      <c r="VQE45" s="1021"/>
      <c r="VQF45" s="1021"/>
      <c r="VQG45" s="1021"/>
      <c r="VQH45" s="1021"/>
      <c r="VQI45" s="1021"/>
      <c r="VQJ45" s="1021"/>
      <c r="VQK45" s="1021"/>
      <c r="VQL45" s="1021"/>
      <c r="VQM45" s="1021"/>
      <c r="VQN45" s="1021"/>
      <c r="VQO45" s="1021"/>
      <c r="VQP45" s="1021"/>
      <c r="VQQ45" s="1021"/>
      <c r="VQR45" s="1021"/>
      <c r="VQS45" s="1021"/>
      <c r="VQT45" s="1021"/>
      <c r="VQU45" s="1021"/>
      <c r="VQV45" s="1021"/>
      <c r="VQW45" s="1021"/>
      <c r="VQX45" s="1021"/>
      <c r="VQY45" s="1021"/>
      <c r="VQZ45" s="1021"/>
      <c r="VRA45" s="1021"/>
      <c r="VRB45" s="1021"/>
      <c r="VRC45" s="1021"/>
      <c r="VRD45" s="1021"/>
      <c r="VRE45" s="1021"/>
      <c r="VRF45" s="1021"/>
      <c r="VRG45" s="1021"/>
      <c r="VRH45" s="1021"/>
      <c r="VRI45" s="1021"/>
      <c r="VRJ45" s="1021"/>
      <c r="VRK45" s="1021"/>
      <c r="VRL45" s="1021"/>
      <c r="VRM45" s="1021"/>
      <c r="VRN45" s="1021"/>
      <c r="VRO45" s="1021"/>
      <c r="VRP45" s="1021"/>
      <c r="VRQ45" s="1021"/>
      <c r="VRR45" s="1021"/>
      <c r="VRS45" s="1021"/>
      <c r="VRT45" s="1021"/>
      <c r="VRU45" s="1021"/>
      <c r="VRV45" s="1021"/>
      <c r="VRW45" s="1021"/>
      <c r="VRX45" s="1021"/>
      <c r="VRY45" s="1021"/>
      <c r="VRZ45" s="1021"/>
      <c r="VSA45" s="1021"/>
      <c r="VSB45" s="1021"/>
      <c r="VSC45" s="1021"/>
      <c r="VSD45" s="1021"/>
      <c r="VSE45" s="1021"/>
      <c r="VSF45" s="1021"/>
      <c r="VSG45" s="1021"/>
      <c r="VSH45" s="1021"/>
      <c r="VSI45" s="1021"/>
      <c r="VSJ45" s="1021"/>
      <c r="VSK45" s="1021"/>
      <c r="VSL45" s="1021"/>
      <c r="VSM45" s="1021"/>
      <c r="VSN45" s="1021"/>
      <c r="VSO45" s="1021"/>
      <c r="VSP45" s="1021"/>
      <c r="VSQ45" s="1021"/>
      <c r="VSR45" s="1021"/>
      <c r="VSS45" s="1021"/>
      <c r="VST45" s="1021"/>
      <c r="VSU45" s="1021"/>
      <c r="VSV45" s="1021"/>
      <c r="VSW45" s="1021"/>
      <c r="VSX45" s="1021"/>
      <c r="VSY45" s="1021"/>
      <c r="VSZ45" s="1021"/>
      <c r="VTA45" s="1021"/>
      <c r="VTB45" s="1021"/>
      <c r="VTC45" s="1021"/>
      <c r="VTD45" s="1021"/>
      <c r="VTE45" s="1021"/>
      <c r="VTF45" s="1021"/>
      <c r="VTG45" s="1021"/>
      <c r="VTH45" s="1021"/>
      <c r="VTI45" s="1021"/>
      <c r="VTJ45" s="1021"/>
      <c r="VTK45" s="1021"/>
      <c r="VTL45" s="1021"/>
      <c r="VTM45" s="1021"/>
      <c r="VTN45" s="1021"/>
      <c r="VTO45" s="1021"/>
      <c r="VTP45" s="1021"/>
      <c r="VTQ45" s="1021"/>
      <c r="VTR45" s="1021"/>
      <c r="VTS45" s="1021"/>
      <c r="VTT45" s="1021"/>
      <c r="VTU45" s="1021"/>
      <c r="VTV45" s="1021"/>
      <c r="VTW45" s="1021"/>
      <c r="VTX45" s="1021"/>
      <c r="VTY45" s="1021"/>
      <c r="VTZ45" s="1021"/>
      <c r="VUA45" s="1021"/>
      <c r="VUB45" s="1021"/>
      <c r="VUC45" s="1021"/>
      <c r="VUD45" s="1021"/>
      <c r="VUE45" s="1021"/>
      <c r="VUF45" s="1021"/>
      <c r="VUG45" s="1021"/>
      <c r="VUH45" s="1021"/>
      <c r="VUI45" s="1021"/>
      <c r="VUJ45" s="1021"/>
      <c r="VUK45" s="1021"/>
      <c r="VUL45" s="1021"/>
      <c r="VUM45" s="1021"/>
      <c r="VUN45" s="1021"/>
      <c r="VUO45" s="1021"/>
      <c r="VUP45" s="1021"/>
      <c r="VUQ45" s="1021"/>
      <c r="VUR45" s="1021"/>
      <c r="VUS45" s="1021"/>
      <c r="VUT45" s="1021"/>
      <c r="VUU45" s="1021"/>
      <c r="VUV45" s="1021"/>
      <c r="VUW45" s="1021"/>
      <c r="VUX45" s="1021"/>
      <c r="VUY45" s="1021"/>
      <c r="VUZ45" s="1021"/>
      <c r="VVA45" s="1021"/>
      <c r="VVB45" s="1021"/>
      <c r="VVC45" s="1021"/>
      <c r="VVD45" s="1021"/>
      <c r="VVE45" s="1021"/>
      <c r="VVF45" s="1021"/>
      <c r="VVG45" s="1021"/>
      <c r="VVH45" s="1021"/>
      <c r="VVI45" s="1021"/>
      <c r="VVJ45" s="1021"/>
      <c r="VVK45" s="1021"/>
      <c r="VVL45" s="1021"/>
      <c r="VVM45" s="1021"/>
      <c r="VVN45" s="1021"/>
      <c r="VVO45" s="1021"/>
      <c r="VVP45" s="1021"/>
      <c r="VVQ45" s="1021"/>
      <c r="VVR45" s="1021"/>
      <c r="VVS45" s="1021"/>
      <c r="VVT45" s="1021"/>
      <c r="VVU45" s="1021"/>
      <c r="VVV45" s="1021"/>
      <c r="VVW45" s="1021"/>
      <c r="VVX45" s="1021"/>
      <c r="VVY45" s="1021"/>
      <c r="VVZ45" s="1021"/>
      <c r="VWA45" s="1021"/>
      <c r="VWB45" s="1021"/>
      <c r="VWC45" s="1021"/>
      <c r="VWD45" s="1021"/>
      <c r="VWE45" s="1021"/>
      <c r="VWF45" s="1021"/>
      <c r="VWG45" s="1021"/>
      <c r="VWH45" s="1021"/>
      <c r="VWI45" s="1021"/>
      <c r="VWJ45" s="1021"/>
      <c r="VWK45" s="1021"/>
      <c r="VWL45" s="1021"/>
      <c r="VWM45" s="1021"/>
      <c r="VWN45" s="1021"/>
      <c r="VWO45" s="1021"/>
      <c r="VWP45" s="1021"/>
      <c r="VWQ45" s="1021"/>
      <c r="VWR45" s="1021"/>
      <c r="VWS45" s="1021"/>
      <c r="VWT45" s="1021"/>
      <c r="VWU45" s="1021"/>
      <c r="VWV45" s="1021"/>
      <c r="VWW45" s="1021"/>
      <c r="VWX45" s="1021"/>
      <c r="VWY45" s="1021"/>
      <c r="VWZ45" s="1021"/>
      <c r="VXA45" s="1021"/>
      <c r="VXB45" s="1021"/>
      <c r="VXC45" s="1021"/>
      <c r="VXD45" s="1021"/>
      <c r="VXE45" s="1021"/>
      <c r="VXF45" s="1021"/>
      <c r="VXG45" s="1021"/>
      <c r="VXH45" s="1021"/>
      <c r="VXI45" s="1021"/>
      <c r="VXJ45" s="1021"/>
      <c r="VXK45" s="1021"/>
      <c r="VXL45" s="1021"/>
      <c r="VXM45" s="1021"/>
      <c r="VXN45" s="1021"/>
      <c r="VXO45" s="1021"/>
      <c r="VXP45" s="1021"/>
      <c r="VXQ45" s="1021"/>
      <c r="VXR45" s="1021"/>
      <c r="VXS45" s="1021"/>
      <c r="VXT45" s="1021"/>
      <c r="VXU45" s="1021"/>
      <c r="VXV45" s="1021"/>
      <c r="VXW45" s="1021"/>
      <c r="VXX45" s="1021"/>
      <c r="VXY45" s="1021"/>
      <c r="VXZ45" s="1021"/>
      <c r="VYA45" s="1021"/>
      <c r="VYB45" s="1021"/>
      <c r="VYC45" s="1021"/>
      <c r="VYD45" s="1021"/>
      <c r="VYE45" s="1021"/>
      <c r="VYF45" s="1021"/>
      <c r="VYG45" s="1021"/>
      <c r="VYH45" s="1021"/>
      <c r="VYI45" s="1021"/>
      <c r="VYJ45" s="1021"/>
      <c r="VYK45" s="1021"/>
      <c r="VYL45" s="1021"/>
      <c r="VYM45" s="1021"/>
      <c r="VYN45" s="1021"/>
      <c r="VYO45" s="1021"/>
      <c r="VYP45" s="1021"/>
      <c r="VYQ45" s="1021"/>
      <c r="VYR45" s="1021"/>
      <c r="VYS45" s="1021"/>
      <c r="VYT45" s="1021"/>
      <c r="VYU45" s="1021"/>
      <c r="VYV45" s="1021"/>
      <c r="VYW45" s="1021"/>
      <c r="VYX45" s="1021"/>
      <c r="VYY45" s="1021"/>
      <c r="VYZ45" s="1021"/>
      <c r="VZA45" s="1021"/>
      <c r="VZB45" s="1021"/>
      <c r="VZC45" s="1021"/>
      <c r="VZD45" s="1021"/>
      <c r="VZE45" s="1021"/>
      <c r="VZF45" s="1021"/>
      <c r="VZG45" s="1021"/>
      <c r="VZH45" s="1021"/>
      <c r="VZI45" s="1021"/>
      <c r="VZJ45" s="1021"/>
      <c r="VZK45" s="1021"/>
      <c r="VZL45" s="1021"/>
      <c r="VZM45" s="1021"/>
      <c r="VZN45" s="1021"/>
      <c r="VZO45" s="1021"/>
      <c r="VZP45" s="1021"/>
      <c r="VZQ45" s="1021"/>
      <c r="VZR45" s="1021"/>
      <c r="VZS45" s="1021"/>
      <c r="VZT45" s="1021"/>
      <c r="VZU45" s="1021"/>
      <c r="VZV45" s="1021"/>
      <c r="VZW45" s="1021"/>
      <c r="VZX45" s="1021"/>
      <c r="VZY45" s="1021"/>
      <c r="VZZ45" s="1021"/>
      <c r="WAA45" s="1021"/>
      <c r="WAB45" s="1021"/>
      <c r="WAC45" s="1021"/>
      <c r="WAD45" s="1021"/>
      <c r="WAE45" s="1021"/>
      <c r="WAF45" s="1021"/>
      <c r="WAG45" s="1021"/>
      <c r="WAH45" s="1021"/>
      <c r="WAI45" s="1021"/>
      <c r="WAJ45" s="1021"/>
      <c r="WAK45" s="1021"/>
      <c r="WAL45" s="1021"/>
      <c r="WAM45" s="1021"/>
      <c r="WAN45" s="1021"/>
      <c r="WAO45" s="1021"/>
      <c r="WAP45" s="1021"/>
      <c r="WAQ45" s="1021"/>
      <c r="WAR45" s="1021"/>
      <c r="WAS45" s="1021"/>
      <c r="WAT45" s="1021"/>
      <c r="WAU45" s="1021"/>
      <c r="WAV45" s="1021"/>
      <c r="WAW45" s="1021"/>
      <c r="WAX45" s="1021"/>
      <c r="WAY45" s="1021"/>
      <c r="WAZ45" s="1021"/>
      <c r="WBA45" s="1021"/>
      <c r="WBB45" s="1021"/>
      <c r="WBC45" s="1021"/>
      <c r="WBD45" s="1021"/>
      <c r="WBE45" s="1021"/>
      <c r="WBF45" s="1021"/>
      <c r="WBG45" s="1021"/>
      <c r="WBH45" s="1021"/>
      <c r="WBI45" s="1021"/>
      <c r="WBJ45" s="1021"/>
      <c r="WBK45" s="1021"/>
      <c r="WBL45" s="1021"/>
      <c r="WBM45" s="1021"/>
      <c r="WBN45" s="1021"/>
      <c r="WBO45" s="1021"/>
      <c r="WBP45" s="1021"/>
      <c r="WBQ45" s="1021"/>
      <c r="WBR45" s="1021"/>
      <c r="WBS45" s="1021"/>
      <c r="WBT45" s="1021"/>
      <c r="WBU45" s="1021"/>
      <c r="WBV45" s="1021"/>
      <c r="WBW45" s="1021"/>
      <c r="WBX45" s="1021"/>
      <c r="WBY45" s="1021"/>
      <c r="WBZ45" s="1021"/>
      <c r="WCA45" s="1021"/>
      <c r="WCB45" s="1021"/>
      <c r="WCC45" s="1021"/>
      <c r="WCD45" s="1021"/>
      <c r="WCE45" s="1021"/>
      <c r="WCF45" s="1021"/>
      <c r="WCG45" s="1021"/>
      <c r="WCH45" s="1021"/>
      <c r="WCI45" s="1021"/>
      <c r="WCJ45" s="1021"/>
      <c r="WCK45" s="1021"/>
      <c r="WCL45" s="1021"/>
      <c r="WCM45" s="1021"/>
      <c r="WCN45" s="1021"/>
      <c r="WCO45" s="1021"/>
      <c r="WCP45" s="1021"/>
      <c r="WCQ45" s="1021"/>
      <c r="WCR45" s="1021"/>
      <c r="WCS45" s="1021"/>
      <c r="WCT45" s="1021"/>
      <c r="WCU45" s="1021"/>
      <c r="WCV45" s="1021"/>
      <c r="WCW45" s="1021"/>
      <c r="WCX45" s="1021"/>
      <c r="WCY45" s="1021"/>
      <c r="WCZ45" s="1021"/>
      <c r="WDA45" s="1021"/>
      <c r="WDB45" s="1021"/>
      <c r="WDC45" s="1021"/>
      <c r="WDD45" s="1021"/>
      <c r="WDE45" s="1021"/>
      <c r="WDF45" s="1021"/>
      <c r="WDG45" s="1021"/>
      <c r="WDH45" s="1021"/>
      <c r="WDI45" s="1021"/>
      <c r="WDJ45" s="1021"/>
      <c r="WDK45" s="1021"/>
      <c r="WDL45" s="1021"/>
      <c r="WDM45" s="1021"/>
      <c r="WDN45" s="1021"/>
      <c r="WDO45" s="1021"/>
      <c r="WDP45" s="1021"/>
      <c r="WDQ45" s="1021"/>
      <c r="WDR45" s="1021"/>
      <c r="WDS45" s="1021"/>
      <c r="WDT45" s="1021"/>
      <c r="WDU45" s="1021"/>
      <c r="WDV45" s="1021"/>
      <c r="WDW45" s="1021"/>
      <c r="WDX45" s="1021"/>
      <c r="WDY45" s="1021"/>
      <c r="WDZ45" s="1021"/>
      <c r="WEA45" s="1021"/>
      <c r="WEB45" s="1021"/>
      <c r="WEC45" s="1021"/>
      <c r="WED45" s="1021"/>
      <c r="WEE45" s="1021"/>
      <c r="WEF45" s="1021"/>
      <c r="WEG45" s="1021"/>
      <c r="WEH45" s="1021"/>
      <c r="WEI45" s="1021"/>
      <c r="WEJ45" s="1021"/>
      <c r="WEK45" s="1021"/>
      <c r="WEL45" s="1021"/>
      <c r="WEM45" s="1021"/>
      <c r="WEN45" s="1021"/>
      <c r="WEO45" s="1021"/>
      <c r="WEP45" s="1021"/>
      <c r="WEQ45" s="1021"/>
      <c r="WER45" s="1021"/>
      <c r="WES45" s="1021"/>
      <c r="WET45" s="1021"/>
      <c r="WEU45" s="1021"/>
      <c r="WEV45" s="1021"/>
      <c r="WEW45" s="1021"/>
      <c r="WEX45" s="1021"/>
      <c r="WEY45" s="1021"/>
      <c r="WEZ45" s="1021"/>
      <c r="WFA45" s="1021"/>
      <c r="WFB45" s="1021"/>
      <c r="WFC45" s="1021"/>
      <c r="WFD45" s="1021"/>
      <c r="WFE45" s="1021"/>
      <c r="WFF45" s="1021"/>
      <c r="WFG45" s="1021"/>
      <c r="WFH45" s="1021"/>
      <c r="WFI45" s="1021"/>
      <c r="WFJ45" s="1021"/>
      <c r="WFK45" s="1021"/>
      <c r="WFL45" s="1021"/>
      <c r="WFM45" s="1021"/>
      <c r="WFN45" s="1021"/>
      <c r="WFO45" s="1021"/>
      <c r="WFP45" s="1021"/>
      <c r="WFQ45" s="1021"/>
      <c r="WFR45" s="1021"/>
      <c r="WFS45" s="1021"/>
      <c r="WFT45" s="1021"/>
      <c r="WFU45" s="1021"/>
      <c r="WFV45" s="1021"/>
      <c r="WFW45" s="1021"/>
      <c r="WFX45" s="1021"/>
      <c r="WFY45" s="1021"/>
      <c r="WFZ45" s="1021"/>
      <c r="WGA45" s="1021"/>
      <c r="WGB45" s="1021"/>
      <c r="WGC45" s="1021"/>
      <c r="WGD45" s="1021"/>
      <c r="WGE45" s="1021"/>
      <c r="WGF45" s="1021"/>
      <c r="WGG45" s="1021"/>
      <c r="WGH45" s="1021"/>
      <c r="WGI45" s="1021"/>
      <c r="WGJ45" s="1021"/>
      <c r="WGK45" s="1021"/>
      <c r="WGL45" s="1021"/>
      <c r="WGM45" s="1021"/>
      <c r="WGN45" s="1021"/>
      <c r="WGO45" s="1021"/>
      <c r="WGP45" s="1021"/>
      <c r="WGQ45" s="1021"/>
      <c r="WGR45" s="1021"/>
      <c r="WGS45" s="1021"/>
      <c r="WGT45" s="1021"/>
      <c r="WGU45" s="1021"/>
      <c r="WGV45" s="1021"/>
      <c r="WGW45" s="1021"/>
      <c r="WGX45" s="1021"/>
      <c r="WGY45" s="1021"/>
      <c r="WGZ45" s="1021"/>
      <c r="WHA45" s="1021"/>
      <c r="WHB45" s="1021"/>
      <c r="WHC45" s="1021"/>
      <c r="WHD45" s="1021"/>
      <c r="WHE45" s="1021"/>
      <c r="WHF45" s="1021"/>
      <c r="WHG45" s="1021"/>
      <c r="WHH45" s="1021"/>
      <c r="WHI45" s="1021"/>
      <c r="WHJ45" s="1021"/>
      <c r="WHK45" s="1021"/>
      <c r="WHL45" s="1021"/>
      <c r="WHM45" s="1021"/>
      <c r="WHN45" s="1021"/>
      <c r="WHO45" s="1021"/>
      <c r="WHP45" s="1021"/>
      <c r="WHQ45" s="1021"/>
      <c r="WHR45" s="1021"/>
      <c r="WHS45" s="1021"/>
      <c r="WHT45" s="1021"/>
      <c r="WHU45" s="1021"/>
      <c r="WHV45" s="1021"/>
      <c r="WHW45" s="1021"/>
      <c r="WHX45" s="1021"/>
      <c r="WHY45" s="1021"/>
      <c r="WHZ45" s="1021"/>
      <c r="WIA45" s="1021"/>
      <c r="WIB45" s="1021"/>
      <c r="WIC45" s="1021"/>
      <c r="WID45" s="1021"/>
      <c r="WIE45" s="1021"/>
      <c r="WIF45" s="1021"/>
      <c r="WIG45" s="1021"/>
      <c r="WIH45" s="1021"/>
      <c r="WII45" s="1021"/>
      <c r="WIJ45" s="1021"/>
      <c r="WIK45" s="1021"/>
      <c r="WIL45" s="1021"/>
      <c r="WIM45" s="1021"/>
      <c r="WIN45" s="1021"/>
      <c r="WIO45" s="1021"/>
      <c r="WIP45" s="1021"/>
      <c r="WIQ45" s="1021"/>
      <c r="WIR45" s="1021"/>
      <c r="WIS45" s="1021"/>
      <c r="WIT45" s="1021"/>
      <c r="WIU45" s="1021"/>
      <c r="WIV45" s="1021"/>
      <c r="WIW45" s="1021"/>
      <c r="WIX45" s="1021"/>
      <c r="WIY45" s="1021"/>
      <c r="WIZ45" s="1021"/>
      <c r="WJA45" s="1021"/>
      <c r="WJB45" s="1021"/>
      <c r="WJC45" s="1021"/>
      <c r="WJD45" s="1021"/>
      <c r="WJE45" s="1021"/>
      <c r="WJF45" s="1021"/>
      <c r="WJG45" s="1021"/>
      <c r="WJH45" s="1021"/>
      <c r="WJI45" s="1021"/>
      <c r="WJJ45" s="1021"/>
      <c r="WJK45" s="1021"/>
      <c r="WJL45" s="1021"/>
      <c r="WJM45" s="1021"/>
      <c r="WJN45" s="1021"/>
      <c r="WJO45" s="1021"/>
      <c r="WJP45" s="1021"/>
      <c r="WJQ45" s="1021"/>
      <c r="WJR45" s="1021"/>
      <c r="WJS45" s="1021"/>
      <c r="WJT45" s="1021"/>
      <c r="WJU45" s="1021"/>
      <c r="WJV45" s="1021"/>
      <c r="WJW45" s="1021"/>
      <c r="WJX45" s="1021"/>
      <c r="WJY45" s="1021"/>
      <c r="WJZ45" s="1021"/>
      <c r="WKA45" s="1021"/>
      <c r="WKB45" s="1021"/>
      <c r="WKC45" s="1021"/>
      <c r="WKD45" s="1021"/>
      <c r="WKE45" s="1021"/>
      <c r="WKF45" s="1021"/>
      <c r="WKG45" s="1021"/>
      <c r="WKH45" s="1021"/>
      <c r="WKI45" s="1021"/>
      <c r="WKJ45" s="1021"/>
      <c r="WKK45" s="1021"/>
      <c r="WKL45" s="1021"/>
      <c r="WKM45" s="1021"/>
      <c r="WKN45" s="1021"/>
      <c r="WKO45" s="1021"/>
      <c r="WKP45" s="1021"/>
      <c r="WKQ45" s="1021"/>
      <c r="WKR45" s="1021"/>
      <c r="WKS45" s="1021"/>
      <c r="WKT45" s="1021"/>
      <c r="WKU45" s="1021"/>
      <c r="WKV45" s="1021"/>
      <c r="WKW45" s="1021"/>
      <c r="WKX45" s="1021"/>
      <c r="WKY45" s="1021"/>
      <c r="WKZ45" s="1021"/>
      <c r="WLA45" s="1021"/>
      <c r="WLB45" s="1021"/>
      <c r="WLC45" s="1021"/>
      <c r="WLD45" s="1021"/>
      <c r="WLE45" s="1021"/>
      <c r="WLF45" s="1021"/>
      <c r="WLG45" s="1021"/>
      <c r="WLH45" s="1021"/>
      <c r="WLI45" s="1021"/>
      <c r="WLJ45" s="1021"/>
      <c r="WLK45" s="1021"/>
      <c r="WLL45" s="1021"/>
      <c r="WLM45" s="1021"/>
      <c r="WLN45" s="1021"/>
      <c r="WLO45" s="1021"/>
      <c r="WLP45" s="1021"/>
      <c r="WLQ45" s="1021"/>
      <c r="WLR45" s="1021"/>
      <c r="WLS45" s="1021"/>
      <c r="WLT45" s="1021"/>
      <c r="WLU45" s="1021"/>
      <c r="WLV45" s="1021"/>
      <c r="WLW45" s="1021"/>
      <c r="WLX45" s="1021"/>
      <c r="WLY45" s="1021"/>
      <c r="WLZ45" s="1021"/>
      <c r="WMA45" s="1021"/>
      <c r="WMB45" s="1021"/>
      <c r="WMC45" s="1021"/>
      <c r="WMD45" s="1021"/>
      <c r="WME45" s="1021"/>
      <c r="WMF45" s="1021"/>
      <c r="WMG45" s="1021"/>
      <c r="WMH45" s="1021"/>
      <c r="WMI45" s="1021"/>
      <c r="WMJ45" s="1021"/>
      <c r="WMK45" s="1021"/>
      <c r="WML45" s="1021"/>
      <c r="WMM45" s="1021"/>
      <c r="WMN45" s="1021"/>
      <c r="WMO45" s="1021"/>
      <c r="WMP45" s="1021"/>
      <c r="WMQ45" s="1021"/>
      <c r="WMR45" s="1021"/>
      <c r="WMS45" s="1021"/>
      <c r="WMT45" s="1021"/>
      <c r="WMU45" s="1021"/>
      <c r="WMV45" s="1021"/>
      <c r="WMW45" s="1021"/>
      <c r="WMX45" s="1021"/>
      <c r="WMY45" s="1021"/>
      <c r="WMZ45" s="1021"/>
      <c r="WNA45" s="1021"/>
      <c r="WNB45" s="1021"/>
      <c r="WNC45" s="1021"/>
      <c r="WND45" s="1021"/>
      <c r="WNE45" s="1021"/>
      <c r="WNF45" s="1021"/>
      <c r="WNG45" s="1021"/>
      <c r="WNH45" s="1021"/>
      <c r="WNI45" s="1021"/>
      <c r="WNJ45" s="1021"/>
      <c r="WNK45" s="1021"/>
      <c r="WNL45" s="1021"/>
      <c r="WNM45" s="1021"/>
      <c r="WNN45" s="1021"/>
      <c r="WNO45" s="1021"/>
      <c r="WNP45" s="1021"/>
      <c r="WNQ45" s="1021"/>
      <c r="WNR45" s="1021"/>
      <c r="WNS45" s="1021"/>
      <c r="WNT45" s="1021"/>
      <c r="WNU45" s="1021"/>
      <c r="WNV45" s="1021"/>
      <c r="WNW45" s="1021"/>
      <c r="WNX45" s="1021"/>
      <c r="WNY45" s="1021"/>
      <c r="WNZ45" s="1021"/>
      <c r="WOA45" s="1021"/>
      <c r="WOB45" s="1021"/>
      <c r="WOC45" s="1021"/>
      <c r="WOD45" s="1021"/>
      <c r="WOE45" s="1021"/>
      <c r="WOF45" s="1021"/>
      <c r="WOG45" s="1021"/>
      <c r="WOH45" s="1021"/>
      <c r="WOI45" s="1021"/>
      <c r="WOJ45" s="1021"/>
      <c r="WOK45" s="1021"/>
      <c r="WOL45" s="1021"/>
      <c r="WOM45" s="1021"/>
      <c r="WON45" s="1021"/>
      <c r="WOO45" s="1021"/>
      <c r="WOP45" s="1021"/>
      <c r="WOQ45" s="1021"/>
      <c r="WOR45" s="1021"/>
      <c r="WOS45" s="1021"/>
      <c r="WOT45" s="1021"/>
      <c r="WOU45" s="1021"/>
      <c r="WOV45" s="1021"/>
      <c r="WOW45" s="1021"/>
      <c r="WOX45" s="1021"/>
      <c r="WOY45" s="1021"/>
      <c r="WOZ45" s="1021"/>
      <c r="WPA45" s="1021"/>
      <c r="WPB45" s="1021"/>
      <c r="WPC45" s="1021"/>
      <c r="WPD45" s="1021"/>
      <c r="WPE45" s="1021"/>
      <c r="WPF45" s="1021"/>
      <c r="WPG45" s="1021"/>
      <c r="WPH45" s="1021"/>
      <c r="WPI45" s="1021"/>
      <c r="WPJ45" s="1021"/>
      <c r="WPK45" s="1021"/>
      <c r="WPL45" s="1021"/>
      <c r="WPM45" s="1021"/>
      <c r="WPN45" s="1021"/>
      <c r="WPO45" s="1021"/>
      <c r="WPP45" s="1021"/>
      <c r="WPQ45" s="1021"/>
      <c r="WPR45" s="1021"/>
      <c r="WPS45" s="1021"/>
      <c r="WPT45" s="1021"/>
      <c r="WPU45" s="1021"/>
      <c r="WPV45" s="1021"/>
      <c r="WPW45" s="1021"/>
      <c r="WPX45" s="1021"/>
      <c r="WPY45" s="1021"/>
      <c r="WPZ45" s="1021"/>
      <c r="WQA45" s="1021"/>
      <c r="WQB45" s="1021"/>
      <c r="WQC45" s="1021"/>
      <c r="WQD45" s="1021"/>
      <c r="WQE45" s="1021"/>
      <c r="WQF45" s="1021"/>
      <c r="WQG45" s="1021"/>
      <c r="WQH45" s="1021"/>
      <c r="WQI45" s="1021"/>
      <c r="WQJ45" s="1021"/>
      <c r="WQK45" s="1021"/>
      <c r="WQL45" s="1021"/>
      <c r="WQM45" s="1021"/>
      <c r="WQN45" s="1021"/>
      <c r="WQO45" s="1021"/>
      <c r="WQP45" s="1021"/>
      <c r="WQQ45" s="1021"/>
      <c r="WQR45" s="1021"/>
      <c r="WQS45" s="1021"/>
      <c r="WQT45" s="1021"/>
      <c r="WQU45" s="1021"/>
      <c r="WQV45" s="1021"/>
      <c r="WQW45" s="1021"/>
      <c r="WQX45" s="1021"/>
      <c r="WQY45" s="1021"/>
      <c r="WQZ45" s="1021"/>
      <c r="WRA45" s="1021"/>
      <c r="WRB45" s="1021"/>
      <c r="WRC45" s="1021"/>
      <c r="WRD45" s="1021"/>
      <c r="WRE45" s="1021"/>
      <c r="WRF45" s="1021"/>
      <c r="WRG45" s="1021"/>
      <c r="WRH45" s="1021"/>
      <c r="WRI45" s="1021"/>
      <c r="WRJ45" s="1021"/>
      <c r="WRK45" s="1021"/>
      <c r="WRL45" s="1021"/>
      <c r="WRM45" s="1021"/>
      <c r="WRN45" s="1021"/>
      <c r="WRO45" s="1021"/>
      <c r="WRP45" s="1021"/>
      <c r="WRQ45" s="1021"/>
      <c r="WRR45" s="1021"/>
      <c r="WRS45" s="1021"/>
      <c r="WRT45" s="1021"/>
      <c r="WRU45" s="1021"/>
      <c r="WRV45" s="1021"/>
      <c r="WRW45" s="1021"/>
      <c r="WRX45" s="1021"/>
      <c r="WRY45" s="1021"/>
      <c r="WRZ45" s="1021"/>
      <c r="WSA45" s="1021"/>
      <c r="WSB45" s="1021"/>
      <c r="WSC45" s="1021"/>
      <c r="WSD45" s="1021"/>
      <c r="WSE45" s="1021"/>
      <c r="WSF45" s="1021"/>
      <c r="WSG45" s="1021"/>
      <c r="WSH45" s="1021"/>
      <c r="WSI45" s="1021"/>
      <c r="WSJ45" s="1021"/>
      <c r="WSK45" s="1021"/>
      <c r="WSL45" s="1021"/>
      <c r="WSM45" s="1021"/>
      <c r="WSN45" s="1021"/>
      <c r="WSO45" s="1021"/>
      <c r="WSP45" s="1021"/>
      <c r="WSQ45" s="1021"/>
      <c r="WSR45" s="1021"/>
      <c r="WSS45" s="1021"/>
      <c r="WST45" s="1021"/>
      <c r="WSU45" s="1021"/>
      <c r="WSV45" s="1021"/>
      <c r="WSW45" s="1021"/>
      <c r="WSX45" s="1021"/>
      <c r="WSY45" s="1021"/>
      <c r="WSZ45" s="1021"/>
      <c r="WTA45" s="1021"/>
      <c r="WTB45" s="1021"/>
      <c r="WTC45" s="1021"/>
      <c r="WTD45" s="1021"/>
      <c r="WTE45" s="1021"/>
      <c r="WTF45" s="1021"/>
      <c r="WTG45" s="1021"/>
      <c r="WTH45" s="1021"/>
      <c r="WTI45" s="1021"/>
      <c r="WTJ45" s="1021"/>
      <c r="WTK45" s="1021"/>
      <c r="WTL45" s="1021"/>
      <c r="WTM45" s="1021"/>
      <c r="WTN45" s="1021"/>
      <c r="WTO45" s="1021"/>
      <c r="WTP45" s="1021"/>
      <c r="WTQ45" s="1021"/>
      <c r="WTR45" s="1021"/>
      <c r="WTS45" s="1021"/>
      <c r="WTT45" s="1021"/>
      <c r="WTU45" s="1021"/>
      <c r="WTV45" s="1021"/>
      <c r="WTW45" s="1021"/>
      <c r="WTX45" s="1021"/>
      <c r="WTY45" s="1021"/>
      <c r="WTZ45" s="1021"/>
      <c r="WUA45" s="1021"/>
      <c r="WUB45" s="1021"/>
      <c r="WUC45" s="1021"/>
      <c r="WUD45" s="1021"/>
      <c r="WUE45" s="1021"/>
      <c r="WUF45" s="1021"/>
      <c r="WUG45" s="1021"/>
      <c r="WUH45" s="1021"/>
      <c r="WUI45" s="1021"/>
      <c r="WUJ45" s="1021"/>
      <c r="WUK45" s="1021"/>
      <c r="WUL45" s="1021"/>
      <c r="WUM45" s="1021"/>
      <c r="WUN45" s="1021"/>
      <c r="WUO45" s="1021"/>
      <c r="WUP45" s="1021"/>
      <c r="WUQ45" s="1021"/>
      <c r="WUR45" s="1021"/>
      <c r="WUS45" s="1021"/>
      <c r="WUT45" s="1021"/>
      <c r="WUU45" s="1021"/>
      <c r="WUV45" s="1021"/>
      <c r="WUW45" s="1021"/>
      <c r="WUX45" s="1021"/>
      <c r="WUY45" s="1021"/>
      <c r="WUZ45" s="1021"/>
      <c r="WVA45" s="1021"/>
      <c r="WVB45" s="1021"/>
      <c r="WVC45" s="1021"/>
      <c r="WVD45" s="1021"/>
      <c r="WVE45" s="1021"/>
      <c r="WVF45" s="1021"/>
      <c r="WVG45" s="1021"/>
      <c r="WVH45" s="1021"/>
      <c r="WVI45" s="1021"/>
      <c r="WVJ45" s="1021"/>
      <c r="WVK45" s="1021"/>
      <c r="WVL45" s="1021"/>
      <c r="WVM45" s="1021"/>
      <c r="WVN45" s="1021"/>
      <c r="WVO45" s="1021"/>
      <c r="WVP45" s="1021"/>
      <c r="WVQ45" s="1021"/>
      <c r="WVR45" s="1021"/>
      <c r="WVS45" s="1021"/>
      <c r="WVT45" s="1021"/>
      <c r="WVU45" s="1021"/>
      <c r="WVV45" s="1021"/>
      <c r="WVW45" s="1021"/>
      <c r="WVX45" s="1021"/>
      <c r="WVY45" s="1021"/>
      <c r="WVZ45" s="1021"/>
      <c r="WWA45" s="1021"/>
      <c r="WWB45" s="1021"/>
      <c r="WWC45" s="1021"/>
      <c r="WWD45" s="1021"/>
      <c r="WWE45" s="1021"/>
      <c r="WWF45" s="1021"/>
      <c r="WWG45" s="1021"/>
      <c r="WWH45" s="1021"/>
      <c r="WWI45" s="1021"/>
      <c r="WWJ45" s="1021"/>
      <c r="WWK45" s="1021"/>
      <c r="WWL45" s="1021"/>
      <c r="WWM45" s="1021"/>
      <c r="WWN45" s="1021"/>
      <c r="WWO45" s="1021"/>
      <c r="WWP45" s="1021"/>
      <c r="WWQ45" s="1021"/>
      <c r="WWR45" s="1021"/>
      <c r="WWS45" s="1021"/>
      <c r="WWT45" s="1021"/>
      <c r="WWU45" s="1021"/>
      <c r="WWV45" s="1021"/>
      <c r="WWW45" s="1021"/>
      <c r="WWX45" s="1021"/>
      <c r="WWY45" s="1021"/>
      <c r="WWZ45" s="1021"/>
      <c r="WXA45" s="1021"/>
      <c r="WXB45" s="1021"/>
      <c r="WXC45" s="1021"/>
      <c r="WXD45" s="1021"/>
      <c r="WXE45" s="1021"/>
      <c r="WXF45" s="1021"/>
      <c r="WXG45" s="1021"/>
      <c r="WXH45" s="1021"/>
      <c r="WXI45" s="1021"/>
      <c r="WXJ45" s="1021"/>
      <c r="WXK45" s="1021"/>
      <c r="WXL45" s="1021"/>
      <c r="WXM45" s="1021"/>
      <c r="WXN45" s="1021"/>
      <c r="WXO45" s="1021"/>
      <c r="WXP45" s="1021"/>
      <c r="WXQ45" s="1021"/>
      <c r="WXR45" s="1021"/>
      <c r="WXS45" s="1021"/>
      <c r="WXT45" s="1021"/>
      <c r="WXU45" s="1021"/>
      <c r="WXV45" s="1021"/>
      <c r="WXW45" s="1021"/>
      <c r="WXX45" s="1021"/>
      <c r="WXY45" s="1021"/>
      <c r="WXZ45" s="1021"/>
      <c r="WYA45" s="1021"/>
      <c r="WYB45" s="1021"/>
      <c r="WYC45" s="1021"/>
      <c r="WYD45" s="1021"/>
      <c r="WYE45" s="1021"/>
      <c r="WYF45" s="1021"/>
      <c r="WYG45" s="1021"/>
      <c r="WYH45" s="1021"/>
      <c r="WYI45" s="1021"/>
      <c r="WYJ45" s="1021"/>
      <c r="WYK45" s="1021"/>
      <c r="WYL45" s="1021"/>
      <c r="WYM45" s="1021"/>
      <c r="WYN45" s="1021"/>
      <c r="WYO45" s="1021"/>
      <c r="WYP45" s="1021"/>
      <c r="WYQ45" s="1021"/>
      <c r="WYR45" s="1021"/>
      <c r="WYS45" s="1021"/>
      <c r="WYT45" s="1021"/>
      <c r="WYU45" s="1021"/>
      <c r="WYV45" s="1021"/>
      <c r="WYW45" s="1021"/>
      <c r="WYX45" s="1021"/>
      <c r="WYY45" s="1021"/>
      <c r="WYZ45" s="1021"/>
      <c r="WZA45" s="1021"/>
      <c r="WZB45" s="1021"/>
      <c r="WZC45" s="1021"/>
      <c r="WZD45" s="1021"/>
      <c r="WZE45" s="1021"/>
      <c r="WZF45" s="1021"/>
      <c r="WZG45" s="1021"/>
      <c r="WZH45" s="1021"/>
      <c r="WZI45" s="1021"/>
      <c r="WZJ45" s="1021"/>
      <c r="WZK45" s="1021"/>
      <c r="WZL45" s="1021"/>
      <c r="WZM45" s="1021"/>
      <c r="WZN45" s="1021"/>
      <c r="WZO45" s="1021"/>
      <c r="WZP45" s="1021"/>
      <c r="WZQ45" s="1021"/>
      <c r="WZR45" s="1021"/>
      <c r="WZS45" s="1021"/>
      <c r="WZT45" s="1021"/>
      <c r="WZU45" s="1021"/>
      <c r="WZV45" s="1021"/>
      <c r="WZW45" s="1021"/>
      <c r="WZX45" s="1021"/>
      <c r="WZY45" s="1021"/>
      <c r="WZZ45" s="1021"/>
      <c r="XAA45" s="1021"/>
      <c r="XAB45" s="1021"/>
      <c r="XAC45" s="1021"/>
      <c r="XAD45" s="1021"/>
      <c r="XAE45" s="1021"/>
      <c r="XAF45" s="1021"/>
      <c r="XAG45" s="1021"/>
      <c r="XAH45" s="1021"/>
      <c r="XAI45" s="1021"/>
      <c r="XAJ45" s="1021"/>
      <c r="XAK45" s="1021"/>
      <c r="XAL45" s="1021"/>
      <c r="XAM45" s="1021"/>
      <c r="XAN45" s="1021"/>
      <c r="XAO45" s="1021"/>
      <c r="XAP45" s="1021"/>
      <c r="XAQ45" s="1021"/>
      <c r="XAR45" s="1021"/>
      <c r="XAS45" s="1021"/>
      <c r="XAT45" s="1021"/>
      <c r="XAU45" s="1021"/>
      <c r="XAV45" s="1021"/>
      <c r="XAW45" s="1021"/>
      <c r="XAX45" s="1021"/>
      <c r="XAY45" s="1021"/>
      <c r="XAZ45" s="1021"/>
      <c r="XBA45" s="1021"/>
      <c r="XBB45" s="1021"/>
      <c r="XBC45" s="1021"/>
      <c r="XBD45" s="1021"/>
      <c r="XBE45" s="1021"/>
      <c r="XBF45" s="1021"/>
      <c r="XBG45" s="1021"/>
      <c r="XBH45" s="1021"/>
      <c r="XBI45" s="1021"/>
      <c r="XBJ45" s="1021"/>
      <c r="XBK45" s="1021"/>
      <c r="XBL45" s="1021"/>
      <c r="XBM45" s="1021"/>
      <c r="XBN45" s="1021"/>
      <c r="XBO45" s="1021"/>
      <c r="XBP45" s="1021"/>
      <c r="XBQ45" s="1021"/>
      <c r="XBR45" s="1021"/>
      <c r="XBS45" s="1021"/>
      <c r="XBT45" s="1021"/>
      <c r="XBU45" s="1021"/>
      <c r="XBV45" s="1021"/>
      <c r="XBW45" s="1021"/>
      <c r="XBX45" s="1021"/>
      <c r="XBY45" s="1021"/>
      <c r="XBZ45" s="1021"/>
      <c r="XCA45" s="1021"/>
      <c r="XCB45" s="1021"/>
      <c r="XCC45" s="1021"/>
      <c r="XCD45" s="1021"/>
      <c r="XCE45" s="1021"/>
      <c r="XCF45" s="1021"/>
      <c r="XCG45" s="1021"/>
      <c r="XCH45" s="1021"/>
      <c r="XCI45" s="1021"/>
      <c r="XCJ45" s="1021"/>
      <c r="XCK45" s="1021"/>
      <c r="XCL45" s="1021"/>
      <c r="XCM45" s="1021"/>
      <c r="XCN45" s="1021"/>
      <c r="XCO45" s="1021"/>
      <c r="XCP45" s="1021"/>
      <c r="XCQ45" s="1021"/>
      <c r="XCR45" s="1021"/>
      <c r="XCS45" s="1021"/>
      <c r="XCT45" s="1021"/>
      <c r="XCU45" s="1021"/>
      <c r="XCV45" s="1021"/>
      <c r="XCW45" s="1021"/>
      <c r="XCX45" s="1021"/>
      <c r="XCY45" s="1021"/>
      <c r="XCZ45" s="1021"/>
      <c r="XDA45" s="1021"/>
      <c r="XDB45" s="1021"/>
      <c r="XDC45" s="1021"/>
      <c r="XDD45" s="1021"/>
      <c r="XDE45" s="1021"/>
      <c r="XDF45" s="1021"/>
      <c r="XDG45" s="1021"/>
      <c r="XDH45" s="1021"/>
      <c r="XDI45" s="1021"/>
      <c r="XDJ45" s="1021"/>
      <c r="XDK45" s="1021"/>
      <c r="XDL45" s="1021"/>
      <c r="XDM45" s="1021"/>
      <c r="XDN45" s="1021"/>
      <c r="XDO45" s="1021"/>
      <c r="XDP45" s="1021"/>
      <c r="XDQ45" s="1021"/>
      <c r="XDR45" s="1021"/>
      <c r="XDS45" s="1021"/>
      <c r="XDT45" s="1021"/>
      <c r="XDU45" s="1021"/>
      <c r="XDV45" s="1021"/>
      <c r="XDW45" s="1021"/>
      <c r="XDX45" s="1021"/>
      <c r="XDY45" s="1021"/>
      <c r="XDZ45" s="1021"/>
      <c r="XEA45" s="1021"/>
      <c r="XEB45" s="1021"/>
      <c r="XEC45" s="1021"/>
      <c r="XED45" s="1021"/>
      <c r="XEE45" s="1021"/>
      <c r="XEF45" s="1021"/>
      <c r="XEG45" s="1021"/>
      <c r="XEH45" s="1021"/>
      <c r="XEI45" s="1021"/>
      <c r="XEJ45" s="1021"/>
      <c r="XEK45" s="1021"/>
      <c r="XEL45" s="1021"/>
      <c r="XEM45" s="1021"/>
      <c r="XEN45" s="1021"/>
      <c r="XEO45" s="1021"/>
      <c r="XEP45" s="1021"/>
      <c r="XEQ45" s="1021"/>
      <c r="XER45" s="1021"/>
      <c r="XES45" s="1021"/>
      <c r="XET45" s="1021"/>
      <c r="XEU45" s="1021"/>
      <c r="XEV45" s="1021"/>
      <c r="XEW45" s="1021"/>
      <c r="XEX45" s="1021"/>
      <c r="XEY45" s="1021"/>
      <c r="XEZ45" s="1021"/>
      <c r="XFA45" s="1021"/>
    </row>
    <row r="46" spans="1:16381" ht="17.5" x14ac:dyDescent="0.35">
      <c r="A46" s="312" t="s">
        <v>365</v>
      </c>
      <c r="B46" s="602">
        <f>GETPIVOTDATA("Sum of WholeTime Operational",StaffingPivot!$A$22,"Year",A46)</f>
        <v>3856</v>
      </c>
      <c r="C46" s="602">
        <f>GETPIVOTDATA("Sum of Retained Duty System",StaffingPivot!$A$22,"Year",A46)</f>
        <v>2669</v>
      </c>
      <c r="D46" s="610"/>
      <c r="E46" s="602">
        <f>GETPIVOTDATA("Sum of Control",StaffingPivot!$A$22,"Year",A46)</f>
        <v>221</v>
      </c>
      <c r="F46" s="602">
        <f>GETPIVOTDATA("Sum of Support",StaffingPivot!$A$22,"Year",A46)</f>
        <v>744</v>
      </c>
      <c r="G46" s="603">
        <f t="shared" si="8"/>
        <v>7490</v>
      </c>
      <c r="I46" s="263"/>
      <c r="J46" s="263"/>
      <c r="K46" s="7"/>
      <c r="U46" s="396"/>
    </row>
    <row r="47" spans="1:16381" ht="17.5" x14ac:dyDescent="0.35">
      <c r="A47" s="312" t="s">
        <v>366</v>
      </c>
      <c r="B47" s="602">
        <f>GETPIVOTDATA("Sum of WholeTime Operational",StaffingPivot!$A$22,"Year",A47)</f>
        <v>3690</v>
      </c>
      <c r="C47" s="602">
        <f>GETPIVOTDATA("Sum of Retained Duty System",StaffingPivot!$A$22,"Year",A47)</f>
        <v>2527</v>
      </c>
      <c r="D47" s="610"/>
      <c r="E47" s="602">
        <f>GETPIVOTDATA("Sum of Control",StaffingPivot!$A$22,"Year",A47)</f>
        <v>195</v>
      </c>
      <c r="F47" s="602">
        <f>GETPIVOTDATA("Sum of Support",StaffingPivot!$A$22,"Year",A47)</f>
        <v>719</v>
      </c>
      <c r="G47" s="603">
        <f t="shared" si="8"/>
        <v>7131</v>
      </c>
      <c r="I47" s="263"/>
      <c r="J47" s="263"/>
      <c r="K47" s="7"/>
      <c r="U47" s="396"/>
    </row>
    <row r="48" spans="1:16381" ht="17.5" x14ac:dyDescent="0.35">
      <c r="A48" s="312" t="s">
        <v>341</v>
      </c>
      <c r="B48" s="602">
        <f>GETPIVOTDATA("Sum of WholeTime Operational",StaffingPivot!$A$22,"Year",A48)</f>
        <v>3644</v>
      </c>
      <c r="C48" s="602">
        <f>GETPIVOTDATA("Sum of Retained Duty System",StaffingPivot!$A$22,"Year",A48)</f>
        <v>2546</v>
      </c>
      <c r="D48" s="610"/>
      <c r="E48" s="602">
        <f>GETPIVOTDATA("Sum of Control",StaffingPivot!$A$22,"Year",A48)</f>
        <v>160</v>
      </c>
      <c r="F48" s="602">
        <f>GETPIVOTDATA("Sum of Support",StaffingPivot!$A$22,"Year",A48)</f>
        <v>745</v>
      </c>
      <c r="G48" s="603">
        <f t="shared" si="8"/>
        <v>7095</v>
      </c>
      <c r="I48" s="263"/>
      <c r="J48" s="263"/>
      <c r="K48" s="7"/>
      <c r="U48" s="396"/>
    </row>
    <row r="49" spans="1:1621" ht="17.5" x14ac:dyDescent="0.35">
      <c r="A49" s="312" t="s">
        <v>342</v>
      </c>
      <c r="B49" s="602">
        <f>GETPIVOTDATA("Sum of WholeTime Operational",StaffingPivot!$A$22,"Year",A49)</f>
        <v>3544</v>
      </c>
      <c r="C49" s="602">
        <f>GETPIVOTDATA("Sum of Retained Duty System",StaffingPivot!$A$22,"Year",A49)</f>
        <v>2545</v>
      </c>
      <c r="D49" s="610"/>
      <c r="E49" s="602">
        <f>GETPIVOTDATA("Sum of Control",StaffingPivot!$A$22,"Year",A49)</f>
        <v>184</v>
      </c>
      <c r="F49" s="602">
        <f>GETPIVOTDATA("Sum of Support",StaffingPivot!$A$22,"Year",A49)</f>
        <v>759</v>
      </c>
      <c r="G49" s="603">
        <f t="shared" si="8"/>
        <v>7032</v>
      </c>
      <c r="I49" s="263"/>
      <c r="J49" s="263"/>
      <c r="K49" s="7"/>
      <c r="U49" s="396"/>
    </row>
    <row r="50" spans="1:1621" ht="17.5" x14ac:dyDescent="0.35">
      <c r="A50" s="312" t="s">
        <v>214</v>
      </c>
      <c r="B50" s="602">
        <f>GETPIVOTDATA("Sum of WholeTime Operational",StaffingPivot!$A$22,"Year",A50)</f>
        <v>3635.9300000000003</v>
      </c>
      <c r="C50" s="602">
        <f>GETPIVOTDATA("Sum of Retained Duty System",StaffingPivot!$A$22,"Year",A50)</f>
        <v>2583.98</v>
      </c>
      <c r="D50" s="610">
        <f>GETPIVOTDATA("Sum of RDS Fulltime",StaffingPivot!$A$22,"Year",A50)</f>
        <v>18</v>
      </c>
      <c r="E50" s="602">
        <f>GETPIVOTDATA("Sum of Control",StaffingPivot!$A$22,"Year",A50)</f>
        <v>202.32999999999998</v>
      </c>
      <c r="F50" s="602">
        <f>GETPIVOTDATA("Sum of Support",StaffingPivot!$A$22,"Year",A50)</f>
        <v>745.56000000000006</v>
      </c>
      <c r="G50" s="603">
        <f t="shared" si="8"/>
        <v>7185.8</v>
      </c>
      <c r="I50" s="263"/>
      <c r="J50" s="263"/>
      <c r="K50" s="7"/>
      <c r="U50" s="396"/>
    </row>
    <row r="51" spans="1:1621" ht="17.5" x14ac:dyDescent="0.35">
      <c r="A51" s="312" t="s">
        <v>313</v>
      </c>
      <c r="B51" s="602">
        <f>GETPIVOTDATA("Sum of WholeTime Operational",StaffingPivot!$A$22,"Year",A51)</f>
        <v>3633.93</v>
      </c>
      <c r="C51" s="602">
        <f>GETPIVOTDATA("Sum of Retained Duty System",StaffingPivot!$A$22,"Year",A51)</f>
        <v>2551.73</v>
      </c>
      <c r="D51" s="610">
        <f>GETPIVOTDATA("Sum of RDS Fulltime",StaffingPivot!$A$22,"Year",A51)</f>
        <v>36</v>
      </c>
      <c r="E51" s="602">
        <f>GETPIVOTDATA("Sum of Control",StaffingPivot!$A$22,"Year",A51)</f>
        <v>183.82999999999998</v>
      </c>
      <c r="F51" s="602">
        <f>GETPIVOTDATA("Sum of Support",StaffingPivot!$A$22,"Year",A51)</f>
        <v>764.4</v>
      </c>
      <c r="G51" s="603">
        <f t="shared" si="8"/>
        <v>7169.8899999999994</v>
      </c>
      <c r="I51" s="268"/>
      <c r="J51" s="263"/>
      <c r="K51" s="7"/>
      <c r="U51" s="396"/>
    </row>
    <row r="52" spans="1:1621" s="300" customFormat="1" ht="17.5" x14ac:dyDescent="0.35">
      <c r="A52" s="312" t="s">
        <v>319</v>
      </c>
      <c r="B52" s="602">
        <f>GETPIVOTDATA("Sum of WholeTime Operational",StaffingPivot!$A$22,"Year",A52)</f>
        <v>3578.43</v>
      </c>
      <c r="C52" s="602">
        <f>GETPIVOTDATA("Sum of Retained Duty System",StaffingPivot!$A$22,"Year",A52)</f>
        <v>2482.48</v>
      </c>
      <c r="D52" s="610">
        <f>GETPIVOTDATA("Sum of RDS Fulltime",StaffingPivot!$A$22,"Year",A52)</f>
        <v>54</v>
      </c>
      <c r="E52" s="602">
        <f>GETPIVOTDATA("Sum of Control",StaffingPivot!$A$22,"Year",A52)</f>
        <v>176.06</v>
      </c>
      <c r="F52" s="602">
        <f>GETPIVOTDATA("Sum of Support",StaffingPivot!$A$22,"Year",A52)</f>
        <v>786.29</v>
      </c>
      <c r="G52" s="603">
        <f t="shared" si="8"/>
        <v>7077.26</v>
      </c>
      <c r="H52"/>
      <c r="I52" s="19"/>
      <c r="J52" s="15"/>
      <c r="K52" s="7"/>
      <c r="L52"/>
      <c r="M52"/>
      <c r="N52"/>
      <c r="O52"/>
      <c r="P52"/>
      <c r="Q52"/>
      <c r="R52"/>
      <c r="S52"/>
      <c r="T52"/>
      <c r="U52" s="396"/>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row>
    <row r="53" spans="1:1621" ht="17.5" x14ac:dyDescent="0.35">
      <c r="A53" s="312" t="s">
        <v>321</v>
      </c>
      <c r="B53" s="602">
        <f>GETPIVOTDATA("Sum of WholeTime Operational",StaffingPivot!$A$22,"Year",A53)</f>
        <v>3528.43</v>
      </c>
      <c r="C53" s="602">
        <f>GETPIVOTDATA("Sum of Retained Duty System",StaffingPivot!$A$22,"Year",A53)</f>
        <v>2375.48</v>
      </c>
      <c r="D53" s="610">
        <f>GETPIVOTDATA("Sum of RDS Fulltime",StaffingPivot!$A$22,"Year",A53)</f>
        <v>53</v>
      </c>
      <c r="E53" s="602">
        <f>GETPIVOTDATA("Sum of Control",StaffingPivot!$A$22,"Year",A53)</f>
        <v>170.46</v>
      </c>
      <c r="F53" s="602">
        <f>GETPIVOTDATA("Sum of Support",StaffingPivot!$A$22,"Year",A53)</f>
        <v>862.45999999999992</v>
      </c>
      <c r="G53" s="603">
        <f t="shared" si="8"/>
        <v>6989.83</v>
      </c>
      <c r="I53" s="19"/>
      <c r="J53" s="15"/>
      <c r="K53" s="17"/>
      <c r="U53" s="396"/>
    </row>
    <row r="54" spans="1:1621" ht="17.5" x14ac:dyDescent="0.35">
      <c r="A54" s="312" t="s">
        <v>326</v>
      </c>
      <c r="B54" s="602">
        <f>GETPIVOTDATA("Sum of WholeTime Operational",StaffingPivot!$A$22,"Year",A54)</f>
        <v>3487.43</v>
      </c>
      <c r="C54" s="602">
        <f>GETPIVOTDATA("Sum of Retained Duty System",StaffingPivot!$A$22,"Year",A54)</f>
        <v>2333.12</v>
      </c>
      <c r="D54" s="610">
        <f>GETPIVOTDATA("Sum of RDS Fulltime",StaffingPivot!$A$22,"Year",A54)</f>
        <v>55</v>
      </c>
      <c r="E54" s="602">
        <f>GETPIVOTDATA("Sum of Control",StaffingPivot!$A$22,"Year",A54)</f>
        <v>168.06</v>
      </c>
      <c r="F54" s="602">
        <f>GETPIVOTDATA("Sum of Support",StaffingPivot!$A$22,"Year",A54)</f>
        <v>850.35</v>
      </c>
      <c r="G54" s="603">
        <f t="shared" si="8"/>
        <v>6893.96</v>
      </c>
      <c r="I54" s="15"/>
      <c r="J54" s="15"/>
      <c r="K54" s="17"/>
      <c r="U54" s="396"/>
    </row>
    <row r="55" spans="1:1621" ht="15" customHeight="1" x14ac:dyDescent="0.35">
      <c r="A55" s="358" t="s">
        <v>327</v>
      </c>
      <c r="B55" s="983">
        <f>GETPIVOTDATA("Sum of WholeTime Operational",StaffingPivot!$A$22,"Year",A55)</f>
        <v>3419.08</v>
      </c>
      <c r="C55" s="983">
        <f>GETPIVOTDATA("Sum of Retained Duty System",StaffingPivot!$A$22,"Year",A55)</f>
        <v>2289.77</v>
      </c>
      <c r="D55" s="610">
        <f>GETPIVOTDATA("Sum of RDS Fulltime",StaffingPivot!$A$22,"Year",A55)</f>
        <v>55</v>
      </c>
      <c r="E55" s="983">
        <f>GETPIVOTDATA("Sum of Control",StaffingPivot!$A$22,"Year",A55)</f>
        <v>166.21</v>
      </c>
      <c r="F55" s="983">
        <f>GETPIVOTDATA("Sum of Support",StaffingPivot!$A$22,"Year",A55)</f>
        <v>829.4</v>
      </c>
      <c r="G55" s="984">
        <f>SUM(B55:F55)</f>
        <v>6759.46</v>
      </c>
      <c r="I55" s="22"/>
      <c r="J55" s="22"/>
      <c r="K55" s="7"/>
      <c r="U55" s="396"/>
    </row>
    <row r="56" spans="1:1621" ht="15" customHeight="1" thickBot="1" x14ac:dyDescent="0.4">
      <c r="A56" s="810" t="s">
        <v>466</v>
      </c>
      <c r="B56" s="811">
        <f>GETPIVOTDATA("Sum of WholeTime Operational",StaffingPivot!$A$22,"Year",A56)</f>
        <v>3427.08</v>
      </c>
      <c r="C56" s="811">
        <f>GETPIVOTDATA("Sum of Retained Duty System",StaffingPivot!$A$22,"Year",A56)</f>
        <v>2293.9200000000005</v>
      </c>
      <c r="D56" s="809">
        <f>GETPIVOTDATA("Sum of RDS Fulltime",StaffingPivot!$A$22,"Year",A56)</f>
        <v>57</v>
      </c>
      <c r="E56" s="811">
        <f>GETPIVOTDATA("Sum of Control",StaffingPivot!$A$22,"Year",A56)</f>
        <v>167.69</v>
      </c>
      <c r="F56" s="811">
        <f>GETPIVOTDATA("Sum of Support",StaffingPivot!$A$22,"Year",A56)</f>
        <v>853.58999999999992</v>
      </c>
      <c r="G56" s="812">
        <f>SUM(B56:F56)</f>
        <v>6799.28</v>
      </c>
      <c r="I56" s="22"/>
      <c r="J56" s="22"/>
      <c r="K56" s="7"/>
      <c r="U56" s="396"/>
    </row>
    <row r="57" spans="1:1621" ht="15" customHeight="1" x14ac:dyDescent="0.35">
      <c r="A57" s="6"/>
      <c r="B57" s="622"/>
      <c r="C57" s="622"/>
      <c r="D57" s="622"/>
      <c r="E57" s="622"/>
      <c r="F57" s="622"/>
      <c r="G57" s="18"/>
      <c r="I57" s="22"/>
      <c r="J57" s="22"/>
      <c r="K57" s="7"/>
      <c r="U57" s="396"/>
    </row>
    <row r="58" spans="1:1621" ht="15" customHeight="1" x14ac:dyDescent="0.35">
      <c r="A58" s="650" t="str">
        <f>"One Year Change "&amp; A55 &amp;" to " &amp; A56</f>
        <v>One Year Change 2023-24 to 2024-25</v>
      </c>
      <c r="B58" s="650"/>
      <c r="C58" s="650"/>
      <c r="D58" s="650"/>
      <c r="E58" s="20"/>
      <c r="F58" s="20"/>
      <c r="G58" s="20"/>
      <c r="I58" s="270"/>
      <c r="J58" s="270"/>
      <c r="K58" s="7"/>
      <c r="U58" s="396"/>
    </row>
    <row r="59" spans="1:1621" ht="15" customHeight="1" x14ac:dyDescent="0.35">
      <c r="A59" s="21" t="s">
        <v>346</v>
      </c>
      <c r="B59" s="9">
        <f>B56-B55</f>
        <v>8</v>
      </c>
      <c r="C59" s="9">
        <f t="shared" ref="C59:G59" si="9">C56-C55</f>
        <v>4.1500000000005457</v>
      </c>
      <c r="D59" s="9">
        <f t="shared" si="9"/>
        <v>2</v>
      </c>
      <c r="E59" s="9">
        <f t="shared" si="9"/>
        <v>1.4799999999999898</v>
      </c>
      <c r="F59" s="9">
        <f t="shared" si="9"/>
        <v>24.189999999999941</v>
      </c>
      <c r="G59" s="9">
        <f t="shared" si="9"/>
        <v>39.819999999999709</v>
      </c>
      <c r="I59" s="15"/>
      <c r="J59" s="24"/>
      <c r="K59" s="7"/>
      <c r="U59" s="396"/>
    </row>
    <row r="60" spans="1:1621" ht="15" customHeight="1" thickBot="1" x14ac:dyDescent="0.4">
      <c r="A60" s="10" t="s">
        <v>92</v>
      </c>
      <c r="B60" s="269">
        <f>B59/B55</f>
        <v>2.3398107093136164E-3</v>
      </c>
      <c r="C60" s="269">
        <f t="shared" ref="C60:G60" si="10">C59/C55</f>
        <v>1.8124091065917301E-3</v>
      </c>
      <c r="D60" s="269">
        <f t="shared" si="10"/>
        <v>3.6363636363636362E-2</v>
      </c>
      <c r="E60" s="269">
        <f t="shared" si="10"/>
        <v>8.9043980506587437E-3</v>
      </c>
      <c r="F60" s="269">
        <f t="shared" si="10"/>
        <v>2.9165661924282542E-2</v>
      </c>
      <c r="G60" s="269">
        <f t="shared" si="10"/>
        <v>5.8910031274687193E-3</v>
      </c>
      <c r="I60" s="15"/>
      <c r="J60" s="24"/>
      <c r="K60" s="15"/>
      <c r="U60" s="396"/>
    </row>
    <row r="61" spans="1:1621" ht="15" customHeight="1" x14ac:dyDescent="0.35">
      <c r="A61" s="23"/>
      <c r="B61" s="15"/>
      <c r="C61" s="15"/>
      <c r="D61" s="15"/>
      <c r="E61" s="15"/>
      <c r="F61" s="15"/>
      <c r="G61" s="15"/>
      <c r="I61" s="15"/>
      <c r="J61" s="24"/>
      <c r="K61" s="15"/>
      <c r="U61" s="396"/>
    </row>
    <row r="62" spans="1:1621" ht="15" customHeight="1" x14ac:dyDescent="0.35">
      <c r="A62" s="650" t="str">
        <f>"Five Year Change "&amp;A51&amp;" to " &amp; A56</f>
        <v>Five Year Change 2019-20 to 2024-25</v>
      </c>
      <c r="B62" s="650"/>
      <c r="C62" s="650"/>
      <c r="D62" s="650"/>
      <c r="E62" s="20"/>
      <c r="F62" s="20"/>
      <c r="G62" s="20"/>
      <c r="I62" s="15"/>
      <c r="J62" s="24"/>
      <c r="K62" s="15"/>
      <c r="U62" s="396"/>
    </row>
    <row r="63" spans="1:1621" ht="15" customHeight="1" x14ac:dyDescent="0.35">
      <c r="A63" s="21" t="s">
        <v>346</v>
      </c>
      <c r="B63" s="9">
        <f>B56-B51</f>
        <v>-206.84999999999991</v>
      </c>
      <c r="C63" s="9">
        <f t="shared" ref="C63:G63" si="11">C56-C51</f>
        <v>-257.80999999999949</v>
      </c>
      <c r="D63" s="9">
        <f t="shared" si="11"/>
        <v>21</v>
      </c>
      <c r="E63" s="9">
        <f t="shared" si="11"/>
        <v>-16.139999999999986</v>
      </c>
      <c r="F63" s="9">
        <f t="shared" si="11"/>
        <v>89.189999999999941</v>
      </c>
      <c r="G63" s="9">
        <f t="shared" si="11"/>
        <v>-370.60999999999967</v>
      </c>
      <c r="H63" s="15"/>
      <c r="I63" s="15"/>
      <c r="J63" s="24"/>
      <c r="K63" s="24"/>
      <c r="U63" s="396"/>
    </row>
    <row r="64" spans="1:1621" ht="15" customHeight="1" thickBot="1" x14ac:dyDescent="0.4">
      <c r="A64" s="10" t="s">
        <v>92</v>
      </c>
      <c r="B64" s="269">
        <f>B63/B51</f>
        <v>-5.6921844944729239E-2</v>
      </c>
      <c r="C64" s="269">
        <f t="shared" ref="C64:G64" si="12">C63/C51</f>
        <v>-0.10103341654485368</v>
      </c>
      <c r="D64" s="269">
        <f t="shared" si="12"/>
        <v>0.58333333333333337</v>
      </c>
      <c r="E64" s="269">
        <f t="shared" si="12"/>
        <v>-8.7798509492465801E-2</v>
      </c>
      <c r="F64" s="269">
        <f t="shared" si="12"/>
        <v>0.11667974882260589</v>
      </c>
      <c r="G64" s="269">
        <f t="shared" si="12"/>
        <v>-5.168977487799669E-2</v>
      </c>
      <c r="K64" s="24"/>
      <c r="U64" s="396"/>
    </row>
    <row r="65" spans="1:21" ht="15" customHeight="1" x14ac:dyDescent="0.35">
      <c r="A65" s="23"/>
      <c r="B65" s="15"/>
      <c r="C65" s="15"/>
      <c r="D65" s="15"/>
      <c r="E65" s="15"/>
      <c r="F65" s="15"/>
      <c r="G65" s="7"/>
      <c r="H65" s="649"/>
      <c r="I65" s="649"/>
      <c r="J65" s="649"/>
      <c r="K65" s="24"/>
      <c r="U65" s="396"/>
    </row>
    <row r="66" spans="1:21" ht="15" customHeight="1" x14ac:dyDescent="0.35">
      <c r="A66" s="312" t="s">
        <v>329</v>
      </c>
      <c r="H66" s="649"/>
      <c r="I66" s="649"/>
      <c r="J66" s="649"/>
      <c r="K66" s="24"/>
      <c r="U66" s="396"/>
    </row>
    <row r="67" spans="1:21" ht="17.5" customHeight="1" x14ac:dyDescent="0.35">
      <c r="A67" s="1022" t="s">
        <v>522</v>
      </c>
      <c r="B67" s="1022"/>
      <c r="C67" s="1022"/>
      <c r="D67" s="1022"/>
      <c r="E67" s="1022"/>
      <c r="F67" s="1022"/>
      <c r="G67" s="1022"/>
      <c r="H67" s="1022"/>
      <c r="K67" s="24"/>
      <c r="U67" s="396"/>
    </row>
    <row r="68" spans="1:21" x14ac:dyDescent="0.35">
      <c r="A68" t="s">
        <v>523</v>
      </c>
      <c r="K68" s="24"/>
      <c r="L68" s="396"/>
      <c r="M68" s="396"/>
      <c r="N68" s="396"/>
      <c r="O68" s="396"/>
      <c r="P68" s="396"/>
      <c r="Q68" s="396"/>
      <c r="R68" s="396"/>
      <c r="S68" s="396"/>
      <c r="T68" s="396"/>
      <c r="U68" s="396"/>
    </row>
    <row r="69" spans="1:21" ht="15" customHeight="1" x14ac:dyDescent="0.35">
      <c r="A69" s="370" t="s">
        <v>524</v>
      </c>
      <c r="E69" s="370"/>
      <c r="H69" s="571"/>
      <c r="I69" s="571"/>
      <c r="J69" s="571"/>
      <c r="K69" s="24"/>
      <c r="L69" s="396"/>
      <c r="M69" s="396"/>
      <c r="N69" s="396"/>
      <c r="O69" s="396"/>
      <c r="P69" s="396"/>
      <c r="Q69" s="396"/>
      <c r="R69" s="396"/>
      <c r="S69" s="396"/>
      <c r="T69" s="396"/>
      <c r="U69" s="396"/>
    </row>
    <row r="70" spans="1:21" ht="30.65" customHeight="1" x14ac:dyDescent="0.35">
      <c r="A70" s="1020" t="s">
        <v>519</v>
      </c>
      <c r="B70" s="1020"/>
      <c r="C70" s="1020"/>
      <c r="D70" s="1020"/>
      <c r="E70" s="1020"/>
      <c r="F70" s="1020"/>
      <c r="G70" s="1020"/>
      <c r="K70" s="15"/>
      <c r="L70" s="396"/>
      <c r="M70" s="396"/>
      <c r="N70" s="396"/>
      <c r="O70" s="396"/>
      <c r="P70" s="396"/>
      <c r="Q70" s="396"/>
      <c r="R70" s="396"/>
      <c r="S70" s="396"/>
      <c r="T70" s="396"/>
      <c r="U70" s="396"/>
    </row>
    <row r="71" spans="1:21" x14ac:dyDescent="0.35">
      <c r="K71" s="15"/>
      <c r="L71" s="396"/>
      <c r="M71" s="396"/>
      <c r="N71" s="396"/>
      <c r="O71" s="396"/>
      <c r="P71" s="396"/>
      <c r="Q71" s="396"/>
      <c r="R71" s="396"/>
      <c r="S71" s="396"/>
      <c r="T71" s="396"/>
      <c r="U71" s="396"/>
    </row>
    <row r="72" spans="1:21" x14ac:dyDescent="0.35">
      <c r="K72" s="24"/>
      <c r="L72" s="396"/>
      <c r="M72" s="396"/>
      <c r="N72" s="396"/>
      <c r="O72" s="396"/>
      <c r="P72" s="396"/>
      <c r="Q72" s="396"/>
      <c r="R72" s="396"/>
      <c r="S72" s="396"/>
      <c r="T72" s="396"/>
      <c r="U72" s="396"/>
    </row>
    <row r="73" spans="1:21" ht="14.15" customHeight="1" x14ac:dyDescent="0.35">
      <c r="K73" s="24"/>
      <c r="L73" s="396"/>
      <c r="M73" s="396"/>
      <c r="N73" s="396"/>
      <c r="O73" s="396"/>
      <c r="P73" s="396"/>
      <c r="Q73" s="396"/>
      <c r="R73" s="396"/>
      <c r="S73" s="396"/>
      <c r="T73" s="396"/>
      <c r="U73" s="396"/>
    </row>
    <row r="74" spans="1:21" ht="15.75" customHeight="1" x14ac:dyDescent="0.35">
      <c r="K74" s="15"/>
      <c r="L74" s="396"/>
      <c r="M74" s="396"/>
      <c r="N74" s="396"/>
      <c r="O74" s="396"/>
      <c r="P74" s="396"/>
      <c r="Q74" s="396"/>
      <c r="R74" s="396"/>
      <c r="S74" s="396"/>
      <c r="T74" s="396"/>
      <c r="U74" s="396"/>
    </row>
    <row r="75" spans="1:21" x14ac:dyDescent="0.35">
      <c r="K75" s="15"/>
      <c r="L75" s="396"/>
      <c r="M75" s="396"/>
      <c r="N75" s="396"/>
      <c r="O75" s="396"/>
      <c r="P75" s="396"/>
      <c r="Q75" s="396"/>
      <c r="R75" s="396"/>
      <c r="S75" s="396"/>
      <c r="T75" s="396"/>
      <c r="U75" s="396"/>
    </row>
    <row r="76" spans="1:21" x14ac:dyDescent="0.35">
      <c r="L76" s="396"/>
      <c r="M76" s="396"/>
      <c r="N76" s="396"/>
      <c r="O76" s="396"/>
      <c r="P76" s="396"/>
      <c r="Q76" s="396"/>
      <c r="R76" s="396"/>
      <c r="S76" s="396"/>
      <c r="T76" s="396"/>
      <c r="U76" s="396"/>
    </row>
    <row r="77" spans="1:21" x14ac:dyDescent="0.35">
      <c r="L77" s="396"/>
      <c r="M77" s="396"/>
      <c r="N77" s="396"/>
      <c r="O77" s="396"/>
      <c r="P77" s="396"/>
      <c r="Q77" s="396"/>
      <c r="R77" s="396"/>
      <c r="S77" s="396"/>
      <c r="T77" s="396"/>
      <c r="U77" s="396"/>
    </row>
    <row r="78" spans="1:21" x14ac:dyDescent="0.35">
      <c r="L78" s="396"/>
      <c r="M78" s="396"/>
      <c r="N78" s="396"/>
      <c r="O78" s="396"/>
      <c r="P78" s="396"/>
      <c r="Q78" s="396"/>
      <c r="R78" s="396"/>
      <c r="S78" s="396"/>
      <c r="T78" s="396"/>
      <c r="U78" s="396"/>
    </row>
    <row r="79" spans="1:21" x14ac:dyDescent="0.35">
      <c r="L79" s="396"/>
      <c r="M79" s="396"/>
      <c r="N79" s="396"/>
      <c r="O79" s="396"/>
      <c r="P79" s="396"/>
      <c r="Q79" s="396"/>
      <c r="R79" s="396"/>
      <c r="S79" s="396"/>
      <c r="T79" s="396"/>
      <c r="U79" s="396"/>
    </row>
    <row r="80" spans="1:21" x14ac:dyDescent="0.35">
      <c r="L80" s="396"/>
      <c r="M80" s="396"/>
      <c r="N80" s="396"/>
      <c r="O80" s="396"/>
      <c r="P80" s="396"/>
      <c r="Q80" s="396"/>
      <c r="R80" s="396"/>
      <c r="S80" s="396"/>
      <c r="T80" s="396"/>
      <c r="U80" s="396"/>
    </row>
  </sheetData>
  <sheetProtection algorithmName="SHA-512" hashValue="J2zPEq6X9rcRCn3Bhe1gIizJfK74lbfPPFMIi4fgviQE9OROkkv5aKF9UR5eQC3Xg8MEqO88c5OgaDTW9MpMFA==" saltValue="zECovnpaolHnRFBjQRi6Pw==" spinCount="100000" sheet="1" scenarios="1" formatCells="0" sort="0" autoFilter="0" pivotTables="0"/>
  <mergeCells count="1824">
    <mergeCell ref="A67:H67"/>
    <mergeCell ref="A35:D35"/>
    <mergeCell ref="GR45:GZ45"/>
    <mergeCell ref="HA45:HI45"/>
    <mergeCell ref="HJ45:HR45"/>
    <mergeCell ref="CN45:CV45"/>
    <mergeCell ref="CW45:DE45"/>
    <mergeCell ref="DF45:DN45"/>
    <mergeCell ref="DO45:DW45"/>
    <mergeCell ref="DX45:EF45"/>
    <mergeCell ref="AU45:BC45"/>
    <mergeCell ref="BD45:BL45"/>
    <mergeCell ref="BM45:BU45"/>
    <mergeCell ref="BV45:CD45"/>
    <mergeCell ref="CE45:CM45"/>
    <mergeCell ref="A1:J1"/>
    <mergeCell ref="K45:S45"/>
    <mergeCell ref="T45:AB45"/>
    <mergeCell ref="AC45:AK45"/>
    <mergeCell ref="AL45:AT45"/>
    <mergeCell ref="A34:G34"/>
    <mergeCell ref="OQ45:OY45"/>
    <mergeCell ref="OZ45:PH45"/>
    <mergeCell ref="PI45:PQ45"/>
    <mergeCell ref="PR45:PZ45"/>
    <mergeCell ref="QA45:QI45"/>
    <mergeCell ref="MX45:NF45"/>
    <mergeCell ref="NG45:NO45"/>
    <mergeCell ref="NP45:NX45"/>
    <mergeCell ref="NY45:OG45"/>
    <mergeCell ref="OH45:OP45"/>
    <mergeCell ref="LE45:LM45"/>
    <mergeCell ref="EG45:EO45"/>
    <mergeCell ref="EP45:EX45"/>
    <mergeCell ref="EY45:FG45"/>
    <mergeCell ref="FH45:FP45"/>
    <mergeCell ref="FQ45:FY45"/>
    <mergeCell ref="LN45:LV45"/>
    <mergeCell ref="LW45:ME45"/>
    <mergeCell ref="MF45:MN45"/>
    <mergeCell ref="MO45:MW45"/>
    <mergeCell ref="JL45:JT45"/>
    <mergeCell ref="JU45:KC45"/>
    <mergeCell ref="KD45:KL45"/>
    <mergeCell ref="KM45:KU45"/>
    <mergeCell ref="KV45:LD45"/>
    <mergeCell ref="HS45:IA45"/>
    <mergeCell ref="IB45:IJ45"/>
    <mergeCell ref="IK45:IS45"/>
    <mergeCell ref="IT45:JB45"/>
    <mergeCell ref="JC45:JK45"/>
    <mergeCell ref="FZ45:GH45"/>
    <mergeCell ref="GI45:GQ45"/>
    <mergeCell ref="VO45:VW45"/>
    <mergeCell ref="VX45:WF45"/>
    <mergeCell ref="WG45:WO45"/>
    <mergeCell ref="WP45:WX45"/>
    <mergeCell ref="WY45:XG45"/>
    <mergeCell ref="TV45:UD45"/>
    <mergeCell ref="UE45:UM45"/>
    <mergeCell ref="UN45:UV45"/>
    <mergeCell ref="UW45:VE45"/>
    <mergeCell ref="VF45:VN45"/>
    <mergeCell ref="SC45:SK45"/>
    <mergeCell ref="SL45:ST45"/>
    <mergeCell ref="SU45:TC45"/>
    <mergeCell ref="TD45:TL45"/>
    <mergeCell ref="TM45:TU45"/>
    <mergeCell ref="QJ45:QR45"/>
    <mergeCell ref="QS45:RA45"/>
    <mergeCell ref="RB45:RJ45"/>
    <mergeCell ref="RK45:RS45"/>
    <mergeCell ref="RT45:SB45"/>
    <mergeCell ref="ACM45:ACU45"/>
    <mergeCell ref="ACV45:ADD45"/>
    <mergeCell ref="ADE45:ADM45"/>
    <mergeCell ref="ADN45:ADV45"/>
    <mergeCell ref="ADW45:AEE45"/>
    <mergeCell ref="AAT45:ABB45"/>
    <mergeCell ref="ABC45:ABK45"/>
    <mergeCell ref="ABL45:ABT45"/>
    <mergeCell ref="ABU45:ACC45"/>
    <mergeCell ref="ACD45:ACL45"/>
    <mergeCell ref="ZA45:ZI45"/>
    <mergeCell ref="ZJ45:ZR45"/>
    <mergeCell ref="ZS45:AAA45"/>
    <mergeCell ref="AAB45:AAJ45"/>
    <mergeCell ref="AAK45:AAS45"/>
    <mergeCell ref="XH45:XP45"/>
    <mergeCell ref="XQ45:XY45"/>
    <mergeCell ref="XZ45:YH45"/>
    <mergeCell ref="YI45:YQ45"/>
    <mergeCell ref="YR45:YZ45"/>
    <mergeCell ref="AJK45:AJS45"/>
    <mergeCell ref="AJT45:AKB45"/>
    <mergeCell ref="AKC45:AKK45"/>
    <mergeCell ref="AKL45:AKT45"/>
    <mergeCell ref="AKU45:ALC45"/>
    <mergeCell ref="AHR45:AHZ45"/>
    <mergeCell ref="AIA45:AII45"/>
    <mergeCell ref="AIJ45:AIR45"/>
    <mergeCell ref="AIS45:AJA45"/>
    <mergeCell ref="AJB45:AJJ45"/>
    <mergeCell ref="AFY45:AGG45"/>
    <mergeCell ref="AGH45:AGP45"/>
    <mergeCell ref="AGQ45:AGY45"/>
    <mergeCell ref="AGZ45:AHH45"/>
    <mergeCell ref="AHI45:AHQ45"/>
    <mergeCell ref="AEF45:AEN45"/>
    <mergeCell ref="AEO45:AEW45"/>
    <mergeCell ref="AEX45:AFF45"/>
    <mergeCell ref="AFG45:AFO45"/>
    <mergeCell ref="AFP45:AFX45"/>
    <mergeCell ref="AQI45:AQQ45"/>
    <mergeCell ref="AQR45:AQZ45"/>
    <mergeCell ref="ARA45:ARI45"/>
    <mergeCell ref="ARJ45:ARR45"/>
    <mergeCell ref="ARS45:ASA45"/>
    <mergeCell ref="AOP45:AOX45"/>
    <mergeCell ref="AOY45:APG45"/>
    <mergeCell ref="APH45:APP45"/>
    <mergeCell ref="APQ45:APY45"/>
    <mergeCell ref="APZ45:AQH45"/>
    <mergeCell ref="AMW45:ANE45"/>
    <mergeCell ref="ANF45:ANN45"/>
    <mergeCell ref="ANO45:ANW45"/>
    <mergeCell ref="ANX45:AOF45"/>
    <mergeCell ref="AOG45:AOO45"/>
    <mergeCell ref="ALD45:ALL45"/>
    <mergeCell ref="ALM45:ALU45"/>
    <mergeCell ref="ALV45:AMD45"/>
    <mergeCell ref="AME45:AMM45"/>
    <mergeCell ref="AMN45:AMV45"/>
    <mergeCell ref="AXG45:AXO45"/>
    <mergeCell ref="AXP45:AXX45"/>
    <mergeCell ref="AXY45:AYG45"/>
    <mergeCell ref="AYH45:AYP45"/>
    <mergeCell ref="AYQ45:AYY45"/>
    <mergeCell ref="AVN45:AVV45"/>
    <mergeCell ref="AVW45:AWE45"/>
    <mergeCell ref="AWF45:AWN45"/>
    <mergeCell ref="AWO45:AWW45"/>
    <mergeCell ref="AWX45:AXF45"/>
    <mergeCell ref="ATU45:AUC45"/>
    <mergeCell ref="AUD45:AUL45"/>
    <mergeCell ref="AUM45:AUU45"/>
    <mergeCell ref="AUV45:AVD45"/>
    <mergeCell ref="AVE45:AVM45"/>
    <mergeCell ref="ASB45:ASJ45"/>
    <mergeCell ref="ASK45:ASS45"/>
    <mergeCell ref="AST45:ATB45"/>
    <mergeCell ref="ATC45:ATK45"/>
    <mergeCell ref="ATL45:ATT45"/>
    <mergeCell ref="BEE45:BEM45"/>
    <mergeCell ref="BEN45:BEV45"/>
    <mergeCell ref="BEW45:BFE45"/>
    <mergeCell ref="BFF45:BFN45"/>
    <mergeCell ref="BFO45:BFW45"/>
    <mergeCell ref="BCL45:BCT45"/>
    <mergeCell ref="BCU45:BDC45"/>
    <mergeCell ref="BDD45:BDL45"/>
    <mergeCell ref="BDM45:BDU45"/>
    <mergeCell ref="BDV45:BED45"/>
    <mergeCell ref="BAS45:BBA45"/>
    <mergeCell ref="BBB45:BBJ45"/>
    <mergeCell ref="BBK45:BBS45"/>
    <mergeCell ref="BBT45:BCB45"/>
    <mergeCell ref="BCC45:BCK45"/>
    <mergeCell ref="AYZ45:AZH45"/>
    <mergeCell ref="AZI45:AZQ45"/>
    <mergeCell ref="AZR45:AZZ45"/>
    <mergeCell ref="BAA45:BAI45"/>
    <mergeCell ref="BAJ45:BAR45"/>
    <mergeCell ref="BLC45:BLK45"/>
    <mergeCell ref="BLL45:BLT45"/>
    <mergeCell ref="BLU45:BMC45"/>
    <mergeCell ref="BMD45:BML45"/>
    <mergeCell ref="BMM45:BMU45"/>
    <mergeCell ref="BJJ45:BJR45"/>
    <mergeCell ref="BJS45:BKA45"/>
    <mergeCell ref="BKB45:BKJ45"/>
    <mergeCell ref="BKK45:BKS45"/>
    <mergeCell ref="BKT45:BLB45"/>
    <mergeCell ref="BHQ45:BHY45"/>
    <mergeCell ref="BHZ45:BIH45"/>
    <mergeCell ref="BII45:BIQ45"/>
    <mergeCell ref="BIR45:BIZ45"/>
    <mergeCell ref="BJA45:BJI45"/>
    <mergeCell ref="BFX45:BGF45"/>
    <mergeCell ref="BGG45:BGO45"/>
    <mergeCell ref="BGP45:BGX45"/>
    <mergeCell ref="BGY45:BHG45"/>
    <mergeCell ref="BHH45:BHP45"/>
    <mergeCell ref="BSA45:BSI45"/>
    <mergeCell ref="BSJ45:BSR45"/>
    <mergeCell ref="BSS45:BTA45"/>
    <mergeCell ref="BTB45:BTJ45"/>
    <mergeCell ref="BTK45:BTS45"/>
    <mergeCell ref="BQH45:BQP45"/>
    <mergeCell ref="BQQ45:BQY45"/>
    <mergeCell ref="BQZ45:BRH45"/>
    <mergeCell ref="BRI45:BRQ45"/>
    <mergeCell ref="BRR45:BRZ45"/>
    <mergeCell ref="BOO45:BOW45"/>
    <mergeCell ref="BOX45:BPF45"/>
    <mergeCell ref="BPG45:BPO45"/>
    <mergeCell ref="BPP45:BPX45"/>
    <mergeCell ref="BPY45:BQG45"/>
    <mergeCell ref="BMV45:BND45"/>
    <mergeCell ref="BNE45:BNM45"/>
    <mergeCell ref="BNN45:BNV45"/>
    <mergeCell ref="BNW45:BOE45"/>
    <mergeCell ref="BOF45:BON45"/>
    <mergeCell ref="BYY45:BZG45"/>
    <mergeCell ref="BZH45:BZP45"/>
    <mergeCell ref="BZQ45:BZY45"/>
    <mergeCell ref="BZZ45:CAH45"/>
    <mergeCell ref="CAI45:CAQ45"/>
    <mergeCell ref="BXF45:BXN45"/>
    <mergeCell ref="BXO45:BXW45"/>
    <mergeCell ref="BXX45:BYF45"/>
    <mergeCell ref="BYG45:BYO45"/>
    <mergeCell ref="BYP45:BYX45"/>
    <mergeCell ref="BVM45:BVU45"/>
    <mergeCell ref="BVV45:BWD45"/>
    <mergeCell ref="BWE45:BWM45"/>
    <mergeCell ref="BWN45:BWV45"/>
    <mergeCell ref="BWW45:BXE45"/>
    <mergeCell ref="BTT45:BUB45"/>
    <mergeCell ref="BUC45:BUK45"/>
    <mergeCell ref="BUL45:BUT45"/>
    <mergeCell ref="BUU45:BVC45"/>
    <mergeCell ref="BVD45:BVL45"/>
    <mergeCell ref="CFW45:CGE45"/>
    <mergeCell ref="CGF45:CGN45"/>
    <mergeCell ref="CGO45:CGW45"/>
    <mergeCell ref="CGX45:CHF45"/>
    <mergeCell ref="CHG45:CHO45"/>
    <mergeCell ref="CED45:CEL45"/>
    <mergeCell ref="CEM45:CEU45"/>
    <mergeCell ref="CEV45:CFD45"/>
    <mergeCell ref="CFE45:CFM45"/>
    <mergeCell ref="CFN45:CFV45"/>
    <mergeCell ref="CCK45:CCS45"/>
    <mergeCell ref="CCT45:CDB45"/>
    <mergeCell ref="CDC45:CDK45"/>
    <mergeCell ref="CDL45:CDT45"/>
    <mergeCell ref="CDU45:CEC45"/>
    <mergeCell ref="CAR45:CAZ45"/>
    <mergeCell ref="CBA45:CBI45"/>
    <mergeCell ref="CBJ45:CBR45"/>
    <mergeCell ref="CBS45:CCA45"/>
    <mergeCell ref="CCB45:CCJ45"/>
    <mergeCell ref="CMU45:CNC45"/>
    <mergeCell ref="CND45:CNL45"/>
    <mergeCell ref="CNM45:CNU45"/>
    <mergeCell ref="CNV45:COD45"/>
    <mergeCell ref="COE45:COM45"/>
    <mergeCell ref="CLB45:CLJ45"/>
    <mergeCell ref="CLK45:CLS45"/>
    <mergeCell ref="CLT45:CMB45"/>
    <mergeCell ref="CMC45:CMK45"/>
    <mergeCell ref="CML45:CMT45"/>
    <mergeCell ref="CJI45:CJQ45"/>
    <mergeCell ref="CJR45:CJZ45"/>
    <mergeCell ref="CKA45:CKI45"/>
    <mergeCell ref="CKJ45:CKR45"/>
    <mergeCell ref="CKS45:CLA45"/>
    <mergeCell ref="CHP45:CHX45"/>
    <mergeCell ref="CHY45:CIG45"/>
    <mergeCell ref="CIH45:CIP45"/>
    <mergeCell ref="CIQ45:CIY45"/>
    <mergeCell ref="CIZ45:CJH45"/>
    <mergeCell ref="CTS45:CUA45"/>
    <mergeCell ref="CUB45:CUJ45"/>
    <mergeCell ref="CUK45:CUS45"/>
    <mergeCell ref="CUT45:CVB45"/>
    <mergeCell ref="CVC45:CVK45"/>
    <mergeCell ref="CRZ45:CSH45"/>
    <mergeCell ref="CSI45:CSQ45"/>
    <mergeCell ref="CSR45:CSZ45"/>
    <mergeCell ref="CTA45:CTI45"/>
    <mergeCell ref="CTJ45:CTR45"/>
    <mergeCell ref="CQG45:CQO45"/>
    <mergeCell ref="CQP45:CQX45"/>
    <mergeCell ref="CQY45:CRG45"/>
    <mergeCell ref="CRH45:CRP45"/>
    <mergeCell ref="CRQ45:CRY45"/>
    <mergeCell ref="CON45:COV45"/>
    <mergeCell ref="COW45:CPE45"/>
    <mergeCell ref="CPF45:CPN45"/>
    <mergeCell ref="CPO45:CPW45"/>
    <mergeCell ref="CPX45:CQF45"/>
    <mergeCell ref="DAQ45:DAY45"/>
    <mergeCell ref="DAZ45:DBH45"/>
    <mergeCell ref="DBI45:DBQ45"/>
    <mergeCell ref="DBR45:DBZ45"/>
    <mergeCell ref="DCA45:DCI45"/>
    <mergeCell ref="CYX45:CZF45"/>
    <mergeCell ref="CZG45:CZO45"/>
    <mergeCell ref="CZP45:CZX45"/>
    <mergeCell ref="CZY45:DAG45"/>
    <mergeCell ref="DAH45:DAP45"/>
    <mergeCell ref="CXE45:CXM45"/>
    <mergeCell ref="CXN45:CXV45"/>
    <mergeCell ref="CXW45:CYE45"/>
    <mergeCell ref="CYF45:CYN45"/>
    <mergeCell ref="CYO45:CYW45"/>
    <mergeCell ref="CVL45:CVT45"/>
    <mergeCell ref="CVU45:CWC45"/>
    <mergeCell ref="CWD45:CWL45"/>
    <mergeCell ref="CWM45:CWU45"/>
    <mergeCell ref="CWV45:CXD45"/>
    <mergeCell ref="DHO45:DHW45"/>
    <mergeCell ref="DHX45:DIF45"/>
    <mergeCell ref="DIG45:DIO45"/>
    <mergeCell ref="DIP45:DIX45"/>
    <mergeCell ref="DIY45:DJG45"/>
    <mergeCell ref="DFV45:DGD45"/>
    <mergeCell ref="DGE45:DGM45"/>
    <mergeCell ref="DGN45:DGV45"/>
    <mergeCell ref="DGW45:DHE45"/>
    <mergeCell ref="DHF45:DHN45"/>
    <mergeCell ref="DEC45:DEK45"/>
    <mergeCell ref="DEL45:DET45"/>
    <mergeCell ref="DEU45:DFC45"/>
    <mergeCell ref="DFD45:DFL45"/>
    <mergeCell ref="DFM45:DFU45"/>
    <mergeCell ref="DCJ45:DCR45"/>
    <mergeCell ref="DCS45:DDA45"/>
    <mergeCell ref="DDB45:DDJ45"/>
    <mergeCell ref="DDK45:DDS45"/>
    <mergeCell ref="DDT45:DEB45"/>
    <mergeCell ref="DOM45:DOU45"/>
    <mergeCell ref="DOV45:DPD45"/>
    <mergeCell ref="DPE45:DPM45"/>
    <mergeCell ref="DPN45:DPV45"/>
    <mergeCell ref="DPW45:DQE45"/>
    <mergeCell ref="DMT45:DNB45"/>
    <mergeCell ref="DNC45:DNK45"/>
    <mergeCell ref="DNL45:DNT45"/>
    <mergeCell ref="DNU45:DOC45"/>
    <mergeCell ref="DOD45:DOL45"/>
    <mergeCell ref="DLA45:DLI45"/>
    <mergeCell ref="DLJ45:DLR45"/>
    <mergeCell ref="DLS45:DMA45"/>
    <mergeCell ref="DMB45:DMJ45"/>
    <mergeCell ref="DMK45:DMS45"/>
    <mergeCell ref="DJH45:DJP45"/>
    <mergeCell ref="DJQ45:DJY45"/>
    <mergeCell ref="DJZ45:DKH45"/>
    <mergeCell ref="DKI45:DKQ45"/>
    <mergeCell ref="DKR45:DKZ45"/>
    <mergeCell ref="DVK45:DVS45"/>
    <mergeCell ref="DVT45:DWB45"/>
    <mergeCell ref="DWC45:DWK45"/>
    <mergeCell ref="DWL45:DWT45"/>
    <mergeCell ref="DWU45:DXC45"/>
    <mergeCell ref="DTR45:DTZ45"/>
    <mergeCell ref="DUA45:DUI45"/>
    <mergeCell ref="DUJ45:DUR45"/>
    <mergeCell ref="DUS45:DVA45"/>
    <mergeCell ref="DVB45:DVJ45"/>
    <mergeCell ref="DRY45:DSG45"/>
    <mergeCell ref="DSH45:DSP45"/>
    <mergeCell ref="DSQ45:DSY45"/>
    <mergeCell ref="DSZ45:DTH45"/>
    <mergeCell ref="DTI45:DTQ45"/>
    <mergeCell ref="DQF45:DQN45"/>
    <mergeCell ref="DQO45:DQW45"/>
    <mergeCell ref="DQX45:DRF45"/>
    <mergeCell ref="DRG45:DRO45"/>
    <mergeCell ref="DRP45:DRX45"/>
    <mergeCell ref="ECI45:ECQ45"/>
    <mergeCell ref="ECR45:ECZ45"/>
    <mergeCell ref="EDA45:EDI45"/>
    <mergeCell ref="EDJ45:EDR45"/>
    <mergeCell ref="EDS45:EEA45"/>
    <mergeCell ref="EAP45:EAX45"/>
    <mergeCell ref="EAY45:EBG45"/>
    <mergeCell ref="EBH45:EBP45"/>
    <mergeCell ref="EBQ45:EBY45"/>
    <mergeCell ref="EBZ45:ECH45"/>
    <mergeCell ref="DYW45:DZE45"/>
    <mergeCell ref="DZF45:DZN45"/>
    <mergeCell ref="DZO45:DZW45"/>
    <mergeCell ref="DZX45:EAF45"/>
    <mergeCell ref="EAG45:EAO45"/>
    <mergeCell ref="DXD45:DXL45"/>
    <mergeCell ref="DXM45:DXU45"/>
    <mergeCell ref="DXV45:DYD45"/>
    <mergeCell ref="DYE45:DYM45"/>
    <mergeCell ref="DYN45:DYV45"/>
    <mergeCell ref="EJG45:EJO45"/>
    <mergeCell ref="EJP45:EJX45"/>
    <mergeCell ref="EJY45:EKG45"/>
    <mergeCell ref="EKH45:EKP45"/>
    <mergeCell ref="EKQ45:EKY45"/>
    <mergeCell ref="EHN45:EHV45"/>
    <mergeCell ref="EHW45:EIE45"/>
    <mergeCell ref="EIF45:EIN45"/>
    <mergeCell ref="EIO45:EIW45"/>
    <mergeCell ref="EIX45:EJF45"/>
    <mergeCell ref="EFU45:EGC45"/>
    <mergeCell ref="EGD45:EGL45"/>
    <mergeCell ref="EGM45:EGU45"/>
    <mergeCell ref="EGV45:EHD45"/>
    <mergeCell ref="EHE45:EHM45"/>
    <mergeCell ref="EEB45:EEJ45"/>
    <mergeCell ref="EEK45:EES45"/>
    <mergeCell ref="EET45:EFB45"/>
    <mergeCell ref="EFC45:EFK45"/>
    <mergeCell ref="EFL45:EFT45"/>
    <mergeCell ref="EQE45:EQM45"/>
    <mergeCell ref="EQN45:EQV45"/>
    <mergeCell ref="EQW45:ERE45"/>
    <mergeCell ref="ERF45:ERN45"/>
    <mergeCell ref="ERO45:ERW45"/>
    <mergeCell ref="EOL45:EOT45"/>
    <mergeCell ref="EOU45:EPC45"/>
    <mergeCell ref="EPD45:EPL45"/>
    <mergeCell ref="EPM45:EPU45"/>
    <mergeCell ref="EPV45:EQD45"/>
    <mergeCell ref="EMS45:ENA45"/>
    <mergeCell ref="ENB45:ENJ45"/>
    <mergeCell ref="ENK45:ENS45"/>
    <mergeCell ref="ENT45:EOB45"/>
    <mergeCell ref="EOC45:EOK45"/>
    <mergeCell ref="EKZ45:ELH45"/>
    <mergeCell ref="ELI45:ELQ45"/>
    <mergeCell ref="ELR45:ELZ45"/>
    <mergeCell ref="EMA45:EMI45"/>
    <mergeCell ref="EMJ45:EMR45"/>
    <mergeCell ref="EXC45:EXK45"/>
    <mergeCell ref="EXL45:EXT45"/>
    <mergeCell ref="EXU45:EYC45"/>
    <mergeCell ref="EYD45:EYL45"/>
    <mergeCell ref="EYM45:EYU45"/>
    <mergeCell ref="EVJ45:EVR45"/>
    <mergeCell ref="EVS45:EWA45"/>
    <mergeCell ref="EWB45:EWJ45"/>
    <mergeCell ref="EWK45:EWS45"/>
    <mergeCell ref="EWT45:EXB45"/>
    <mergeCell ref="ETQ45:ETY45"/>
    <mergeCell ref="ETZ45:EUH45"/>
    <mergeCell ref="EUI45:EUQ45"/>
    <mergeCell ref="EUR45:EUZ45"/>
    <mergeCell ref="EVA45:EVI45"/>
    <mergeCell ref="ERX45:ESF45"/>
    <mergeCell ref="ESG45:ESO45"/>
    <mergeCell ref="ESP45:ESX45"/>
    <mergeCell ref="ESY45:ETG45"/>
    <mergeCell ref="ETH45:ETP45"/>
    <mergeCell ref="FEA45:FEI45"/>
    <mergeCell ref="FEJ45:FER45"/>
    <mergeCell ref="FES45:FFA45"/>
    <mergeCell ref="FFB45:FFJ45"/>
    <mergeCell ref="FFK45:FFS45"/>
    <mergeCell ref="FCH45:FCP45"/>
    <mergeCell ref="FCQ45:FCY45"/>
    <mergeCell ref="FCZ45:FDH45"/>
    <mergeCell ref="FDI45:FDQ45"/>
    <mergeCell ref="FDR45:FDZ45"/>
    <mergeCell ref="FAO45:FAW45"/>
    <mergeCell ref="FAX45:FBF45"/>
    <mergeCell ref="FBG45:FBO45"/>
    <mergeCell ref="FBP45:FBX45"/>
    <mergeCell ref="FBY45:FCG45"/>
    <mergeCell ref="EYV45:EZD45"/>
    <mergeCell ref="EZE45:EZM45"/>
    <mergeCell ref="EZN45:EZV45"/>
    <mergeCell ref="EZW45:FAE45"/>
    <mergeCell ref="FAF45:FAN45"/>
    <mergeCell ref="FKY45:FLG45"/>
    <mergeCell ref="FLH45:FLP45"/>
    <mergeCell ref="FLQ45:FLY45"/>
    <mergeCell ref="FLZ45:FMH45"/>
    <mergeCell ref="FMI45:FMQ45"/>
    <mergeCell ref="FJF45:FJN45"/>
    <mergeCell ref="FJO45:FJW45"/>
    <mergeCell ref="FJX45:FKF45"/>
    <mergeCell ref="FKG45:FKO45"/>
    <mergeCell ref="FKP45:FKX45"/>
    <mergeCell ref="FHM45:FHU45"/>
    <mergeCell ref="FHV45:FID45"/>
    <mergeCell ref="FIE45:FIM45"/>
    <mergeCell ref="FIN45:FIV45"/>
    <mergeCell ref="FIW45:FJE45"/>
    <mergeCell ref="FFT45:FGB45"/>
    <mergeCell ref="FGC45:FGK45"/>
    <mergeCell ref="FGL45:FGT45"/>
    <mergeCell ref="FGU45:FHC45"/>
    <mergeCell ref="FHD45:FHL45"/>
    <mergeCell ref="FRW45:FSE45"/>
    <mergeCell ref="FSF45:FSN45"/>
    <mergeCell ref="FSO45:FSW45"/>
    <mergeCell ref="FSX45:FTF45"/>
    <mergeCell ref="FTG45:FTO45"/>
    <mergeCell ref="FQD45:FQL45"/>
    <mergeCell ref="FQM45:FQU45"/>
    <mergeCell ref="FQV45:FRD45"/>
    <mergeCell ref="FRE45:FRM45"/>
    <mergeCell ref="FRN45:FRV45"/>
    <mergeCell ref="FOK45:FOS45"/>
    <mergeCell ref="FOT45:FPB45"/>
    <mergeCell ref="FPC45:FPK45"/>
    <mergeCell ref="FPL45:FPT45"/>
    <mergeCell ref="FPU45:FQC45"/>
    <mergeCell ref="FMR45:FMZ45"/>
    <mergeCell ref="FNA45:FNI45"/>
    <mergeCell ref="FNJ45:FNR45"/>
    <mergeCell ref="FNS45:FOA45"/>
    <mergeCell ref="FOB45:FOJ45"/>
    <mergeCell ref="FYU45:FZC45"/>
    <mergeCell ref="FZD45:FZL45"/>
    <mergeCell ref="FZM45:FZU45"/>
    <mergeCell ref="FZV45:GAD45"/>
    <mergeCell ref="GAE45:GAM45"/>
    <mergeCell ref="FXB45:FXJ45"/>
    <mergeCell ref="FXK45:FXS45"/>
    <mergeCell ref="FXT45:FYB45"/>
    <mergeCell ref="FYC45:FYK45"/>
    <mergeCell ref="FYL45:FYT45"/>
    <mergeCell ref="FVI45:FVQ45"/>
    <mergeCell ref="FVR45:FVZ45"/>
    <mergeCell ref="FWA45:FWI45"/>
    <mergeCell ref="FWJ45:FWR45"/>
    <mergeCell ref="FWS45:FXA45"/>
    <mergeCell ref="FTP45:FTX45"/>
    <mergeCell ref="FTY45:FUG45"/>
    <mergeCell ref="FUH45:FUP45"/>
    <mergeCell ref="FUQ45:FUY45"/>
    <mergeCell ref="FUZ45:FVH45"/>
    <mergeCell ref="GFS45:GGA45"/>
    <mergeCell ref="GGB45:GGJ45"/>
    <mergeCell ref="GGK45:GGS45"/>
    <mergeCell ref="GGT45:GHB45"/>
    <mergeCell ref="GHC45:GHK45"/>
    <mergeCell ref="GDZ45:GEH45"/>
    <mergeCell ref="GEI45:GEQ45"/>
    <mergeCell ref="GER45:GEZ45"/>
    <mergeCell ref="GFA45:GFI45"/>
    <mergeCell ref="GFJ45:GFR45"/>
    <mergeCell ref="GCG45:GCO45"/>
    <mergeCell ref="GCP45:GCX45"/>
    <mergeCell ref="GCY45:GDG45"/>
    <mergeCell ref="GDH45:GDP45"/>
    <mergeCell ref="GDQ45:GDY45"/>
    <mergeCell ref="GAN45:GAV45"/>
    <mergeCell ref="GAW45:GBE45"/>
    <mergeCell ref="GBF45:GBN45"/>
    <mergeCell ref="GBO45:GBW45"/>
    <mergeCell ref="GBX45:GCF45"/>
    <mergeCell ref="GMQ45:GMY45"/>
    <mergeCell ref="GMZ45:GNH45"/>
    <mergeCell ref="GNI45:GNQ45"/>
    <mergeCell ref="GNR45:GNZ45"/>
    <mergeCell ref="GOA45:GOI45"/>
    <mergeCell ref="GKX45:GLF45"/>
    <mergeCell ref="GLG45:GLO45"/>
    <mergeCell ref="GLP45:GLX45"/>
    <mergeCell ref="GLY45:GMG45"/>
    <mergeCell ref="GMH45:GMP45"/>
    <mergeCell ref="GJE45:GJM45"/>
    <mergeCell ref="GJN45:GJV45"/>
    <mergeCell ref="GJW45:GKE45"/>
    <mergeCell ref="GKF45:GKN45"/>
    <mergeCell ref="GKO45:GKW45"/>
    <mergeCell ref="GHL45:GHT45"/>
    <mergeCell ref="GHU45:GIC45"/>
    <mergeCell ref="GID45:GIL45"/>
    <mergeCell ref="GIM45:GIU45"/>
    <mergeCell ref="GIV45:GJD45"/>
    <mergeCell ref="GTO45:GTW45"/>
    <mergeCell ref="GTX45:GUF45"/>
    <mergeCell ref="GUG45:GUO45"/>
    <mergeCell ref="GUP45:GUX45"/>
    <mergeCell ref="GUY45:GVG45"/>
    <mergeCell ref="GRV45:GSD45"/>
    <mergeCell ref="GSE45:GSM45"/>
    <mergeCell ref="GSN45:GSV45"/>
    <mergeCell ref="GSW45:GTE45"/>
    <mergeCell ref="GTF45:GTN45"/>
    <mergeCell ref="GQC45:GQK45"/>
    <mergeCell ref="GQL45:GQT45"/>
    <mergeCell ref="GQU45:GRC45"/>
    <mergeCell ref="GRD45:GRL45"/>
    <mergeCell ref="GRM45:GRU45"/>
    <mergeCell ref="GOJ45:GOR45"/>
    <mergeCell ref="GOS45:GPA45"/>
    <mergeCell ref="GPB45:GPJ45"/>
    <mergeCell ref="GPK45:GPS45"/>
    <mergeCell ref="GPT45:GQB45"/>
    <mergeCell ref="HAM45:HAU45"/>
    <mergeCell ref="HAV45:HBD45"/>
    <mergeCell ref="HBE45:HBM45"/>
    <mergeCell ref="HBN45:HBV45"/>
    <mergeCell ref="HBW45:HCE45"/>
    <mergeCell ref="GYT45:GZB45"/>
    <mergeCell ref="GZC45:GZK45"/>
    <mergeCell ref="GZL45:GZT45"/>
    <mergeCell ref="GZU45:HAC45"/>
    <mergeCell ref="HAD45:HAL45"/>
    <mergeCell ref="GXA45:GXI45"/>
    <mergeCell ref="GXJ45:GXR45"/>
    <mergeCell ref="GXS45:GYA45"/>
    <mergeCell ref="GYB45:GYJ45"/>
    <mergeCell ref="GYK45:GYS45"/>
    <mergeCell ref="GVH45:GVP45"/>
    <mergeCell ref="GVQ45:GVY45"/>
    <mergeCell ref="GVZ45:GWH45"/>
    <mergeCell ref="GWI45:GWQ45"/>
    <mergeCell ref="GWR45:GWZ45"/>
    <mergeCell ref="HHK45:HHS45"/>
    <mergeCell ref="HHT45:HIB45"/>
    <mergeCell ref="HIC45:HIK45"/>
    <mergeCell ref="HIL45:HIT45"/>
    <mergeCell ref="HIU45:HJC45"/>
    <mergeCell ref="HFR45:HFZ45"/>
    <mergeCell ref="HGA45:HGI45"/>
    <mergeCell ref="HGJ45:HGR45"/>
    <mergeCell ref="HGS45:HHA45"/>
    <mergeCell ref="HHB45:HHJ45"/>
    <mergeCell ref="HDY45:HEG45"/>
    <mergeCell ref="HEH45:HEP45"/>
    <mergeCell ref="HEQ45:HEY45"/>
    <mergeCell ref="HEZ45:HFH45"/>
    <mergeCell ref="HFI45:HFQ45"/>
    <mergeCell ref="HCF45:HCN45"/>
    <mergeCell ref="HCO45:HCW45"/>
    <mergeCell ref="HCX45:HDF45"/>
    <mergeCell ref="HDG45:HDO45"/>
    <mergeCell ref="HDP45:HDX45"/>
    <mergeCell ref="HOI45:HOQ45"/>
    <mergeCell ref="HOR45:HOZ45"/>
    <mergeCell ref="HPA45:HPI45"/>
    <mergeCell ref="HPJ45:HPR45"/>
    <mergeCell ref="HPS45:HQA45"/>
    <mergeCell ref="HMP45:HMX45"/>
    <mergeCell ref="HMY45:HNG45"/>
    <mergeCell ref="HNH45:HNP45"/>
    <mergeCell ref="HNQ45:HNY45"/>
    <mergeCell ref="HNZ45:HOH45"/>
    <mergeCell ref="HKW45:HLE45"/>
    <mergeCell ref="HLF45:HLN45"/>
    <mergeCell ref="HLO45:HLW45"/>
    <mergeCell ref="HLX45:HMF45"/>
    <mergeCell ref="HMG45:HMO45"/>
    <mergeCell ref="HJD45:HJL45"/>
    <mergeCell ref="HJM45:HJU45"/>
    <mergeCell ref="HJV45:HKD45"/>
    <mergeCell ref="HKE45:HKM45"/>
    <mergeCell ref="HKN45:HKV45"/>
    <mergeCell ref="HVG45:HVO45"/>
    <mergeCell ref="HVP45:HVX45"/>
    <mergeCell ref="HVY45:HWG45"/>
    <mergeCell ref="HWH45:HWP45"/>
    <mergeCell ref="HWQ45:HWY45"/>
    <mergeCell ref="HTN45:HTV45"/>
    <mergeCell ref="HTW45:HUE45"/>
    <mergeCell ref="HUF45:HUN45"/>
    <mergeCell ref="HUO45:HUW45"/>
    <mergeCell ref="HUX45:HVF45"/>
    <mergeCell ref="HRU45:HSC45"/>
    <mergeCell ref="HSD45:HSL45"/>
    <mergeCell ref="HSM45:HSU45"/>
    <mergeCell ref="HSV45:HTD45"/>
    <mergeCell ref="HTE45:HTM45"/>
    <mergeCell ref="HQB45:HQJ45"/>
    <mergeCell ref="HQK45:HQS45"/>
    <mergeCell ref="HQT45:HRB45"/>
    <mergeCell ref="HRC45:HRK45"/>
    <mergeCell ref="HRL45:HRT45"/>
    <mergeCell ref="ICE45:ICM45"/>
    <mergeCell ref="ICN45:ICV45"/>
    <mergeCell ref="ICW45:IDE45"/>
    <mergeCell ref="IDF45:IDN45"/>
    <mergeCell ref="IDO45:IDW45"/>
    <mergeCell ref="IAL45:IAT45"/>
    <mergeCell ref="IAU45:IBC45"/>
    <mergeCell ref="IBD45:IBL45"/>
    <mergeCell ref="IBM45:IBU45"/>
    <mergeCell ref="IBV45:ICD45"/>
    <mergeCell ref="HYS45:HZA45"/>
    <mergeCell ref="HZB45:HZJ45"/>
    <mergeCell ref="HZK45:HZS45"/>
    <mergeCell ref="HZT45:IAB45"/>
    <mergeCell ref="IAC45:IAK45"/>
    <mergeCell ref="HWZ45:HXH45"/>
    <mergeCell ref="HXI45:HXQ45"/>
    <mergeCell ref="HXR45:HXZ45"/>
    <mergeCell ref="HYA45:HYI45"/>
    <mergeCell ref="HYJ45:HYR45"/>
    <mergeCell ref="IJC45:IJK45"/>
    <mergeCell ref="IJL45:IJT45"/>
    <mergeCell ref="IJU45:IKC45"/>
    <mergeCell ref="IKD45:IKL45"/>
    <mergeCell ref="IKM45:IKU45"/>
    <mergeCell ref="IHJ45:IHR45"/>
    <mergeCell ref="IHS45:IIA45"/>
    <mergeCell ref="IIB45:IIJ45"/>
    <mergeCell ref="IIK45:IIS45"/>
    <mergeCell ref="IIT45:IJB45"/>
    <mergeCell ref="IFQ45:IFY45"/>
    <mergeCell ref="IFZ45:IGH45"/>
    <mergeCell ref="IGI45:IGQ45"/>
    <mergeCell ref="IGR45:IGZ45"/>
    <mergeCell ref="IHA45:IHI45"/>
    <mergeCell ref="IDX45:IEF45"/>
    <mergeCell ref="IEG45:IEO45"/>
    <mergeCell ref="IEP45:IEX45"/>
    <mergeCell ref="IEY45:IFG45"/>
    <mergeCell ref="IFH45:IFP45"/>
    <mergeCell ref="IQA45:IQI45"/>
    <mergeCell ref="IQJ45:IQR45"/>
    <mergeCell ref="IQS45:IRA45"/>
    <mergeCell ref="IRB45:IRJ45"/>
    <mergeCell ref="IRK45:IRS45"/>
    <mergeCell ref="IOH45:IOP45"/>
    <mergeCell ref="IOQ45:IOY45"/>
    <mergeCell ref="IOZ45:IPH45"/>
    <mergeCell ref="IPI45:IPQ45"/>
    <mergeCell ref="IPR45:IPZ45"/>
    <mergeCell ref="IMO45:IMW45"/>
    <mergeCell ref="IMX45:INF45"/>
    <mergeCell ref="ING45:INO45"/>
    <mergeCell ref="INP45:INX45"/>
    <mergeCell ref="INY45:IOG45"/>
    <mergeCell ref="IKV45:ILD45"/>
    <mergeCell ref="ILE45:ILM45"/>
    <mergeCell ref="ILN45:ILV45"/>
    <mergeCell ref="ILW45:IME45"/>
    <mergeCell ref="IMF45:IMN45"/>
    <mergeCell ref="IWY45:IXG45"/>
    <mergeCell ref="IXH45:IXP45"/>
    <mergeCell ref="IXQ45:IXY45"/>
    <mergeCell ref="IXZ45:IYH45"/>
    <mergeCell ref="IYI45:IYQ45"/>
    <mergeCell ref="IVF45:IVN45"/>
    <mergeCell ref="IVO45:IVW45"/>
    <mergeCell ref="IVX45:IWF45"/>
    <mergeCell ref="IWG45:IWO45"/>
    <mergeCell ref="IWP45:IWX45"/>
    <mergeCell ref="ITM45:ITU45"/>
    <mergeCell ref="ITV45:IUD45"/>
    <mergeCell ref="IUE45:IUM45"/>
    <mergeCell ref="IUN45:IUV45"/>
    <mergeCell ref="IUW45:IVE45"/>
    <mergeCell ref="IRT45:ISB45"/>
    <mergeCell ref="ISC45:ISK45"/>
    <mergeCell ref="ISL45:IST45"/>
    <mergeCell ref="ISU45:ITC45"/>
    <mergeCell ref="ITD45:ITL45"/>
    <mergeCell ref="JDW45:JEE45"/>
    <mergeCell ref="JEF45:JEN45"/>
    <mergeCell ref="JEO45:JEW45"/>
    <mergeCell ref="JEX45:JFF45"/>
    <mergeCell ref="JFG45:JFO45"/>
    <mergeCell ref="JCD45:JCL45"/>
    <mergeCell ref="JCM45:JCU45"/>
    <mergeCell ref="JCV45:JDD45"/>
    <mergeCell ref="JDE45:JDM45"/>
    <mergeCell ref="JDN45:JDV45"/>
    <mergeCell ref="JAK45:JAS45"/>
    <mergeCell ref="JAT45:JBB45"/>
    <mergeCell ref="JBC45:JBK45"/>
    <mergeCell ref="JBL45:JBT45"/>
    <mergeCell ref="JBU45:JCC45"/>
    <mergeCell ref="IYR45:IYZ45"/>
    <mergeCell ref="IZA45:IZI45"/>
    <mergeCell ref="IZJ45:IZR45"/>
    <mergeCell ref="IZS45:JAA45"/>
    <mergeCell ref="JAB45:JAJ45"/>
    <mergeCell ref="JKU45:JLC45"/>
    <mergeCell ref="JLD45:JLL45"/>
    <mergeCell ref="JLM45:JLU45"/>
    <mergeCell ref="JLV45:JMD45"/>
    <mergeCell ref="JME45:JMM45"/>
    <mergeCell ref="JJB45:JJJ45"/>
    <mergeCell ref="JJK45:JJS45"/>
    <mergeCell ref="JJT45:JKB45"/>
    <mergeCell ref="JKC45:JKK45"/>
    <mergeCell ref="JKL45:JKT45"/>
    <mergeCell ref="JHI45:JHQ45"/>
    <mergeCell ref="JHR45:JHZ45"/>
    <mergeCell ref="JIA45:JII45"/>
    <mergeCell ref="JIJ45:JIR45"/>
    <mergeCell ref="JIS45:JJA45"/>
    <mergeCell ref="JFP45:JFX45"/>
    <mergeCell ref="JFY45:JGG45"/>
    <mergeCell ref="JGH45:JGP45"/>
    <mergeCell ref="JGQ45:JGY45"/>
    <mergeCell ref="JGZ45:JHH45"/>
    <mergeCell ref="JRS45:JSA45"/>
    <mergeCell ref="JSB45:JSJ45"/>
    <mergeCell ref="JSK45:JSS45"/>
    <mergeCell ref="JST45:JTB45"/>
    <mergeCell ref="JTC45:JTK45"/>
    <mergeCell ref="JPZ45:JQH45"/>
    <mergeCell ref="JQI45:JQQ45"/>
    <mergeCell ref="JQR45:JQZ45"/>
    <mergeCell ref="JRA45:JRI45"/>
    <mergeCell ref="JRJ45:JRR45"/>
    <mergeCell ref="JOG45:JOO45"/>
    <mergeCell ref="JOP45:JOX45"/>
    <mergeCell ref="JOY45:JPG45"/>
    <mergeCell ref="JPH45:JPP45"/>
    <mergeCell ref="JPQ45:JPY45"/>
    <mergeCell ref="JMN45:JMV45"/>
    <mergeCell ref="JMW45:JNE45"/>
    <mergeCell ref="JNF45:JNN45"/>
    <mergeCell ref="JNO45:JNW45"/>
    <mergeCell ref="JNX45:JOF45"/>
    <mergeCell ref="JYQ45:JYY45"/>
    <mergeCell ref="JYZ45:JZH45"/>
    <mergeCell ref="JZI45:JZQ45"/>
    <mergeCell ref="JZR45:JZZ45"/>
    <mergeCell ref="KAA45:KAI45"/>
    <mergeCell ref="JWX45:JXF45"/>
    <mergeCell ref="JXG45:JXO45"/>
    <mergeCell ref="JXP45:JXX45"/>
    <mergeCell ref="JXY45:JYG45"/>
    <mergeCell ref="JYH45:JYP45"/>
    <mergeCell ref="JVE45:JVM45"/>
    <mergeCell ref="JVN45:JVV45"/>
    <mergeCell ref="JVW45:JWE45"/>
    <mergeCell ref="JWF45:JWN45"/>
    <mergeCell ref="JWO45:JWW45"/>
    <mergeCell ref="JTL45:JTT45"/>
    <mergeCell ref="JTU45:JUC45"/>
    <mergeCell ref="JUD45:JUL45"/>
    <mergeCell ref="JUM45:JUU45"/>
    <mergeCell ref="JUV45:JVD45"/>
    <mergeCell ref="KFO45:KFW45"/>
    <mergeCell ref="KFX45:KGF45"/>
    <mergeCell ref="KGG45:KGO45"/>
    <mergeCell ref="KGP45:KGX45"/>
    <mergeCell ref="KGY45:KHG45"/>
    <mergeCell ref="KDV45:KED45"/>
    <mergeCell ref="KEE45:KEM45"/>
    <mergeCell ref="KEN45:KEV45"/>
    <mergeCell ref="KEW45:KFE45"/>
    <mergeCell ref="KFF45:KFN45"/>
    <mergeCell ref="KCC45:KCK45"/>
    <mergeCell ref="KCL45:KCT45"/>
    <mergeCell ref="KCU45:KDC45"/>
    <mergeCell ref="KDD45:KDL45"/>
    <mergeCell ref="KDM45:KDU45"/>
    <mergeCell ref="KAJ45:KAR45"/>
    <mergeCell ref="KAS45:KBA45"/>
    <mergeCell ref="KBB45:KBJ45"/>
    <mergeCell ref="KBK45:KBS45"/>
    <mergeCell ref="KBT45:KCB45"/>
    <mergeCell ref="KMM45:KMU45"/>
    <mergeCell ref="KMV45:KND45"/>
    <mergeCell ref="KNE45:KNM45"/>
    <mergeCell ref="KNN45:KNV45"/>
    <mergeCell ref="KNW45:KOE45"/>
    <mergeCell ref="KKT45:KLB45"/>
    <mergeCell ref="KLC45:KLK45"/>
    <mergeCell ref="KLL45:KLT45"/>
    <mergeCell ref="KLU45:KMC45"/>
    <mergeCell ref="KMD45:KML45"/>
    <mergeCell ref="KJA45:KJI45"/>
    <mergeCell ref="KJJ45:KJR45"/>
    <mergeCell ref="KJS45:KKA45"/>
    <mergeCell ref="KKB45:KKJ45"/>
    <mergeCell ref="KKK45:KKS45"/>
    <mergeCell ref="KHH45:KHP45"/>
    <mergeCell ref="KHQ45:KHY45"/>
    <mergeCell ref="KHZ45:KIH45"/>
    <mergeCell ref="KII45:KIQ45"/>
    <mergeCell ref="KIR45:KIZ45"/>
    <mergeCell ref="KTK45:KTS45"/>
    <mergeCell ref="KTT45:KUB45"/>
    <mergeCell ref="KUC45:KUK45"/>
    <mergeCell ref="KUL45:KUT45"/>
    <mergeCell ref="KUU45:KVC45"/>
    <mergeCell ref="KRR45:KRZ45"/>
    <mergeCell ref="KSA45:KSI45"/>
    <mergeCell ref="KSJ45:KSR45"/>
    <mergeCell ref="KSS45:KTA45"/>
    <mergeCell ref="KTB45:KTJ45"/>
    <mergeCell ref="KPY45:KQG45"/>
    <mergeCell ref="KQH45:KQP45"/>
    <mergeCell ref="KQQ45:KQY45"/>
    <mergeCell ref="KQZ45:KRH45"/>
    <mergeCell ref="KRI45:KRQ45"/>
    <mergeCell ref="KOF45:KON45"/>
    <mergeCell ref="KOO45:KOW45"/>
    <mergeCell ref="KOX45:KPF45"/>
    <mergeCell ref="KPG45:KPO45"/>
    <mergeCell ref="KPP45:KPX45"/>
    <mergeCell ref="LAI45:LAQ45"/>
    <mergeCell ref="LAR45:LAZ45"/>
    <mergeCell ref="LBA45:LBI45"/>
    <mergeCell ref="LBJ45:LBR45"/>
    <mergeCell ref="LBS45:LCA45"/>
    <mergeCell ref="KYP45:KYX45"/>
    <mergeCell ref="KYY45:KZG45"/>
    <mergeCell ref="KZH45:KZP45"/>
    <mergeCell ref="KZQ45:KZY45"/>
    <mergeCell ref="KZZ45:LAH45"/>
    <mergeCell ref="KWW45:KXE45"/>
    <mergeCell ref="KXF45:KXN45"/>
    <mergeCell ref="KXO45:KXW45"/>
    <mergeCell ref="KXX45:KYF45"/>
    <mergeCell ref="KYG45:KYO45"/>
    <mergeCell ref="KVD45:KVL45"/>
    <mergeCell ref="KVM45:KVU45"/>
    <mergeCell ref="KVV45:KWD45"/>
    <mergeCell ref="KWE45:KWM45"/>
    <mergeCell ref="KWN45:KWV45"/>
    <mergeCell ref="LHG45:LHO45"/>
    <mergeCell ref="LHP45:LHX45"/>
    <mergeCell ref="LHY45:LIG45"/>
    <mergeCell ref="LIH45:LIP45"/>
    <mergeCell ref="LIQ45:LIY45"/>
    <mergeCell ref="LFN45:LFV45"/>
    <mergeCell ref="LFW45:LGE45"/>
    <mergeCell ref="LGF45:LGN45"/>
    <mergeCell ref="LGO45:LGW45"/>
    <mergeCell ref="LGX45:LHF45"/>
    <mergeCell ref="LDU45:LEC45"/>
    <mergeCell ref="LED45:LEL45"/>
    <mergeCell ref="LEM45:LEU45"/>
    <mergeCell ref="LEV45:LFD45"/>
    <mergeCell ref="LFE45:LFM45"/>
    <mergeCell ref="LCB45:LCJ45"/>
    <mergeCell ref="LCK45:LCS45"/>
    <mergeCell ref="LCT45:LDB45"/>
    <mergeCell ref="LDC45:LDK45"/>
    <mergeCell ref="LDL45:LDT45"/>
    <mergeCell ref="LOE45:LOM45"/>
    <mergeCell ref="LON45:LOV45"/>
    <mergeCell ref="LOW45:LPE45"/>
    <mergeCell ref="LPF45:LPN45"/>
    <mergeCell ref="LPO45:LPW45"/>
    <mergeCell ref="LML45:LMT45"/>
    <mergeCell ref="LMU45:LNC45"/>
    <mergeCell ref="LND45:LNL45"/>
    <mergeCell ref="LNM45:LNU45"/>
    <mergeCell ref="LNV45:LOD45"/>
    <mergeCell ref="LKS45:LLA45"/>
    <mergeCell ref="LLB45:LLJ45"/>
    <mergeCell ref="LLK45:LLS45"/>
    <mergeCell ref="LLT45:LMB45"/>
    <mergeCell ref="LMC45:LMK45"/>
    <mergeCell ref="LIZ45:LJH45"/>
    <mergeCell ref="LJI45:LJQ45"/>
    <mergeCell ref="LJR45:LJZ45"/>
    <mergeCell ref="LKA45:LKI45"/>
    <mergeCell ref="LKJ45:LKR45"/>
    <mergeCell ref="LVC45:LVK45"/>
    <mergeCell ref="LVL45:LVT45"/>
    <mergeCell ref="LVU45:LWC45"/>
    <mergeCell ref="LWD45:LWL45"/>
    <mergeCell ref="LWM45:LWU45"/>
    <mergeCell ref="LTJ45:LTR45"/>
    <mergeCell ref="LTS45:LUA45"/>
    <mergeCell ref="LUB45:LUJ45"/>
    <mergeCell ref="LUK45:LUS45"/>
    <mergeCell ref="LUT45:LVB45"/>
    <mergeCell ref="LRQ45:LRY45"/>
    <mergeCell ref="LRZ45:LSH45"/>
    <mergeCell ref="LSI45:LSQ45"/>
    <mergeCell ref="LSR45:LSZ45"/>
    <mergeCell ref="LTA45:LTI45"/>
    <mergeCell ref="LPX45:LQF45"/>
    <mergeCell ref="LQG45:LQO45"/>
    <mergeCell ref="LQP45:LQX45"/>
    <mergeCell ref="LQY45:LRG45"/>
    <mergeCell ref="LRH45:LRP45"/>
    <mergeCell ref="MCA45:MCI45"/>
    <mergeCell ref="MCJ45:MCR45"/>
    <mergeCell ref="MCS45:MDA45"/>
    <mergeCell ref="MDB45:MDJ45"/>
    <mergeCell ref="MDK45:MDS45"/>
    <mergeCell ref="MAH45:MAP45"/>
    <mergeCell ref="MAQ45:MAY45"/>
    <mergeCell ref="MAZ45:MBH45"/>
    <mergeCell ref="MBI45:MBQ45"/>
    <mergeCell ref="MBR45:MBZ45"/>
    <mergeCell ref="LYO45:LYW45"/>
    <mergeCell ref="LYX45:LZF45"/>
    <mergeCell ref="LZG45:LZO45"/>
    <mergeCell ref="LZP45:LZX45"/>
    <mergeCell ref="LZY45:MAG45"/>
    <mergeCell ref="LWV45:LXD45"/>
    <mergeCell ref="LXE45:LXM45"/>
    <mergeCell ref="LXN45:LXV45"/>
    <mergeCell ref="LXW45:LYE45"/>
    <mergeCell ref="LYF45:LYN45"/>
    <mergeCell ref="MIY45:MJG45"/>
    <mergeCell ref="MJH45:MJP45"/>
    <mergeCell ref="MJQ45:MJY45"/>
    <mergeCell ref="MJZ45:MKH45"/>
    <mergeCell ref="MKI45:MKQ45"/>
    <mergeCell ref="MHF45:MHN45"/>
    <mergeCell ref="MHO45:MHW45"/>
    <mergeCell ref="MHX45:MIF45"/>
    <mergeCell ref="MIG45:MIO45"/>
    <mergeCell ref="MIP45:MIX45"/>
    <mergeCell ref="MFM45:MFU45"/>
    <mergeCell ref="MFV45:MGD45"/>
    <mergeCell ref="MGE45:MGM45"/>
    <mergeCell ref="MGN45:MGV45"/>
    <mergeCell ref="MGW45:MHE45"/>
    <mergeCell ref="MDT45:MEB45"/>
    <mergeCell ref="MEC45:MEK45"/>
    <mergeCell ref="MEL45:MET45"/>
    <mergeCell ref="MEU45:MFC45"/>
    <mergeCell ref="MFD45:MFL45"/>
    <mergeCell ref="MPW45:MQE45"/>
    <mergeCell ref="MQF45:MQN45"/>
    <mergeCell ref="MQO45:MQW45"/>
    <mergeCell ref="MQX45:MRF45"/>
    <mergeCell ref="MRG45:MRO45"/>
    <mergeCell ref="MOD45:MOL45"/>
    <mergeCell ref="MOM45:MOU45"/>
    <mergeCell ref="MOV45:MPD45"/>
    <mergeCell ref="MPE45:MPM45"/>
    <mergeCell ref="MPN45:MPV45"/>
    <mergeCell ref="MMK45:MMS45"/>
    <mergeCell ref="MMT45:MNB45"/>
    <mergeCell ref="MNC45:MNK45"/>
    <mergeCell ref="MNL45:MNT45"/>
    <mergeCell ref="MNU45:MOC45"/>
    <mergeCell ref="MKR45:MKZ45"/>
    <mergeCell ref="MLA45:MLI45"/>
    <mergeCell ref="MLJ45:MLR45"/>
    <mergeCell ref="MLS45:MMA45"/>
    <mergeCell ref="MMB45:MMJ45"/>
    <mergeCell ref="MWU45:MXC45"/>
    <mergeCell ref="MXD45:MXL45"/>
    <mergeCell ref="MXM45:MXU45"/>
    <mergeCell ref="MXV45:MYD45"/>
    <mergeCell ref="MYE45:MYM45"/>
    <mergeCell ref="MVB45:MVJ45"/>
    <mergeCell ref="MVK45:MVS45"/>
    <mergeCell ref="MVT45:MWB45"/>
    <mergeCell ref="MWC45:MWK45"/>
    <mergeCell ref="MWL45:MWT45"/>
    <mergeCell ref="MTI45:MTQ45"/>
    <mergeCell ref="MTR45:MTZ45"/>
    <mergeCell ref="MUA45:MUI45"/>
    <mergeCell ref="MUJ45:MUR45"/>
    <mergeCell ref="MUS45:MVA45"/>
    <mergeCell ref="MRP45:MRX45"/>
    <mergeCell ref="MRY45:MSG45"/>
    <mergeCell ref="MSH45:MSP45"/>
    <mergeCell ref="MSQ45:MSY45"/>
    <mergeCell ref="MSZ45:MTH45"/>
    <mergeCell ref="NDS45:NEA45"/>
    <mergeCell ref="NEB45:NEJ45"/>
    <mergeCell ref="NEK45:NES45"/>
    <mergeCell ref="NET45:NFB45"/>
    <mergeCell ref="NFC45:NFK45"/>
    <mergeCell ref="NBZ45:NCH45"/>
    <mergeCell ref="NCI45:NCQ45"/>
    <mergeCell ref="NCR45:NCZ45"/>
    <mergeCell ref="NDA45:NDI45"/>
    <mergeCell ref="NDJ45:NDR45"/>
    <mergeCell ref="NAG45:NAO45"/>
    <mergeCell ref="NAP45:NAX45"/>
    <mergeCell ref="NAY45:NBG45"/>
    <mergeCell ref="NBH45:NBP45"/>
    <mergeCell ref="NBQ45:NBY45"/>
    <mergeCell ref="MYN45:MYV45"/>
    <mergeCell ref="MYW45:MZE45"/>
    <mergeCell ref="MZF45:MZN45"/>
    <mergeCell ref="MZO45:MZW45"/>
    <mergeCell ref="MZX45:NAF45"/>
    <mergeCell ref="NKQ45:NKY45"/>
    <mergeCell ref="NKZ45:NLH45"/>
    <mergeCell ref="NLI45:NLQ45"/>
    <mergeCell ref="NLR45:NLZ45"/>
    <mergeCell ref="NMA45:NMI45"/>
    <mergeCell ref="NIX45:NJF45"/>
    <mergeCell ref="NJG45:NJO45"/>
    <mergeCell ref="NJP45:NJX45"/>
    <mergeCell ref="NJY45:NKG45"/>
    <mergeCell ref="NKH45:NKP45"/>
    <mergeCell ref="NHE45:NHM45"/>
    <mergeCell ref="NHN45:NHV45"/>
    <mergeCell ref="NHW45:NIE45"/>
    <mergeCell ref="NIF45:NIN45"/>
    <mergeCell ref="NIO45:NIW45"/>
    <mergeCell ref="NFL45:NFT45"/>
    <mergeCell ref="NFU45:NGC45"/>
    <mergeCell ref="NGD45:NGL45"/>
    <mergeCell ref="NGM45:NGU45"/>
    <mergeCell ref="NGV45:NHD45"/>
    <mergeCell ref="NRO45:NRW45"/>
    <mergeCell ref="NRX45:NSF45"/>
    <mergeCell ref="NSG45:NSO45"/>
    <mergeCell ref="NSP45:NSX45"/>
    <mergeCell ref="NSY45:NTG45"/>
    <mergeCell ref="NPV45:NQD45"/>
    <mergeCell ref="NQE45:NQM45"/>
    <mergeCell ref="NQN45:NQV45"/>
    <mergeCell ref="NQW45:NRE45"/>
    <mergeCell ref="NRF45:NRN45"/>
    <mergeCell ref="NOC45:NOK45"/>
    <mergeCell ref="NOL45:NOT45"/>
    <mergeCell ref="NOU45:NPC45"/>
    <mergeCell ref="NPD45:NPL45"/>
    <mergeCell ref="NPM45:NPU45"/>
    <mergeCell ref="NMJ45:NMR45"/>
    <mergeCell ref="NMS45:NNA45"/>
    <mergeCell ref="NNB45:NNJ45"/>
    <mergeCell ref="NNK45:NNS45"/>
    <mergeCell ref="NNT45:NOB45"/>
    <mergeCell ref="NYM45:NYU45"/>
    <mergeCell ref="NYV45:NZD45"/>
    <mergeCell ref="NZE45:NZM45"/>
    <mergeCell ref="NZN45:NZV45"/>
    <mergeCell ref="NZW45:OAE45"/>
    <mergeCell ref="NWT45:NXB45"/>
    <mergeCell ref="NXC45:NXK45"/>
    <mergeCell ref="NXL45:NXT45"/>
    <mergeCell ref="NXU45:NYC45"/>
    <mergeCell ref="NYD45:NYL45"/>
    <mergeCell ref="NVA45:NVI45"/>
    <mergeCell ref="NVJ45:NVR45"/>
    <mergeCell ref="NVS45:NWA45"/>
    <mergeCell ref="NWB45:NWJ45"/>
    <mergeCell ref="NWK45:NWS45"/>
    <mergeCell ref="NTH45:NTP45"/>
    <mergeCell ref="NTQ45:NTY45"/>
    <mergeCell ref="NTZ45:NUH45"/>
    <mergeCell ref="NUI45:NUQ45"/>
    <mergeCell ref="NUR45:NUZ45"/>
    <mergeCell ref="OFK45:OFS45"/>
    <mergeCell ref="OFT45:OGB45"/>
    <mergeCell ref="OGC45:OGK45"/>
    <mergeCell ref="OGL45:OGT45"/>
    <mergeCell ref="OGU45:OHC45"/>
    <mergeCell ref="ODR45:ODZ45"/>
    <mergeCell ref="OEA45:OEI45"/>
    <mergeCell ref="OEJ45:OER45"/>
    <mergeCell ref="OES45:OFA45"/>
    <mergeCell ref="OFB45:OFJ45"/>
    <mergeCell ref="OBY45:OCG45"/>
    <mergeCell ref="OCH45:OCP45"/>
    <mergeCell ref="OCQ45:OCY45"/>
    <mergeCell ref="OCZ45:ODH45"/>
    <mergeCell ref="ODI45:ODQ45"/>
    <mergeCell ref="OAF45:OAN45"/>
    <mergeCell ref="OAO45:OAW45"/>
    <mergeCell ref="OAX45:OBF45"/>
    <mergeCell ref="OBG45:OBO45"/>
    <mergeCell ref="OBP45:OBX45"/>
    <mergeCell ref="OMI45:OMQ45"/>
    <mergeCell ref="OMR45:OMZ45"/>
    <mergeCell ref="ONA45:ONI45"/>
    <mergeCell ref="ONJ45:ONR45"/>
    <mergeCell ref="ONS45:OOA45"/>
    <mergeCell ref="OKP45:OKX45"/>
    <mergeCell ref="OKY45:OLG45"/>
    <mergeCell ref="OLH45:OLP45"/>
    <mergeCell ref="OLQ45:OLY45"/>
    <mergeCell ref="OLZ45:OMH45"/>
    <mergeCell ref="OIW45:OJE45"/>
    <mergeCell ref="OJF45:OJN45"/>
    <mergeCell ref="OJO45:OJW45"/>
    <mergeCell ref="OJX45:OKF45"/>
    <mergeCell ref="OKG45:OKO45"/>
    <mergeCell ref="OHD45:OHL45"/>
    <mergeCell ref="OHM45:OHU45"/>
    <mergeCell ref="OHV45:OID45"/>
    <mergeCell ref="OIE45:OIM45"/>
    <mergeCell ref="OIN45:OIV45"/>
    <mergeCell ref="OTG45:OTO45"/>
    <mergeCell ref="OTP45:OTX45"/>
    <mergeCell ref="OTY45:OUG45"/>
    <mergeCell ref="OUH45:OUP45"/>
    <mergeCell ref="OUQ45:OUY45"/>
    <mergeCell ref="ORN45:ORV45"/>
    <mergeCell ref="ORW45:OSE45"/>
    <mergeCell ref="OSF45:OSN45"/>
    <mergeCell ref="OSO45:OSW45"/>
    <mergeCell ref="OSX45:OTF45"/>
    <mergeCell ref="OPU45:OQC45"/>
    <mergeCell ref="OQD45:OQL45"/>
    <mergeCell ref="OQM45:OQU45"/>
    <mergeCell ref="OQV45:ORD45"/>
    <mergeCell ref="ORE45:ORM45"/>
    <mergeCell ref="OOB45:OOJ45"/>
    <mergeCell ref="OOK45:OOS45"/>
    <mergeCell ref="OOT45:OPB45"/>
    <mergeCell ref="OPC45:OPK45"/>
    <mergeCell ref="OPL45:OPT45"/>
    <mergeCell ref="PAE45:PAM45"/>
    <mergeCell ref="PAN45:PAV45"/>
    <mergeCell ref="PAW45:PBE45"/>
    <mergeCell ref="PBF45:PBN45"/>
    <mergeCell ref="PBO45:PBW45"/>
    <mergeCell ref="OYL45:OYT45"/>
    <mergeCell ref="OYU45:OZC45"/>
    <mergeCell ref="OZD45:OZL45"/>
    <mergeCell ref="OZM45:OZU45"/>
    <mergeCell ref="OZV45:PAD45"/>
    <mergeCell ref="OWS45:OXA45"/>
    <mergeCell ref="OXB45:OXJ45"/>
    <mergeCell ref="OXK45:OXS45"/>
    <mergeCell ref="OXT45:OYB45"/>
    <mergeCell ref="OYC45:OYK45"/>
    <mergeCell ref="OUZ45:OVH45"/>
    <mergeCell ref="OVI45:OVQ45"/>
    <mergeCell ref="OVR45:OVZ45"/>
    <mergeCell ref="OWA45:OWI45"/>
    <mergeCell ref="OWJ45:OWR45"/>
    <mergeCell ref="PHC45:PHK45"/>
    <mergeCell ref="PHL45:PHT45"/>
    <mergeCell ref="PHU45:PIC45"/>
    <mergeCell ref="PID45:PIL45"/>
    <mergeCell ref="PIM45:PIU45"/>
    <mergeCell ref="PFJ45:PFR45"/>
    <mergeCell ref="PFS45:PGA45"/>
    <mergeCell ref="PGB45:PGJ45"/>
    <mergeCell ref="PGK45:PGS45"/>
    <mergeCell ref="PGT45:PHB45"/>
    <mergeCell ref="PDQ45:PDY45"/>
    <mergeCell ref="PDZ45:PEH45"/>
    <mergeCell ref="PEI45:PEQ45"/>
    <mergeCell ref="PER45:PEZ45"/>
    <mergeCell ref="PFA45:PFI45"/>
    <mergeCell ref="PBX45:PCF45"/>
    <mergeCell ref="PCG45:PCO45"/>
    <mergeCell ref="PCP45:PCX45"/>
    <mergeCell ref="PCY45:PDG45"/>
    <mergeCell ref="PDH45:PDP45"/>
    <mergeCell ref="POA45:POI45"/>
    <mergeCell ref="POJ45:POR45"/>
    <mergeCell ref="POS45:PPA45"/>
    <mergeCell ref="PPB45:PPJ45"/>
    <mergeCell ref="PPK45:PPS45"/>
    <mergeCell ref="PMH45:PMP45"/>
    <mergeCell ref="PMQ45:PMY45"/>
    <mergeCell ref="PMZ45:PNH45"/>
    <mergeCell ref="PNI45:PNQ45"/>
    <mergeCell ref="PNR45:PNZ45"/>
    <mergeCell ref="PKO45:PKW45"/>
    <mergeCell ref="PKX45:PLF45"/>
    <mergeCell ref="PLG45:PLO45"/>
    <mergeCell ref="PLP45:PLX45"/>
    <mergeCell ref="PLY45:PMG45"/>
    <mergeCell ref="PIV45:PJD45"/>
    <mergeCell ref="PJE45:PJM45"/>
    <mergeCell ref="PJN45:PJV45"/>
    <mergeCell ref="PJW45:PKE45"/>
    <mergeCell ref="PKF45:PKN45"/>
    <mergeCell ref="PUY45:PVG45"/>
    <mergeCell ref="PVH45:PVP45"/>
    <mergeCell ref="PVQ45:PVY45"/>
    <mergeCell ref="PVZ45:PWH45"/>
    <mergeCell ref="PWI45:PWQ45"/>
    <mergeCell ref="PTF45:PTN45"/>
    <mergeCell ref="PTO45:PTW45"/>
    <mergeCell ref="PTX45:PUF45"/>
    <mergeCell ref="PUG45:PUO45"/>
    <mergeCell ref="PUP45:PUX45"/>
    <mergeCell ref="PRM45:PRU45"/>
    <mergeCell ref="PRV45:PSD45"/>
    <mergeCell ref="PSE45:PSM45"/>
    <mergeCell ref="PSN45:PSV45"/>
    <mergeCell ref="PSW45:PTE45"/>
    <mergeCell ref="PPT45:PQB45"/>
    <mergeCell ref="PQC45:PQK45"/>
    <mergeCell ref="PQL45:PQT45"/>
    <mergeCell ref="PQU45:PRC45"/>
    <mergeCell ref="PRD45:PRL45"/>
    <mergeCell ref="QBW45:QCE45"/>
    <mergeCell ref="QCF45:QCN45"/>
    <mergeCell ref="QCO45:QCW45"/>
    <mergeCell ref="QCX45:QDF45"/>
    <mergeCell ref="QDG45:QDO45"/>
    <mergeCell ref="QAD45:QAL45"/>
    <mergeCell ref="QAM45:QAU45"/>
    <mergeCell ref="QAV45:QBD45"/>
    <mergeCell ref="QBE45:QBM45"/>
    <mergeCell ref="QBN45:QBV45"/>
    <mergeCell ref="PYK45:PYS45"/>
    <mergeCell ref="PYT45:PZB45"/>
    <mergeCell ref="PZC45:PZK45"/>
    <mergeCell ref="PZL45:PZT45"/>
    <mergeCell ref="PZU45:QAC45"/>
    <mergeCell ref="PWR45:PWZ45"/>
    <mergeCell ref="PXA45:PXI45"/>
    <mergeCell ref="PXJ45:PXR45"/>
    <mergeCell ref="PXS45:PYA45"/>
    <mergeCell ref="PYB45:PYJ45"/>
    <mergeCell ref="QIU45:QJC45"/>
    <mergeCell ref="QJD45:QJL45"/>
    <mergeCell ref="QJM45:QJU45"/>
    <mergeCell ref="QJV45:QKD45"/>
    <mergeCell ref="QKE45:QKM45"/>
    <mergeCell ref="QHB45:QHJ45"/>
    <mergeCell ref="QHK45:QHS45"/>
    <mergeCell ref="QHT45:QIB45"/>
    <mergeCell ref="QIC45:QIK45"/>
    <mergeCell ref="QIL45:QIT45"/>
    <mergeCell ref="QFI45:QFQ45"/>
    <mergeCell ref="QFR45:QFZ45"/>
    <mergeCell ref="QGA45:QGI45"/>
    <mergeCell ref="QGJ45:QGR45"/>
    <mergeCell ref="QGS45:QHA45"/>
    <mergeCell ref="QDP45:QDX45"/>
    <mergeCell ref="QDY45:QEG45"/>
    <mergeCell ref="QEH45:QEP45"/>
    <mergeCell ref="QEQ45:QEY45"/>
    <mergeCell ref="QEZ45:QFH45"/>
    <mergeCell ref="QPS45:QQA45"/>
    <mergeCell ref="QQB45:QQJ45"/>
    <mergeCell ref="QQK45:QQS45"/>
    <mergeCell ref="QQT45:QRB45"/>
    <mergeCell ref="QRC45:QRK45"/>
    <mergeCell ref="QNZ45:QOH45"/>
    <mergeCell ref="QOI45:QOQ45"/>
    <mergeCell ref="QOR45:QOZ45"/>
    <mergeCell ref="QPA45:QPI45"/>
    <mergeCell ref="QPJ45:QPR45"/>
    <mergeCell ref="QMG45:QMO45"/>
    <mergeCell ref="QMP45:QMX45"/>
    <mergeCell ref="QMY45:QNG45"/>
    <mergeCell ref="QNH45:QNP45"/>
    <mergeCell ref="QNQ45:QNY45"/>
    <mergeCell ref="QKN45:QKV45"/>
    <mergeCell ref="QKW45:QLE45"/>
    <mergeCell ref="QLF45:QLN45"/>
    <mergeCell ref="QLO45:QLW45"/>
    <mergeCell ref="QLX45:QMF45"/>
    <mergeCell ref="QWQ45:QWY45"/>
    <mergeCell ref="QWZ45:QXH45"/>
    <mergeCell ref="QXI45:QXQ45"/>
    <mergeCell ref="QXR45:QXZ45"/>
    <mergeCell ref="QYA45:QYI45"/>
    <mergeCell ref="QUX45:QVF45"/>
    <mergeCell ref="QVG45:QVO45"/>
    <mergeCell ref="QVP45:QVX45"/>
    <mergeCell ref="QVY45:QWG45"/>
    <mergeCell ref="QWH45:QWP45"/>
    <mergeCell ref="QTE45:QTM45"/>
    <mergeCell ref="QTN45:QTV45"/>
    <mergeCell ref="QTW45:QUE45"/>
    <mergeCell ref="QUF45:QUN45"/>
    <mergeCell ref="QUO45:QUW45"/>
    <mergeCell ref="QRL45:QRT45"/>
    <mergeCell ref="QRU45:QSC45"/>
    <mergeCell ref="QSD45:QSL45"/>
    <mergeCell ref="QSM45:QSU45"/>
    <mergeCell ref="QSV45:QTD45"/>
    <mergeCell ref="RDO45:RDW45"/>
    <mergeCell ref="RDX45:REF45"/>
    <mergeCell ref="REG45:REO45"/>
    <mergeCell ref="REP45:REX45"/>
    <mergeCell ref="REY45:RFG45"/>
    <mergeCell ref="RBV45:RCD45"/>
    <mergeCell ref="RCE45:RCM45"/>
    <mergeCell ref="RCN45:RCV45"/>
    <mergeCell ref="RCW45:RDE45"/>
    <mergeCell ref="RDF45:RDN45"/>
    <mergeCell ref="RAC45:RAK45"/>
    <mergeCell ref="RAL45:RAT45"/>
    <mergeCell ref="RAU45:RBC45"/>
    <mergeCell ref="RBD45:RBL45"/>
    <mergeCell ref="RBM45:RBU45"/>
    <mergeCell ref="QYJ45:QYR45"/>
    <mergeCell ref="QYS45:QZA45"/>
    <mergeCell ref="QZB45:QZJ45"/>
    <mergeCell ref="QZK45:QZS45"/>
    <mergeCell ref="QZT45:RAB45"/>
    <mergeCell ref="RKM45:RKU45"/>
    <mergeCell ref="RKV45:RLD45"/>
    <mergeCell ref="RLE45:RLM45"/>
    <mergeCell ref="RLN45:RLV45"/>
    <mergeCell ref="RLW45:RME45"/>
    <mergeCell ref="RIT45:RJB45"/>
    <mergeCell ref="RJC45:RJK45"/>
    <mergeCell ref="RJL45:RJT45"/>
    <mergeCell ref="RJU45:RKC45"/>
    <mergeCell ref="RKD45:RKL45"/>
    <mergeCell ref="RHA45:RHI45"/>
    <mergeCell ref="RHJ45:RHR45"/>
    <mergeCell ref="RHS45:RIA45"/>
    <mergeCell ref="RIB45:RIJ45"/>
    <mergeCell ref="RIK45:RIS45"/>
    <mergeCell ref="RFH45:RFP45"/>
    <mergeCell ref="RFQ45:RFY45"/>
    <mergeCell ref="RFZ45:RGH45"/>
    <mergeCell ref="RGI45:RGQ45"/>
    <mergeCell ref="RGR45:RGZ45"/>
    <mergeCell ref="RRK45:RRS45"/>
    <mergeCell ref="RRT45:RSB45"/>
    <mergeCell ref="RSC45:RSK45"/>
    <mergeCell ref="RSL45:RST45"/>
    <mergeCell ref="RSU45:RTC45"/>
    <mergeCell ref="RPR45:RPZ45"/>
    <mergeCell ref="RQA45:RQI45"/>
    <mergeCell ref="RQJ45:RQR45"/>
    <mergeCell ref="RQS45:RRA45"/>
    <mergeCell ref="RRB45:RRJ45"/>
    <mergeCell ref="RNY45:ROG45"/>
    <mergeCell ref="ROH45:ROP45"/>
    <mergeCell ref="ROQ45:ROY45"/>
    <mergeCell ref="ROZ45:RPH45"/>
    <mergeCell ref="RPI45:RPQ45"/>
    <mergeCell ref="RMF45:RMN45"/>
    <mergeCell ref="RMO45:RMW45"/>
    <mergeCell ref="RMX45:RNF45"/>
    <mergeCell ref="RNG45:RNO45"/>
    <mergeCell ref="RNP45:RNX45"/>
    <mergeCell ref="RYI45:RYQ45"/>
    <mergeCell ref="RYR45:RYZ45"/>
    <mergeCell ref="RZA45:RZI45"/>
    <mergeCell ref="RZJ45:RZR45"/>
    <mergeCell ref="RZS45:SAA45"/>
    <mergeCell ref="RWP45:RWX45"/>
    <mergeCell ref="RWY45:RXG45"/>
    <mergeCell ref="RXH45:RXP45"/>
    <mergeCell ref="RXQ45:RXY45"/>
    <mergeCell ref="RXZ45:RYH45"/>
    <mergeCell ref="RUW45:RVE45"/>
    <mergeCell ref="RVF45:RVN45"/>
    <mergeCell ref="RVO45:RVW45"/>
    <mergeCell ref="RVX45:RWF45"/>
    <mergeCell ref="RWG45:RWO45"/>
    <mergeCell ref="RTD45:RTL45"/>
    <mergeCell ref="RTM45:RTU45"/>
    <mergeCell ref="RTV45:RUD45"/>
    <mergeCell ref="RUE45:RUM45"/>
    <mergeCell ref="RUN45:RUV45"/>
    <mergeCell ref="SFG45:SFO45"/>
    <mergeCell ref="SFP45:SFX45"/>
    <mergeCell ref="SFY45:SGG45"/>
    <mergeCell ref="SGH45:SGP45"/>
    <mergeCell ref="SGQ45:SGY45"/>
    <mergeCell ref="SDN45:SDV45"/>
    <mergeCell ref="SDW45:SEE45"/>
    <mergeCell ref="SEF45:SEN45"/>
    <mergeCell ref="SEO45:SEW45"/>
    <mergeCell ref="SEX45:SFF45"/>
    <mergeCell ref="SBU45:SCC45"/>
    <mergeCell ref="SCD45:SCL45"/>
    <mergeCell ref="SCM45:SCU45"/>
    <mergeCell ref="SCV45:SDD45"/>
    <mergeCell ref="SDE45:SDM45"/>
    <mergeCell ref="SAB45:SAJ45"/>
    <mergeCell ref="SAK45:SAS45"/>
    <mergeCell ref="SAT45:SBB45"/>
    <mergeCell ref="SBC45:SBK45"/>
    <mergeCell ref="SBL45:SBT45"/>
    <mergeCell ref="SME45:SMM45"/>
    <mergeCell ref="SMN45:SMV45"/>
    <mergeCell ref="SMW45:SNE45"/>
    <mergeCell ref="SNF45:SNN45"/>
    <mergeCell ref="SNO45:SNW45"/>
    <mergeCell ref="SKL45:SKT45"/>
    <mergeCell ref="SKU45:SLC45"/>
    <mergeCell ref="SLD45:SLL45"/>
    <mergeCell ref="SLM45:SLU45"/>
    <mergeCell ref="SLV45:SMD45"/>
    <mergeCell ref="SIS45:SJA45"/>
    <mergeCell ref="SJB45:SJJ45"/>
    <mergeCell ref="SJK45:SJS45"/>
    <mergeCell ref="SJT45:SKB45"/>
    <mergeCell ref="SKC45:SKK45"/>
    <mergeCell ref="SGZ45:SHH45"/>
    <mergeCell ref="SHI45:SHQ45"/>
    <mergeCell ref="SHR45:SHZ45"/>
    <mergeCell ref="SIA45:SII45"/>
    <mergeCell ref="SIJ45:SIR45"/>
    <mergeCell ref="STC45:STK45"/>
    <mergeCell ref="STL45:STT45"/>
    <mergeCell ref="STU45:SUC45"/>
    <mergeCell ref="SUD45:SUL45"/>
    <mergeCell ref="SUM45:SUU45"/>
    <mergeCell ref="SRJ45:SRR45"/>
    <mergeCell ref="SRS45:SSA45"/>
    <mergeCell ref="SSB45:SSJ45"/>
    <mergeCell ref="SSK45:SSS45"/>
    <mergeCell ref="SST45:STB45"/>
    <mergeCell ref="SPQ45:SPY45"/>
    <mergeCell ref="SPZ45:SQH45"/>
    <mergeCell ref="SQI45:SQQ45"/>
    <mergeCell ref="SQR45:SQZ45"/>
    <mergeCell ref="SRA45:SRI45"/>
    <mergeCell ref="SNX45:SOF45"/>
    <mergeCell ref="SOG45:SOO45"/>
    <mergeCell ref="SOP45:SOX45"/>
    <mergeCell ref="SOY45:SPG45"/>
    <mergeCell ref="SPH45:SPP45"/>
    <mergeCell ref="TAA45:TAI45"/>
    <mergeCell ref="TAJ45:TAR45"/>
    <mergeCell ref="TAS45:TBA45"/>
    <mergeCell ref="TBB45:TBJ45"/>
    <mergeCell ref="TBK45:TBS45"/>
    <mergeCell ref="SYH45:SYP45"/>
    <mergeCell ref="SYQ45:SYY45"/>
    <mergeCell ref="SYZ45:SZH45"/>
    <mergeCell ref="SZI45:SZQ45"/>
    <mergeCell ref="SZR45:SZZ45"/>
    <mergeCell ref="SWO45:SWW45"/>
    <mergeCell ref="SWX45:SXF45"/>
    <mergeCell ref="SXG45:SXO45"/>
    <mergeCell ref="SXP45:SXX45"/>
    <mergeCell ref="SXY45:SYG45"/>
    <mergeCell ref="SUV45:SVD45"/>
    <mergeCell ref="SVE45:SVM45"/>
    <mergeCell ref="SVN45:SVV45"/>
    <mergeCell ref="SVW45:SWE45"/>
    <mergeCell ref="SWF45:SWN45"/>
    <mergeCell ref="TGY45:THG45"/>
    <mergeCell ref="THH45:THP45"/>
    <mergeCell ref="THQ45:THY45"/>
    <mergeCell ref="THZ45:TIH45"/>
    <mergeCell ref="TII45:TIQ45"/>
    <mergeCell ref="TFF45:TFN45"/>
    <mergeCell ref="TFO45:TFW45"/>
    <mergeCell ref="TFX45:TGF45"/>
    <mergeCell ref="TGG45:TGO45"/>
    <mergeCell ref="TGP45:TGX45"/>
    <mergeCell ref="TDM45:TDU45"/>
    <mergeCell ref="TDV45:TED45"/>
    <mergeCell ref="TEE45:TEM45"/>
    <mergeCell ref="TEN45:TEV45"/>
    <mergeCell ref="TEW45:TFE45"/>
    <mergeCell ref="TBT45:TCB45"/>
    <mergeCell ref="TCC45:TCK45"/>
    <mergeCell ref="TCL45:TCT45"/>
    <mergeCell ref="TCU45:TDC45"/>
    <mergeCell ref="TDD45:TDL45"/>
    <mergeCell ref="TNW45:TOE45"/>
    <mergeCell ref="TOF45:TON45"/>
    <mergeCell ref="TOO45:TOW45"/>
    <mergeCell ref="TOX45:TPF45"/>
    <mergeCell ref="TPG45:TPO45"/>
    <mergeCell ref="TMD45:TML45"/>
    <mergeCell ref="TMM45:TMU45"/>
    <mergeCell ref="TMV45:TND45"/>
    <mergeCell ref="TNE45:TNM45"/>
    <mergeCell ref="TNN45:TNV45"/>
    <mergeCell ref="TKK45:TKS45"/>
    <mergeCell ref="TKT45:TLB45"/>
    <mergeCell ref="TLC45:TLK45"/>
    <mergeCell ref="TLL45:TLT45"/>
    <mergeCell ref="TLU45:TMC45"/>
    <mergeCell ref="TIR45:TIZ45"/>
    <mergeCell ref="TJA45:TJI45"/>
    <mergeCell ref="TJJ45:TJR45"/>
    <mergeCell ref="TJS45:TKA45"/>
    <mergeCell ref="TKB45:TKJ45"/>
    <mergeCell ref="TUU45:TVC45"/>
    <mergeCell ref="TVD45:TVL45"/>
    <mergeCell ref="TVM45:TVU45"/>
    <mergeCell ref="TVV45:TWD45"/>
    <mergeCell ref="TWE45:TWM45"/>
    <mergeCell ref="TTB45:TTJ45"/>
    <mergeCell ref="TTK45:TTS45"/>
    <mergeCell ref="TTT45:TUB45"/>
    <mergeCell ref="TUC45:TUK45"/>
    <mergeCell ref="TUL45:TUT45"/>
    <mergeCell ref="TRI45:TRQ45"/>
    <mergeCell ref="TRR45:TRZ45"/>
    <mergeCell ref="TSA45:TSI45"/>
    <mergeCell ref="TSJ45:TSR45"/>
    <mergeCell ref="TSS45:TTA45"/>
    <mergeCell ref="TPP45:TPX45"/>
    <mergeCell ref="TPY45:TQG45"/>
    <mergeCell ref="TQH45:TQP45"/>
    <mergeCell ref="TQQ45:TQY45"/>
    <mergeCell ref="TQZ45:TRH45"/>
    <mergeCell ref="UBS45:UCA45"/>
    <mergeCell ref="UCB45:UCJ45"/>
    <mergeCell ref="UCK45:UCS45"/>
    <mergeCell ref="UCT45:UDB45"/>
    <mergeCell ref="UDC45:UDK45"/>
    <mergeCell ref="TZZ45:UAH45"/>
    <mergeCell ref="UAI45:UAQ45"/>
    <mergeCell ref="UAR45:UAZ45"/>
    <mergeCell ref="UBA45:UBI45"/>
    <mergeCell ref="UBJ45:UBR45"/>
    <mergeCell ref="TYG45:TYO45"/>
    <mergeCell ref="TYP45:TYX45"/>
    <mergeCell ref="TYY45:TZG45"/>
    <mergeCell ref="TZH45:TZP45"/>
    <mergeCell ref="TZQ45:TZY45"/>
    <mergeCell ref="TWN45:TWV45"/>
    <mergeCell ref="TWW45:TXE45"/>
    <mergeCell ref="TXF45:TXN45"/>
    <mergeCell ref="TXO45:TXW45"/>
    <mergeCell ref="TXX45:TYF45"/>
    <mergeCell ref="UIQ45:UIY45"/>
    <mergeCell ref="UIZ45:UJH45"/>
    <mergeCell ref="UJI45:UJQ45"/>
    <mergeCell ref="UJR45:UJZ45"/>
    <mergeCell ref="UKA45:UKI45"/>
    <mergeCell ref="UGX45:UHF45"/>
    <mergeCell ref="UHG45:UHO45"/>
    <mergeCell ref="UHP45:UHX45"/>
    <mergeCell ref="UHY45:UIG45"/>
    <mergeCell ref="UIH45:UIP45"/>
    <mergeCell ref="UFE45:UFM45"/>
    <mergeCell ref="UFN45:UFV45"/>
    <mergeCell ref="UFW45:UGE45"/>
    <mergeCell ref="UGF45:UGN45"/>
    <mergeCell ref="UGO45:UGW45"/>
    <mergeCell ref="UDL45:UDT45"/>
    <mergeCell ref="UDU45:UEC45"/>
    <mergeCell ref="UED45:UEL45"/>
    <mergeCell ref="UEM45:UEU45"/>
    <mergeCell ref="UEV45:UFD45"/>
    <mergeCell ref="UPO45:UPW45"/>
    <mergeCell ref="UPX45:UQF45"/>
    <mergeCell ref="UQG45:UQO45"/>
    <mergeCell ref="UQP45:UQX45"/>
    <mergeCell ref="UQY45:URG45"/>
    <mergeCell ref="UNV45:UOD45"/>
    <mergeCell ref="UOE45:UOM45"/>
    <mergeCell ref="UON45:UOV45"/>
    <mergeCell ref="UOW45:UPE45"/>
    <mergeCell ref="UPF45:UPN45"/>
    <mergeCell ref="UMC45:UMK45"/>
    <mergeCell ref="UML45:UMT45"/>
    <mergeCell ref="UMU45:UNC45"/>
    <mergeCell ref="UND45:UNL45"/>
    <mergeCell ref="UNM45:UNU45"/>
    <mergeCell ref="UKJ45:UKR45"/>
    <mergeCell ref="UKS45:ULA45"/>
    <mergeCell ref="ULB45:ULJ45"/>
    <mergeCell ref="ULK45:ULS45"/>
    <mergeCell ref="ULT45:UMB45"/>
    <mergeCell ref="UWM45:UWU45"/>
    <mergeCell ref="UWV45:UXD45"/>
    <mergeCell ref="UXE45:UXM45"/>
    <mergeCell ref="UXN45:UXV45"/>
    <mergeCell ref="UXW45:UYE45"/>
    <mergeCell ref="UUT45:UVB45"/>
    <mergeCell ref="UVC45:UVK45"/>
    <mergeCell ref="UVL45:UVT45"/>
    <mergeCell ref="UVU45:UWC45"/>
    <mergeCell ref="UWD45:UWL45"/>
    <mergeCell ref="UTA45:UTI45"/>
    <mergeCell ref="UTJ45:UTR45"/>
    <mergeCell ref="UTS45:UUA45"/>
    <mergeCell ref="UUB45:UUJ45"/>
    <mergeCell ref="UUK45:UUS45"/>
    <mergeCell ref="URH45:URP45"/>
    <mergeCell ref="URQ45:URY45"/>
    <mergeCell ref="URZ45:USH45"/>
    <mergeCell ref="USI45:USQ45"/>
    <mergeCell ref="USR45:USZ45"/>
    <mergeCell ref="VDK45:VDS45"/>
    <mergeCell ref="VDT45:VEB45"/>
    <mergeCell ref="VEC45:VEK45"/>
    <mergeCell ref="VEL45:VET45"/>
    <mergeCell ref="VEU45:VFC45"/>
    <mergeCell ref="VBR45:VBZ45"/>
    <mergeCell ref="VCA45:VCI45"/>
    <mergeCell ref="VCJ45:VCR45"/>
    <mergeCell ref="VCS45:VDA45"/>
    <mergeCell ref="VDB45:VDJ45"/>
    <mergeCell ref="UZY45:VAG45"/>
    <mergeCell ref="VAH45:VAP45"/>
    <mergeCell ref="VAQ45:VAY45"/>
    <mergeCell ref="VAZ45:VBH45"/>
    <mergeCell ref="VBI45:VBQ45"/>
    <mergeCell ref="UYF45:UYN45"/>
    <mergeCell ref="UYO45:UYW45"/>
    <mergeCell ref="UYX45:UZF45"/>
    <mergeCell ref="UZG45:UZO45"/>
    <mergeCell ref="UZP45:UZX45"/>
    <mergeCell ref="VKI45:VKQ45"/>
    <mergeCell ref="VKR45:VKZ45"/>
    <mergeCell ref="VLA45:VLI45"/>
    <mergeCell ref="VLJ45:VLR45"/>
    <mergeCell ref="VLS45:VMA45"/>
    <mergeCell ref="VIP45:VIX45"/>
    <mergeCell ref="VIY45:VJG45"/>
    <mergeCell ref="VJH45:VJP45"/>
    <mergeCell ref="VJQ45:VJY45"/>
    <mergeCell ref="VJZ45:VKH45"/>
    <mergeCell ref="VGW45:VHE45"/>
    <mergeCell ref="VHF45:VHN45"/>
    <mergeCell ref="VHO45:VHW45"/>
    <mergeCell ref="VHX45:VIF45"/>
    <mergeCell ref="VIG45:VIO45"/>
    <mergeCell ref="VFD45:VFL45"/>
    <mergeCell ref="VFM45:VFU45"/>
    <mergeCell ref="VFV45:VGD45"/>
    <mergeCell ref="VGE45:VGM45"/>
    <mergeCell ref="VGN45:VGV45"/>
    <mergeCell ref="VRG45:VRO45"/>
    <mergeCell ref="VRP45:VRX45"/>
    <mergeCell ref="VRY45:VSG45"/>
    <mergeCell ref="VSH45:VSP45"/>
    <mergeCell ref="VSQ45:VSY45"/>
    <mergeCell ref="VPN45:VPV45"/>
    <mergeCell ref="VPW45:VQE45"/>
    <mergeCell ref="VQF45:VQN45"/>
    <mergeCell ref="VQO45:VQW45"/>
    <mergeCell ref="VQX45:VRF45"/>
    <mergeCell ref="VNU45:VOC45"/>
    <mergeCell ref="VOD45:VOL45"/>
    <mergeCell ref="VOM45:VOU45"/>
    <mergeCell ref="VOV45:VPD45"/>
    <mergeCell ref="VPE45:VPM45"/>
    <mergeCell ref="VMB45:VMJ45"/>
    <mergeCell ref="VMK45:VMS45"/>
    <mergeCell ref="VMT45:VNB45"/>
    <mergeCell ref="VNC45:VNK45"/>
    <mergeCell ref="VNL45:VNT45"/>
    <mergeCell ref="VYE45:VYM45"/>
    <mergeCell ref="VYN45:VYV45"/>
    <mergeCell ref="VYW45:VZE45"/>
    <mergeCell ref="VZF45:VZN45"/>
    <mergeCell ref="VZO45:VZW45"/>
    <mergeCell ref="VWL45:VWT45"/>
    <mergeCell ref="VWU45:VXC45"/>
    <mergeCell ref="VXD45:VXL45"/>
    <mergeCell ref="VXM45:VXU45"/>
    <mergeCell ref="VXV45:VYD45"/>
    <mergeCell ref="VUS45:VVA45"/>
    <mergeCell ref="VVB45:VVJ45"/>
    <mergeCell ref="VVK45:VVS45"/>
    <mergeCell ref="VVT45:VWB45"/>
    <mergeCell ref="VWC45:VWK45"/>
    <mergeCell ref="VSZ45:VTH45"/>
    <mergeCell ref="VTI45:VTQ45"/>
    <mergeCell ref="VTR45:VTZ45"/>
    <mergeCell ref="VUA45:VUI45"/>
    <mergeCell ref="VUJ45:VUR45"/>
    <mergeCell ref="WFC45:WFK45"/>
    <mergeCell ref="WFL45:WFT45"/>
    <mergeCell ref="WFU45:WGC45"/>
    <mergeCell ref="WGD45:WGL45"/>
    <mergeCell ref="WGM45:WGU45"/>
    <mergeCell ref="WDJ45:WDR45"/>
    <mergeCell ref="WDS45:WEA45"/>
    <mergeCell ref="WEB45:WEJ45"/>
    <mergeCell ref="WEK45:WES45"/>
    <mergeCell ref="WET45:WFB45"/>
    <mergeCell ref="WBQ45:WBY45"/>
    <mergeCell ref="WBZ45:WCH45"/>
    <mergeCell ref="WCI45:WCQ45"/>
    <mergeCell ref="WCR45:WCZ45"/>
    <mergeCell ref="WDA45:WDI45"/>
    <mergeCell ref="VZX45:WAF45"/>
    <mergeCell ref="WAG45:WAO45"/>
    <mergeCell ref="WAP45:WAX45"/>
    <mergeCell ref="WAY45:WBG45"/>
    <mergeCell ref="WBH45:WBP45"/>
    <mergeCell ref="WMA45:WMI45"/>
    <mergeCell ref="WMJ45:WMR45"/>
    <mergeCell ref="WMS45:WNA45"/>
    <mergeCell ref="WNB45:WNJ45"/>
    <mergeCell ref="WNK45:WNS45"/>
    <mergeCell ref="WKH45:WKP45"/>
    <mergeCell ref="WKQ45:WKY45"/>
    <mergeCell ref="WKZ45:WLH45"/>
    <mergeCell ref="WLI45:WLQ45"/>
    <mergeCell ref="WLR45:WLZ45"/>
    <mergeCell ref="WIO45:WIW45"/>
    <mergeCell ref="WIX45:WJF45"/>
    <mergeCell ref="WJG45:WJO45"/>
    <mergeCell ref="WJP45:WJX45"/>
    <mergeCell ref="WJY45:WKG45"/>
    <mergeCell ref="WGV45:WHD45"/>
    <mergeCell ref="WHE45:WHM45"/>
    <mergeCell ref="WHN45:WHV45"/>
    <mergeCell ref="WHW45:WIE45"/>
    <mergeCell ref="WIF45:WIN45"/>
    <mergeCell ref="WTH45:WTP45"/>
    <mergeCell ref="WTQ45:WTY45"/>
    <mergeCell ref="WTZ45:WUH45"/>
    <mergeCell ref="WUI45:WUQ45"/>
    <mergeCell ref="WRF45:WRN45"/>
    <mergeCell ref="WRO45:WRW45"/>
    <mergeCell ref="WRX45:WSF45"/>
    <mergeCell ref="WSG45:WSO45"/>
    <mergeCell ref="WSP45:WSX45"/>
    <mergeCell ref="WPM45:WPU45"/>
    <mergeCell ref="WPV45:WQD45"/>
    <mergeCell ref="WQE45:WQM45"/>
    <mergeCell ref="WQN45:WQV45"/>
    <mergeCell ref="WQW45:WRE45"/>
    <mergeCell ref="WNT45:WOB45"/>
    <mergeCell ref="WOC45:WOK45"/>
    <mergeCell ref="WOL45:WOT45"/>
    <mergeCell ref="WOU45:WPC45"/>
    <mergeCell ref="WPD45:WPL45"/>
    <mergeCell ref="A70:G70"/>
    <mergeCell ref="XDI45:XDQ45"/>
    <mergeCell ref="XDR45:XDZ45"/>
    <mergeCell ref="XEA45:XEI45"/>
    <mergeCell ref="XEJ45:XER45"/>
    <mergeCell ref="XES45:XFA45"/>
    <mergeCell ref="XBP45:XBX45"/>
    <mergeCell ref="XBY45:XCG45"/>
    <mergeCell ref="XCH45:XCP45"/>
    <mergeCell ref="XCQ45:XCY45"/>
    <mergeCell ref="XCZ45:XDH45"/>
    <mergeCell ref="WZW45:XAE45"/>
    <mergeCell ref="XAF45:XAN45"/>
    <mergeCell ref="XAO45:XAW45"/>
    <mergeCell ref="XAX45:XBF45"/>
    <mergeCell ref="XBG45:XBO45"/>
    <mergeCell ref="WYD45:WYL45"/>
    <mergeCell ref="WYM45:WYU45"/>
    <mergeCell ref="WYV45:WZD45"/>
    <mergeCell ref="WZE45:WZM45"/>
    <mergeCell ref="WZN45:WZV45"/>
    <mergeCell ref="WWK45:WWS45"/>
    <mergeCell ref="WWT45:WXB45"/>
    <mergeCell ref="WXC45:WXK45"/>
    <mergeCell ref="WXL45:WXT45"/>
    <mergeCell ref="WXU45:WYC45"/>
    <mergeCell ref="WUR45:WUZ45"/>
    <mergeCell ref="WVA45:WVI45"/>
    <mergeCell ref="WVJ45:WVR45"/>
    <mergeCell ref="WVS45:WWA45"/>
    <mergeCell ref="WWB45:WWJ45"/>
    <mergeCell ref="WSY45:WTG45"/>
  </mergeCells>
  <phoneticPr fontId="53" type="noConversion"/>
  <hyperlinks>
    <hyperlink ref="A2" location="'Table of Contents'!A1" display="Back to Table of Contents" xr:uid="{00000000-0004-0000-1900-000000000000}"/>
  </hyperlinks>
  <pageMargins left="0.70866141732283472" right="0.70866141732283472" top="0.74803149606299213" bottom="0.74803149606299213" header="0.31496062992125984" footer="0.31496062992125984"/>
  <pageSetup paperSize="9" scale="77" orientation="portrait"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10195-8724-4DAE-A433-8A2BDC654C10}">
  <sheetPr>
    <tabColor theme="9" tint="0.39997558519241921"/>
  </sheetPr>
  <dimension ref="A1:E9"/>
  <sheetViews>
    <sheetView workbookViewId="0">
      <selection activeCell="B4" sqref="B4"/>
    </sheetView>
  </sheetViews>
  <sheetFormatPr defaultRowHeight="14.5" x14ac:dyDescent="0.35"/>
  <cols>
    <col min="1" max="1" width="12.54296875" bestFit="1" customWidth="1"/>
    <col min="2" max="2" width="25.1796875" bestFit="1" customWidth="1"/>
    <col min="3" max="3" width="30.81640625" bestFit="1" customWidth="1"/>
    <col min="4" max="4" width="18.54296875" bestFit="1" customWidth="1"/>
    <col min="5" max="5" width="14.54296875" bestFit="1" customWidth="1"/>
  </cols>
  <sheetData>
    <row r="1" spans="1:5" x14ac:dyDescent="0.35">
      <c r="A1" s="387" t="s">
        <v>350</v>
      </c>
      <c r="B1" t="s">
        <v>525</v>
      </c>
      <c r="C1" t="s">
        <v>526</v>
      </c>
      <c r="D1" t="s">
        <v>527</v>
      </c>
      <c r="E1" t="s">
        <v>528</v>
      </c>
    </row>
    <row r="2" spans="1:5" x14ac:dyDescent="0.35">
      <c r="A2" s="388" t="s">
        <v>214</v>
      </c>
      <c r="B2">
        <v>2955</v>
      </c>
      <c r="C2">
        <v>264</v>
      </c>
      <c r="D2">
        <v>358</v>
      </c>
      <c r="E2">
        <v>60</v>
      </c>
    </row>
    <row r="3" spans="1:5" x14ac:dyDescent="0.35">
      <c r="A3" s="388" t="s">
        <v>313</v>
      </c>
      <c r="B3">
        <v>2966</v>
      </c>
      <c r="C3">
        <v>270</v>
      </c>
      <c r="D3">
        <v>351</v>
      </c>
      <c r="E3">
        <v>49</v>
      </c>
    </row>
    <row r="4" spans="1:5" x14ac:dyDescent="0.35">
      <c r="A4" s="388" t="s">
        <v>319</v>
      </c>
      <c r="B4">
        <v>2903</v>
      </c>
      <c r="C4">
        <v>271</v>
      </c>
      <c r="D4">
        <v>348</v>
      </c>
      <c r="E4">
        <v>59</v>
      </c>
    </row>
    <row r="5" spans="1:5" x14ac:dyDescent="0.35">
      <c r="A5" s="388" t="s">
        <v>321</v>
      </c>
      <c r="B5">
        <v>2843</v>
      </c>
      <c r="C5">
        <v>273</v>
      </c>
      <c r="D5">
        <v>349</v>
      </c>
      <c r="E5">
        <v>65</v>
      </c>
    </row>
    <row r="6" spans="1:5" x14ac:dyDescent="0.35">
      <c r="A6" s="388" t="s">
        <v>326</v>
      </c>
      <c r="B6">
        <v>2798</v>
      </c>
      <c r="C6">
        <v>262</v>
      </c>
      <c r="D6">
        <v>327</v>
      </c>
      <c r="E6">
        <v>103</v>
      </c>
    </row>
    <row r="7" spans="1:5" x14ac:dyDescent="0.35">
      <c r="A7" s="388" t="s">
        <v>327</v>
      </c>
      <c r="B7">
        <v>2823</v>
      </c>
      <c r="C7">
        <v>263</v>
      </c>
      <c r="D7">
        <v>335</v>
      </c>
      <c r="E7">
        <v>1</v>
      </c>
    </row>
    <row r="8" spans="1:5" x14ac:dyDescent="0.35">
      <c r="A8" s="388" t="s">
        <v>466</v>
      </c>
      <c r="B8">
        <v>2762</v>
      </c>
      <c r="C8">
        <v>267</v>
      </c>
      <c r="D8">
        <v>332</v>
      </c>
      <c r="E8">
        <v>69</v>
      </c>
    </row>
    <row r="9" spans="1:5" x14ac:dyDescent="0.35">
      <c r="A9" s="388" t="s">
        <v>357</v>
      </c>
      <c r="B9">
        <v>20050</v>
      </c>
      <c r="C9">
        <v>1870</v>
      </c>
      <c r="D9">
        <v>2400</v>
      </c>
      <c r="E9">
        <v>406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3DEE-9770-4150-8E6F-38F9CE18A545}">
  <sheetPr>
    <tabColor theme="9" tint="0.39997558519241921"/>
  </sheetPr>
  <dimension ref="A1:E8"/>
  <sheetViews>
    <sheetView workbookViewId="0">
      <selection activeCell="C3" sqref="C3"/>
    </sheetView>
  </sheetViews>
  <sheetFormatPr defaultRowHeight="14.5" x14ac:dyDescent="0.35"/>
  <cols>
    <col min="1" max="1" width="7.453125" bestFit="1" customWidth="1"/>
    <col min="2" max="2" width="21" bestFit="1" customWidth="1"/>
    <col min="3" max="3" width="26.81640625" bestFit="1" customWidth="1"/>
    <col min="4" max="4" width="14.26953125" bestFit="1" customWidth="1"/>
    <col min="5" max="5" width="10.453125" bestFit="1" customWidth="1"/>
  </cols>
  <sheetData>
    <row r="1" spans="1:5" x14ac:dyDescent="0.35">
      <c r="A1" t="s">
        <v>207</v>
      </c>
      <c r="B1" t="s">
        <v>529</v>
      </c>
      <c r="C1" t="s">
        <v>530</v>
      </c>
      <c r="D1" t="s">
        <v>531</v>
      </c>
      <c r="E1" t="s">
        <v>532</v>
      </c>
    </row>
    <row r="2" spans="1:5" x14ac:dyDescent="0.35">
      <c r="A2" t="s">
        <v>214</v>
      </c>
      <c r="B2">
        <v>2955</v>
      </c>
      <c r="C2">
        <v>264</v>
      </c>
      <c r="D2">
        <v>358</v>
      </c>
      <c r="E2">
        <v>60</v>
      </c>
    </row>
    <row r="3" spans="1:5" x14ac:dyDescent="0.35">
      <c r="A3" t="s">
        <v>313</v>
      </c>
      <c r="B3">
        <v>2966</v>
      </c>
      <c r="C3">
        <v>270</v>
      </c>
      <c r="D3">
        <v>351</v>
      </c>
      <c r="E3">
        <v>49</v>
      </c>
    </row>
    <row r="4" spans="1:5" x14ac:dyDescent="0.35">
      <c r="A4" t="s">
        <v>319</v>
      </c>
      <c r="B4">
        <v>2903</v>
      </c>
      <c r="C4">
        <v>271</v>
      </c>
      <c r="D4">
        <v>348</v>
      </c>
      <c r="E4">
        <v>59</v>
      </c>
    </row>
    <row r="5" spans="1:5" x14ac:dyDescent="0.35">
      <c r="A5" t="s">
        <v>321</v>
      </c>
      <c r="B5">
        <v>2843</v>
      </c>
      <c r="C5">
        <v>273</v>
      </c>
      <c r="D5">
        <v>349</v>
      </c>
      <c r="E5">
        <v>65</v>
      </c>
    </row>
    <row r="6" spans="1:5" x14ac:dyDescent="0.35">
      <c r="A6" t="s">
        <v>326</v>
      </c>
      <c r="B6">
        <v>2798</v>
      </c>
      <c r="C6">
        <v>262</v>
      </c>
      <c r="D6">
        <v>327</v>
      </c>
      <c r="E6">
        <v>103</v>
      </c>
    </row>
    <row r="7" spans="1:5" x14ac:dyDescent="0.35">
      <c r="A7" t="s">
        <v>327</v>
      </c>
      <c r="B7">
        <v>2823</v>
      </c>
      <c r="C7">
        <v>263</v>
      </c>
      <c r="D7">
        <v>335</v>
      </c>
      <c r="E7">
        <v>1</v>
      </c>
    </row>
    <row r="8" spans="1:5" x14ac:dyDescent="0.35">
      <c r="A8" t="s">
        <v>466</v>
      </c>
      <c r="B8">
        <v>2762</v>
      </c>
      <c r="C8">
        <v>267</v>
      </c>
      <c r="D8">
        <v>332</v>
      </c>
      <c r="E8">
        <v>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8">
    <tabColor rgb="FFFFAFF0"/>
    <pageSetUpPr fitToPage="1"/>
  </sheetPr>
  <dimension ref="A1:J237"/>
  <sheetViews>
    <sheetView showGridLines="0" zoomScaleNormal="100" workbookViewId="0">
      <pane ySplit="2" topLeftCell="A3" activePane="bottomLeft" state="frozen"/>
      <selection pane="bottomLeft"/>
    </sheetView>
  </sheetViews>
  <sheetFormatPr defaultRowHeight="14.5" x14ac:dyDescent="0.35"/>
  <cols>
    <col min="1" max="1" width="16.7265625" customWidth="1"/>
    <col min="2" max="2" width="13" customWidth="1"/>
    <col min="3" max="3" width="20.7265625" bestFit="1" customWidth="1"/>
    <col min="4" max="4" width="10.81640625" bestFit="1" customWidth="1"/>
    <col min="5" max="6" width="55.7265625" bestFit="1" customWidth="1"/>
    <col min="7" max="7" width="11.1796875" bestFit="1" customWidth="1"/>
    <col min="8" max="8" width="21.26953125" bestFit="1" customWidth="1"/>
  </cols>
  <sheetData>
    <row r="1" spans="1:8" ht="15.5" x14ac:dyDescent="0.35">
      <c r="A1" s="421" t="s">
        <v>24</v>
      </c>
    </row>
    <row r="2" spans="1:8" x14ac:dyDescent="0.35">
      <c r="A2" s="499" t="s">
        <v>201</v>
      </c>
    </row>
    <row r="3" spans="1:8" ht="15.5" x14ac:dyDescent="0.35">
      <c r="B3" s="421"/>
      <c r="C3" s="421"/>
      <c r="D3" s="421"/>
      <c r="E3" s="421"/>
    </row>
    <row r="4" spans="1:8" ht="15" customHeight="1" x14ac:dyDescent="0.35">
      <c r="A4" t="s">
        <v>202</v>
      </c>
      <c r="B4" t="s">
        <v>27</v>
      </c>
      <c r="C4" s="347"/>
      <c r="F4" s="347"/>
      <c r="G4" s="347"/>
    </row>
    <row r="5" spans="1:8" ht="15" customHeight="1" x14ac:dyDescent="0.35">
      <c r="A5" t="s">
        <v>203</v>
      </c>
      <c r="B5" s="347" t="s">
        <v>204</v>
      </c>
      <c r="C5" s="347"/>
      <c r="D5" s="347"/>
      <c r="E5" s="347"/>
      <c r="F5" s="347"/>
      <c r="G5" s="347"/>
    </row>
    <row r="6" spans="1:8" ht="15" customHeight="1" x14ac:dyDescent="0.35">
      <c r="A6" t="s">
        <v>205</v>
      </c>
      <c r="B6" t="s">
        <v>206</v>
      </c>
      <c r="C6" s="347"/>
      <c r="D6" s="347"/>
      <c r="E6" s="347"/>
      <c r="F6" s="347"/>
      <c r="G6" s="347"/>
    </row>
    <row r="7" spans="1:8" ht="15" customHeight="1" x14ac:dyDescent="0.35">
      <c r="B7" s="347"/>
      <c r="C7" s="347"/>
      <c r="D7" s="595"/>
      <c r="E7" s="347"/>
      <c r="F7" s="347"/>
      <c r="G7" s="347"/>
    </row>
    <row r="8" spans="1:8" x14ac:dyDescent="0.35">
      <c r="A8" s="526" t="s">
        <v>207</v>
      </c>
      <c r="B8" s="300" t="s">
        <v>208</v>
      </c>
      <c r="C8" s="526" t="s">
        <v>32</v>
      </c>
      <c r="D8" s="300" t="s">
        <v>209</v>
      </c>
      <c r="E8" s="526" t="s">
        <v>210</v>
      </c>
      <c r="F8" s="526" t="s">
        <v>211</v>
      </c>
      <c r="G8" s="300" t="s">
        <v>212</v>
      </c>
      <c r="H8" s="526" t="s">
        <v>213</v>
      </c>
    </row>
    <row r="9" spans="1:8" hidden="1" x14ac:dyDescent="0.35">
      <c r="A9" s="312" t="s">
        <v>214</v>
      </c>
      <c r="B9" t="s">
        <v>215</v>
      </c>
      <c r="C9" t="s">
        <v>216</v>
      </c>
      <c r="D9" t="s">
        <v>217</v>
      </c>
      <c r="E9" t="s">
        <v>216</v>
      </c>
      <c r="F9" t="s">
        <v>216</v>
      </c>
      <c r="G9" t="s">
        <v>218</v>
      </c>
      <c r="H9" t="s">
        <v>219</v>
      </c>
    </row>
    <row r="10" spans="1:8" hidden="1" x14ac:dyDescent="0.35">
      <c r="A10" s="312" t="s">
        <v>214</v>
      </c>
      <c r="B10" t="s">
        <v>220</v>
      </c>
      <c r="C10" t="s">
        <v>221</v>
      </c>
      <c r="D10" t="s">
        <v>222</v>
      </c>
      <c r="E10" t="s">
        <v>223</v>
      </c>
      <c r="F10" t="s">
        <v>223</v>
      </c>
      <c r="G10" t="s">
        <v>218</v>
      </c>
      <c r="H10" t="s">
        <v>219</v>
      </c>
    </row>
    <row r="11" spans="1:8" hidden="1" x14ac:dyDescent="0.35">
      <c r="A11" s="312" t="s">
        <v>214</v>
      </c>
      <c r="B11" t="s">
        <v>224</v>
      </c>
      <c r="C11" t="s">
        <v>225</v>
      </c>
      <c r="D11" t="s">
        <v>226</v>
      </c>
      <c r="E11" t="s">
        <v>227</v>
      </c>
      <c r="F11" t="s">
        <v>227</v>
      </c>
      <c r="G11" t="s">
        <v>218</v>
      </c>
      <c r="H11" t="s">
        <v>219</v>
      </c>
    </row>
    <row r="12" spans="1:8" hidden="1" x14ac:dyDescent="0.35">
      <c r="A12" s="312" t="s">
        <v>214</v>
      </c>
      <c r="B12" t="s">
        <v>228</v>
      </c>
      <c r="C12" t="s">
        <v>229</v>
      </c>
      <c r="D12" t="s">
        <v>230</v>
      </c>
      <c r="E12" t="s">
        <v>231</v>
      </c>
      <c r="F12" t="s">
        <v>231</v>
      </c>
      <c r="G12" t="s">
        <v>232</v>
      </c>
      <c r="H12" t="s">
        <v>233</v>
      </c>
    </row>
    <row r="13" spans="1:8" hidden="1" x14ac:dyDescent="0.35">
      <c r="A13" s="312" t="s">
        <v>214</v>
      </c>
      <c r="B13" t="s">
        <v>234</v>
      </c>
      <c r="C13" t="s">
        <v>235</v>
      </c>
      <c r="D13" t="s">
        <v>236</v>
      </c>
      <c r="E13" t="s">
        <v>237</v>
      </c>
      <c r="F13" t="s">
        <v>237</v>
      </c>
      <c r="G13" t="s">
        <v>238</v>
      </c>
      <c r="H13" t="s">
        <v>239</v>
      </c>
    </row>
    <row r="14" spans="1:8" hidden="1" x14ac:dyDescent="0.35">
      <c r="A14" s="312" t="s">
        <v>214</v>
      </c>
      <c r="B14" t="s">
        <v>240</v>
      </c>
      <c r="C14" t="s">
        <v>241</v>
      </c>
      <c r="D14" t="s">
        <v>242</v>
      </c>
      <c r="E14" t="s">
        <v>243</v>
      </c>
      <c r="F14" t="s">
        <v>243</v>
      </c>
      <c r="G14" t="s">
        <v>238</v>
      </c>
      <c r="H14" t="s">
        <v>239</v>
      </c>
    </row>
    <row r="15" spans="1:8" hidden="1" x14ac:dyDescent="0.35">
      <c r="A15" s="312" t="s">
        <v>214</v>
      </c>
      <c r="B15" t="s">
        <v>244</v>
      </c>
      <c r="C15" t="s">
        <v>245</v>
      </c>
      <c r="D15" t="s">
        <v>246</v>
      </c>
      <c r="E15" t="s">
        <v>245</v>
      </c>
      <c r="F15" t="s">
        <v>245</v>
      </c>
      <c r="G15" t="s">
        <v>232</v>
      </c>
      <c r="H15" t="s">
        <v>233</v>
      </c>
    </row>
    <row r="16" spans="1:8" hidden="1" x14ac:dyDescent="0.35">
      <c r="A16" s="312" t="s">
        <v>214</v>
      </c>
      <c r="B16" t="s">
        <v>247</v>
      </c>
      <c r="C16" t="s">
        <v>248</v>
      </c>
      <c r="D16" t="s">
        <v>226</v>
      </c>
      <c r="E16" t="s">
        <v>227</v>
      </c>
      <c r="F16" t="s">
        <v>227</v>
      </c>
      <c r="G16" t="s">
        <v>218</v>
      </c>
      <c r="H16" t="s">
        <v>219</v>
      </c>
    </row>
    <row r="17" spans="1:8" hidden="1" x14ac:dyDescent="0.35">
      <c r="A17" s="312" t="s">
        <v>214</v>
      </c>
      <c r="B17" t="s">
        <v>249</v>
      </c>
      <c r="C17" t="s">
        <v>250</v>
      </c>
      <c r="D17" t="s">
        <v>251</v>
      </c>
      <c r="E17" t="s">
        <v>252</v>
      </c>
      <c r="F17" t="s">
        <v>252</v>
      </c>
      <c r="G17" t="s">
        <v>232</v>
      </c>
      <c r="H17" t="s">
        <v>233</v>
      </c>
    </row>
    <row r="18" spans="1:8" hidden="1" x14ac:dyDescent="0.35">
      <c r="A18" s="312" t="s">
        <v>214</v>
      </c>
      <c r="B18" t="s">
        <v>253</v>
      </c>
      <c r="C18" t="s">
        <v>254</v>
      </c>
      <c r="D18" t="s">
        <v>230</v>
      </c>
      <c r="E18" t="s">
        <v>231</v>
      </c>
      <c r="F18" t="s">
        <v>231</v>
      </c>
      <c r="G18" t="s">
        <v>232</v>
      </c>
      <c r="H18" t="s">
        <v>233</v>
      </c>
    </row>
    <row r="19" spans="1:8" hidden="1" x14ac:dyDescent="0.35">
      <c r="A19" s="312" t="s">
        <v>214</v>
      </c>
      <c r="B19" t="s">
        <v>255</v>
      </c>
      <c r="C19" t="s">
        <v>256</v>
      </c>
      <c r="D19" t="s">
        <v>257</v>
      </c>
      <c r="E19" t="s">
        <v>258</v>
      </c>
      <c r="F19" t="s">
        <v>258</v>
      </c>
      <c r="G19" t="s">
        <v>238</v>
      </c>
      <c r="H19" t="s">
        <v>239</v>
      </c>
    </row>
    <row r="20" spans="1:8" hidden="1" x14ac:dyDescent="0.35">
      <c r="A20" s="312" t="s">
        <v>214</v>
      </c>
      <c r="B20" t="s">
        <v>259</v>
      </c>
      <c r="C20" t="s">
        <v>260</v>
      </c>
      <c r="D20" t="s">
        <v>261</v>
      </c>
      <c r="E20" t="s">
        <v>262</v>
      </c>
      <c r="F20" t="s">
        <v>262</v>
      </c>
      <c r="G20" t="s">
        <v>232</v>
      </c>
      <c r="H20" t="s">
        <v>233</v>
      </c>
    </row>
    <row r="21" spans="1:8" hidden="1" x14ac:dyDescent="0.35">
      <c r="A21" s="312" t="s">
        <v>214</v>
      </c>
      <c r="B21" t="s">
        <v>263</v>
      </c>
      <c r="C21" t="s">
        <v>264</v>
      </c>
      <c r="D21" t="s">
        <v>265</v>
      </c>
      <c r="E21" t="s">
        <v>266</v>
      </c>
      <c r="F21" t="s">
        <v>266</v>
      </c>
      <c r="G21" t="s">
        <v>238</v>
      </c>
      <c r="H21" t="s">
        <v>239</v>
      </c>
    </row>
    <row r="22" spans="1:8" hidden="1" x14ac:dyDescent="0.35">
      <c r="A22" s="312" t="s">
        <v>214</v>
      </c>
      <c r="B22" t="s">
        <v>267</v>
      </c>
      <c r="C22" t="s">
        <v>268</v>
      </c>
      <c r="D22" t="s">
        <v>269</v>
      </c>
      <c r="E22" t="s">
        <v>268</v>
      </c>
      <c r="F22" t="s">
        <v>268</v>
      </c>
      <c r="G22" t="s">
        <v>238</v>
      </c>
      <c r="H22" t="s">
        <v>239</v>
      </c>
    </row>
    <row r="23" spans="1:8" hidden="1" x14ac:dyDescent="0.35">
      <c r="A23" s="312" t="s">
        <v>214</v>
      </c>
      <c r="B23" t="s">
        <v>270</v>
      </c>
      <c r="C23" t="s">
        <v>271</v>
      </c>
      <c r="D23" t="s">
        <v>272</v>
      </c>
      <c r="E23" t="s">
        <v>271</v>
      </c>
      <c r="F23" t="s">
        <v>271</v>
      </c>
      <c r="G23" t="s">
        <v>232</v>
      </c>
      <c r="H23" t="s">
        <v>233</v>
      </c>
    </row>
    <row r="24" spans="1:8" hidden="1" x14ac:dyDescent="0.35">
      <c r="A24" s="312" t="s">
        <v>214</v>
      </c>
      <c r="B24" t="s">
        <v>273</v>
      </c>
      <c r="C24" t="s">
        <v>274</v>
      </c>
      <c r="D24" t="s">
        <v>275</v>
      </c>
      <c r="E24" t="s">
        <v>276</v>
      </c>
      <c r="F24" t="s">
        <v>276</v>
      </c>
      <c r="G24" t="s">
        <v>218</v>
      </c>
      <c r="H24" t="s">
        <v>219</v>
      </c>
    </row>
    <row r="25" spans="1:8" hidden="1" x14ac:dyDescent="0.35">
      <c r="A25" s="312" t="s">
        <v>214</v>
      </c>
      <c r="B25" t="s">
        <v>277</v>
      </c>
      <c r="C25" t="s">
        <v>278</v>
      </c>
      <c r="D25" t="s">
        <v>261</v>
      </c>
      <c r="E25" t="s">
        <v>262</v>
      </c>
      <c r="F25" t="s">
        <v>262</v>
      </c>
      <c r="G25" t="s">
        <v>232</v>
      </c>
      <c r="H25" t="s">
        <v>233</v>
      </c>
    </row>
    <row r="26" spans="1:8" hidden="1" x14ac:dyDescent="0.35">
      <c r="A26" s="312" t="s">
        <v>214</v>
      </c>
      <c r="B26" t="s">
        <v>279</v>
      </c>
      <c r="C26" t="s">
        <v>280</v>
      </c>
      <c r="D26" t="s">
        <v>257</v>
      </c>
      <c r="E26" t="s">
        <v>258</v>
      </c>
      <c r="F26" t="s">
        <v>258</v>
      </c>
      <c r="G26" t="s">
        <v>238</v>
      </c>
      <c r="H26" t="s">
        <v>239</v>
      </c>
    </row>
    <row r="27" spans="1:8" hidden="1" x14ac:dyDescent="0.35">
      <c r="A27" s="312" t="s">
        <v>214</v>
      </c>
      <c r="B27" t="s">
        <v>281</v>
      </c>
      <c r="C27" t="s">
        <v>282</v>
      </c>
      <c r="D27" t="s">
        <v>222</v>
      </c>
      <c r="E27" t="s">
        <v>223</v>
      </c>
      <c r="F27" t="s">
        <v>223</v>
      </c>
      <c r="G27" t="s">
        <v>218</v>
      </c>
      <c r="H27" t="s">
        <v>219</v>
      </c>
    </row>
    <row r="28" spans="1:8" hidden="1" x14ac:dyDescent="0.35">
      <c r="A28" s="312" t="s">
        <v>214</v>
      </c>
      <c r="B28" t="s">
        <v>283</v>
      </c>
      <c r="C28" t="s">
        <v>284</v>
      </c>
      <c r="D28" t="s">
        <v>285</v>
      </c>
      <c r="E28" t="s">
        <v>286</v>
      </c>
      <c r="F28" t="s">
        <v>286</v>
      </c>
      <c r="G28" t="s">
        <v>218</v>
      </c>
      <c r="H28" t="s">
        <v>219</v>
      </c>
    </row>
    <row r="29" spans="1:8" hidden="1" x14ac:dyDescent="0.35">
      <c r="A29" s="312" t="s">
        <v>214</v>
      </c>
      <c r="B29" t="s">
        <v>287</v>
      </c>
      <c r="C29" t="s">
        <v>288</v>
      </c>
      <c r="D29" t="s">
        <v>251</v>
      </c>
      <c r="E29" t="s">
        <v>252</v>
      </c>
      <c r="F29" t="s">
        <v>252</v>
      </c>
      <c r="G29" t="s">
        <v>232</v>
      </c>
      <c r="H29" t="s">
        <v>233</v>
      </c>
    </row>
    <row r="30" spans="1:8" hidden="1" x14ac:dyDescent="0.35">
      <c r="A30" s="312" t="s">
        <v>214</v>
      </c>
      <c r="B30" t="s">
        <v>289</v>
      </c>
      <c r="C30" t="s">
        <v>290</v>
      </c>
      <c r="D30" t="s">
        <v>291</v>
      </c>
      <c r="E30" t="s">
        <v>290</v>
      </c>
      <c r="F30" t="s">
        <v>290</v>
      </c>
      <c r="G30" t="s">
        <v>232</v>
      </c>
      <c r="H30" t="s">
        <v>233</v>
      </c>
    </row>
    <row r="31" spans="1:8" hidden="1" x14ac:dyDescent="0.35">
      <c r="A31" s="312" t="s">
        <v>214</v>
      </c>
      <c r="B31" t="s">
        <v>292</v>
      </c>
      <c r="C31" t="s">
        <v>293</v>
      </c>
      <c r="D31" t="s">
        <v>285</v>
      </c>
      <c r="E31" t="s">
        <v>286</v>
      </c>
      <c r="F31" t="s">
        <v>286</v>
      </c>
      <c r="G31" t="s">
        <v>218</v>
      </c>
      <c r="H31" t="s">
        <v>219</v>
      </c>
    </row>
    <row r="32" spans="1:8" hidden="1" x14ac:dyDescent="0.35">
      <c r="A32" s="312" t="s">
        <v>214</v>
      </c>
      <c r="B32" t="s">
        <v>294</v>
      </c>
      <c r="C32" t="s">
        <v>295</v>
      </c>
      <c r="D32" t="s">
        <v>226</v>
      </c>
      <c r="E32" t="s">
        <v>227</v>
      </c>
      <c r="F32" t="s">
        <v>227</v>
      </c>
      <c r="G32" t="s">
        <v>218</v>
      </c>
      <c r="H32" t="s">
        <v>219</v>
      </c>
    </row>
    <row r="33" spans="1:10" hidden="1" x14ac:dyDescent="0.35">
      <c r="A33" s="312" t="s">
        <v>214</v>
      </c>
      <c r="B33" t="s">
        <v>296</v>
      </c>
      <c r="C33" t="s">
        <v>297</v>
      </c>
      <c r="D33" t="s">
        <v>261</v>
      </c>
      <c r="E33" t="s">
        <v>262</v>
      </c>
      <c r="F33" t="s">
        <v>262</v>
      </c>
      <c r="G33" t="s">
        <v>232</v>
      </c>
      <c r="H33" t="s">
        <v>233</v>
      </c>
    </row>
    <row r="34" spans="1:10" hidden="1" x14ac:dyDescent="0.35">
      <c r="A34" s="312" t="s">
        <v>214</v>
      </c>
      <c r="B34" t="s">
        <v>298</v>
      </c>
      <c r="C34" t="s">
        <v>299</v>
      </c>
      <c r="D34" t="s">
        <v>257</v>
      </c>
      <c r="E34" t="s">
        <v>258</v>
      </c>
      <c r="F34" t="s">
        <v>258</v>
      </c>
      <c r="G34" t="s">
        <v>238</v>
      </c>
      <c r="H34" t="s">
        <v>239</v>
      </c>
    </row>
    <row r="35" spans="1:10" hidden="1" x14ac:dyDescent="0.35">
      <c r="A35" s="312" t="s">
        <v>214</v>
      </c>
      <c r="B35" t="s">
        <v>300</v>
      </c>
      <c r="C35" t="s">
        <v>301</v>
      </c>
      <c r="D35" t="s">
        <v>285</v>
      </c>
      <c r="E35" t="s">
        <v>286</v>
      </c>
      <c r="F35" t="s">
        <v>286</v>
      </c>
      <c r="G35" t="s">
        <v>218</v>
      </c>
      <c r="H35" t="s">
        <v>219</v>
      </c>
    </row>
    <row r="36" spans="1:10" hidden="1" x14ac:dyDescent="0.35">
      <c r="A36" s="312" t="s">
        <v>214</v>
      </c>
      <c r="B36" t="s">
        <v>302</v>
      </c>
      <c r="C36" t="s">
        <v>303</v>
      </c>
      <c r="D36" t="s">
        <v>251</v>
      </c>
      <c r="E36" t="s">
        <v>252</v>
      </c>
      <c r="F36" t="s">
        <v>252</v>
      </c>
      <c r="G36" t="s">
        <v>232</v>
      </c>
      <c r="H36" t="s">
        <v>233</v>
      </c>
    </row>
    <row r="37" spans="1:10" hidden="1" x14ac:dyDescent="0.35">
      <c r="A37" s="312" t="s">
        <v>214</v>
      </c>
      <c r="B37" t="s">
        <v>304</v>
      </c>
      <c r="C37" t="s">
        <v>305</v>
      </c>
      <c r="D37" t="s">
        <v>306</v>
      </c>
      <c r="E37" t="s">
        <v>305</v>
      </c>
      <c r="F37" t="s">
        <v>305</v>
      </c>
      <c r="G37" t="s">
        <v>232</v>
      </c>
      <c r="H37" t="s">
        <v>233</v>
      </c>
    </row>
    <row r="38" spans="1:10" hidden="1" x14ac:dyDescent="0.35">
      <c r="A38" s="312" t="s">
        <v>214</v>
      </c>
      <c r="B38" t="s">
        <v>307</v>
      </c>
      <c r="C38" t="s">
        <v>308</v>
      </c>
      <c r="D38" t="s">
        <v>242</v>
      </c>
      <c r="E38" t="s">
        <v>243</v>
      </c>
      <c r="F38" t="s">
        <v>243</v>
      </c>
      <c r="G38" t="s">
        <v>238</v>
      </c>
      <c r="H38" t="s">
        <v>239</v>
      </c>
    </row>
    <row r="39" spans="1:10" hidden="1" x14ac:dyDescent="0.35">
      <c r="A39" s="312" t="s">
        <v>214</v>
      </c>
      <c r="B39" t="s">
        <v>309</v>
      </c>
      <c r="C39" t="s">
        <v>310</v>
      </c>
      <c r="D39" t="s">
        <v>230</v>
      </c>
      <c r="E39" t="s">
        <v>231</v>
      </c>
      <c r="F39" t="s">
        <v>231</v>
      </c>
      <c r="G39" t="s">
        <v>232</v>
      </c>
      <c r="H39" t="s">
        <v>233</v>
      </c>
    </row>
    <row r="40" spans="1:10" hidden="1" x14ac:dyDescent="0.35">
      <c r="A40" s="526" t="s">
        <v>214</v>
      </c>
      <c r="B40" s="300" t="s">
        <v>311</v>
      </c>
      <c r="C40" s="300" t="s">
        <v>312</v>
      </c>
      <c r="D40" s="300" t="s">
        <v>265</v>
      </c>
      <c r="E40" s="300" t="s">
        <v>266</v>
      </c>
      <c r="F40" s="300" t="s">
        <v>266</v>
      </c>
      <c r="G40" s="300" t="s">
        <v>238</v>
      </c>
      <c r="H40" s="300" t="s">
        <v>239</v>
      </c>
    </row>
    <row r="41" spans="1:10" hidden="1" x14ac:dyDescent="0.35">
      <c r="A41" s="312" t="s">
        <v>313</v>
      </c>
      <c r="B41" t="s">
        <v>215</v>
      </c>
      <c r="C41" t="s">
        <v>216</v>
      </c>
      <c r="D41" t="s">
        <v>217</v>
      </c>
      <c r="E41" t="s">
        <v>216</v>
      </c>
      <c r="F41" t="s">
        <v>216</v>
      </c>
      <c r="G41" t="s">
        <v>218</v>
      </c>
      <c r="H41" t="s">
        <v>219</v>
      </c>
    </row>
    <row r="42" spans="1:10" hidden="1" x14ac:dyDescent="0.35">
      <c r="A42" s="312" t="s">
        <v>313</v>
      </c>
      <c r="B42" t="s">
        <v>220</v>
      </c>
      <c r="C42" t="s">
        <v>221</v>
      </c>
      <c r="D42" t="s">
        <v>222</v>
      </c>
      <c r="E42" t="s">
        <v>223</v>
      </c>
      <c r="F42" t="s">
        <v>223</v>
      </c>
      <c r="G42" t="s">
        <v>218</v>
      </c>
      <c r="H42" t="s">
        <v>219</v>
      </c>
    </row>
    <row r="43" spans="1:10" hidden="1" x14ac:dyDescent="0.35">
      <c r="A43" s="312" t="s">
        <v>313</v>
      </c>
      <c r="B43" t="s">
        <v>224</v>
      </c>
      <c r="C43" t="s">
        <v>225</v>
      </c>
      <c r="D43" t="s">
        <v>226</v>
      </c>
      <c r="E43" t="s">
        <v>227</v>
      </c>
      <c r="F43" t="s">
        <v>227</v>
      </c>
      <c r="G43" t="s">
        <v>218</v>
      </c>
      <c r="H43" t="s">
        <v>219</v>
      </c>
      <c r="I43" s="373"/>
      <c r="J43" s="373"/>
    </row>
    <row r="44" spans="1:10" hidden="1" x14ac:dyDescent="0.35">
      <c r="A44" s="312" t="s">
        <v>313</v>
      </c>
      <c r="B44" t="s">
        <v>228</v>
      </c>
      <c r="C44" t="s">
        <v>229</v>
      </c>
      <c r="D44" t="s">
        <v>230</v>
      </c>
      <c r="E44" t="s">
        <v>231</v>
      </c>
      <c r="F44" t="s">
        <v>231</v>
      </c>
      <c r="G44" t="s">
        <v>232</v>
      </c>
      <c r="H44" t="s">
        <v>233</v>
      </c>
    </row>
    <row r="45" spans="1:10" hidden="1" x14ac:dyDescent="0.35">
      <c r="A45" s="312" t="s">
        <v>313</v>
      </c>
      <c r="B45" t="s">
        <v>234</v>
      </c>
      <c r="C45" t="s">
        <v>235</v>
      </c>
      <c r="D45" t="s">
        <v>236</v>
      </c>
      <c r="E45" t="s">
        <v>237</v>
      </c>
      <c r="F45" t="s">
        <v>237</v>
      </c>
      <c r="G45" t="s">
        <v>238</v>
      </c>
      <c r="H45" t="s">
        <v>239</v>
      </c>
    </row>
    <row r="46" spans="1:10" hidden="1" x14ac:dyDescent="0.35">
      <c r="A46" s="312" t="s">
        <v>313</v>
      </c>
      <c r="B46" t="s">
        <v>240</v>
      </c>
      <c r="C46" t="s">
        <v>241</v>
      </c>
      <c r="D46" t="s">
        <v>242</v>
      </c>
      <c r="E46" t="s">
        <v>243</v>
      </c>
      <c r="F46" t="s">
        <v>314</v>
      </c>
      <c r="G46" t="s">
        <v>238</v>
      </c>
      <c r="H46" t="s">
        <v>239</v>
      </c>
    </row>
    <row r="47" spans="1:10" hidden="1" x14ac:dyDescent="0.35">
      <c r="A47" s="312" t="s">
        <v>313</v>
      </c>
      <c r="B47" t="s">
        <v>244</v>
      </c>
      <c r="C47" t="s">
        <v>245</v>
      </c>
      <c r="D47" t="s">
        <v>246</v>
      </c>
      <c r="E47" t="s">
        <v>245</v>
      </c>
      <c r="F47" t="s">
        <v>245</v>
      </c>
      <c r="G47" t="s">
        <v>232</v>
      </c>
      <c r="H47" t="s">
        <v>233</v>
      </c>
    </row>
    <row r="48" spans="1:10" hidden="1" x14ac:dyDescent="0.35">
      <c r="A48" s="312" t="s">
        <v>313</v>
      </c>
      <c r="B48" t="s">
        <v>247</v>
      </c>
      <c r="C48" t="s">
        <v>248</v>
      </c>
      <c r="D48" t="s">
        <v>226</v>
      </c>
      <c r="E48" t="s">
        <v>227</v>
      </c>
      <c r="F48" t="s">
        <v>227</v>
      </c>
      <c r="G48" t="s">
        <v>218</v>
      </c>
      <c r="H48" t="s">
        <v>219</v>
      </c>
    </row>
    <row r="49" spans="1:8" hidden="1" x14ac:dyDescent="0.35">
      <c r="A49" s="312" t="s">
        <v>313</v>
      </c>
      <c r="B49" t="s">
        <v>249</v>
      </c>
      <c r="C49" t="s">
        <v>250</v>
      </c>
      <c r="D49" t="s">
        <v>251</v>
      </c>
      <c r="E49" t="s">
        <v>252</v>
      </c>
      <c r="F49" t="s">
        <v>252</v>
      </c>
      <c r="G49" t="s">
        <v>232</v>
      </c>
      <c r="H49" t="s">
        <v>233</v>
      </c>
    </row>
    <row r="50" spans="1:8" hidden="1" x14ac:dyDescent="0.35">
      <c r="A50" s="312" t="s">
        <v>313</v>
      </c>
      <c r="B50" t="s">
        <v>253</v>
      </c>
      <c r="C50" t="s">
        <v>254</v>
      </c>
      <c r="D50" t="s">
        <v>230</v>
      </c>
      <c r="E50" t="s">
        <v>231</v>
      </c>
      <c r="F50" t="s">
        <v>231</v>
      </c>
      <c r="G50" t="s">
        <v>232</v>
      </c>
      <c r="H50" t="s">
        <v>233</v>
      </c>
    </row>
    <row r="51" spans="1:8" hidden="1" x14ac:dyDescent="0.35">
      <c r="A51" s="312" t="s">
        <v>313</v>
      </c>
      <c r="B51" t="s">
        <v>255</v>
      </c>
      <c r="C51" t="s">
        <v>256</v>
      </c>
      <c r="D51" t="s">
        <v>257</v>
      </c>
      <c r="E51" t="s">
        <v>258</v>
      </c>
      <c r="F51" t="s">
        <v>258</v>
      </c>
      <c r="G51" t="s">
        <v>238</v>
      </c>
      <c r="H51" t="s">
        <v>239</v>
      </c>
    </row>
    <row r="52" spans="1:8" hidden="1" x14ac:dyDescent="0.35">
      <c r="A52" s="312" t="s">
        <v>313</v>
      </c>
      <c r="B52" t="s">
        <v>259</v>
      </c>
      <c r="C52" t="s">
        <v>260</v>
      </c>
      <c r="D52" t="s">
        <v>261</v>
      </c>
      <c r="E52" t="s">
        <v>262</v>
      </c>
      <c r="F52" t="s">
        <v>262</v>
      </c>
      <c r="G52" t="s">
        <v>232</v>
      </c>
      <c r="H52" t="s">
        <v>233</v>
      </c>
    </row>
    <row r="53" spans="1:8" hidden="1" x14ac:dyDescent="0.35">
      <c r="A53" s="312" t="s">
        <v>313</v>
      </c>
      <c r="B53" t="s">
        <v>263</v>
      </c>
      <c r="C53" t="s">
        <v>264</v>
      </c>
      <c r="D53" t="s">
        <v>265</v>
      </c>
      <c r="E53" t="s">
        <v>266</v>
      </c>
      <c r="F53" t="s">
        <v>266</v>
      </c>
      <c r="G53" t="s">
        <v>238</v>
      </c>
      <c r="H53" t="s">
        <v>239</v>
      </c>
    </row>
    <row r="54" spans="1:8" hidden="1" x14ac:dyDescent="0.35">
      <c r="A54" s="312" t="s">
        <v>313</v>
      </c>
      <c r="B54" t="s">
        <v>267</v>
      </c>
      <c r="C54" t="s">
        <v>268</v>
      </c>
      <c r="D54" t="s">
        <v>269</v>
      </c>
      <c r="E54" t="s">
        <v>268</v>
      </c>
      <c r="F54" t="s">
        <v>314</v>
      </c>
      <c r="G54" t="s">
        <v>238</v>
      </c>
      <c r="H54" t="s">
        <v>239</v>
      </c>
    </row>
    <row r="55" spans="1:8" hidden="1" x14ac:dyDescent="0.35">
      <c r="A55" s="312" t="s">
        <v>313</v>
      </c>
      <c r="B55" t="s">
        <v>315</v>
      </c>
      <c r="C55" t="s">
        <v>271</v>
      </c>
      <c r="D55" t="s">
        <v>316</v>
      </c>
      <c r="E55" t="s">
        <v>271</v>
      </c>
      <c r="F55" t="s">
        <v>271</v>
      </c>
      <c r="G55" t="s">
        <v>232</v>
      </c>
      <c r="H55" t="s">
        <v>233</v>
      </c>
    </row>
    <row r="56" spans="1:8" hidden="1" x14ac:dyDescent="0.35">
      <c r="A56" s="312" t="s">
        <v>313</v>
      </c>
      <c r="B56" t="s">
        <v>273</v>
      </c>
      <c r="C56" t="s">
        <v>274</v>
      </c>
      <c r="D56" t="s">
        <v>275</v>
      </c>
      <c r="E56" t="s">
        <v>276</v>
      </c>
      <c r="F56" t="s">
        <v>276</v>
      </c>
      <c r="G56" t="s">
        <v>218</v>
      </c>
      <c r="H56" t="s">
        <v>219</v>
      </c>
    </row>
    <row r="57" spans="1:8" hidden="1" x14ac:dyDescent="0.35">
      <c r="A57" s="312" t="s">
        <v>313</v>
      </c>
      <c r="B57" t="s">
        <v>277</v>
      </c>
      <c r="C57" t="s">
        <v>278</v>
      </c>
      <c r="D57" t="s">
        <v>261</v>
      </c>
      <c r="E57" t="s">
        <v>262</v>
      </c>
      <c r="F57" t="s">
        <v>262</v>
      </c>
      <c r="G57" t="s">
        <v>232</v>
      </c>
      <c r="H57" t="s">
        <v>233</v>
      </c>
    </row>
    <row r="58" spans="1:8" hidden="1" x14ac:dyDescent="0.35">
      <c r="A58" s="312" t="s">
        <v>313</v>
      </c>
      <c r="B58" t="s">
        <v>279</v>
      </c>
      <c r="C58" t="s">
        <v>280</v>
      </c>
      <c r="D58" t="s">
        <v>257</v>
      </c>
      <c r="E58" t="s">
        <v>258</v>
      </c>
      <c r="F58" t="s">
        <v>258</v>
      </c>
      <c r="G58" t="s">
        <v>238</v>
      </c>
      <c r="H58" t="s">
        <v>239</v>
      </c>
    </row>
    <row r="59" spans="1:8" hidden="1" x14ac:dyDescent="0.35">
      <c r="A59" s="312" t="s">
        <v>313</v>
      </c>
      <c r="B59" t="s">
        <v>281</v>
      </c>
      <c r="C59" t="s">
        <v>282</v>
      </c>
      <c r="D59" t="s">
        <v>222</v>
      </c>
      <c r="E59" t="s">
        <v>223</v>
      </c>
      <c r="F59" t="s">
        <v>223</v>
      </c>
      <c r="G59" t="s">
        <v>218</v>
      </c>
      <c r="H59" t="s">
        <v>219</v>
      </c>
    </row>
    <row r="60" spans="1:8" hidden="1" x14ac:dyDescent="0.35">
      <c r="A60" s="312" t="s">
        <v>313</v>
      </c>
      <c r="B60" t="s">
        <v>283</v>
      </c>
      <c r="C60" t="s">
        <v>284</v>
      </c>
      <c r="D60" t="s">
        <v>285</v>
      </c>
      <c r="E60" t="s">
        <v>286</v>
      </c>
      <c r="F60" t="s">
        <v>286</v>
      </c>
      <c r="G60" t="s">
        <v>218</v>
      </c>
      <c r="H60" t="s">
        <v>219</v>
      </c>
    </row>
    <row r="61" spans="1:8" hidden="1" x14ac:dyDescent="0.35">
      <c r="A61" s="312" t="s">
        <v>313</v>
      </c>
      <c r="B61" t="s">
        <v>287</v>
      </c>
      <c r="C61" t="s">
        <v>288</v>
      </c>
      <c r="D61" t="s">
        <v>251</v>
      </c>
      <c r="E61" t="s">
        <v>252</v>
      </c>
      <c r="F61" t="s">
        <v>252</v>
      </c>
      <c r="G61" t="s">
        <v>232</v>
      </c>
      <c r="H61" t="s">
        <v>233</v>
      </c>
    </row>
    <row r="62" spans="1:8" hidden="1" x14ac:dyDescent="0.35">
      <c r="A62" s="312" t="s">
        <v>313</v>
      </c>
      <c r="B62" t="s">
        <v>317</v>
      </c>
      <c r="C62" t="s">
        <v>290</v>
      </c>
      <c r="D62" t="s">
        <v>318</v>
      </c>
      <c r="E62" t="s">
        <v>290</v>
      </c>
      <c r="F62" t="s">
        <v>290</v>
      </c>
      <c r="G62" t="s">
        <v>232</v>
      </c>
      <c r="H62" t="s">
        <v>233</v>
      </c>
    </row>
    <row r="63" spans="1:8" hidden="1" x14ac:dyDescent="0.35">
      <c r="A63" s="312" t="s">
        <v>313</v>
      </c>
      <c r="B63" t="s">
        <v>292</v>
      </c>
      <c r="C63" t="s">
        <v>293</v>
      </c>
      <c r="D63" t="s">
        <v>285</v>
      </c>
      <c r="E63" t="s">
        <v>286</v>
      </c>
      <c r="F63" t="s">
        <v>286</v>
      </c>
      <c r="G63" t="s">
        <v>218</v>
      </c>
      <c r="H63" t="s">
        <v>219</v>
      </c>
    </row>
    <row r="64" spans="1:8" hidden="1" x14ac:dyDescent="0.35">
      <c r="A64" s="312" t="s">
        <v>313</v>
      </c>
      <c r="B64" t="s">
        <v>294</v>
      </c>
      <c r="C64" t="s">
        <v>295</v>
      </c>
      <c r="D64" t="s">
        <v>226</v>
      </c>
      <c r="E64" t="s">
        <v>227</v>
      </c>
      <c r="F64" t="s">
        <v>227</v>
      </c>
      <c r="G64" t="s">
        <v>218</v>
      </c>
      <c r="H64" t="s">
        <v>219</v>
      </c>
    </row>
    <row r="65" spans="1:8" hidden="1" x14ac:dyDescent="0.35">
      <c r="A65" s="312" t="s">
        <v>313</v>
      </c>
      <c r="B65" t="s">
        <v>296</v>
      </c>
      <c r="C65" t="s">
        <v>297</v>
      </c>
      <c r="D65" t="s">
        <v>261</v>
      </c>
      <c r="E65" t="s">
        <v>262</v>
      </c>
      <c r="F65" t="s">
        <v>262</v>
      </c>
      <c r="G65" t="s">
        <v>232</v>
      </c>
      <c r="H65" t="s">
        <v>233</v>
      </c>
    </row>
    <row r="66" spans="1:8" hidden="1" x14ac:dyDescent="0.35">
      <c r="A66" s="312" t="s">
        <v>313</v>
      </c>
      <c r="B66" t="s">
        <v>298</v>
      </c>
      <c r="C66" t="s">
        <v>299</v>
      </c>
      <c r="D66" t="s">
        <v>257</v>
      </c>
      <c r="E66" t="s">
        <v>258</v>
      </c>
      <c r="F66" t="s">
        <v>258</v>
      </c>
      <c r="G66" t="s">
        <v>238</v>
      </c>
      <c r="H66" t="s">
        <v>239</v>
      </c>
    </row>
    <row r="67" spans="1:8" hidden="1" x14ac:dyDescent="0.35">
      <c r="A67" s="312" t="s">
        <v>313</v>
      </c>
      <c r="B67" t="s">
        <v>300</v>
      </c>
      <c r="C67" t="s">
        <v>301</v>
      </c>
      <c r="D67" t="s">
        <v>285</v>
      </c>
      <c r="E67" t="s">
        <v>286</v>
      </c>
      <c r="F67" t="s">
        <v>286</v>
      </c>
      <c r="G67" t="s">
        <v>218</v>
      </c>
      <c r="H67" t="s">
        <v>219</v>
      </c>
    </row>
    <row r="68" spans="1:8" hidden="1" x14ac:dyDescent="0.35">
      <c r="A68" s="312" t="s">
        <v>313</v>
      </c>
      <c r="B68" t="s">
        <v>302</v>
      </c>
      <c r="C68" t="s">
        <v>303</v>
      </c>
      <c r="D68" t="s">
        <v>251</v>
      </c>
      <c r="E68" t="s">
        <v>252</v>
      </c>
      <c r="F68" t="s">
        <v>252</v>
      </c>
      <c r="G68" t="s">
        <v>232</v>
      </c>
      <c r="H68" t="s">
        <v>233</v>
      </c>
    </row>
    <row r="69" spans="1:8" hidden="1" x14ac:dyDescent="0.35">
      <c r="A69" s="312" t="s">
        <v>313</v>
      </c>
      <c r="B69" t="s">
        <v>304</v>
      </c>
      <c r="C69" t="s">
        <v>305</v>
      </c>
      <c r="D69" t="s">
        <v>306</v>
      </c>
      <c r="E69" t="s">
        <v>305</v>
      </c>
      <c r="F69" t="s">
        <v>305</v>
      </c>
      <c r="G69" t="s">
        <v>232</v>
      </c>
      <c r="H69" t="s">
        <v>233</v>
      </c>
    </row>
    <row r="70" spans="1:8" hidden="1" x14ac:dyDescent="0.35">
      <c r="A70" s="312" t="s">
        <v>313</v>
      </c>
      <c r="B70" t="s">
        <v>307</v>
      </c>
      <c r="C70" t="s">
        <v>308</v>
      </c>
      <c r="D70" t="s">
        <v>242</v>
      </c>
      <c r="E70" t="s">
        <v>243</v>
      </c>
      <c r="F70" t="s">
        <v>314</v>
      </c>
      <c r="G70" t="s">
        <v>238</v>
      </c>
      <c r="H70" t="s">
        <v>239</v>
      </c>
    </row>
    <row r="71" spans="1:8" hidden="1" x14ac:dyDescent="0.35">
      <c r="A71" s="312" t="s">
        <v>313</v>
      </c>
      <c r="B71" t="s">
        <v>309</v>
      </c>
      <c r="C71" t="s">
        <v>310</v>
      </c>
      <c r="D71" t="s">
        <v>230</v>
      </c>
      <c r="E71" t="s">
        <v>231</v>
      </c>
      <c r="F71" t="s">
        <v>231</v>
      </c>
      <c r="G71" t="s">
        <v>232</v>
      </c>
      <c r="H71" t="s">
        <v>233</v>
      </c>
    </row>
    <row r="72" spans="1:8" hidden="1" x14ac:dyDescent="0.35">
      <c r="A72" s="526" t="s">
        <v>313</v>
      </c>
      <c r="B72" s="300" t="s">
        <v>311</v>
      </c>
      <c r="C72" s="300" t="s">
        <v>312</v>
      </c>
      <c r="D72" s="300" t="s">
        <v>265</v>
      </c>
      <c r="E72" s="300" t="s">
        <v>266</v>
      </c>
      <c r="F72" s="300" t="s">
        <v>266</v>
      </c>
      <c r="G72" s="300" t="s">
        <v>238</v>
      </c>
      <c r="H72" s="300" t="s">
        <v>239</v>
      </c>
    </row>
    <row r="73" spans="1:8" hidden="1" x14ac:dyDescent="0.35">
      <c r="A73" s="312" t="s">
        <v>319</v>
      </c>
      <c r="B73" t="s">
        <v>215</v>
      </c>
      <c r="C73" t="s">
        <v>216</v>
      </c>
      <c r="D73" t="s">
        <v>217</v>
      </c>
      <c r="E73" t="s">
        <v>216</v>
      </c>
      <c r="F73" t="s">
        <v>216</v>
      </c>
      <c r="G73" t="s">
        <v>218</v>
      </c>
      <c r="H73" t="s">
        <v>219</v>
      </c>
    </row>
    <row r="74" spans="1:8" hidden="1" x14ac:dyDescent="0.35">
      <c r="A74" s="312" t="s">
        <v>319</v>
      </c>
      <c r="B74" t="s">
        <v>220</v>
      </c>
      <c r="C74" t="s">
        <v>221</v>
      </c>
      <c r="D74" t="s">
        <v>222</v>
      </c>
      <c r="E74" t="s">
        <v>223</v>
      </c>
      <c r="F74" t="s">
        <v>223</v>
      </c>
      <c r="G74" t="s">
        <v>218</v>
      </c>
      <c r="H74" t="s">
        <v>219</v>
      </c>
    </row>
    <row r="75" spans="1:8" hidden="1" x14ac:dyDescent="0.35">
      <c r="A75" s="312" t="s">
        <v>319</v>
      </c>
      <c r="B75" t="s">
        <v>224</v>
      </c>
      <c r="C75" t="s">
        <v>225</v>
      </c>
      <c r="D75" t="s">
        <v>226</v>
      </c>
      <c r="E75" t="s">
        <v>227</v>
      </c>
      <c r="F75" t="s">
        <v>227</v>
      </c>
      <c r="G75" t="s">
        <v>218</v>
      </c>
      <c r="H75" t="s">
        <v>219</v>
      </c>
    </row>
    <row r="76" spans="1:8" hidden="1" x14ac:dyDescent="0.35">
      <c r="A76" s="312" t="s">
        <v>319</v>
      </c>
      <c r="B76" t="s">
        <v>228</v>
      </c>
      <c r="C76" t="s">
        <v>229</v>
      </c>
      <c r="D76" t="s">
        <v>230</v>
      </c>
      <c r="E76" t="s">
        <v>231</v>
      </c>
      <c r="F76" t="s">
        <v>231</v>
      </c>
      <c r="G76" t="s">
        <v>232</v>
      </c>
      <c r="H76" t="s">
        <v>233</v>
      </c>
    </row>
    <row r="77" spans="1:8" hidden="1" x14ac:dyDescent="0.35">
      <c r="A77" s="312" t="s">
        <v>319</v>
      </c>
      <c r="B77" t="s">
        <v>234</v>
      </c>
      <c r="C77" t="s">
        <v>235</v>
      </c>
      <c r="D77" t="s">
        <v>236</v>
      </c>
      <c r="E77" t="s">
        <v>237</v>
      </c>
      <c r="F77" t="s">
        <v>237</v>
      </c>
      <c r="G77" t="s">
        <v>238</v>
      </c>
      <c r="H77" t="s">
        <v>239</v>
      </c>
    </row>
    <row r="78" spans="1:8" hidden="1" x14ac:dyDescent="0.35">
      <c r="A78" s="312" t="s">
        <v>319</v>
      </c>
      <c r="B78" t="s">
        <v>240</v>
      </c>
      <c r="C78" t="s">
        <v>241</v>
      </c>
      <c r="D78" t="s">
        <v>320</v>
      </c>
      <c r="E78" t="s">
        <v>314</v>
      </c>
      <c r="F78" t="s">
        <v>314</v>
      </c>
      <c r="G78" t="s">
        <v>238</v>
      </c>
      <c r="H78" t="s">
        <v>239</v>
      </c>
    </row>
    <row r="79" spans="1:8" hidden="1" x14ac:dyDescent="0.35">
      <c r="A79" s="312" t="s">
        <v>319</v>
      </c>
      <c r="B79" t="s">
        <v>244</v>
      </c>
      <c r="C79" t="s">
        <v>245</v>
      </c>
      <c r="D79" t="s">
        <v>246</v>
      </c>
      <c r="E79" t="s">
        <v>245</v>
      </c>
      <c r="F79" t="s">
        <v>245</v>
      </c>
      <c r="G79" t="s">
        <v>232</v>
      </c>
      <c r="H79" t="s">
        <v>233</v>
      </c>
    </row>
    <row r="80" spans="1:8" hidden="1" x14ac:dyDescent="0.35">
      <c r="A80" s="312" t="s">
        <v>319</v>
      </c>
      <c r="B80" t="s">
        <v>247</v>
      </c>
      <c r="C80" t="s">
        <v>248</v>
      </c>
      <c r="D80" t="s">
        <v>226</v>
      </c>
      <c r="E80" t="s">
        <v>227</v>
      </c>
      <c r="F80" t="s">
        <v>227</v>
      </c>
      <c r="G80" t="s">
        <v>218</v>
      </c>
      <c r="H80" t="s">
        <v>219</v>
      </c>
    </row>
    <row r="81" spans="1:8" hidden="1" x14ac:dyDescent="0.35">
      <c r="A81" s="312" t="s">
        <v>319</v>
      </c>
      <c r="B81" t="s">
        <v>249</v>
      </c>
      <c r="C81" t="s">
        <v>250</v>
      </c>
      <c r="D81" t="s">
        <v>251</v>
      </c>
      <c r="E81" t="s">
        <v>252</v>
      </c>
      <c r="F81" t="s">
        <v>252</v>
      </c>
      <c r="G81" t="s">
        <v>232</v>
      </c>
      <c r="H81" t="s">
        <v>233</v>
      </c>
    </row>
    <row r="82" spans="1:8" hidden="1" x14ac:dyDescent="0.35">
      <c r="A82" s="312" t="s">
        <v>319</v>
      </c>
      <c r="B82" t="s">
        <v>253</v>
      </c>
      <c r="C82" t="s">
        <v>254</v>
      </c>
      <c r="D82" t="s">
        <v>230</v>
      </c>
      <c r="E82" t="s">
        <v>231</v>
      </c>
      <c r="F82" t="s">
        <v>231</v>
      </c>
      <c r="G82" t="s">
        <v>232</v>
      </c>
      <c r="H82" t="s">
        <v>233</v>
      </c>
    </row>
    <row r="83" spans="1:8" hidden="1" x14ac:dyDescent="0.35">
      <c r="A83" s="312" t="s">
        <v>319</v>
      </c>
      <c r="B83" t="s">
        <v>255</v>
      </c>
      <c r="C83" t="s">
        <v>256</v>
      </c>
      <c r="D83" t="s">
        <v>257</v>
      </c>
      <c r="E83" t="s">
        <v>258</v>
      </c>
      <c r="F83" t="s">
        <v>258</v>
      </c>
      <c r="G83" t="s">
        <v>238</v>
      </c>
      <c r="H83" t="s">
        <v>239</v>
      </c>
    </row>
    <row r="84" spans="1:8" hidden="1" x14ac:dyDescent="0.35">
      <c r="A84" s="312" t="s">
        <v>319</v>
      </c>
      <c r="B84" t="s">
        <v>259</v>
      </c>
      <c r="C84" t="s">
        <v>260</v>
      </c>
      <c r="D84" t="s">
        <v>261</v>
      </c>
      <c r="E84" t="s">
        <v>262</v>
      </c>
      <c r="F84" t="s">
        <v>262</v>
      </c>
      <c r="G84" t="s">
        <v>232</v>
      </c>
      <c r="H84" t="s">
        <v>233</v>
      </c>
    </row>
    <row r="85" spans="1:8" hidden="1" x14ac:dyDescent="0.35">
      <c r="A85" s="312" t="s">
        <v>319</v>
      </c>
      <c r="B85" t="s">
        <v>263</v>
      </c>
      <c r="C85" t="s">
        <v>264</v>
      </c>
      <c r="D85" t="s">
        <v>265</v>
      </c>
      <c r="E85" t="s">
        <v>266</v>
      </c>
      <c r="F85" t="s">
        <v>266</v>
      </c>
      <c r="G85" t="s">
        <v>238</v>
      </c>
      <c r="H85" t="s">
        <v>239</v>
      </c>
    </row>
    <row r="86" spans="1:8" hidden="1" x14ac:dyDescent="0.35">
      <c r="A86" s="312" t="s">
        <v>319</v>
      </c>
      <c r="B86" t="s">
        <v>267</v>
      </c>
      <c r="C86" t="s">
        <v>268</v>
      </c>
      <c r="D86" t="s">
        <v>320</v>
      </c>
      <c r="E86" t="s">
        <v>314</v>
      </c>
      <c r="F86" t="s">
        <v>314</v>
      </c>
      <c r="G86" t="s">
        <v>238</v>
      </c>
      <c r="H86" t="s">
        <v>239</v>
      </c>
    </row>
    <row r="87" spans="1:8" hidden="1" x14ac:dyDescent="0.35">
      <c r="A87" s="312" t="s">
        <v>319</v>
      </c>
      <c r="B87" t="s">
        <v>315</v>
      </c>
      <c r="C87" t="s">
        <v>271</v>
      </c>
      <c r="D87" t="s">
        <v>316</v>
      </c>
      <c r="E87" t="s">
        <v>271</v>
      </c>
      <c r="F87" t="s">
        <v>271</v>
      </c>
      <c r="G87" t="s">
        <v>232</v>
      </c>
      <c r="H87" t="s">
        <v>233</v>
      </c>
    </row>
    <row r="88" spans="1:8" hidden="1" x14ac:dyDescent="0.35">
      <c r="A88" s="312" t="s">
        <v>319</v>
      </c>
      <c r="B88" t="s">
        <v>273</v>
      </c>
      <c r="C88" t="s">
        <v>274</v>
      </c>
      <c r="D88" t="s">
        <v>275</v>
      </c>
      <c r="E88" t="s">
        <v>276</v>
      </c>
      <c r="F88" t="s">
        <v>276</v>
      </c>
      <c r="G88" t="s">
        <v>218</v>
      </c>
      <c r="H88" t="s">
        <v>219</v>
      </c>
    </row>
    <row r="89" spans="1:8" hidden="1" x14ac:dyDescent="0.35">
      <c r="A89" s="312" t="s">
        <v>319</v>
      </c>
      <c r="B89" t="s">
        <v>277</v>
      </c>
      <c r="C89" t="s">
        <v>278</v>
      </c>
      <c r="D89" t="s">
        <v>261</v>
      </c>
      <c r="E89" t="s">
        <v>262</v>
      </c>
      <c r="F89" t="s">
        <v>262</v>
      </c>
      <c r="G89" t="s">
        <v>232</v>
      </c>
      <c r="H89" t="s">
        <v>233</v>
      </c>
    </row>
    <row r="90" spans="1:8" hidden="1" x14ac:dyDescent="0.35">
      <c r="A90" s="312" t="s">
        <v>319</v>
      </c>
      <c r="B90" t="s">
        <v>279</v>
      </c>
      <c r="C90" t="s">
        <v>280</v>
      </c>
      <c r="D90" t="s">
        <v>257</v>
      </c>
      <c r="E90" t="s">
        <v>258</v>
      </c>
      <c r="F90" t="s">
        <v>258</v>
      </c>
      <c r="G90" t="s">
        <v>238</v>
      </c>
      <c r="H90" t="s">
        <v>239</v>
      </c>
    </row>
    <row r="91" spans="1:8" hidden="1" x14ac:dyDescent="0.35">
      <c r="A91" s="312" t="s">
        <v>319</v>
      </c>
      <c r="B91" t="s">
        <v>281</v>
      </c>
      <c r="C91" t="s">
        <v>282</v>
      </c>
      <c r="D91" t="s">
        <v>222</v>
      </c>
      <c r="E91" t="s">
        <v>223</v>
      </c>
      <c r="F91" t="s">
        <v>223</v>
      </c>
      <c r="G91" t="s">
        <v>218</v>
      </c>
      <c r="H91" t="s">
        <v>219</v>
      </c>
    </row>
    <row r="92" spans="1:8" hidden="1" x14ac:dyDescent="0.35">
      <c r="A92" s="312" t="s">
        <v>319</v>
      </c>
      <c r="B92" t="s">
        <v>283</v>
      </c>
      <c r="C92" t="s">
        <v>284</v>
      </c>
      <c r="D92" t="s">
        <v>285</v>
      </c>
      <c r="E92" t="s">
        <v>286</v>
      </c>
      <c r="F92" t="s">
        <v>286</v>
      </c>
      <c r="G92" t="s">
        <v>218</v>
      </c>
      <c r="H92" t="s">
        <v>219</v>
      </c>
    </row>
    <row r="93" spans="1:8" hidden="1" x14ac:dyDescent="0.35">
      <c r="A93" s="312" t="s">
        <v>319</v>
      </c>
      <c r="B93" t="s">
        <v>287</v>
      </c>
      <c r="C93" t="s">
        <v>288</v>
      </c>
      <c r="D93" t="s">
        <v>251</v>
      </c>
      <c r="E93" t="s">
        <v>252</v>
      </c>
      <c r="F93" t="s">
        <v>252</v>
      </c>
      <c r="G93" t="s">
        <v>232</v>
      </c>
      <c r="H93" t="s">
        <v>233</v>
      </c>
    </row>
    <row r="94" spans="1:8" hidden="1" x14ac:dyDescent="0.35">
      <c r="A94" s="312" t="s">
        <v>319</v>
      </c>
      <c r="B94" t="s">
        <v>317</v>
      </c>
      <c r="C94" t="s">
        <v>290</v>
      </c>
      <c r="D94" t="s">
        <v>318</v>
      </c>
      <c r="E94" t="s">
        <v>290</v>
      </c>
      <c r="F94" t="s">
        <v>290</v>
      </c>
      <c r="G94" t="s">
        <v>232</v>
      </c>
      <c r="H94" t="s">
        <v>233</v>
      </c>
    </row>
    <row r="95" spans="1:8" hidden="1" x14ac:dyDescent="0.35">
      <c r="A95" s="312" t="s">
        <v>319</v>
      </c>
      <c r="B95" t="s">
        <v>292</v>
      </c>
      <c r="C95" t="s">
        <v>293</v>
      </c>
      <c r="D95" t="s">
        <v>285</v>
      </c>
      <c r="E95" t="s">
        <v>286</v>
      </c>
      <c r="F95" t="s">
        <v>286</v>
      </c>
      <c r="G95" t="s">
        <v>218</v>
      </c>
      <c r="H95" t="s">
        <v>219</v>
      </c>
    </row>
    <row r="96" spans="1:8" hidden="1" x14ac:dyDescent="0.35">
      <c r="A96" s="312" t="s">
        <v>319</v>
      </c>
      <c r="B96" t="s">
        <v>294</v>
      </c>
      <c r="C96" t="s">
        <v>295</v>
      </c>
      <c r="D96" t="s">
        <v>226</v>
      </c>
      <c r="E96" t="s">
        <v>227</v>
      </c>
      <c r="F96" t="s">
        <v>227</v>
      </c>
      <c r="G96" t="s">
        <v>218</v>
      </c>
      <c r="H96" t="s">
        <v>219</v>
      </c>
    </row>
    <row r="97" spans="1:8" hidden="1" x14ac:dyDescent="0.35">
      <c r="A97" s="312" t="s">
        <v>319</v>
      </c>
      <c r="B97" t="s">
        <v>296</v>
      </c>
      <c r="C97" t="s">
        <v>297</v>
      </c>
      <c r="D97" t="s">
        <v>261</v>
      </c>
      <c r="E97" t="s">
        <v>262</v>
      </c>
      <c r="F97" t="s">
        <v>262</v>
      </c>
      <c r="G97" t="s">
        <v>232</v>
      </c>
      <c r="H97" t="s">
        <v>233</v>
      </c>
    </row>
    <row r="98" spans="1:8" hidden="1" x14ac:dyDescent="0.35">
      <c r="A98" s="312" t="s">
        <v>319</v>
      </c>
      <c r="B98" t="s">
        <v>298</v>
      </c>
      <c r="C98" t="s">
        <v>299</v>
      </c>
      <c r="D98" t="s">
        <v>257</v>
      </c>
      <c r="E98" t="s">
        <v>258</v>
      </c>
      <c r="F98" t="s">
        <v>258</v>
      </c>
      <c r="G98" t="s">
        <v>238</v>
      </c>
      <c r="H98" t="s">
        <v>239</v>
      </c>
    </row>
    <row r="99" spans="1:8" hidden="1" x14ac:dyDescent="0.35">
      <c r="A99" s="312" t="s">
        <v>319</v>
      </c>
      <c r="B99" t="s">
        <v>300</v>
      </c>
      <c r="C99" t="s">
        <v>301</v>
      </c>
      <c r="D99" t="s">
        <v>285</v>
      </c>
      <c r="E99" t="s">
        <v>286</v>
      </c>
      <c r="F99" t="s">
        <v>286</v>
      </c>
      <c r="G99" t="s">
        <v>218</v>
      </c>
      <c r="H99" t="s">
        <v>219</v>
      </c>
    </row>
    <row r="100" spans="1:8" hidden="1" x14ac:dyDescent="0.35">
      <c r="A100" s="312" t="s">
        <v>319</v>
      </c>
      <c r="B100" t="s">
        <v>302</v>
      </c>
      <c r="C100" t="s">
        <v>303</v>
      </c>
      <c r="D100" t="s">
        <v>251</v>
      </c>
      <c r="E100" t="s">
        <v>252</v>
      </c>
      <c r="F100" t="s">
        <v>252</v>
      </c>
      <c r="G100" t="s">
        <v>232</v>
      </c>
      <c r="H100" t="s">
        <v>233</v>
      </c>
    </row>
    <row r="101" spans="1:8" hidden="1" x14ac:dyDescent="0.35">
      <c r="A101" s="312" t="s">
        <v>319</v>
      </c>
      <c r="B101" t="s">
        <v>304</v>
      </c>
      <c r="C101" t="s">
        <v>305</v>
      </c>
      <c r="D101" t="s">
        <v>306</v>
      </c>
      <c r="E101" t="s">
        <v>305</v>
      </c>
      <c r="F101" t="s">
        <v>305</v>
      </c>
      <c r="G101" t="s">
        <v>232</v>
      </c>
      <c r="H101" t="s">
        <v>233</v>
      </c>
    </row>
    <row r="102" spans="1:8" hidden="1" x14ac:dyDescent="0.35">
      <c r="A102" s="312" t="s">
        <v>319</v>
      </c>
      <c r="B102" t="s">
        <v>307</v>
      </c>
      <c r="C102" t="s">
        <v>308</v>
      </c>
      <c r="D102" t="s">
        <v>320</v>
      </c>
      <c r="E102" t="s">
        <v>314</v>
      </c>
      <c r="F102" t="s">
        <v>314</v>
      </c>
      <c r="G102" t="s">
        <v>238</v>
      </c>
      <c r="H102" t="s">
        <v>239</v>
      </c>
    </row>
    <row r="103" spans="1:8" hidden="1" x14ac:dyDescent="0.35">
      <c r="A103" s="312" t="s">
        <v>319</v>
      </c>
      <c r="B103" t="s">
        <v>309</v>
      </c>
      <c r="C103" t="s">
        <v>310</v>
      </c>
      <c r="D103" t="s">
        <v>230</v>
      </c>
      <c r="E103" t="s">
        <v>231</v>
      </c>
      <c r="F103" t="s">
        <v>231</v>
      </c>
      <c r="G103" t="s">
        <v>232</v>
      </c>
      <c r="H103" t="s">
        <v>233</v>
      </c>
    </row>
    <row r="104" spans="1:8" hidden="1" x14ac:dyDescent="0.35">
      <c r="A104" s="526" t="s">
        <v>319</v>
      </c>
      <c r="B104" s="300" t="s">
        <v>311</v>
      </c>
      <c r="C104" s="300" t="s">
        <v>312</v>
      </c>
      <c r="D104" s="300" t="s">
        <v>265</v>
      </c>
      <c r="E104" s="300" t="s">
        <v>266</v>
      </c>
      <c r="F104" s="300" t="s">
        <v>266</v>
      </c>
      <c r="G104" s="300" t="s">
        <v>238</v>
      </c>
      <c r="H104" s="300" t="s">
        <v>239</v>
      </c>
    </row>
    <row r="105" spans="1:8" hidden="1" x14ac:dyDescent="0.35">
      <c r="A105" s="312" t="s">
        <v>321</v>
      </c>
      <c r="B105" t="s">
        <v>215</v>
      </c>
      <c r="C105" t="s">
        <v>216</v>
      </c>
      <c r="D105" t="s">
        <v>322</v>
      </c>
      <c r="E105" t="s">
        <v>323</v>
      </c>
      <c r="F105" t="s">
        <v>323</v>
      </c>
      <c r="G105" t="s">
        <v>218</v>
      </c>
      <c r="H105" t="s">
        <v>219</v>
      </c>
    </row>
    <row r="106" spans="1:8" hidden="1" x14ac:dyDescent="0.35">
      <c r="A106" s="312" t="s">
        <v>321</v>
      </c>
      <c r="B106" t="s">
        <v>220</v>
      </c>
      <c r="C106" t="s">
        <v>221</v>
      </c>
      <c r="D106" t="s">
        <v>322</v>
      </c>
      <c r="E106" t="s">
        <v>323</v>
      </c>
      <c r="F106" t="s">
        <v>323</v>
      </c>
      <c r="G106" t="s">
        <v>218</v>
      </c>
      <c r="H106" t="s">
        <v>219</v>
      </c>
    </row>
    <row r="107" spans="1:8" hidden="1" x14ac:dyDescent="0.35">
      <c r="A107" s="312" t="s">
        <v>321</v>
      </c>
      <c r="B107" t="s">
        <v>224</v>
      </c>
      <c r="C107" t="s">
        <v>225</v>
      </c>
      <c r="D107" t="s">
        <v>226</v>
      </c>
      <c r="E107" t="s">
        <v>227</v>
      </c>
      <c r="F107" t="s">
        <v>227</v>
      </c>
      <c r="G107" t="s">
        <v>218</v>
      </c>
      <c r="H107" t="s">
        <v>219</v>
      </c>
    </row>
    <row r="108" spans="1:8" hidden="1" x14ac:dyDescent="0.35">
      <c r="A108" s="312" t="s">
        <v>321</v>
      </c>
      <c r="B108" t="s">
        <v>228</v>
      </c>
      <c r="C108" t="s">
        <v>229</v>
      </c>
      <c r="D108" t="s">
        <v>230</v>
      </c>
      <c r="E108" t="s">
        <v>231</v>
      </c>
      <c r="F108" t="s">
        <v>231</v>
      </c>
      <c r="G108" t="s">
        <v>232</v>
      </c>
      <c r="H108" t="s">
        <v>233</v>
      </c>
    </row>
    <row r="109" spans="1:8" hidden="1" x14ac:dyDescent="0.35">
      <c r="A109" s="312" t="s">
        <v>321</v>
      </c>
      <c r="B109" t="s">
        <v>234</v>
      </c>
      <c r="C109" t="s">
        <v>235</v>
      </c>
      <c r="D109" t="s">
        <v>236</v>
      </c>
      <c r="E109" t="s">
        <v>237</v>
      </c>
      <c r="F109" t="s">
        <v>237</v>
      </c>
      <c r="G109" t="s">
        <v>238</v>
      </c>
      <c r="H109" t="s">
        <v>239</v>
      </c>
    </row>
    <row r="110" spans="1:8" hidden="1" x14ac:dyDescent="0.35">
      <c r="A110" s="312" t="s">
        <v>321</v>
      </c>
      <c r="B110" t="s">
        <v>240</v>
      </c>
      <c r="C110" t="s">
        <v>241</v>
      </c>
      <c r="D110" t="s">
        <v>320</v>
      </c>
      <c r="E110" t="s">
        <v>314</v>
      </c>
      <c r="F110" t="s">
        <v>314</v>
      </c>
      <c r="G110" t="s">
        <v>238</v>
      </c>
      <c r="H110" t="s">
        <v>239</v>
      </c>
    </row>
    <row r="111" spans="1:8" hidden="1" x14ac:dyDescent="0.35">
      <c r="A111" s="312" t="s">
        <v>321</v>
      </c>
      <c r="B111" t="s">
        <v>244</v>
      </c>
      <c r="C111" t="s">
        <v>245</v>
      </c>
      <c r="D111" t="s">
        <v>246</v>
      </c>
      <c r="E111" t="s">
        <v>245</v>
      </c>
      <c r="F111" t="s">
        <v>245</v>
      </c>
      <c r="G111" t="s">
        <v>232</v>
      </c>
      <c r="H111" t="s">
        <v>233</v>
      </c>
    </row>
    <row r="112" spans="1:8" hidden="1" x14ac:dyDescent="0.35">
      <c r="A112" s="312" t="s">
        <v>321</v>
      </c>
      <c r="B112" t="s">
        <v>247</v>
      </c>
      <c r="C112" t="s">
        <v>248</v>
      </c>
      <c r="D112" t="s">
        <v>226</v>
      </c>
      <c r="E112" t="s">
        <v>227</v>
      </c>
      <c r="F112" t="s">
        <v>227</v>
      </c>
      <c r="G112" t="s">
        <v>218</v>
      </c>
      <c r="H112" t="s">
        <v>219</v>
      </c>
    </row>
    <row r="113" spans="1:8" hidden="1" x14ac:dyDescent="0.35">
      <c r="A113" s="312" t="s">
        <v>321</v>
      </c>
      <c r="B113" t="s">
        <v>249</v>
      </c>
      <c r="C113" t="s">
        <v>250</v>
      </c>
      <c r="D113" t="s">
        <v>251</v>
      </c>
      <c r="E113" t="s">
        <v>252</v>
      </c>
      <c r="F113" t="s">
        <v>252</v>
      </c>
      <c r="G113" t="s">
        <v>232</v>
      </c>
      <c r="H113" t="s">
        <v>233</v>
      </c>
    </row>
    <row r="114" spans="1:8" hidden="1" x14ac:dyDescent="0.35">
      <c r="A114" s="312" t="s">
        <v>321</v>
      </c>
      <c r="B114" t="s">
        <v>253</v>
      </c>
      <c r="C114" t="s">
        <v>254</v>
      </c>
      <c r="D114" t="s">
        <v>230</v>
      </c>
      <c r="E114" t="s">
        <v>231</v>
      </c>
      <c r="F114" t="s">
        <v>231</v>
      </c>
      <c r="G114" t="s">
        <v>232</v>
      </c>
      <c r="H114" t="s">
        <v>233</v>
      </c>
    </row>
    <row r="115" spans="1:8" hidden="1" x14ac:dyDescent="0.35">
      <c r="A115" s="312" t="s">
        <v>321</v>
      </c>
      <c r="B115" t="s">
        <v>255</v>
      </c>
      <c r="C115" t="s">
        <v>256</v>
      </c>
      <c r="D115" t="s">
        <v>257</v>
      </c>
      <c r="E115" t="s">
        <v>258</v>
      </c>
      <c r="F115" t="s">
        <v>258</v>
      </c>
      <c r="G115" t="s">
        <v>238</v>
      </c>
      <c r="H115" t="s">
        <v>239</v>
      </c>
    </row>
    <row r="116" spans="1:8" hidden="1" x14ac:dyDescent="0.35">
      <c r="A116" s="312" t="s">
        <v>321</v>
      </c>
      <c r="B116" t="s">
        <v>259</v>
      </c>
      <c r="C116" t="s">
        <v>260</v>
      </c>
      <c r="D116" t="s">
        <v>261</v>
      </c>
      <c r="E116" t="s">
        <v>262</v>
      </c>
      <c r="F116" t="s">
        <v>262</v>
      </c>
      <c r="G116" t="s">
        <v>232</v>
      </c>
      <c r="H116" t="s">
        <v>233</v>
      </c>
    </row>
    <row r="117" spans="1:8" hidden="1" x14ac:dyDescent="0.35">
      <c r="A117" s="312" t="s">
        <v>321</v>
      </c>
      <c r="B117" t="s">
        <v>263</v>
      </c>
      <c r="C117" t="s">
        <v>264</v>
      </c>
      <c r="D117" t="s">
        <v>265</v>
      </c>
      <c r="E117" t="s">
        <v>266</v>
      </c>
      <c r="F117" t="s">
        <v>266</v>
      </c>
      <c r="G117" t="s">
        <v>238</v>
      </c>
      <c r="H117" t="s">
        <v>239</v>
      </c>
    </row>
    <row r="118" spans="1:8" hidden="1" x14ac:dyDescent="0.35">
      <c r="A118" s="312" t="s">
        <v>321</v>
      </c>
      <c r="B118" t="s">
        <v>267</v>
      </c>
      <c r="C118" t="s">
        <v>268</v>
      </c>
      <c r="D118" t="s">
        <v>320</v>
      </c>
      <c r="E118" t="s">
        <v>314</v>
      </c>
      <c r="F118" t="s">
        <v>314</v>
      </c>
      <c r="G118" t="s">
        <v>238</v>
      </c>
      <c r="H118" t="s">
        <v>239</v>
      </c>
    </row>
    <row r="119" spans="1:8" hidden="1" x14ac:dyDescent="0.35">
      <c r="A119" s="312" t="s">
        <v>321</v>
      </c>
      <c r="B119" t="s">
        <v>315</v>
      </c>
      <c r="C119" t="s">
        <v>271</v>
      </c>
      <c r="D119" t="s">
        <v>316</v>
      </c>
      <c r="E119" t="s">
        <v>271</v>
      </c>
      <c r="F119" t="s">
        <v>271</v>
      </c>
      <c r="G119" t="s">
        <v>232</v>
      </c>
      <c r="H119" t="s">
        <v>233</v>
      </c>
    </row>
    <row r="120" spans="1:8" hidden="1" x14ac:dyDescent="0.35">
      <c r="A120" s="312" t="s">
        <v>321</v>
      </c>
      <c r="B120" t="s">
        <v>273</v>
      </c>
      <c r="C120" t="s">
        <v>274</v>
      </c>
      <c r="D120" t="s">
        <v>275</v>
      </c>
      <c r="E120" t="s">
        <v>276</v>
      </c>
      <c r="F120" t="s">
        <v>276</v>
      </c>
      <c r="G120" t="s">
        <v>218</v>
      </c>
      <c r="H120" t="s">
        <v>219</v>
      </c>
    </row>
    <row r="121" spans="1:8" hidden="1" x14ac:dyDescent="0.35">
      <c r="A121" s="312" t="s">
        <v>321</v>
      </c>
      <c r="B121" t="s">
        <v>277</v>
      </c>
      <c r="C121" t="s">
        <v>278</v>
      </c>
      <c r="D121" t="s">
        <v>261</v>
      </c>
      <c r="E121" t="s">
        <v>262</v>
      </c>
      <c r="F121" t="s">
        <v>262</v>
      </c>
      <c r="G121" t="s">
        <v>232</v>
      </c>
      <c r="H121" t="s">
        <v>233</v>
      </c>
    </row>
    <row r="122" spans="1:8" hidden="1" x14ac:dyDescent="0.35">
      <c r="A122" s="312" t="s">
        <v>321</v>
      </c>
      <c r="B122" t="s">
        <v>279</v>
      </c>
      <c r="C122" t="s">
        <v>280</v>
      </c>
      <c r="D122" t="s">
        <v>257</v>
      </c>
      <c r="E122" t="s">
        <v>258</v>
      </c>
      <c r="F122" t="s">
        <v>258</v>
      </c>
      <c r="G122" t="s">
        <v>238</v>
      </c>
      <c r="H122" t="s">
        <v>239</v>
      </c>
    </row>
    <row r="123" spans="1:8" hidden="1" x14ac:dyDescent="0.35">
      <c r="A123" s="312" t="s">
        <v>321</v>
      </c>
      <c r="B123" t="s">
        <v>281</v>
      </c>
      <c r="C123" t="s">
        <v>282</v>
      </c>
      <c r="D123" t="s">
        <v>322</v>
      </c>
      <c r="E123" t="s">
        <v>323</v>
      </c>
      <c r="F123" t="s">
        <v>323</v>
      </c>
      <c r="G123" t="s">
        <v>218</v>
      </c>
      <c r="H123" t="s">
        <v>219</v>
      </c>
    </row>
    <row r="124" spans="1:8" hidden="1" x14ac:dyDescent="0.35">
      <c r="A124" s="312" t="s">
        <v>321</v>
      </c>
      <c r="B124" t="s">
        <v>283</v>
      </c>
      <c r="C124" t="s">
        <v>284</v>
      </c>
      <c r="D124" t="s">
        <v>285</v>
      </c>
      <c r="E124" t="s">
        <v>286</v>
      </c>
      <c r="F124" t="s">
        <v>286</v>
      </c>
      <c r="G124" t="s">
        <v>218</v>
      </c>
      <c r="H124" t="s">
        <v>219</v>
      </c>
    </row>
    <row r="125" spans="1:8" hidden="1" x14ac:dyDescent="0.35">
      <c r="A125" s="312" t="s">
        <v>321</v>
      </c>
      <c r="B125" t="s">
        <v>287</v>
      </c>
      <c r="C125" t="s">
        <v>288</v>
      </c>
      <c r="D125" t="s">
        <v>251</v>
      </c>
      <c r="E125" t="s">
        <v>252</v>
      </c>
      <c r="F125" t="s">
        <v>252</v>
      </c>
      <c r="G125" t="s">
        <v>232</v>
      </c>
      <c r="H125" t="s">
        <v>233</v>
      </c>
    </row>
    <row r="126" spans="1:8" hidden="1" x14ac:dyDescent="0.35">
      <c r="A126" s="312" t="s">
        <v>321</v>
      </c>
      <c r="B126" t="s">
        <v>317</v>
      </c>
      <c r="C126" t="s">
        <v>290</v>
      </c>
      <c r="D126" t="s">
        <v>324</v>
      </c>
      <c r="E126" t="s">
        <v>325</v>
      </c>
      <c r="F126" t="s">
        <v>325</v>
      </c>
      <c r="G126" t="s">
        <v>232</v>
      </c>
      <c r="H126" t="s">
        <v>233</v>
      </c>
    </row>
    <row r="127" spans="1:8" hidden="1" x14ac:dyDescent="0.35">
      <c r="A127" s="312" t="s">
        <v>321</v>
      </c>
      <c r="B127" t="s">
        <v>292</v>
      </c>
      <c r="C127" t="s">
        <v>293</v>
      </c>
      <c r="D127" t="s">
        <v>285</v>
      </c>
      <c r="E127" t="s">
        <v>286</v>
      </c>
      <c r="F127" t="s">
        <v>286</v>
      </c>
      <c r="G127" t="s">
        <v>218</v>
      </c>
      <c r="H127" t="s">
        <v>219</v>
      </c>
    </row>
    <row r="128" spans="1:8" hidden="1" x14ac:dyDescent="0.35">
      <c r="A128" s="312" t="s">
        <v>321</v>
      </c>
      <c r="B128" t="s">
        <v>294</v>
      </c>
      <c r="C128" t="s">
        <v>295</v>
      </c>
      <c r="D128" t="s">
        <v>226</v>
      </c>
      <c r="E128" t="s">
        <v>227</v>
      </c>
      <c r="F128" t="s">
        <v>227</v>
      </c>
      <c r="G128" t="s">
        <v>218</v>
      </c>
      <c r="H128" t="s">
        <v>219</v>
      </c>
    </row>
    <row r="129" spans="1:8" hidden="1" x14ac:dyDescent="0.35">
      <c r="A129" s="312" t="s">
        <v>321</v>
      </c>
      <c r="B129" t="s">
        <v>296</v>
      </c>
      <c r="C129" t="s">
        <v>297</v>
      </c>
      <c r="D129" t="s">
        <v>261</v>
      </c>
      <c r="E129" t="s">
        <v>262</v>
      </c>
      <c r="F129" t="s">
        <v>262</v>
      </c>
      <c r="G129" t="s">
        <v>232</v>
      </c>
      <c r="H129" t="s">
        <v>233</v>
      </c>
    </row>
    <row r="130" spans="1:8" hidden="1" x14ac:dyDescent="0.35">
      <c r="A130" s="312" t="s">
        <v>321</v>
      </c>
      <c r="B130" t="s">
        <v>298</v>
      </c>
      <c r="C130" t="s">
        <v>299</v>
      </c>
      <c r="D130" t="s">
        <v>257</v>
      </c>
      <c r="E130" t="s">
        <v>258</v>
      </c>
      <c r="F130" t="s">
        <v>258</v>
      </c>
      <c r="G130" t="s">
        <v>238</v>
      </c>
      <c r="H130" t="s">
        <v>239</v>
      </c>
    </row>
    <row r="131" spans="1:8" hidden="1" x14ac:dyDescent="0.35">
      <c r="A131" s="312" t="s">
        <v>321</v>
      </c>
      <c r="B131" t="s">
        <v>300</v>
      </c>
      <c r="C131" t="s">
        <v>301</v>
      </c>
      <c r="D131" t="s">
        <v>285</v>
      </c>
      <c r="E131" t="s">
        <v>286</v>
      </c>
      <c r="F131" t="s">
        <v>286</v>
      </c>
      <c r="G131" t="s">
        <v>218</v>
      </c>
      <c r="H131" t="s">
        <v>219</v>
      </c>
    </row>
    <row r="132" spans="1:8" hidden="1" x14ac:dyDescent="0.35">
      <c r="A132" s="312" t="s">
        <v>321</v>
      </c>
      <c r="B132" t="s">
        <v>302</v>
      </c>
      <c r="C132" t="s">
        <v>303</v>
      </c>
      <c r="D132" t="s">
        <v>251</v>
      </c>
      <c r="E132" t="s">
        <v>252</v>
      </c>
      <c r="F132" t="s">
        <v>252</v>
      </c>
      <c r="G132" t="s">
        <v>232</v>
      </c>
      <c r="H132" t="s">
        <v>233</v>
      </c>
    </row>
    <row r="133" spans="1:8" hidden="1" x14ac:dyDescent="0.35">
      <c r="A133" s="312" t="s">
        <v>321</v>
      </c>
      <c r="B133" t="s">
        <v>304</v>
      </c>
      <c r="C133" t="s">
        <v>305</v>
      </c>
      <c r="D133" t="s">
        <v>324</v>
      </c>
      <c r="E133" t="s">
        <v>325</v>
      </c>
      <c r="F133" t="s">
        <v>325</v>
      </c>
      <c r="G133" t="s">
        <v>232</v>
      </c>
      <c r="H133" t="s">
        <v>233</v>
      </c>
    </row>
    <row r="134" spans="1:8" hidden="1" x14ac:dyDescent="0.35">
      <c r="A134" s="312" t="s">
        <v>321</v>
      </c>
      <c r="B134" t="s">
        <v>307</v>
      </c>
      <c r="C134" t="s">
        <v>308</v>
      </c>
      <c r="D134" t="s">
        <v>320</v>
      </c>
      <c r="E134" t="s">
        <v>314</v>
      </c>
      <c r="F134" t="s">
        <v>314</v>
      </c>
      <c r="G134" t="s">
        <v>238</v>
      </c>
      <c r="H134" t="s">
        <v>239</v>
      </c>
    </row>
    <row r="135" spans="1:8" hidden="1" x14ac:dyDescent="0.35">
      <c r="A135" s="312" t="s">
        <v>321</v>
      </c>
      <c r="B135" t="s">
        <v>309</v>
      </c>
      <c r="C135" t="s">
        <v>310</v>
      </c>
      <c r="D135" t="s">
        <v>230</v>
      </c>
      <c r="E135" t="s">
        <v>231</v>
      </c>
      <c r="F135" t="s">
        <v>231</v>
      </c>
      <c r="G135" t="s">
        <v>232</v>
      </c>
      <c r="H135" t="s">
        <v>233</v>
      </c>
    </row>
    <row r="136" spans="1:8" hidden="1" x14ac:dyDescent="0.35">
      <c r="A136" s="526" t="s">
        <v>321</v>
      </c>
      <c r="B136" s="300" t="s">
        <v>311</v>
      </c>
      <c r="C136" s="300" t="s">
        <v>312</v>
      </c>
      <c r="D136" s="300" t="s">
        <v>265</v>
      </c>
      <c r="E136" s="300" t="s">
        <v>266</v>
      </c>
      <c r="F136" s="300" t="s">
        <v>266</v>
      </c>
      <c r="G136" s="300" t="s">
        <v>238</v>
      </c>
      <c r="H136" s="300" t="s">
        <v>239</v>
      </c>
    </row>
    <row r="137" spans="1:8" hidden="1" x14ac:dyDescent="0.35">
      <c r="A137" s="312" t="s">
        <v>326</v>
      </c>
      <c r="B137" t="s">
        <v>215</v>
      </c>
      <c r="C137" t="s">
        <v>216</v>
      </c>
      <c r="D137" t="s">
        <v>322</v>
      </c>
      <c r="E137" t="s">
        <v>323</v>
      </c>
      <c r="F137" t="s">
        <v>323</v>
      </c>
      <c r="G137" t="s">
        <v>218</v>
      </c>
      <c r="H137" t="s">
        <v>219</v>
      </c>
    </row>
    <row r="138" spans="1:8" hidden="1" x14ac:dyDescent="0.35">
      <c r="A138" s="312" t="s">
        <v>326</v>
      </c>
      <c r="B138" t="s">
        <v>220</v>
      </c>
      <c r="C138" t="s">
        <v>221</v>
      </c>
      <c r="D138" t="s">
        <v>322</v>
      </c>
      <c r="E138" t="s">
        <v>323</v>
      </c>
      <c r="F138" t="s">
        <v>323</v>
      </c>
      <c r="G138" t="s">
        <v>218</v>
      </c>
      <c r="H138" t="s">
        <v>219</v>
      </c>
    </row>
    <row r="139" spans="1:8" hidden="1" x14ac:dyDescent="0.35">
      <c r="A139" s="312" t="s">
        <v>326</v>
      </c>
      <c r="B139" t="s">
        <v>224</v>
      </c>
      <c r="C139" t="s">
        <v>225</v>
      </c>
      <c r="D139" t="s">
        <v>226</v>
      </c>
      <c r="E139" t="s">
        <v>227</v>
      </c>
      <c r="F139" t="s">
        <v>227</v>
      </c>
      <c r="G139" t="s">
        <v>218</v>
      </c>
      <c r="H139" t="s">
        <v>219</v>
      </c>
    </row>
    <row r="140" spans="1:8" hidden="1" x14ac:dyDescent="0.35">
      <c r="A140" s="312" t="s">
        <v>326</v>
      </c>
      <c r="B140" t="s">
        <v>228</v>
      </c>
      <c r="C140" t="s">
        <v>229</v>
      </c>
      <c r="D140" t="s">
        <v>230</v>
      </c>
      <c r="E140" t="s">
        <v>231</v>
      </c>
      <c r="F140" t="s">
        <v>231</v>
      </c>
      <c r="G140" t="s">
        <v>232</v>
      </c>
      <c r="H140" t="s">
        <v>233</v>
      </c>
    </row>
    <row r="141" spans="1:8" hidden="1" x14ac:dyDescent="0.35">
      <c r="A141" s="312" t="s">
        <v>326</v>
      </c>
      <c r="B141" t="s">
        <v>234</v>
      </c>
      <c r="C141" t="s">
        <v>235</v>
      </c>
      <c r="D141" t="s">
        <v>236</v>
      </c>
      <c r="E141" t="s">
        <v>237</v>
      </c>
      <c r="F141" t="s">
        <v>237</v>
      </c>
      <c r="G141" t="s">
        <v>238</v>
      </c>
      <c r="H141" t="s">
        <v>239</v>
      </c>
    </row>
    <row r="142" spans="1:8" hidden="1" x14ac:dyDescent="0.35">
      <c r="A142" s="312" t="s">
        <v>326</v>
      </c>
      <c r="B142" t="s">
        <v>240</v>
      </c>
      <c r="C142" t="s">
        <v>241</v>
      </c>
      <c r="D142" t="s">
        <v>320</v>
      </c>
      <c r="E142" t="s">
        <v>314</v>
      </c>
      <c r="F142" t="s">
        <v>314</v>
      </c>
      <c r="G142" t="s">
        <v>238</v>
      </c>
      <c r="H142" t="s">
        <v>239</v>
      </c>
    </row>
    <row r="143" spans="1:8" hidden="1" x14ac:dyDescent="0.35">
      <c r="A143" s="312" t="s">
        <v>326</v>
      </c>
      <c r="B143" t="s">
        <v>244</v>
      </c>
      <c r="C143" t="s">
        <v>245</v>
      </c>
      <c r="D143" t="s">
        <v>246</v>
      </c>
      <c r="E143" t="s">
        <v>245</v>
      </c>
      <c r="F143" t="s">
        <v>245</v>
      </c>
      <c r="G143" t="s">
        <v>232</v>
      </c>
      <c r="H143" t="s">
        <v>233</v>
      </c>
    </row>
    <row r="144" spans="1:8" hidden="1" x14ac:dyDescent="0.35">
      <c r="A144" s="312" t="s">
        <v>326</v>
      </c>
      <c r="B144" t="s">
        <v>247</v>
      </c>
      <c r="C144" t="s">
        <v>248</v>
      </c>
      <c r="D144" t="s">
        <v>226</v>
      </c>
      <c r="E144" t="s">
        <v>227</v>
      </c>
      <c r="F144" t="s">
        <v>227</v>
      </c>
      <c r="G144" t="s">
        <v>218</v>
      </c>
      <c r="H144" t="s">
        <v>219</v>
      </c>
    </row>
    <row r="145" spans="1:8" hidden="1" x14ac:dyDescent="0.35">
      <c r="A145" s="312" t="s">
        <v>326</v>
      </c>
      <c r="B145" t="s">
        <v>249</v>
      </c>
      <c r="C145" t="s">
        <v>250</v>
      </c>
      <c r="D145" t="s">
        <v>251</v>
      </c>
      <c r="E145" t="s">
        <v>252</v>
      </c>
      <c r="F145" t="s">
        <v>252</v>
      </c>
      <c r="G145" t="s">
        <v>232</v>
      </c>
      <c r="H145" t="s">
        <v>233</v>
      </c>
    </row>
    <row r="146" spans="1:8" hidden="1" x14ac:dyDescent="0.35">
      <c r="A146" s="312" t="s">
        <v>326</v>
      </c>
      <c r="B146" t="s">
        <v>253</v>
      </c>
      <c r="C146" t="s">
        <v>254</v>
      </c>
      <c r="D146" t="s">
        <v>230</v>
      </c>
      <c r="E146" t="s">
        <v>231</v>
      </c>
      <c r="F146" t="s">
        <v>231</v>
      </c>
      <c r="G146" t="s">
        <v>232</v>
      </c>
      <c r="H146" t="s">
        <v>233</v>
      </c>
    </row>
    <row r="147" spans="1:8" hidden="1" x14ac:dyDescent="0.35">
      <c r="A147" s="312" t="s">
        <v>326</v>
      </c>
      <c r="B147" t="s">
        <v>255</v>
      </c>
      <c r="C147" t="s">
        <v>256</v>
      </c>
      <c r="D147" t="s">
        <v>257</v>
      </c>
      <c r="E147" t="s">
        <v>258</v>
      </c>
      <c r="F147" t="s">
        <v>258</v>
      </c>
      <c r="G147" t="s">
        <v>238</v>
      </c>
      <c r="H147" t="s">
        <v>239</v>
      </c>
    </row>
    <row r="148" spans="1:8" hidden="1" x14ac:dyDescent="0.35">
      <c r="A148" s="312" t="s">
        <v>326</v>
      </c>
      <c r="B148" t="s">
        <v>259</v>
      </c>
      <c r="C148" t="s">
        <v>260</v>
      </c>
      <c r="D148" t="s">
        <v>261</v>
      </c>
      <c r="E148" t="s">
        <v>262</v>
      </c>
      <c r="F148" t="s">
        <v>262</v>
      </c>
      <c r="G148" t="s">
        <v>232</v>
      </c>
      <c r="H148" t="s">
        <v>233</v>
      </c>
    </row>
    <row r="149" spans="1:8" hidden="1" x14ac:dyDescent="0.35">
      <c r="A149" s="312" t="s">
        <v>326</v>
      </c>
      <c r="B149" t="s">
        <v>263</v>
      </c>
      <c r="C149" t="s">
        <v>264</v>
      </c>
      <c r="D149" t="s">
        <v>265</v>
      </c>
      <c r="E149" t="s">
        <v>266</v>
      </c>
      <c r="F149" t="s">
        <v>266</v>
      </c>
      <c r="G149" t="s">
        <v>238</v>
      </c>
      <c r="H149" t="s">
        <v>239</v>
      </c>
    </row>
    <row r="150" spans="1:8" hidden="1" x14ac:dyDescent="0.35">
      <c r="A150" s="312" t="s">
        <v>326</v>
      </c>
      <c r="B150" t="s">
        <v>267</v>
      </c>
      <c r="C150" t="s">
        <v>268</v>
      </c>
      <c r="D150" t="s">
        <v>320</v>
      </c>
      <c r="E150" t="s">
        <v>314</v>
      </c>
      <c r="F150" t="s">
        <v>314</v>
      </c>
      <c r="G150" t="s">
        <v>238</v>
      </c>
      <c r="H150" t="s">
        <v>239</v>
      </c>
    </row>
    <row r="151" spans="1:8" hidden="1" x14ac:dyDescent="0.35">
      <c r="A151" s="312" t="s">
        <v>326</v>
      </c>
      <c r="B151" t="s">
        <v>315</v>
      </c>
      <c r="C151" t="s">
        <v>271</v>
      </c>
      <c r="D151" t="s">
        <v>316</v>
      </c>
      <c r="E151" t="s">
        <v>271</v>
      </c>
      <c r="F151" t="s">
        <v>271</v>
      </c>
      <c r="G151" t="s">
        <v>232</v>
      </c>
      <c r="H151" t="s">
        <v>233</v>
      </c>
    </row>
    <row r="152" spans="1:8" hidden="1" x14ac:dyDescent="0.35">
      <c r="A152" s="312" t="s">
        <v>326</v>
      </c>
      <c r="B152" t="s">
        <v>273</v>
      </c>
      <c r="C152" t="s">
        <v>274</v>
      </c>
      <c r="D152" t="s">
        <v>275</v>
      </c>
      <c r="E152" t="s">
        <v>276</v>
      </c>
      <c r="F152" t="s">
        <v>276</v>
      </c>
      <c r="G152" t="s">
        <v>218</v>
      </c>
      <c r="H152" t="s">
        <v>219</v>
      </c>
    </row>
    <row r="153" spans="1:8" hidden="1" x14ac:dyDescent="0.35">
      <c r="A153" s="312" t="s">
        <v>326</v>
      </c>
      <c r="B153" t="s">
        <v>277</v>
      </c>
      <c r="C153" t="s">
        <v>278</v>
      </c>
      <c r="D153" t="s">
        <v>261</v>
      </c>
      <c r="E153" t="s">
        <v>262</v>
      </c>
      <c r="F153" t="s">
        <v>262</v>
      </c>
      <c r="G153" t="s">
        <v>232</v>
      </c>
      <c r="H153" t="s">
        <v>233</v>
      </c>
    </row>
    <row r="154" spans="1:8" hidden="1" x14ac:dyDescent="0.35">
      <c r="A154" s="312" t="s">
        <v>326</v>
      </c>
      <c r="B154" t="s">
        <v>279</v>
      </c>
      <c r="C154" t="s">
        <v>280</v>
      </c>
      <c r="D154" t="s">
        <v>257</v>
      </c>
      <c r="E154" t="s">
        <v>258</v>
      </c>
      <c r="F154" t="s">
        <v>258</v>
      </c>
      <c r="G154" t="s">
        <v>238</v>
      </c>
      <c r="H154" t="s">
        <v>239</v>
      </c>
    </row>
    <row r="155" spans="1:8" hidden="1" x14ac:dyDescent="0.35">
      <c r="A155" s="312" t="s">
        <v>326</v>
      </c>
      <c r="B155" t="s">
        <v>281</v>
      </c>
      <c r="C155" t="s">
        <v>282</v>
      </c>
      <c r="D155" t="s">
        <v>322</v>
      </c>
      <c r="E155" t="s">
        <v>323</v>
      </c>
      <c r="F155" t="s">
        <v>323</v>
      </c>
      <c r="G155" t="s">
        <v>218</v>
      </c>
      <c r="H155" t="s">
        <v>219</v>
      </c>
    </row>
    <row r="156" spans="1:8" hidden="1" x14ac:dyDescent="0.35">
      <c r="A156" s="312" t="s">
        <v>326</v>
      </c>
      <c r="B156" t="s">
        <v>283</v>
      </c>
      <c r="C156" t="s">
        <v>284</v>
      </c>
      <c r="D156" t="s">
        <v>285</v>
      </c>
      <c r="E156" t="s">
        <v>286</v>
      </c>
      <c r="F156" t="s">
        <v>286</v>
      </c>
      <c r="G156" t="s">
        <v>218</v>
      </c>
      <c r="H156" t="s">
        <v>219</v>
      </c>
    </row>
    <row r="157" spans="1:8" hidden="1" x14ac:dyDescent="0.35">
      <c r="A157" s="312" t="s">
        <v>326</v>
      </c>
      <c r="B157" t="s">
        <v>287</v>
      </c>
      <c r="C157" t="s">
        <v>288</v>
      </c>
      <c r="D157" t="s">
        <v>251</v>
      </c>
      <c r="E157" t="s">
        <v>252</v>
      </c>
      <c r="F157" t="s">
        <v>252</v>
      </c>
      <c r="G157" t="s">
        <v>232</v>
      </c>
      <c r="H157" t="s">
        <v>233</v>
      </c>
    </row>
    <row r="158" spans="1:8" hidden="1" x14ac:dyDescent="0.35">
      <c r="A158" s="312" t="s">
        <v>326</v>
      </c>
      <c r="B158" t="s">
        <v>317</v>
      </c>
      <c r="C158" t="s">
        <v>290</v>
      </c>
      <c r="D158" t="s">
        <v>324</v>
      </c>
      <c r="E158" t="s">
        <v>325</v>
      </c>
      <c r="F158" t="s">
        <v>325</v>
      </c>
      <c r="G158" t="s">
        <v>232</v>
      </c>
      <c r="H158" t="s">
        <v>233</v>
      </c>
    </row>
    <row r="159" spans="1:8" hidden="1" x14ac:dyDescent="0.35">
      <c r="A159" s="312" t="s">
        <v>326</v>
      </c>
      <c r="B159" t="s">
        <v>292</v>
      </c>
      <c r="C159" t="s">
        <v>293</v>
      </c>
      <c r="D159" t="s">
        <v>285</v>
      </c>
      <c r="E159" t="s">
        <v>286</v>
      </c>
      <c r="F159" t="s">
        <v>286</v>
      </c>
      <c r="G159" t="s">
        <v>218</v>
      </c>
      <c r="H159" t="s">
        <v>219</v>
      </c>
    </row>
    <row r="160" spans="1:8" hidden="1" x14ac:dyDescent="0.35">
      <c r="A160" s="312" t="s">
        <v>326</v>
      </c>
      <c r="B160" t="s">
        <v>294</v>
      </c>
      <c r="C160" t="s">
        <v>295</v>
      </c>
      <c r="D160" t="s">
        <v>226</v>
      </c>
      <c r="E160" t="s">
        <v>227</v>
      </c>
      <c r="F160" t="s">
        <v>227</v>
      </c>
      <c r="G160" t="s">
        <v>218</v>
      </c>
      <c r="H160" t="s">
        <v>219</v>
      </c>
    </row>
    <row r="161" spans="1:8" hidden="1" x14ac:dyDescent="0.35">
      <c r="A161" s="312" t="s">
        <v>326</v>
      </c>
      <c r="B161" t="s">
        <v>296</v>
      </c>
      <c r="C161" t="s">
        <v>297</v>
      </c>
      <c r="D161" t="s">
        <v>261</v>
      </c>
      <c r="E161" t="s">
        <v>262</v>
      </c>
      <c r="F161" t="s">
        <v>262</v>
      </c>
      <c r="G161" t="s">
        <v>232</v>
      </c>
      <c r="H161" t="s">
        <v>233</v>
      </c>
    </row>
    <row r="162" spans="1:8" hidden="1" x14ac:dyDescent="0.35">
      <c r="A162" s="312" t="s">
        <v>326</v>
      </c>
      <c r="B162" t="s">
        <v>298</v>
      </c>
      <c r="C162" t="s">
        <v>299</v>
      </c>
      <c r="D162" t="s">
        <v>257</v>
      </c>
      <c r="E162" t="s">
        <v>258</v>
      </c>
      <c r="F162" t="s">
        <v>258</v>
      </c>
      <c r="G162" t="s">
        <v>238</v>
      </c>
      <c r="H162" t="s">
        <v>239</v>
      </c>
    </row>
    <row r="163" spans="1:8" hidden="1" x14ac:dyDescent="0.35">
      <c r="A163" s="312" t="s">
        <v>326</v>
      </c>
      <c r="B163" t="s">
        <v>300</v>
      </c>
      <c r="C163" t="s">
        <v>301</v>
      </c>
      <c r="D163" t="s">
        <v>285</v>
      </c>
      <c r="E163" t="s">
        <v>286</v>
      </c>
      <c r="F163" t="s">
        <v>286</v>
      </c>
      <c r="G163" t="s">
        <v>218</v>
      </c>
      <c r="H163" t="s">
        <v>219</v>
      </c>
    </row>
    <row r="164" spans="1:8" hidden="1" x14ac:dyDescent="0.35">
      <c r="A164" s="312" t="s">
        <v>326</v>
      </c>
      <c r="B164" t="s">
        <v>302</v>
      </c>
      <c r="C164" t="s">
        <v>303</v>
      </c>
      <c r="D164" t="s">
        <v>251</v>
      </c>
      <c r="E164" t="s">
        <v>252</v>
      </c>
      <c r="F164" t="s">
        <v>252</v>
      </c>
      <c r="G164" t="s">
        <v>232</v>
      </c>
      <c r="H164" t="s">
        <v>233</v>
      </c>
    </row>
    <row r="165" spans="1:8" hidden="1" x14ac:dyDescent="0.35">
      <c r="A165" s="312" t="s">
        <v>326</v>
      </c>
      <c r="B165" t="s">
        <v>304</v>
      </c>
      <c r="C165" t="s">
        <v>305</v>
      </c>
      <c r="D165" t="s">
        <v>324</v>
      </c>
      <c r="E165" t="s">
        <v>325</v>
      </c>
      <c r="F165" t="s">
        <v>325</v>
      </c>
      <c r="G165" t="s">
        <v>232</v>
      </c>
      <c r="H165" t="s">
        <v>233</v>
      </c>
    </row>
    <row r="166" spans="1:8" hidden="1" x14ac:dyDescent="0.35">
      <c r="A166" s="312" t="s">
        <v>326</v>
      </c>
      <c r="B166" t="s">
        <v>307</v>
      </c>
      <c r="C166" t="s">
        <v>308</v>
      </c>
      <c r="D166" t="s">
        <v>320</v>
      </c>
      <c r="E166" t="s">
        <v>314</v>
      </c>
      <c r="F166" t="s">
        <v>314</v>
      </c>
      <c r="G166" t="s">
        <v>238</v>
      </c>
      <c r="H166" t="s">
        <v>239</v>
      </c>
    </row>
    <row r="167" spans="1:8" hidden="1" x14ac:dyDescent="0.35">
      <c r="A167" s="312" t="s">
        <v>326</v>
      </c>
      <c r="B167" t="s">
        <v>309</v>
      </c>
      <c r="C167" t="s">
        <v>310</v>
      </c>
      <c r="D167" t="s">
        <v>230</v>
      </c>
      <c r="E167" t="s">
        <v>231</v>
      </c>
      <c r="F167" t="s">
        <v>231</v>
      </c>
      <c r="G167" t="s">
        <v>232</v>
      </c>
      <c r="H167" t="s">
        <v>233</v>
      </c>
    </row>
    <row r="168" spans="1:8" hidden="1" x14ac:dyDescent="0.35">
      <c r="A168" s="526" t="s">
        <v>326</v>
      </c>
      <c r="B168" s="300" t="s">
        <v>311</v>
      </c>
      <c r="C168" s="300" t="s">
        <v>312</v>
      </c>
      <c r="D168" s="300" t="s">
        <v>265</v>
      </c>
      <c r="E168" s="300" t="s">
        <v>266</v>
      </c>
      <c r="F168" s="300" t="s">
        <v>266</v>
      </c>
      <c r="G168" s="300" t="s">
        <v>238</v>
      </c>
      <c r="H168" s="300" t="s">
        <v>239</v>
      </c>
    </row>
    <row r="169" spans="1:8" hidden="1" x14ac:dyDescent="0.35">
      <c r="A169" s="312" t="s">
        <v>327</v>
      </c>
      <c r="B169" t="s">
        <v>215</v>
      </c>
      <c r="C169" t="s">
        <v>216</v>
      </c>
      <c r="D169" t="s">
        <v>322</v>
      </c>
      <c r="E169" t="s">
        <v>323</v>
      </c>
      <c r="F169" t="s">
        <v>323</v>
      </c>
      <c r="G169" t="s">
        <v>218</v>
      </c>
      <c r="H169" t="s">
        <v>219</v>
      </c>
    </row>
    <row r="170" spans="1:8" hidden="1" x14ac:dyDescent="0.35">
      <c r="A170" s="312" t="s">
        <v>327</v>
      </c>
      <c r="B170" t="s">
        <v>220</v>
      </c>
      <c r="C170" t="s">
        <v>221</v>
      </c>
      <c r="D170" t="s">
        <v>322</v>
      </c>
      <c r="E170" t="s">
        <v>323</v>
      </c>
      <c r="F170" t="s">
        <v>323</v>
      </c>
      <c r="G170" t="s">
        <v>218</v>
      </c>
      <c r="H170" t="s">
        <v>219</v>
      </c>
    </row>
    <row r="171" spans="1:8" hidden="1" x14ac:dyDescent="0.35">
      <c r="A171" s="312" t="s">
        <v>327</v>
      </c>
      <c r="B171" t="s">
        <v>224</v>
      </c>
      <c r="C171" t="s">
        <v>225</v>
      </c>
      <c r="D171" t="s">
        <v>226</v>
      </c>
      <c r="E171" t="s">
        <v>227</v>
      </c>
      <c r="F171" t="s">
        <v>227</v>
      </c>
      <c r="G171" t="s">
        <v>218</v>
      </c>
      <c r="H171" t="s">
        <v>219</v>
      </c>
    </row>
    <row r="172" spans="1:8" hidden="1" x14ac:dyDescent="0.35">
      <c r="A172" s="312" t="s">
        <v>327</v>
      </c>
      <c r="B172" t="s">
        <v>228</v>
      </c>
      <c r="C172" t="s">
        <v>229</v>
      </c>
      <c r="D172" t="s">
        <v>230</v>
      </c>
      <c r="E172" t="s">
        <v>231</v>
      </c>
      <c r="F172" t="s">
        <v>231</v>
      </c>
      <c r="G172" t="s">
        <v>232</v>
      </c>
      <c r="H172" t="s">
        <v>233</v>
      </c>
    </row>
    <row r="173" spans="1:8" hidden="1" x14ac:dyDescent="0.35">
      <c r="A173" s="312" t="s">
        <v>327</v>
      </c>
      <c r="B173" t="s">
        <v>234</v>
      </c>
      <c r="C173" t="s">
        <v>235</v>
      </c>
      <c r="D173" t="s">
        <v>236</v>
      </c>
      <c r="E173" t="s">
        <v>237</v>
      </c>
      <c r="F173" t="s">
        <v>237</v>
      </c>
      <c r="G173" t="s">
        <v>238</v>
      </c>
      <c r="H173" t="s">
        <v>239</v>
      </c>
    </row>
    <row r="174" spans="1:8" hidden="1" x14ac:dyDescent="0.35">
      <c r="A174" s="312" t="s">
        <v>327</v>
      </c>
      <c r="B174" t="s">
        <v>240</v>
      </c>
      <c r="C174" t="s">
        <v>241</v>
      </c>
      <c r="D174" t="s">
        <v>320</v>
      </c>
      <c r="E174" t="s">
        <v>328</v>
      </c>
      <c r="F174" t="s">
        <v>328</v>
      </c>
      <c r="G174" t="s">
        <v>238</v>
      </c>
      <c r="H174" t="s">
        <v>239</v>
      </c>
    </row>
    <row r="175" spans="1:8" hidden="1" x14ac:dyDescent="0.35">
      <c r="A175" s="312" t="s">
        <v>327</v>
      </c>
      <c r="B175" t="s">
        <v>244</v>
      </c>
      <c r="C175" t="s">
        <v>245</v>
      </c>
      <c r="D175" t="s">
        <v>246</v>
      </c>
      <c r="E175" t="s">
        <v>245</v>
      </c>
      <c r="F175" t="s">
        <v>245</v>
      </c>
      <c r="G175" t="s">
        <v>232</v>
      </c>
      <c r="H175" t="s">
        <v>233</v>
      </c>
    </row>
    <row r="176" spans="1:8" hidden="1" x14ac:dyDescent="0.35">
      <c r="A176" s="312" t="s">
        <v>327</v>
      </c>
      <c r="B176" t="s">
        <v>247</v>
      </c>
      <c r="C176" t="s">
        <v>248</v>
      </c>
      <c r="D176" t="s">
        <v>226</v>
      </c>
      <c r="E176" t="s">
        <v>227</v>
      </c>
      <c r="F176" t="s">
        <v>227</v>
      </c>
      <c r="G176" t="s">
        <v>218</v>
      </c>
      <c r="H176" t="s">
        <v>219</v>
      </c>
    </row>
    <row r="177" spans="1:8" hidden="1" x14ac:dyDescent="0.35">
      <c r="A177" s="312" t="s">
        <v>327</v>
      </c>
      <c r="B177" t="s">
        <v>249</v>
      </c>
      <c r="C177" t="s">
        <v>250</v>
      </c>
      <c r="D177" t="s">
        <v>251</v>
      </c>
      <c r="E177" t="s">
        <v>252</v>
      </c>
      <c r="F177" t="s">
        <v>252</v>
      </c>
      <c r="G177" t="s">
        <v>232</v>
      </c>
      <c r="H177" t="s">
        <v>233</v>
      </c>
    </row>
    <row r="178" spans="1:8" hidden="1" x14ac:dyDescent="0.35">
      <c r="A178" s="312" t="s">
        <v>327</v>
      </c>
      <c r="B178" t="s">
        <v>253</v>
      </c>
      <c r="C178" t="s">
        <v>254</v>
      </c>
      <c r="D178" t="s">
        <v>230</v>
      </c>
      <c r="E178" t="s">
        <v>231</v>
      </c>
      <c r="F178" t="s">
        <v>231</v>
      </c>
      <c r="G178" t="s">
        <v>232</v>
      </c>
      <c r="H178" t="s">
        <v>233</v>
      </c>
    </row>
    <row r="179" spans="1:8" hidden="1" x14ac:dyDescent="0.35">
      <c r="A179" s="312" t="s">
        <v>327</v>
      </c>
      <c r="B179" t="s">
        <v>255</v>
      </c>
      <c r="C179" t="s">
        <v>256</v>
      </c>
      <c r="D179" t="s">
        <v>257</v>
      </c>
      <c r="E179" t="s">
        <v>258</v>
      </c>
      <c r="F179" t="s">
        <v>258</v>
      </c>
      <c r="G179" t="s">
        <v>238</v>
      </c>
      <c r="H179" t="s">
        <v>239</v>
      </c>
    </row>
    <row r="180" spans="1:8" hidden="1" x14ac:dyDescent="0.35">
      <c r="A180" s="312" t="s">
        <v>327</v>
      </c>
      <c r="B180" t="s">
        <v>259</v>
      </c>
      <c r="C180" t="s">
        <v>260</v>
      </c>
      <c r="D180" t="s">
        <v>261</v>
      </c>
      <c r="E180" t="s">
        <v>262</v>
      </c>
      <c r="F180" t="s">
        <v>262</v>
      </c>
      <c r="G180" t="s">
        <v>232</v>
      </c>
      <c r="H180" t="s">
        <v>233</v>
      </c>
    </row>
    <row r="181" spans="1:8" hidden="1" x14ac:dyDescent="0.35">
      <c r="A181" s="312" t="s">
        <v>327</v>
      </c>
      <c r="B181" t="s">
        <v>263</v>
      </c>
      <c r="C181" t="s">
        <v>264</v>
      </c>
      <c r="D181" t="s">
        <v>265</v>
      </c>
      <c r="E181" t="s">
        <v>266</v>
      </c>
      <c r="F181" t="s">
        <v>266</v>
      </c>
      <c r="G181" t="s">
        <v>238</v>
      </c>
      <c r="H181" t="s">
        <v>239</v>
      </c>
    </row>
    <row r="182" spans="1:8" hidden="1" x14ac:dyDescent="0.35">
      <c r="A182" s="312" t="s">
        <v>327</v>
      </c>
      <c r="B182" t="s">
        <v>267</v>
      </c>
      <c r="C182" t="s">
        <v>268</v>
      </c>
      <c r="D182" t="s">
        <v>320</v>
      </c>
      <c r="E182" t="s">
        <v>328</v>
      </c>
      <c r="F182" t="s">
        <v>328</v>
      </c>
      <c r="G182" t="s">
        <v>238</v>
      </c>
      <c r="H182" t="s">
        <v>239</v>
      </c>
    </row>
    <row r="183" spans="1:8" hidden="1" x14ac:dyDescent="0.35">
      <c r="A183" s="312" t="s">
        <v>327</v>
      </c>
      <c r="B183" t="s">
        <v>315</v>
      </c>
      <c r="C183" t="s">
        <v>271</v>
      </c>
      <c r="D183" t="s">
        <v>316</v>
      </c>
      <c r="E183" t="s">
        <v>271</v>
      </c>
      <c r="F183" t="s">
        <v>271</v>
      </c>
      <c r="G183" t="s">
        <v>232</v>
      </c>
      <c r="H183" t="s">
        <v>233</v>
      </c>
    </row>
    <row r="184" spans="1:8" hidden="1" x14ac:dyDescent="0.35">
      <c r="A184" s="312" t="s">
        <v>327</v>
      </c>
      <c r="B184" t="s">
        <v>273</v>
      </c>
      <c r="C184" t="s">
        <v>274</v>
      </c>
      <c r="D184" t="s">
        <v>275</v>
      </c>
      <c r="E184" t="s">
        <v>276</v>
      </c>
      <c r="F184" t="s">
        <v>276</v>
      </c>
      <c r="G184" t="s">
        <v>218</v>
      </c>
      <c r="H184" t="s">
        <v>219</v>
      </c>
    </row>
    <row r="185" spans="1:8" hidden="1" x14ac:dyDescent="0.35">
      <c r="A185" s="312" t="s">
        <v>327</v>
      </c>
      <c r="B185" t="s">
        <v>277</v>
      </c>
      <c r="C185" t="s">
        <v>278</v>
      </c>
      <c r="D185" t="s">
        <v>261</v>
      </c>
      <c r="E185" t="s">
        <v>262</v>
      </c>
      <c r="F185" t="s">
        <v>262</v>
      </c>
      <c r="G185" t="s">
        <v>232</v>
      </c>
      <c r="H185" t="s">
        <v>233</v>
      </c>
    </row>
    <row r="186" spans="1:8" hidden="1" x14ac:dyDescent="0.35">
      <c r="A186" s="312" t="s">
        <v>327</v>
      </c>
      <c r="B186" t="s">
        <v>279</v>
      </c>
      <c r="C186" t="s">
        <v>280</v>
      </c>
      <c r="D186" t="s">
        <v>257</v>
      </c>
      <c r="E186" t="s">
        <v>258</v>
      </c>
      <c r="F186" t="s">
        <v>258</v>
      </c>
      <c r="G186" t="s">
        <v>238</v>
      </c>
      <c r="H186" t="s">
        <v>239</v>
      </c>
    </row>
    <row r="187" spans="1:8" hidden="1" x14ac:dyDescent="0.35">
      <c r="A187" s="312" t="s">
        <v>327</v>
      </c>
      <c r="B187" t="s">
        <v>281</v>
      </c>
      <c r="C187" t="s">
        <v>282</v>
      </c>
      <c r="D187" t="s">
        <v>322</v>
      </c>
      <c r="E187" t="s">
        <v>323</v>
      </c>
      <c r="F187" t="s">
        <v>323</v>
      </c>
      <c r="G187" t="s">
        <v>218</v>
      </c>
      <c r="H187" t="s">
        <v>219</v>
      </c>
    </row>
    <row r="188" spans="1:8" hidden="1" x14ac:dyDescent="0.35">
      <c r="A188" s="312" t="s">
        <v>327</v>
      </c>
      <c r="B188" t="s">
        <v>283</v>
      </c>
      <c r="C188" t="s">
        <v>284</v>
      </c>
      <c r="D188" t="s">
        <v>285</v>
      </c>
      <c r="E188" t="s">
        <v>286</v>
      </c>
      <c r="F188" t="s">
        <v>286</v>
      </c>
      <c r="G188" t="s">
        <v>218</v>
      </c>
      <c r="H188" t="s">
        <v>219</v>
      </c>
    </row>
    <row r="189" spans="1:8" hidden="1" x14ac:dyDescent="0.35">
      <c r="A189" s="312" t="s">
        <v>327</v>
      </c>
      <c r="B189" t="s">
        <v>287</v>
      </c>
      <c r="C189" t="s">
        <v>288</v>
      </c>
      <c r="D189" t="s">
        <v>251</v>
      </c>
      <c r="E189" t="s">
        <v>252</v>
      </c>
      <c r="F189" t="s">
        <v>252</v>
      </c>
      <c r="G189" t="s">
        <v>232</v>
      </c>
      <c r="H189" t="s">
        <v>233</v>
      </c>
    </row>
    <row r="190" spans="1:8" hidden="1" x14ac:dyDescent="0.35">
      <c r="A190" s="312" t="s">
        <v>327</v>
      </c>
      <c r="B190" t="s">
        <v>317</v>
      </c>
      <c r="C190" t="s">
        <v>290</v>
      </c>
      <c r="D190" t="s">
        <v>324</v>
      </c>
      <c r="E190" t="s">
        <v>325</v>
      </c>
      <c r="F190" t="s">
        <v>325</v>
      </c>
      <c r="G190" t="s">
        <v>232</v>
      </c>
      <c r="H190" t="s">
        <v>233</v>
      </c>
    </row>
    <row r="191" spans="1:8" hidden="1" x14ac:dyDescent="0.35">
      <c r="A191" s="312" t="s">
        <v>327</v>
      </c>
      <c r="B191" t="s">
        <v>292</v>
      </c>
      <c r="C191" t="s">
        <v>293</v>
      </c>
      <c r="D191" t="s">
        <v>285</v>
      </c>
      <c r="E191" t="s">
        <v>286</v>
      </c>
      <c r="F191" t="s">
        <v>286</v>
      </c>
      <c r="G191" t="s">
        <v>218</v>
      </c>
      <c r="H191" t="s">
        <v>219</v>
      </c>
    </row>
    <row r="192" spans="1:8" hidden="1" x14ac:dyDescent="0.35">
      <c r="A192" s="312" t="s">
        <v>327</v>
      </c>
      <c r="B192" t="s">
        <v>294</v>
      </c>
      <c r="C192" t="s">
        <v>295</v>
      </c>
      <c r="D192" t="s">
        <v>226</v>
      </c>
      <c r="E192" t="s">
        <v>227</v>
      </c>
      <c r="F192" t="s">
        <v>227</v>
      </c>
      <c r="G192" t="s">
        <v>218</v>
      </c>
      <c r="H192" t="s">
        <v>219</v>
      </c>
    </row>
    <row r="193" spans="1:8" hidden="1" x14ac:dyDescent="0.35">
      <c r="A193" s="312" t="s">
        <v>327</v>
      </c>
      <c r="B193" t="s">
        <v>296</v>
      </c>
      <c r="C193" t="s">
        <v>297</v>
      </c>
      <c r="D193" t="s">
        <v>261</v>
      </c>
      <c r="E193" t="s">
        <v>262</v>
      </c>
      <c r="F193" t="s">
        <v>262</v>
      </c>
      <c r="G193" t="s">
        <v>232</v>
      </c>
      <c r="H193" t="s">
        <v>233</v>
      </c>
    </row>
    <row r="194" spans="1:8" hidden="1" x14ac:dyDescent="0.35">
      <c r="A194" s="312" t="s">
        <v>327</v>
      </c>
      <c r="B194" t="s">
        <v>298</v>
      </c>
      <c r="C194" t="s">
        <v>299</v>
      </c>
      <c r="D194" t="s">
        <v>257</v>
      </c>
      <c r="E194" t="s">
        <v>258</v>
      </c>
      <c r="F194" t="s">
        <v>258</v>
      </c>
      <c r="G194" t="s">
        <v>238</v>
      </c>
      <c r="H194" t="s">
        <v>239</v>
      </c>
    </row>
    <row r="195" spans="1:8" hidden="1" x14ac:dyDescent="0.35">
      <c r="A195" s="312" t="s">
        <v>327</v>
      </c>
      <c r="B195" t="s">
        <v>300</v>
      </c>
      <c r="C195" t="s">
        <v>301</v>
      </c>
      <c r="D195" t="s">
        <v>285</v>
      </c>
      <c r="E195" t="s">
        <v>286</v>
      </c>
      <c r="F195" t="s">
        <v>286</v>
      </c>
      <c r="G195" t="s">
        <v>218</v>
      </c>
      <c r="H195" t="s">
        <v>219</v>
      </c>
    </row>
    <row r="196" spans="1:8" hidden="1" x14ac:dyDescent="0.35">
      <c r="A196" s="312" t="s">
        <v>327</v>
      </c>
      <c r="B196" t="s">
        <v>302</v>
      </c>
      <c r="C196" t="s">
        <v>303</v>
      </c>
      <c r="D196" t="s">
        <v>251</v>
      </c>
      <c r="E196" t="s">
        <v>252</v>
      </c>
      <c r="F196" t="s">
        <v>252</v>
      </c>
      <c r="G196" t="s">
        <v>232</v>
      </c>
      <c r="H196" t="s">
        <v>233</v>
      </c>
    </row>
    <row r="197" spans="1:8" hidden="1" x14ac:dyDescent="0.35">
      <c r="A197" s="312" t="s">
        <v>327</v>
      </c>
      <c r="B197" t="s">
        <v>304</v>
      </c>
      <c r="C197" t="s">
        <v>305</v>
      </c>
      <c r="D197" t="s">
        <v>324</v>
      </c>
      <c r="E197" t="s">
        <v>325</v>
      </c>
      <c r="F197" t="s">
        <v>325</v>
      </c>
      <c r="G197" t="s">
        <v>232</v>
      </c>
      <c r="H197" t="s">
        <v>233</v>
      </c>
    </row>
    <row r="198" spans="1:8" hidden="1" x14ac:dyDescent="0.35">
      <c r="A198" s="312" t="s">
        <v>327</v>
      </c>
      <c r="B198" t="s">
        <v>307</v>
      </c>
      <c r="C198" t="s">
        <v>308</v>
      </c>
      <c r="D198" t="s">
        <v>320</v>
      </c>
      <c r="E198" t="s">
        <v>328</v>
      </c>
      <c r="F198" t="s">
        <v>328</v>
      </c>
      <c r="G198" t="s">
        <v>238</v>
      </c>
      <c r="H198" t="s">
        <v>239</v>
      </c>
    </row>
    <row r="199" spans="1:8" hidden="1" x14ac:dyDescent="0.35">
      <c r="A199" s="312" t="s">
        <v>327</v>
      </c>
      <c r="B199" t="s">
        <v>309</v>
      </c>
      <c r="C199" t="s">
        <v>310</v>
      </c>
      <c r="D199" t="s">
        <v>230</v>
      </c>
      <c r="E199" t="s">
        <v>231</v>
      </c>
      <c r="F199" t="s">
        <v>231</v>
      </c>
      <c r="G199" t="s">
        <v>232</v>
      </c>
      <c r="H199" t="s">
        <v>233</v>
      </c>
    </row>
    <row r="200" spans="1:8" hidden="1" x14ac:dyDescent="0.35">
      <c r="A200" s="526" t="s">
        <v>327</v>
      </c>
      <c r="B200" s="300" t="s">
        <v>311</v>
      </c>
      <c r="C200" s="300" t="s">
        <v>312</v>
      </c>
      <c r="D200" s="300" t="s">
        <v>265</v>
      </c>
      <c r="E200" s="300" t="s">
        <v>266</v>
      </c>
      <c r="F200" s="300" t="s">
        <v>266</v>
      </c>
      <c r="G200" s="300" t="s">
        <v>238</v>
      </c>
      <c r="H200" s="300" t="s">
        <v>239</v>
      </c>
    </row>
    <row r="201" spans="1:8" x14ac:dyDescent="0.35">
      <c r="A201" s="312" t="s">
        <v>466</v>
      </c>
      <c r="B201" t="s">
        <v>215</v>
      </c>
      <c r="C201" t="s">
        <v>216</v>
      </c>
      <c r="D201" t="s">
        <v>322</v>
      </c>
      <c r="E201" t="s">
        <v>323</v>
      </c>
      <c r="F201" t="s">
        <v>323</v>
      </c>
      <c r="G201" t="s">
        <v>218</v>
      </c>
      <c r="H201" t="s">
        <v>219</v>
      </c>
    </row>
    <row r="202" spans="1:8" x14ac:dyDescent="0.35">
      <c r="A202" s="312" t="s">
        <v>466</v>
      </c>
      <c r="B202" t="s">
        <v>220</v>
      </c>
      <c r="C202" t="s">
        <v>221</v>
      </c>
      <c r="D202" t="s">
        <v>322</v>
      </c>
      <c r="E202" t="s">
        <v>323</v>
      </c>
      <c r="F202" t="s">
        <v>323</v>
      </c>
      <c r="G202" t="s">
        <v>218</v>
      </c>
      <c r="H202" t="s">
        <v>219</v>
      </c>
    </row>
    <row r="203" spans="1:8" x14ac:dyDescent="0.35">
      <c r="A203" s="312" t="s">
        <v>466</v>
      </c>
      <c r="B203" t="s">
        <v>224</v>
      </c>
      <c r="C203" t="s">
        <v>225</v>
      </c>
      <c r="D203" t="s">
        <v>226</v>
      </c>
      <c r="E203" t="s">
        <v>227</v>
      </c>
      <c r="F203" t="s">
        <v>227</v>
      </c>
      <c r="G203" t="s">
        <v>218</v>
      </c>
      <c r="H203" t="s">
        <v>219</v>
      </c>
    </row>
    <row r="204" spans="1:8" x14ac:dyDescent="0.35">
      <c r="A204" s="312" t="s">
        <v>466</v>
      </c>
      <c r="B204" t="s">
        <v>228</v>
      </c>
      <c r="C204" t="s">
        <v>229</v>
      </c>
      <c r="D204" t="s">
        <v>230</v>
      </c>
      <c r="E204" t="s">
        <v>231</v>
      </c>
      <c r="F204" t="s">
        <v>231</v>
      </c>
      <c r="G204" t="s">
        <v>232</v>
      </c>
      <c r="H204" t="s">
        <v>233</v>
      </c>
    </row>
    <row r="205" spans="1:8" x14ac:dyDescent="0.35">
      <c r="A205" s="312" t="s">
        <v>466</v>
      </c>
      <c r="B205" t="s">
        <v>234</v>
      </c>
      <c r="C205" t="s">
        <v>235</v>
      </c>
      <c r="D205" t="s">
        <v>236</v>
      </c>
      <c r="E205" t="s">
        <v>237</v>
      </c>
      <c r="F205" t="s">
        <v>237</v>
      </c>
      <c r="G205" t="s">
        <v>238</v>
      </c>
      <c r="H205" t="s">
        <v>239</v>
      </c>
    </row>
    <row r="206" spans="1:8" x14ac:dyDescent="0.35">
      <c r="A206" s="312" t="s">
        <v>466</v>
      </c>
      <c r="B206" t="s">
        <v>240</v>
      </c>
      <c r="C206" t="s">
        <v>241</v>
      </c>
      <c r="D206" t="s">
        <v>320</v>
      </c>
      <c r="E206" t="s">
        <v>328</v>
      </c>
      <c r="F206" t="s">
        <v>328</v>
      </c>
      <c r="G206" t="s">
        <v>238</v>
      </c>
      <c r="H206" t="s">
        <v>239</v>
      </c>
    </row>
    <row r="207" spans="1:8" x14ac:dyDescent="0.35">
      <c r="A207" s="312" t="s">
        <v>466</v>
      </c>
      <c r="B207" t="s">
        <v>244</v>
      </c>
      <c r="C207" t="s">
        <v>245</v>
      </c>
      <c r="D207" t="s">
        <v>246</v>
      </c>
      <c r="E207" t="s">
        <v>245</v>
      </c>
      <c r="F207" t="s">
        <v>245</v>
      </c>
      <c r="G207" t="s">
        <v>232</v>
      </c>
      <c r="H207" t="s">
        <v>233</v>
      </c>
    </row>
    <row r="208" spans="1:8" x14ac:dyDescent="0.35">
      <c r="A208" s="312" t="s">
        <v>466</v>
      </c>
      <c r="B208" t="s">
        <v>247</v>
      </c>
      <c r="C208" t="s">
        <v>248</v>
      </c>
      <c r="D208" t="s">
        <v>226</v>
      </c>
      <c r="E208" t="s">
        <v>227</v>
      </c>
      <c r="F208" t="s">
        <v>227</v>
      </c>
      <c r="G208" t="s">
        <v>218</v>
      </c>
      <c r="H208" t="s">
        <v>219</v>
      </c>
    </row>
    <row r="209" spans="1:8" x14ac:dyDescent="0.35">
      <c r="A209" s="312" t="s">
        <v>466</v>
      </c>
      <c r="B209" t="s">
        <v>249</v>
      </c>
      <c r="C209" t="s">
        <v>250</v>
      </c>
      <c r="D209" t="s">
        <v>251</v>
      </c>
      <c r="E209" t="s">
        <v>252</v>
      </c>
      <c r="F209" t="s">
        <v>252</v>
      </c>
      <c r="G209" t="s">
        <v>232</v>
      </c>
      <c r="H209" t="s">
        <v>233</v>
      </c>
    </row>
    <row r="210" spans="1:8" x14ac:dyDescent="0.35">
      <c r="A210" s="312" t="s">
        <v>466</v>
      </c>
      <c r="B210" t="s">
        <v>253</v>
      </c>
      <c r="C210" t="s">
        <v>254</v>
      </c>
      <c r="D210" t="s">
        <v>230</v>
      </c>
      <c r="E210" t="s">
        <v>231</v>
      </c>
      <c r="F210" t="s">
        <v>231</v>
      </c>
      <c r="G210" t="s">
        <v>232</v>
      </c>
      <c r="H210" t="s">
        <v>233</v>
      </c>
    </row>
    <row r="211" spans="1:8" x14ac:dyDescent="0.35">
      <c r="A211" s="312" t="s">
        <v>466</v>
      </c>
      <c r="B211" t="s">
        <v>255</v>
      </c>
      <c r="C211" t="s">
        <v>256</v>
      </c>
      <c r="D211" t="s">
        <v>257</v>
      </c>
      <c r="E211" t="s">
        <v>258</v>
      </c>
      <c r="F211" t="s">
        <v>258</v>
      </c>
      <c r="G211" t="s">
        <v>238</v>
      </c>
      <c r="H211" t="s">
        <v>239</v>
      </c>
    </row>
    <row r="212" spans="1:8" x14ac:dyDescent="0.35">
      <c r="A212" s="312" t="s">
        <v>466</v>
      </c>
      <c r="B212" t="s">
        <v>259</v>
      </c>
      <c r="C212" t="s">
        <v>260</v>
      </c>
      <c r="D212" t="s">
        <v>261</v>
      </c>
      <c r="E212" t="s">
        <v>262</v>
      </c>
      <c r="F212" t="s">
        <v>262</v>
      </c>
      <c r="G212" t="s">
        <v>232</v>
      </c>
      <c r="H212" t="s">
        <v>233</v>
      </c>
    </row>
    <row r="213" spans="1:8" x14ac:dyDescent="0.35">
      <c r="A213" s="312" t="s">
        <v>466</v>
      </c>
      <c r="B213" t="s">
        <v>263</v>
      </c>
      <c r="C213" t="s">
        <v>264</v>
      </c>
      <c r="D213" t="s">
        <v>265</v>
      </c>
      <c r="E213" t="s">
        <v>266</v>
      </c>
      <c r="F213" t="s">
        <v>266</v>
      </c>
      <c r="G213" t="s">
        <v>238</v>
      </c>
      <c r="H213" t="s">
        <v>239</v>
      </c>
    </row>
    <row r="214" spans="1:8" x14ac:dyDescent="0.35">
      <c r="A214" s="312" t="s">
        <v>466</v>
      </c>
      <c r="B214" t="s">
        <v>267</v>
      </c>
      <c r="C214" t="s">
        <v>268</v>
      </c>
      <c r="D214" t="s">
        <v>320</v>
      </c>
      <c r="E214" t="s">
        <v>328</v>
      </c>
      <c r="F214" t="s">
        <v>328</v>
      </c>
      <c r="G214" t="s">
        <v>238</v>
      </c>
      <c r="H214" t="s">
        <v>239</v>
      </c>
    </row>
    <row r="215" spans="1:8" x14ac:dyDescent="0.35">
      <c r="A215" s="312" t="s">
        <v>466</v>
      </c>
      <c r="B215" t="s">
        <v>315</v>
      </c>
      <c r="C215" t="s">
        <v>271</v>
      </c>
      <c r="D215" t="s">
        <v>316</v>
      </c>
      <c r="E215" t="s">
        <v>271</v>
      </c>
      <c r="F215" t="s">
        <v>271</v>
      </c>
      <c r="G215" t="s">
        <v>232</v>
      </c>
      <c r="H215" t="s">
        <v>233</v>
      </c>
    </row>
    <row r="216" spans="1:8" x14ac:dyDescent="0.35">
      <c r="A216" s="312" t="s">
        <v>466</v>
      </c>
      <c r="B216" t="s">
        <v>273</v>
      </c>
      <c r="C216" t="s">
        <v>274</v>
      </c>
      <c r="D216" t="s">
        <v>275</v>
      </c>
      <c r="E216" t="s">
        <v>276</v>
      </c>
      <c r="F216" t="s">
        <v>276</v>
      </c>
      <c r="G216" t="s">
        <v>218</v>
      </c>
      <c r="H216" t="s">
        <v>219</v>
      </c>
    </row>
    <row r="217" spans="1:8" x14ac:dyDescent="0.35">
      <c r="A217" s="312" t="s">
        <v>466</v>
      </c>
      <c r="B217" t="s">
        <v>277</v>
      </c>
      <c r="C217" t="s">
        <v>278</v>
      </c>
      <c r="D217" t="s">
        <v>261</v>
      </c>
      <c r="E217" t="s">
        <v>262</v>
      </c>
      <c r="F217" t="s">
        <v>262</v>
      </c>
      <c r="G217" t="s">
        <v>232</v>
      </c>
      <c r="H217" t="s">
        <v>233</v>
      </c>
    </row>
    <row r="218" spans="1:8" x14ac:dyDescent="0.35">
      <c r="A218" s="312" t="s">
        <v>466</v>
      </c>
      <c r="B218" t="s">
        <v>279</v>
      </c>
      <c r="C218" t="s">
        <v>280</v>
      </c>
      <c r="D218" t="s">
        <v>257</v>
      </c>
      <c r="E218" t="s">
        <v>258</v>
      </c>
      <c r="F218" t="s">
        <v>258</v>
      </c>
      <c r="G218" t="s">
        <v>238</v>
      </c>
      <c r="H218" t="s">
        <v>239</v>
      </c>
    </row>
    <row r="219" spans="1:8" x14ac:dyDescent="0.35">
      <c r="A219" s="312" t="s">
        <v>466</v>
      </c>
      <c r="B219" t="s">
        <v>281</v>
      </c>
      <c r="C219" t="s">
        <v>282</v>
      </c>
      <c r="D219" t="s">
        <v>322</v>
      </c>
      <c r="E219" t="s">
        <v>323</v>
      </c>
      <c r="F219" t="s">
        <v>323</v>
      </c>
      <c r="G219" t="s">
        <v>218</v>
      </c>
      <c r="H219" t="s">
        <v>219</v>
      </c>
    </row>
    <row r="220" spans="1:8" x14ac:dyDescent="0.35">
      <c r="A220" s="312" t="s">
        <v>466</v>
      </c>
      <c r="B220" t="s">
        <v>283</v>
      </c>
      <c r="C220" t="s">
        <v>284</v>
      </c>
      <c r="D220" t="s">
        <v>285</v>
      </c>
      <c r="E220" t="s">
        <v>286</v>
      </c>
      <c r="F220" t="s">
        <v>286</v>
      </c>
      <c r="G220" t="s">
        <v>218</v>
      </c>
      <c r="H220" t="s">
        <v>219</v>
      </c>
    </row>
    <row r="221" spans="1:8" x14ac:dyDescent="0.35">
      <c r="A221" s="312" t="s">
        <v>466</v>
      </c>
      <c r="B221" t="s">
        <v>287</v>
      </c>
      <c r="C221" t="s">
        <v>288</v>
      </c>
      <c r="D221" t="s">
        <v>251</v>
      </c>
      <c r="E221" t="s">
        <v>252</v>
      </c>
      <c r="F221" t="s">
        <v>252</v>
      </c>
      <c r="G221" t="s">
        <v>232</v>
      </c>
      <c r="H221" t="s">
        <v>233</v>
      </c>
    </row>
    <row r="222" spans="1:8" x14ac:dyDescent="0.35">
      <c r="A222" s="312" t="s">
        <v>466</v>
      </c>
      <c r="B222" t="s">
        <v>317</v>
      </c>
      <c r="C222" t="s">
        <v>290</v>
      </c>
      <c r="D222" t="s">
        <v>324</v>
      </c>
      <c r="E222" t="s">
        <v>325</v>
      </c>
      <c r="F222" t="s">
        <v>325</v>
      </c>
      <c r="G222" t="s">
        <v>232</v>
      </c>
      <c r="H222" t="s">
        <v>233</v>
      </c>
    </row>
    <row r="223" spans="1:8" x14ac:dyDescent="0.35">
      <c r="A223" s="312" t="s">
        <v>466</v>
      </c>
      <c r="B223" t="s">
        <v>292</v>
      </c>
      <c r="C223" t="s">
        <v>293</v>
      </c>
      <c r="D223" t="s">
        <v>285</v>
      </c>
      <c r="E223" t="s">
        <v>286</v>
      </c>
      <c r="F223" t="s">
        <v>286</v>
      </c>
      <c r="G223" t="s">
        <v>218</v>
      </c>
      <c r="H223" t="s">
        <v>219</v>
      </c>
    </row>
    <row r="224" spans="1:8" x14ac:dyDescent="0.35">
      <c r="A224" s="312" t="s">
        <v>466</v>
      </c>
      <c r="B224" t="s">
        <v>294</v>
      </c>
      <c r="C224" t="s">
        <v>295</v>
      </c>
      <c r="D224" t="s">
        <v>226</v>
      </c>
      <c r="E224" t="s">
        <v>227</v>
      </c>
      <c r="F224" t="s">
        <v>227</v>
      </c>
      <c r="G224" t="s">
        <v>218</v>
      </c>
      <c r="H224" t="s">
        <v>219</v>
      </c>
    </row>
    <row r="225" spans="1:8" x14ac:dyDescent="0.35">
      <c r="A225" s="312" t="s">
        <v>466</v>
      </c>
      <c r="B225" t="s">
        <v>296</v>
      </c>
      <c r="C225" t="s">
        <v>297</v>
      </c>
      <c r="D225" t="s">
        <v>261</v>
      </c>
      <c r="E225" t="s">
        <v>262</v>
      </c>
      <c r="F225" t="s">
        <v>262</v>
      </c>
      <c r="G225" t="s">
        <v>232</v>
      </c>
      <c r="H225" t="s">
        <v>233</v>
      </c>
    </row>
    <row r="226" spans="1:8" x14ac:dyDescent="0.35">
      <c r="A226" s="312" t="s">
        <v>466</v>
      </c>
      <c r="B226" t="s">
        <v>298</v>
      </c>
      <c r="C226" t="s">
        <v>299</v>
      </c>
      <c r="D226" t="s">
        <v>257</v>
      </c>
      <c r="E226" t="s">
        <v>258</v>
      </c>
      <c r="F226" t="s">
        <v>258</v>
      </c>
      <c r="G226" t="s">
        <v>238</v>
      </c>
      <c r="H226" t="s">
        <v>239</v>
      </c>
    </row>
    <row r="227" spans="1:8" x14ac:dyDescent="0.35">
      <c r="A227" s="312" t="s">
        <v>466</v>
      </c>
      <c r="B227" t="s">
        <v>300</v>
      </c>
      <c r="C227" t="s">
        <v>301</v>
      </c>
      <c r="D227" t="s">
        <v>285</v>
      </c>
      <c r="E227" t="s">
        <v>286</v>
      </c>
      <c r="F227" t="s">
        <v>286</v>
      </c>
      <c r="G227" t="s">
        <v>218</v>
      </c>
      <c r="H227" t="s">
        <v>219</v>
      </c>
    </row>
    <row r="228" spans="1:8" x14ac:dyDescent="0.35">
      <c r="A228" s="312" t="s">
        <v>466</v>
      </c>
      <c r="B228" t="s">
        <v>302</v>
      </c>
      <c r="C228" t="s">
        <v>303</v>
      </c>
      <c r="D228" t="s">
        <v>251</v>
      </c>
      <c r="E228" t="s">
        <v>252</v>
      </c>
      <c r="F228" t="s">
        <v>252</v>
      </c>
      <c r="G228" t="s">
        <v>232</v>
      </c>
      <c r="H228" t="s">
        <v>233</v>
      </c>
    </row>
    <row r="229" spans="1:8" x14ac:dyDescent="0.35">
      <c r="A229" s="312" t="s">
        <v>466</v>
      </c>
      <c r="B229" t="s">
        <v>304</v>
      </c>
      <c r="C229" t="s">
        <v>305</v>
      </c>
      <c r="D229" t="s">
        <v>324</v>
      </c>
      <c r="E229" t="s">
        <v>325</v>
      </c>
      <c r="F229" t="s">
        <v>325</v>
      </c>
      <c r="G229" t="s">
        <v>232</v>
      </c>
      <c r="H229" t="s">
        <v>233</v>
      </c>
    </row>
    <row r="230" spans="1:8" x14ac:dyDescent="0.35">
      <c r="A230" s="312" t="s">
        <v>466</v>
      </c>
      <c r="B230" t="s">
        <v>307</v>
      </c>
      <c r="C230" t="s">
        <v>308</v>
      </c>
      <c r="D230" t="s">
        <v>320</v>
      </c>
      <c r="E230" t="s">
        <v>328</v>
      </c>
      <c r="F230" t="s">
        <v>328</v>
      </c>
      <c r="G230" t="s">
        <v>238</v>
      </c>
      <c r="H230" t="s">
        <v>239</v>
      </c>
    </row>
    <row r="231" spans="1:8" x14ac:dyDescent="0.35">
      <c r="A231" s="312" t="s">
        <v>466</v>
      </c>
      <c r="B231" t="s">
        <v>309</v>
      </c>
      <c r="C231" t="s">
        <v>310</v>
      </c>
      <c r="D231" t="s">
        <v>230</v>
      </c>
      <c r="E231" t="s">
        <v>231</v>
      </c>
      <c r="F231" t="s">
        <v>231</v>
      </c>
      <c r="G231" t="s">
        <v>232</v>
      </c>
      <c r="H231" t="s">
        <v>233</v>
      </c>
    </row>
    <row r="232" spans="1:8" ht="15" thickBot="1" x14ac:dyDescent="0.4">
      <c r="A232" s="525" t="s">
        <v>466</v>
      </c>
      <c r="B232" s="325" t="s">
        <v>311</v>
      </c>
      <c r="C232" s="325" t="s">
        <v>312</v>
      </c>
      <c r="D232" s="325" t="s">
        <v>265</v>
      </c>
      <c r="E232" s="325" t="s">
        <v>266</v>
      </c>
      <c r="F232" s="325" t="s">
        <v>266</v>
      </c>
      <c r="G232" s="325" t="s">
        <v>238</v>
      </c>
      <c r="H232" s="325" t="s">
        <v>239</v>
      </c>
    </row>
    <row r="234" spans="1:8" x14ac:dyDescent="0.35">
      <c r="A234" s="312" t="s">
        <v>329</v>
      </c>
    </row>
    <row r="235" spans="1:8" ht="33.65" customHeight="1" x14ac:dyDescent="0.35">
      <c r="A235" s="1010" t="s">
        <v>330</v>
      </c>
      <c r="B235" s="1010"/>
      <c r="C235" s="1010"/>
      <c r="D235" s="1010"/>
      <c r="E235" s="1010"/>
      <c r="F235" s="1010"/>
    </row>
    <row r="236" spans="1:8" ht="32.5" customHeight="1" x14ac:dyDescent="0.35">
      <c r="A236" s="1010" t="s">
        <v>331</v>
      </c>
      <c r="B236" s="1010"/>
      <c r="C236" s="1010"/>
      <c r="D236" s="1010"/>
      <c r="E236" s="1010"/>
      <c r="F236" s="1010"/>
    </row>
    <row r="237" spans="1:8" x14ac:dyDescent="0.35">
      <c r="A237" t="s">
        <v>332</v>
      </c>
    </row>
  </sheetData>
  <sheetProtection algorithmName="SHA-512" hashValue="9g31G9oox3FpsjWlt3kiz0jj8BeIO4DZJSiKtKqBFoDXAc34f8yw8J1wKl+YtMtbyNNA09VPblyt5HIPxZFxFw==" saltValue="fhe6RUQtj9FQW0uh97BK6Q==" spinCount="100000" sheet="1" scenarios="1" formatCells="0" sort="0" autoFilter="0" pivotTables="0"/>
  <mergeCells count="2">
    <mergeCell ref="A235:F235"/>
    <mergeCell ref="A236:F236"/>
  </mergeCells>
  <phoneticPr fontId="53" type="noConversion"/>
  <hyperlinks>
    <hyperlink ref="A2" location="'Table of Contents'!A1" display="Back to Table of Contents" xr:uid="{00000000-0004-0000-0200-000000000000}"/>
  </hyperlinks>
  <pageMargins left="0.70866141732283472" right="0.70866141732283472" top="0.74803149606299213" bottom="0.74803149606299213" header="0.31496062992125984" footer="0.31496062992125984"/>
  <pageSetup paperSize="9" scale="74"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AQ19"/>
  <sheetViews>
    <sheetView showGridLines="0" workbookViewId="0">
      <pane ySplit="2" topLeftCell="A3" activePane="bottomLeft" state="frozen"/>
      <selection pane="bottomLeft" sqref="A1:F1"/>
    </sheetView>
  </sheetViews>
  <sheetFormatPr defaultRowHeight="14.5" x14ac:dyDescent="0.35"/>
  <cols>
    <col min="1" max="1" width="19.453125" customWidth="1"/>
    <col min="2" max="2" width="22.1796875" customWidth="1"/>
    <col min="3" max="3" width="27.453125" customWidth="1"/>
    <col min="4" max="4" width="14.1796875" customWidth="1"/>
    <col min="5" max="5" width="11.81640625" customWidth="1"/>
    <col min="6" max="6" width="14.54296875" customWidth="1"/>
  </cols>
  <sheetData>
    <row r="1" spans="1:43" ht="15.5" x14ac:dyDescent="0.35">
      <c r="A1" s="1011" t="s">
        <v>513</v>
      </c>
      <c r="B1" s="1011"/>
      <c r="C1" s="1011"/>
      <c r="D1" s="1011"/>
      <c r="E1" s="1011"/>
      <c r="F1" s="1011"/>
    </row>
    <row r="2" spans="1:43" ht="17.5" x14ac:dyDescent="0.35">
      <c r="A2" s="499" t="s">
        <v>201</v>
      </c>
      <c r="B2" s="1"/>
      <c r="C2" s="1"/>
      <c r="D2" s="1"/>
      <c r="E2" s="1"/>
      <c r="F2" s="1"/>
    </row>
    <row r="3" spans="1:43" ht="17.5" x14ac:dyDescent="0.35">
      <c r="A3" s="1"/>
      <c r="B3" s="1"/>
      <c r="C3" s="1"/>
      <c r="D3" s="1"/>
      <c r="E3" s="1"/>
      <c r="F3" s="1"/>
    </row>
    <row r="4" spans="1:43" ht="15.5" x14ac:dyDescent="0.35">
      <c r="A4" s="439" t="s">
        <v>533</v>
      </c>
      <c r="B4" s="439"/>
      <c r="C4" s="439"/>
      <c r="D4" s="439"/>
      <c r="E4" s="439"/>
      <c r="F4" s="439"/>
    </row>
    <row r="5" spans="1:43" x14ac:dyDescent="0.35">
      <c r="A5" t="s">
        <v>202</v>
      </c>
      <c r="B5" t="s">
        <v>59</v>
      </c>
    </row>
    <row r="6" spans="1:43" x14ac:dyDescent="0.35">
      <c r="A6" t="s">
        <v>203</v>
      </c>
      <c r="B6" t="s">
        <v>204</v>
      </c>
    </row>
    <row r="7" spans="1:43" x14ac:dyDescent="0.35">
      <c r="A7" t="s">
        <v>205</v>
      </c>
      <c r="B7" t="s">
        <v>206</v>
      </c>
    </row>
    <row r="9" spans="1:43" x14ac:dyDescent="0.35">
      <c r="A9" s="526" t="s">
        <v>207</v>
      </c>
      <c r="B9" s="648" t="s">
        <v>529</v>
      </c>
      <c r="C9" s="648" t="s">
        <v>530</v>
      </c>
      <c r="D9" s="648" t="s">
        <v>534</v>
      </c>
      <c r="E9" s="648" t="s">
        <v>532</v>
      </c>
      <c r="F9" s="3" t="s">
        <v>517</v>
      </c>
    </row>
    <row r="10" spans="1:43" x14ac:dyDescent="0.35">
      <c r="A10" s="312" t="s">
        <v>214</v>
      </c>
      <c r="B10" s="602">
        <f>GETPIVOTDATA("Sum of Operational Crewing",DutySystemPivot!$A$1,"Year",A10)</f>
        <v>2955</v>
      </c>
      <c r="C10" s="602">
        <f>GETPIVOTDATA("Sum of Incident Command Officers",DutySystemPivot!$A$1,"Year",A10)</f>
        <v>264</v>
      </c>
      <c r="D10" s="602">
        <f>GETPIVOTDATA("Sum of Office Duties",DutySystemPivot!$A$1,"Year",A10)</f>
        <v>358</v>
      </c>
      <c r="E10" s="602">
        <f>GETPIVOTDATA("Sum of Trainees",DutySystemPivot!$A$1,"Year",A10)</f>
        <v>60</v>
      </c>
      <c r="F10" s="265">
        <f>SUM(B10:E10)</f>
        <v>3637</v>
      </c>
    </row>
    <row r="11" spans="1:43" x14ac:dyDescent="0.35">
      <c r="A11" s="312" t="s">
        <v>313</v>
      </c>
      <c r="B11" s="602">
        <f>GETPIVOTDATA("Sum of Operational Crewing",DutySystemPivot!$A$1,"Year",A11)</f>
        <v>2966</v>
      </c>
      <c r="C11" s="602">
        <f>GETPIVOTDATA("Sum of Incident Command Officers",DutySystemPivot!$A$1,"Year",A11)</f>
        <v>270</v>
      </c>
      <c r="D11" s="602">
        <f>GETPIVOTDATA("Sum of Office Duties",DutySystemPivot!$A$1,"Year",A11)</f>
        <v>351</v>
      </c>
      <c r="E11" s="602">
        <f>GETPIVOTDATA("Sum of Trainees",DutySystemPivot!$A$1,"Year",A11)</f>
        <v>49</v>
      </c>
      <c r="F11" s="265">
        <f t="shared" ref="F11:F15" si="0">SUM(B11:E11)</f>
        <v>3636</v>
      </c>
    </row>
    <row r="12" spans="1:43" x14ac:dyDescent="0.35">
      <c r="A12" s="312" t="s">
        <v>319</v>
      </c>
      <c r="B12" s="602">
        <f>GETPIVOTDATA("Sum of Operational Crewing",DutySystemPivot!$A$1,"Year",A12)</f>
        <v>2903</v>
      </c>
      <c r="C12" s="602">
        <f>GETPIVOTDATA("Sum of Incident Command Officers",DutySystemPivot!$A$1,"Year",A12)</f>
        <v>271</v>
      </c>
      <c r="D12" s="602">
        <f>GETPIVOTDATA("Sum of Office Duties",DutySystemPivot!$A$1,"Year",A12)</f>
        <v>348</v>
      </c>
      <c r="E12" s="602">
        <f>GETPIVOTDATA("Sum of Trainees",DutySystemPivot!$A$1,"Year",A12)</f>
        <v>59</v>
      </c>
      <c r="F12" s="265">
        <f t="shared" si="0"/>
        <v>3581</v>
      </c>
    </row>
    <row r="13" spans="1:43" s="300" customFormat="1" x14ac:dyDescent="0.35">
      <c r="A13" s="312" t="s">
        <v>321</v>
      </c>
      <c r="B13" s="602">
        <f>GETPIVOTDATA("Sum of Operational Crewing",DutySystemPivot!$A$1,"Year",A13)</f>
        <v>2843</v>
      </c>
      <c r="C13" s="602">
        <f>GETPIVOTDATA("Sum of Incident Command Officers",DutySystemPivot!$A$1,"Year",A13)</f>
        <v>273</v>
      </c>
      <c r="D13" s="602">
        <f>GETPIVOTDATA("Sum of Office Duties",DutySystemPivot!$A$1,"Year",A13)</f>
        <v>349</v>
      </c>
      <c r="E13" s="602">
        <f>GETPIVOTDATA("Sum of Trainees",DutySystemPivot!$A$1,"Year",A13)</f>
        <v>65</v>
      </c>
      <c r="F13" s="265">
        <f t="shared" si="0"/>
        <v>3530</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x14ac:dyDescent="0.35">
      <c r="A14" s="312" t="s">
        <v>326</v>
      </c>
      <c r="B14" s="602">
        <f>GETPIVOTDATA("Sum of Operational Crewing",DutySystemPivot!$A$1,"Year",A14)</f>
        <v>2798</v>
      </c>
      <c r="C14" s="602">
        <f>GETPIVOTDATA("Sum of Incident Command Officers",DutySystemPivot!$A$1,"Year",A14)</f>
        <v>262</v>
      </c>
      <c r="D14" s="602">
        <f>GETPIVOTDATA("Sum of Office Duties",DutySystemPivot!$A$1,"Year",A14)</f>
        <v>327</v>
      </c>
      <c r="E14" s="602">
        <f>GETPIVOTDATA("Sum of Trainees",DutySystemPivot!$A$1,"Year",A14)</f>
        <v>103</v>
      </c>
      <c r="F14" s="265">
        <f t="shared" si="0"/>
        <v>3490</v>
      </c>
    </row>
    <row r="15" spans="1:43" x14ac:dyDescent="0.35">
      <c r="A15" s="312" t="s">
        <v>327</v>
      </c>
      <c r="B15" s="602">
        <f>GETPIVOTDATA("Sum of Operational Crewing",DutySystemPivot!$A$1,"Year",A15)</f>
        <v>2823</v>
      </c>
      <c r="C15" s="602">
        <f>GETPIVOTDATA("Sum of Incident Command Officers",DutySystemPivot!$A$1,"Year",A15)</f>
        <v>263</v>
      </c>
      <c r="D15" s="602">
        <f>GETPIVOTDATA("Sum of Office Duties",DutySystemPivot!$A$1,"Year",A15)</f>
        <v>335</v>
      </c>
      <c r="E15" s="602">
        <f>GETPIVOTDATA("Sum of Trainees",DutySystemPivot!$A$1,"Year",A15)</f>
        <v>1</v>
      </c>
      <c r="F15" s="265">
        <f t="shared" si="0"/>
        <v>3422</v>
      </c>
    </row>
    <row r="16" spans="1:43" ht="15" thickBot="1" x14ac:dyDescent="0.4">
      <c r="A16" s="525" t="s">
        <v>466</v>
      </c>
      <c r="B16" s="607">
        <f>GETPIVOTDATA("Sum of Operational Crewing",DutySystemPivot!$A$1,"Year",A16)</f>
        <v>2762</v>
      </c>
      <c r="C16" s="607">
        <f>GETPIVOTDATA("Sum of Incident Command Officers",DutySystemPivot!$A$1,"Year",A16)</f>
        <v>267</v>
      </c>
      <c r="D16" s="607">
        <f>GETPIVOTDATA("Sum of Office Duties",DutySystemPivot!$A$1,"Year",A16)</f>
        <v>332</v>
      </c>
      <c r="E16" s="607">
        <f>GETPIVOTDATA("Sum of Trainees",DutySystemPivot!$A$1,"Year",A16)</f>
        <v>69</v>
      </c>
      <c r="F16" s="854">
        <f t="shared" ref="F16" si="1">SUM(B16:E16)</f>
        <v>3430</v>
      </c>
    </row>
    <row r="17" spans="1:6" ht="21" customHeight="1" x14ac:dyDescent="0.35">
      <c r="A17" s="312"/>
      <c r="B17" s="602"/>
      <c r="C17" s="602"/>
      <c r="D17" s="602"/>
      <c r="E17" s="602"/>
      <c r="F17" s="265"/>
    </row>
    <row r="18" spans="1:6" x14ac:dyDescent="0.35">
      <c r="A18" s="312" t="s">
        <v>329</v>
      </c>
      <c r="F18" s="415"/>
    </row>
    <row r="19" spans="1:6" ht="60.65" customHeight="1" x14ac:dyDescent="0.35">
      <c r="A19" s="1010" t="s">
        <v>535</v>
      </c>
      <c r="B19" s="1010"/>
      <c r="C19" s="1010"/>
      <c r="D19" s="1010"/>
      <c r="E19" s="1010"/>
    </row>
  </sheetData>
  <sheetProtection algorithmName="SHA-512" hashValue="+WqtuE/EC7EJUeYr/7AxPDHWa5xjg+dUVKzIjCnfr2XNg2f13eMM1sxSl+7V/F7o5AD2bwm9HUJiUSiIvZdQMg==" saltValue="4ahSHAQs94Q/Fk5yBiDBWw==" spinCount="100000" sheet="1" scenarios="1" formatCells="0" sort="0" autoFilter="0" pivotTables="0"/>
  <mergeCells count="2">
    <mergeCell ref="A1:F1"/>
    <mergeCell ref="A19:E19"/>
  </mergeCells>
  <phoneticPr fontId="53" type="noConversion"/>
  <hyperlinks>
    <hyperlink ref="A2" location="'Table of Contents'!A1" display="Back to Table of Contents" xr:uid="{00000000-0004-0000-1A00-000000000000}"/>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E60"/>
  <sheetViews>
    <sheetView workbookViewId="0">
      <selection activeCell="A15" sqref="A15"/>
    </sheetView>
  </sheetViews>
  <sheetFormatPr defaultRowHeight="14.5" x14ac:dyDescent="0.35"/>
  <cols>
    <col min="1" max="1" width="59.6328125" bestFit="1" customWidth="1"/>
    <col min="2" max="2" width="25.1796875" bestFit="1" customWidth="1"/>
    <col min="3" max="3" width="30.90625" bestFit="1" customWidth="1"/>
    <col min="4" max="4" width="18.54296875" bestFit="1" customWidth="1"/>
    <col min="5" max="5" width="14.54296875" bestFit="1" customWidth="1"/>
  </cols>
  <sheetData>
    <row r="1" spans="1:5" x14ac:dyDescent="0.35">
      <c r="A1" s="387" t="s">
        <v>207</v>
      </c>
      <c r="B1" t="s">
        <v>466</v>
      </c>
    </row>
    <row r="3" spans="1:5" x14ac:dyDescent="0.35">
      <c r="A3" s="387" t="s">
        <v>350</v>
      </c>
      <c r="B3" t="s">
        <v>525</v>
      </c>
      <c r="C3" t="s">
        <v>526</v>
      </c>
      <c r="D3" t="s">
        <v>527</v>
      </c>
      <c r="E3" t="s">
        <v>528</v>
      </c>
    </row>
    <row r="4" spans="1:5" x14ac:dyDescent="0.35">
      <c r="A4" s="388" t="s">
        <v>536</v>
      </c>
    </row>
    <row r="5" spans="1:5" x14ac:dyDescent="0.35">
      <c r="A5" s="389" t="s">
        <v>216</v>
      </c>
      <c r="B5">
        <v>150</v>
      </c>
      <c r="C5">
        <v>0</v>
      </c>
      <c r="D5">
        <v>7</v>
      </c>
      <c r="E5">
        <v>0</v>
      </c>
    </row>
    <row r="6" spans="1:5" x14ac:dyDescent="0.35">
      <c r="A6" s="389" t="s">
        <v>221</v>
      </c>
      <c r="B6">
        <v>31</v>
      </c>
      <c r="C6">
        <v>0</v>
      </c>
      <c r="D6">
        <v>0</v>
      </c>
      <c r="E6">
        <v>0</v>
      </c>
    </row>
    <row r="7" spans="1:5" x14ac:dyDescent="0.35">
      <c r="A7" s="389" t="s">
        <v>225</v>
      </c>
      <c r="B7">
        <v>26</v>
      </c>
      <c r="C7">
        <v>0</v>
      </c>
      <c r="D7">
        <v>0</v>
      </c>
      <c r="E7">
        <v>0</v>
      </c>
    </row>
    <row r="8" spans="1:5" x14ac:dyDescent="0.35">
      <c r="A8" s="389" t="s">
        <v>229</v>
      </c>
      <c r="B8">
        <v>52</v>
      </c>
      <c r="C8">
        <v>0</v>
      </c>
      <c r="D8">
        <v>1</v>
      </c>
      <c r="E8">
        <v>0</v>
      </c>
    </row>
    <row r="9" spans="1:5" x14ac:dyDescent="0.35">
      <c r="A9" s="389" t="s">
        <v>241</v>
      </c>
      <c r="B9">
        <v>25</v>
      </c>
      <c r="C9">
        <v>0</v>
      </c>
      <c r="D9">
        <v>1</v>
      </c>
      <c r="E9">
        <v>0</v>
      </c>
    </row>
    <row r="10" spans="1:5" x14ac:dyDescent="0.35">
      <c r="A10" s="389" t="s">
        <v>537</v>
      </c>
      <c r="B10">
        <v>52</v>
      </c>
      <c r="C10">
        <v>0</v>
      </c>
      <c r="D10">
        <v>0</v>
      </c>
      <c r="E10">
        <v>0</v>
      </c>
    </row>
    <row r="11" spans="1:5" x14ac:dyDescent="0.35">
      <c r="A11" s="389" t="s">
        <v>248</v>
      </c>
      <c r="B11">
        <v>162</v>
      </c>
      <c r="C11">
        <v>0</v>
      </c>
      <c r="D11">
        <v>0</v>
      </c>
      <c r="E11">
        <v>0</v>
      </c>
    </row>
    <row r="12" spans="1:5" x14ac:dyDescent="0.35">
      <c r="A12" s="389" t="s">
        <v>250</v>
      </c>
      <c r="B12">
        <v>54</v>
      </c>
      <c r="C12">
        <v>0</v>
      </c>
      <c r="D12">
        <v>1</v>
      </c>
      <c r="E12">
        <v>0</v>
      </c>
    </row>
    <row r="13" spans="1:5" x14ac:dyDescent="0.35">
      <c r="A13" s="389" t="s">
        <v>254</v>
      </c>
      <c r="B13">
        <v>75</v>
      </c>
      <c r="C13">
        <v>0</v>
      </c>
      <c r="D13">
        <v>0</v>
      </c>
      <c r="E13">
        <v>0</v>
      </c>
    </row>
    <row r="14" spans="1:5" x14ac:dyDescent="0.35">
      <c r="A14" s="389" t="s">
        <v>256</v>
      </c>
      <c r="B14">
        <v>26</v>
      </c>
      <c r="C14">
        <v>0</v>
      </c>
      <c r="D14">
        <v>0</v>
      </c>
      <c r="E14">
        <v>0</v>
      </c>
    </row>
    <row r="15" spans="1:5" x14ac:dyDescent="0.35">
      <c r="A15" s="389" t="s">
        <v>260</v>
      </c>
      <c r="B15">
        <v>52</v>
      </c>
      <c r="C15">
        <v>0</v>
      </c>
      <c r="D15">
        <v>0</v>
      </c>
      <c r="E15">
        <v>0</v>
      </c>
    </row>
    <row r="16" spans="1:5" x14ac:dyDescent="0.35">
      <c r="A16" s="389" t="s">
        <v>237</v>
      </c>
      <c r="B16">
        <v>288</v>
      </c>
      <c r="C16">
        <v>0</v>
      </c>
      <c r="D16">
        <v>0</v>
      </c>
      <c r="E16">
        <v>0</v>
      </c>
    </row>
    <row r="17" spans="1:5" x14ac:dyDescent="0.35">
      <c r="A17" s="389" t="s">
        <v>264</v>
      </c>
      <c r="B17">
        <v>83</v>
      </c>
      <c r="C17">
        <v>0</v>
      </c>
      <c r="D17">
        <v>0</v>
      </c>
      <c r="E17">
        <v>0</v>
      </c>
    </row>
    <row r="18" spans="1:5" x14ac:dyDescent="0.35">
      <c r="A18" s="389" t="s">
        <v>268</v>
      </c>
      <c r="B18">
        <v>211</v>
      </c>
      <c r="C18">
        <v>0</v>
      </c>
      <c r="D18">
        <v>0</v>
      </c>
      <c r="E18">
        <v>0</v>
      </c>
    </row>
    <row r="19" spans="1:5" x14ac:dyDescent="0.35">
      <c r="A19" s="389" t="s">
        <v>271</v>
      </c>
      <c r="B19">
        <v>438</v>
      </c>
      <c r="C19">
        <v>0</v>
      </c>
      <c r="D19">
        <v>10</v>
      </c>
      <c r="E19">
        <v>0</v>
      </c>
    </row>
    <row r="20" spans="1:5" x14ac:dyDescent="0.35">
      <c r="A20" s="389" t="s">
        <v>276</v>
      </c>
      <c r="B20">
        <v>70</v>
      </c>
      <c r="C20">
        <v>0</v>
      </c>
      <c r="D20">
        <v>3</v>
      </c>
      <c r="E20">
        <v>0</v>
      </c>
    </row>
    <row r="21" spans="1:5" x14ac:dyDescent="0.35">
      <c r="A21" s="389" t="s">
        <v>278</v>
      </c>
      <c r="B21">
        <v>64</v>
      </c>
      <c r="C21">
        <v>0</v>
      </c>
      <c r="D21">
        <v>0</v>
      </c>
      <c r="E21">
        <v>0</v>
      </c>
    </row>
    <row r="22" spans="1:5" x14ac:dyDescent="0.35">
      <c r="A22" s="389" t="s">
        <v>280</v>
      </c>
      <c r="B22">
        <v>29</v>
      </c>
      <c r="C22">
        <v>0</v>
      </c>
      <c r="D22">
        <v>0</v>
      </c>
      <c r="E22">
        <v>0</v>
      </c>
    </row>
    <row r="23" spans="1:5" x14ac:dyDescent="0.35">
      <c r="A23" s="389" t="s">
        <v>282</v>
      </c>
      <c r="B23">
        <v>30</v>
      </c>
      <c r="C23">
        <v>0</v>
      </c>
      <c r="D23">
        <v>0</v>
      </c>
      <c r="E23">
        <v>0</v>
      </c>
    </row>
    <row r="24" spans="1:5" x14ac:dyDescent="0.35">
      <c r="A24" s="389" t="s">
        <v>284</v>
      </c>
      <c r="B24">
        <v>0</v>
      </c>
      <c r="C24">
        <v>0</v>
      </c>
      <c r="D24">
        <v>3</v>
      </c>
      <c r="E24">
        <v>0</v>
      </c>
    </row>
    <row r="25" spans="1:5" x14ac:dyDescent="0.35">
      <c r="A25" s="389" t="s">
        <v>288</v>
      </c>
      <c r="B25">
        <v>72</v>
      </c>
      <c r="C25">
        <v>0</v>
      </c>
      <c r="D25">
        <v>0</v>
      </c>
      <c r="E25">
        <v>0</v>
      </c>
    </row>
    <row r="26" spans="1:5" x14ac:dyDescent="0.35">
      <c r="A26" s="389" t="s">
        <v>290</v>
      </c>
      <c r="B26">
        <v>163</v>
      </c>
      <c r="C26">
        <v>0</v>
      </c>
      <c r="D26">
        <v>0</v>
      </c>
      <c r="E26">
        <v>0</v>
      </c>
    </row>
    <row r="27" spans="1:5" x14ac:dyDescent="0.35">
      <c r="A27" s="389" t="s">
        <v>295</v>
      </c>
      <c r="B27">
        <v>59</v>
      </c>
      <c r="C27">
        <v>0</v>
      </c>
      <c r="D27">
        <v>0</v>
      </c>
      <c r="E27">
        <v>0</v>
      </c>
    </row>
    <row r="28" spans="1:5" x14ac:dyDescent="0.35">
      <c r="A28" s="389" t="s">
        <v>297</v>
      </c>
      <c r="B28">
        <v>102</v>
      </c>
      <c r="C28">
        <v>0</v>
      </c>
      <c r="D28">
        <v>0</v>
      </c>
      <c r="E28">
        <v>0</v>
      </c>
    </row>
    <row r="29" spans="1:5" x14ac:dyDescent="0.35">
      <c r="A29" s="389" t="s">
        <v>299</v>
      </c>
      <c r="B29">
        <v>58</v>
      </c>
      <c r="C29">
        <v>0</v>
      </c>
      <c r="D29">
        <v>0</v>
      </c>
      <c r="E29">
        <v>0</v>
      </c>
    </row>
    <row r="30" spans="1:5" x14ac:dyDescent="0.35">
      <c r="A30" s="389" t="s">
        <v>303</v>
      </c>
      <c r="B30">
        <v>52</v>
      </c>
      <c r="C30">
        <v>0</v>
      </c>
      <c r="D30">
        <v>1</v>
      </c>
      <c r="E30">
        <v>0</v>
      </c>
    </row>
    <row r="31" spans="1:5" x14ac:dyDescent="0.35">
      <c r="A31" s="389" t="s">
        <v>305</v>
      </c>
      <c r="B31">
        <v>155</v>
      </c>
      <c r="C31">
        <v>0</v>
      </c>
      <c r="D31">
        <v>0</v>
      </c>
      <c r="E31">
        <v>0</v>
      </c>
    </row>
    <row r="32" spans="1:5" x14ac:dyDescent="0.35">
      <c r="A32" s="389" t="s">
        <v>308</v>
      </c>
      <c r="B32">
        <v>47</v>
      </c>
      <c r="C32">
        <v>0</v>
      </c>
      <c r="D32">
        <v>0</v>
      </c>
      <c r="E32">
        <v>0</v>
      </c>
    </row>
    <row r="33" spans="1:5" x14ac:dyDescent="0.35">
      <c r="A33" s="389" t="s">
        <v>310</v>
      </c>
      <c r="B33">
        <v>75</v>
      </c>
      <c r="C33">
        <v>0</v>
      </c>
      <c r="D33">
        <v>0</v>
      </c>
      <c r="E33">
        <v>0</v>
      </c>
    </row>
    <row r="34" spans="1:5" x14ac:dyDescent="0.35">
      <c r="A34" s="389" t="s">
        <v>312</v>
      </c>
      <c r="B34">
        <v>61</v>
      </c>
      <c r="C34">
        <v>0</v>
      </c>
      <c r="D34">
        <v>3</v>
      </c>
      <c r="E34">
        <v>0</v>
      </c>
    </row>
    <row r="35" spans="1:5" x14ac:dyDescent="0.35">
      <c r="A35" s="388" t="s">
        <v>538</v>
      </c>
      <c r="B35">
        <v>2762</v>
      </c>
      <c r="C35">
        <v>0</v>
      </c>
      <c r="D35">
        <v>30</v>
      </c>
      <c r="E35">
        <v>0</v>
      </c>
    </row>
    <row r="36" spans="1:5" x14ac:dyDescent="0.35">
      <c r="A36" s="388" t="s">
        <v>539</v>
      </c>
    </row>
    <row r="37" spans="1:5" x14ac:dyDescent="0.35">
      <c r="A37" s="389" t="s">
        <v>323</v>
      </c>
      <c r="B37">
        <v>0</v>
      </c>
      <c r="C37">
        <v>15</v>
      </c>
      <c r="D37">
        <v>5</v>
      </c>
      <c r="E37">
        <v>0</v>
      </c>
    </row>
    <row r="38" spans="1:5" x14ac:dyDescent="0.35">
      <c r="A38" s="389" t="s">
        <v>231</v>
      </c>
      <c r="B38">
        <v>0</v>
      </c>
      <c r="C38">
        <v>14</v>
      </c>
      <c r="D38">
        <v>6</v>
      </c>
      <c r="E38">
        <v>0</v>
      </c>
    </row>
    <row r="39" spans="1:5" x14ac:dyDescent="0.35">
      <c r="A39" s="389" t="s">
        <v>245</v>
      </c>
      <c r="B39">
        <v>0</v>
      </c>
      <c r="C39">
        <v>9</v>
      </c>
      <c r="D39">
        <v>7</v>
      </c>
      <c r="E39">
        <v>0</v>
      </c>
    </row>
    <row r="40" spans="1:5" x14ac:dyDescent="0.35">
      <c r="A40" s="389" t="s">
        <v>227</v>
      </c>
      <c r="B40">
        <v>0</v>
      </c>
      <c r="C40">
        <v>13</v>
      </c>
      <c r="D40">
        <v>12</v>
      </c>
      <c r="E40">
        <v>0</v>
      </c>
    </row>
    <row r="41" spans="1:5" x14ac:dyDescent="0.35">
      <c r="A41" s="389" t="s">
        <v>252</v>
      </c>
      <c r="B41">
        <v>0</v>
      </c>
      <c r="C41">
        <v>13</v>
      </c>
      <c r="D41">
        <v>5</v>
      </c>
      <c r="E41">
        <v>0</v>
      </c>
    </row>
    <row r="42" spans="1:5" x14ac:dyDescent="0.35">
      <c r="A42" s="389" t="s">
        <v>258</v>
      </c>
      <c r="B42">
        <v>0</v>
      </c>
      <c r="C42">
        <v>10</v>
      </c>
      <c r="D42">
        <v>10</v>
      </c>
      <c r="E42">
        <v>0</v>
      </c>
    </row>
    <row r="43" spans="1:5" x14ac:dyDescent="0.35">
      <c r="A43" s="389" t="s">
        <v>262</v>
      </c>
      <c r="B43">
        <v>0</v>
      </c>
      <c r="C43">
        <v>9</v>
      </c>
      <c r="D43">
        <v>6</v>
      </c>
      <c r="E43">
        <v>0</v>
      </c>
    </row>
    <row r="44" spans="1:5" x14ac:dyDescent="0.35">
      <c r="A44" s="389" t="s">
        <v>237</v>
      </c>
      <c r="B44">
        <v>0</v>
      </c>
      <c r="C44">
        <v>10</v>
      </c>
      <c r="D44">
        <v>15</v>
      </c>
      <c r="E44">
        <v>0</v>
      </c>
    </row>
    <row r="45" spans="1:5" x14ac:dyDescent="0.35">
      <c r="A45" s="389" t="s">
        <v>266</v>
      </c>
      <c r="B45">
        <v>0</v>
      </c>
      <c r="C45">
        <v>9</v>
      </c>
      <c r="D45">
        <v>6</v>
      </c>
      <c r="E45">
        <v>0</v>
      </c>
    </row>
    <row r="46" spans="1:5" x14ac:dyDescent="0.35">
      <c r="A46" s="389" t="s">
        <v>271</v>
      </c>
      <c r="B46">
        <v>0</v>
      </c>
      <c r="C46">
        <v>13</v>
      </c>
      <c r="D46">
        <v>7</v>
      </c>
      <c r="E46">
        <v>0</v>
      </c>
    </row>
    <row r="47" spans="1:5" x14ac:dyDescent="0.35">
      <c r="A47" s="389" t="s">
        <v>276</v>
      </c>
      <c r="B47">
        <v>0</v>
      </c>
      <c r="C47">
        <v>19</v>
      </c>
      <c r="D47">
        <v>6</v>
      </c>
      <c r="E47">
        <v>0</v>
      </c>
    </row>
    <row r="48" spans="1:5" x14ac:dyDescent="0.35">
      <c r="A48" s="389" t="s">
        <v>325</v>
      </c>
      <c r="B48">
        <v>0</v>
      </c>
      <c r="C48">
        <v>13</v>
      </c>
      <c r="D48">
        <v>10</v>
      </c>
      <c r="E48">
        <v>0</v>
      </c>
    </row>
    <row r="49" spans="1:5" x14ac:dyDescent="0.35">
      <c r="A49" s="389" t="s">
        <v>314</v>
      </c>
      <c r="B49">
        <v>0</v>
      </c>
      <c r="C49">
        <v>15</v>
      </c>
      <c r="D49">
        <v>11</v>
      </c>
      <c r="E49">
        <v>0</v>
      </c>
    </row>
    <row r="50" spans="1:5" x14ac:dyDescent="0.35">
      <c r="A50" s="389" t="s">
        <v>286</v>
      </c>
      <c r="B50">
        <v>0</v>
      </c>
      <c r="C50">
        <v>11</v>
      </c>
      <c r="D50">
        <v>0</v>
      </c>
      <c r="E50">
        <v>0</v>
      </c>
    </row>
    <row r="51" spans="1:5" x14ac:dyDescent="0.35">
      <c r="A51" s="388" t="s">
        <v>540</v>
      </c>
      <c r="B51">
        <v>0</v>
      </c>
      <c r="C51">
        <v>173</v>
      </c>
      <c r="D51">
        <v>106</v>
      </c>
      <c r="E51">
        <v>0</v>
      </c>
    </row>
    <row r="52" spans="1:5" x14ac:dyDescent="0.35">
      <c r="A52" s="388" t="s">
        <v>541</v>
      </c>
    </row>
    <row r="53" spans="1:5" x14ac:dyDescent="0.35">
      <c r="A53" s="389" t="s">
        <v>239</v>
      </c>
      <c r="B53">
        <v>0</v>
      </c>
      <c r="C53">
        <v>11</v>
      </c>
      <c r="D53">
        <v>46</v>
      </c>
      <c r="E53">
        <v>16</v>
      </c>
    </row>
    <row r="54" spans="1:5" x14ac:dyDescent="0.35">
      <c r="A54" s="389" t="s">
        <v>219</v>
      </c>
      <c r="B54">
        <v>0</v>
      </c>
      <c r="C54">
        <v>14</v>
      </c>
      <c r="D54">
        <v>44</v>
      </c>
      <c r="E54">
        <v>6</v>
      </c>
    </row>
    <row r="55" spans="1:5" x14ac:dyDescent="0.35">
      <c r="A55" s="389" t="s">
        <v>233</v>
      </c>
      <c r="B55">
        <v>0</v>
      </c>
      <c r="C55">
        <v>12</v>
      </c>
      <c r="D55">
        <v>73</v>
      </c>
      <c r="E55">
        <v>47</v>
      </c>
    </row>
    <row r="56" spans="1:5" x14ac:dyDescent="0.35">
      <c r="A56" s="388" t="s">
        <v>542</v>
      </c>
      <c r="B56">
        <v>0</v>
      </c>
      <c r="C56">
        <v>37</v>
      </c>
      <c r="D56">
        <v>163</v>
      </c>
      <c r="E56">
        <v>69</v>
      </c>
    </row>
    <row r="57" spans="1:5" x14ac:dyDescent="0.35">
      <c r="A57" s="388" t="s">
        <v>543</v>
      </c>
    </row>
    <row r="58" spans="1:5" x14ac:dyDescent="0.35">
      <c r="A58" s="389" t="s">
        <v>544</v>
      </c>
      <c r="B58">
        <v>0</v>
      </c>
      <c r="C58">
        <v>57</v>
      </c>
      <c r="D58">
        <v>33</v>
      </c>
      <c r="E58">
        <v>0</v>
      </c>
    </row>
    <row r="59" spans="1:5" x14ac:dyDescent="0.35">
      <c r="A59" s="388" t="s">
        <v>545</v>
      </c>
      <c r="B59">
        <v>0</v>
      </c>
      <c r="C59">
        <v>57</v>
      </c>
      <c r="D59">
        <v>33</v>
      </c>
      <c r="E59">
        <v>0</v>
      </c>
    </row>
    <row r="60" spans="1:5" x14ac:dyDescent="0.35">
      <c r="A60" s="388" t="s">
        <v>357</v>
      </c>
      <c r="B60">
        <v>2762</v>
      </c>
      <c r="C60">
        <v>267</v>
      </c>
      <c r="D60">
        <v>332</v>
      </c>
      <c r="E60">
        <v>69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H363"/>
  <sheetViews>
    <sheetView workbookViewId="0">
      <selection activeCell="C12" sqref="C12"/>
    </sheetView>
  </sheetViews>
  <sheetFormatPr defaultRowHeight="14.5" x14ac:dyDescent="0.35"/>
  <cols>
    <col min="1" max="1" width="7.453125" bestFit="1" customWidth="1"/>
    <col min="2" max="2" width="16.1796875" bestFit="1" customWidth="1"/>
    <col min="3" max="3" width="55.1796875" bestFit="1" customWidth="1"/>
    <col min="4" max="4" width="9.7265625" bestFit="1" customWidth="1"/>
    <col min="5" max="5" width="21" bestFit="1" customWidth="1"/>
    <col min="6" max="6" width="26.81640625" bestFit="1" customWidth="1"/>
    <col min="7" max="7" width="14.26953125" bestFit="1" customWidth="1"/>
    <col min="8" max="8" width="10.453125" bestFit="1" customWidth="1"/>
  </cols>
  <sheetData>
    <row r="1" spans="1:8" x14ac:dyDescent="0.35">
      <c r="A1" t="s">
        <v>207</v>
      </c>
      <c r="B1" t="s">
        <v>546</v>
      </c>
      <c r="C1" t="s">
        <v>547</v>
      </c>
      <c r="D1" t="s">
        <v>23</v>
      </c>
      <c r="E1" t="s">
        <v>529</v>
      </c>
      <c r="F1" t="s">
        <v>530</v>
      </c>
      <c r="G1" t="s">
        <v>531</v>
      </c>
      <c r="H1" t="s">
        <v>532</v>
      </c>
    </row>
    <row r="2" spans="1:8" x14ac:dyDescent="0.35">
      <c r="A2" t="s">
        <v>214</v>
      </c>
      <c r="B2" t="s">
        <v>536</v>
      </c>
      <c r="C2" t="s">
        <v>297</v>
      </c>
      <c r="D2" t="s">
        <v>296</v>
      </c>
      <c r="E2">
        <v>99</v>
      </c>
      <c r="F2">
        <v>0</v>
      </c>
      <c r="G2">
        <v>0</v>
      </c>
      <c r="H2">
        <v>0</v>
      </c>
    </row>
    <row r="3" spans="1:8" x14ac:dyDescent="0.35">
      <c r="A3" t="s">
        <v>214</v>
      </c>
      <c r="B3" t="s">
        <v>536</v>
      </c>
      <c r="C3" t="s">
        <v>312</v>
      </c>
      <c r="D3" t="s">
        <v>238</v>
      </c>
      <c r="E3">
        <v>56</v>
      </c>
      <c r="F3">
        <v>0</v>
      </c>
      <c r="G3">
        <v>0</v>
      </c>
      <c r="H3">
        <v>0</v>
      </c>
    </row>
    <row r="4" spans="1:8" x14ac:dyDescent="0.35">
      <c r="A4" t="s">
        <v>214</v>
      </c>
      <c r="B4" t="s">
        <v>539</v>
      </c>
      <c r="C4" t="s">
        <v>237</v>
      </c>
      <c r="D4" t="s">
        <v>238</v>
      </c>
      <c r="E4">
        <v>0</v>
      </c>
      <c r="F4">
        <v>10</v>
      </c>
      <c r="G4">
        <v>20</v>
      </c>
      <c r="H4">
        <v>0</v>
      </c>
    </row>
    <row r="5" spans="1:8" x14ac:dyDescent="0.35">
      <c r="A5" t="s">
        <v>313</v>
      </c>
      <c r="B5" t="s">
        <v>536</v>
      </c>
      <c r="C5" t="s">
        <v>248</v>
      </c>
      <c r="D5" t="s">
        <v>218</v>
      </c>
      <c r="E5">
        <v>182</v>
      </c>
      <c r="F5">
        <v>0</v>
      </c>
      <c r="G5">
        <v>0</v>
      </c>
      <c r="H5">
        <v>0</v>
      </c>
    </row>
    <row r="6" spans="1:8" x14ac:dyDescent="0.35">
      <c r="A6" t="s">
        <v>313</v>
      </c>
      <c r="B6" t="s">
        <v>536</v>
      </c>
      <c r="C6" t="s">
        <v>276</v>
      </c>
      <c r="D6" t="s">
        <v>218</v>
      </c>
      <c r="E6">
        <v>71</v>
      </c>
      <c r="F6">
        <v>0</v>
      </c>
      <c r="G6">
        <v>0</v>
      </c>
      <c r="H6">
        <v>0</v>
      </c>
    </row>
    <row r="7" spans="1:8" x14ac:dyDescent="0.35">
      <c r="A7" t="s">
        <v>313</v>
      </c>
      <c r="B7" t="s">
        <v>536</v>
      </c>
      <c r="C7" t="s">
        <v>278</v>
      </c>
      <c r="D7" t="s">
        <v>232</v>
      </c>
      <c r="E7">
        <v>70</v>
      </c>
      <c r="F7">
        <v>0</v>
      </c>
      <c r="G7">
        <v>0</v>
      </c>
      <c r="H7">
        <v>0</v>
      </c>
    </row>
    <row r="8" spans="1:8" x14ac:dyDescent="0.35">
      <c r="A8" t="s">
        <v>313</v>
      </c>
      <c r="B8" t="s">
        <v>536</v>
      </c>
      <c r="C8" t="s">
        <v>290</v>
      </c>
      <c r="D8" t="s">
        <v>232</v>
      </c>
      <c r="E8">
        <v>163</v>
      </c>
      <c r="F8">
        <v>0</v>
      </c>
      <c r="G8">
        <v>0</v>
      </c>
      <c r="H8">
        <v>0</v>
      </c>
    </row>
    <row r="9" spans="1:8" x14ac:dyDescent="0.35">
      <c r="A9" t="s">
        <v>313</v>
      </c>
      <c r="B9" t="s">
        <v>536</v>
      </c>
      <c r="C9" t="s">
        <v>297</v>
      </c>
      <c r="D9" t="s">
        <v>232</v>
      </c>
      <c r="E9">
        <v>102</v>
      </c>
      <c r="F9">
        <v>0</v>
      </c>
      <c r="G9">
        <v>0</v>
      </c>
      <c r="H9">
        <v>0</v>
      </c>
    </row>
    <row r="10" spans="1:8" x14ac:dyDescent="0.35">
      <c r="A10" t="s">
        <v>313</v>
      </c>
      <c r="B10" t="s">
        <v>536</v>
      </c>
      <c r="C10" t="s">
        <v>310</v>
      </c>
      <c r="D10" t="s">
        <v>232</v>
      </c>
      <c r="E10">
        <v>73</v>
      </c>
      <c r="F10">
        <v>0</v>
      </c>
      <c r="G10">
        <v>0</v>
      </c>
      <c r="H10">
        <v>0</v>
      </c>
    </row>
    <row r="11" spans="1:8" x14ac:dyDescent="0.35">
      <c r="A11" t="s">
        <v>313</v>
      </c>
      <c r="B11" t="s">
        <v>539</v>
      </c>
      <c r="C11" t="s">
        <v>266</v>
      </c>
      <c r="D11" t="s">
        <v>238</v>
      </c>
      <c r="E11">
        <v>0</v>
      </c>
      <c r="F11">
        <v>9</v>
      </c>
      <c r="G11">
        <v>10</v>
      </c>
      <c r="H11">
        <v>0</v>
      </c>
    </row>
    <row r="12" spans="1:8" x14ac:dyDescent="0.35">
      <c r="A12" t="s">
        <v>313</v>
      </c>
      <c r="B12" t="s">
        <v>539</v>
      </c>
      <c r="C12" t="s">
        <v>314</v>
      </c>
      <c r="D12" t="s">
        <v>238</v>
      </c>
      <c r="E12">
        <v>0</v>
      </c>
      <c r="F12">
        <v>9</v>
      </c>
      <c r="G12">
        <v>10</v>
      </c>
      <c r="H12">
        <v>0</v>
      </c>
    </row>
    <row r="13" spans="1:8" x14ac:dyDescent="0.35">
      <c r="A13" t="s">
        <v>319</v>
      </c>
      <c r="B13" t="s">
        <v>536</v>
      </c>
      <c r="C13" t="s">
        <v>537</v>
      </c>
      <c r="D13" t="s">
        <v>232</v>
      </c>
      <c r="E13">
        <v>51</v>
      </c>
      <c r="F13">
        <v>0</v>
      </c>
      <c r="G13">
        <v>0</v>
      </c>
      <c r="H13">
        <v>0</v>
      </c>
    </row>
    <row r="14" spans="1:8" x14ac:dyDescent="0.35">
      <c r="A14" t="s">
        <v>319</v>
      </c>
      <c r="B14" t="s">
        <v>536</v>
      </c>
      <c r="C14" t="s">
        <v>254</v>
      </c>
      <c r="D14" t="s">
        <v>232</v>
      </c>
      <c r="E14">
        <v>76</v>
      </c>
      <c r="F14">
        <v>0</v>
      </c>
      <c r="G14">
        <v>0</v>
      </c>
      <c r="H14">
        <v>0</v>
      </c>
    </row>
    <row r="15" spans="1:8" x14ac:dyDescent="0.35">
      <c r="A15" t="s">
        <v>319</v>
      </c>
      <c r="B15" t="s">
        <v>536</v>
      </c>
      <c r="C15" t="s">
        <v>256</v>
      </c>
      <c r="D15" t="s">
        <v>238</v>
      </c>
      <c r="E15">
        <v>26</v>
      </c>
      <c r="F15">
        <v>0</v>
      </c>
      <c r="G15">
        <v>0</v>
      </c>
      <c r="H15">
        <v>0</v>
      </c>
    </row>
    <row r="16" spans="1:8" x14ac:dyDescent="0.35">
      <c r="A16" t="s">
        <v>319</v>
      </c>
      <c r="B16" t="s">
        <v>536</v>
      </c>
      <c r="C16" t="s">
        <v>288</v>
      </c>
      <c r="D16" t="s">
        <v>232</v>
      </c>
      <c r="E16">
        <v>75</v>
      </c>
      <c r="F16">
        <v>0</v>
      </c>
      <c r="G16">
        <v>0</v>
      </c>
      <c r="H16">
        <v>0</v>
      </c>
    </row>
    <row r="17" spans="1:8" x14ac:dyDescent="0.35">
      <c r="A17" t="s">
        <v>319</v>
      </c>
      <c r="B17" t="s">
        <v>539</v>
      </c>
      <c r="C17" t="s">
        <v>271</v>
      </c>
      <c r="D17" t="s">
        <v>232</v>
      </c>
      <c r="E17">
        <v>0</v>
      </c>
      <c r="F17">
        <v>15</v>
      </c>
      <c r="G17">
        <v>11</v>
      </c>
      <c r="H17">
        <v>0</v>
      </c>
    </row>
    <row r="18" spans="1:8" x14ac:dyDescent="0.35">
      <c r="A18" t="s">
        <v>319</v>
      </c>
      <c r="B18" t="s">
        <v>543</v>
      </c>
      <c r="C18" t="s">
        <v>544</v>
      </c>
      <c r="D18" t="s">
        <v>238</v>
      </c>
      <c r="E18">
        <v>0</v>
      </c>
      <c r="F18">
        <v>0</v>
      </c>
      <c r="G18">
        <v>6</v>
      </c>
      <c r="H18">
        <v>0</v>
      </c>
    </row>
    <row r="19" spans="1:8" x14ac:dyDescent="0.35">
      <c r="A19" t="s">
        <v>321</v>
      </c>
      <c r="B19" t="s">
        <v>539</v>
      </c>
      <c r="C19" t="s">
        <v>237</v>
      </c>
      <c r="E19">
        <v>0</v>
      </c>
      <c r="F19">
        <v>9</v>
      </c>
      <c r="G19">
        <v>13</v>
      </c>
      <c r="H19">
        <v>0</v>
      </c>
    </row>
    <row r="20" spans="1:8" x14ac:dyDescent="0.35">
      <c r="A20" t="s">
        <v>321</v>
      </c>
      <c r="B20" t="s">
        <v>543</v>
      </c>
      <c r="C20" t="s">
        <v>544</v>
      </c>
      <c r="D20" t="s">
        <v>238</v>
      </c>
      <c r="E20">
        <v>0</v>
      </c>
      <c r="F20">
        <v>0</v>
      </c>
      <c r="G20">
        <v>3</v>
      </c>
      <c r="H20">
        <v>0</v>
      </c>
    </row>
    <row r="21" spans="1:8" x14ac:dyDescent="0.35">
      <c r="A21" t="s">
        <v>326</v>
      </c>
      <c r="B21" t="s">
        <v>536</v>
      </c>
      <c r="C21" t="s">
        <v>216</v>
      </c>
      <c r="E21">
        <v>150</v>
      </c>
      <c r="F21">
        <v>0</v>
      </c>
      <c r="G21">
        <v>5</v>
      </c>
      <c r="H21">
        <v>0</v>
      </c>
    </row>
    <row r="22" spans="1:8" x14ac:dyDescent="0.35">
      <c r="A22" t="s">
        <v>326</v>
      </c>
      <c r="B22" t="s">
        <v>536</v>
      </c>
      <c r="C22" t="s">
        <v>241</v>
      </c>
      <c r="D22" t="s">
        <v>238</v>
      </c>
      <c r="E22">
        <v>24</v>
      </c>
      <c r="F22">
        <v>0</v>
      </c>
      <c r="G22">
        <v>1</v>
      </c>
      <c r="H22">
        <v>0</v>
      </c>
    </row>
    <row r="23" spans="1:8" x14ac:dyDescent="0.35">
      <c r="A23" t="s">
        <v>326</v>
      </c>
      <c r="B23" t="s">
        <v>536</v>
      </c>
      <c r="C23" t="s">
        <v>278</v>
      </c>
      <c r="E23">
        <v>67</v>
      </c>
      <c r="F23">
        <v>0</v>
      </c>
      <c r="G23">
        <v>0</v>
      </c>
      <c r="H23">
        <v>0</v>
      </c>
    </row>
    <row r="24" spans="1:8" x14ac:dyDescent="0.35">
      <c r="A24" t="s">
        <v>326</v>
      </c>
      <c r="B24" t="s">
        <v>536</v>
      </c>
      <c r="C24" t="s">
        <v>312</v>
      </c>
      <c r="E24">
        <v>0</v>
      </c>
      <c r="F24">
        <v>0</v>
      </c>
      <c r="G24">
        <v>2</v>
      </c>
      <c r="H24">
        <v>0</v>
      </c>
    </row>
    <row r="25" spans="1:8" x14ac:dyDescent="0.35">
      <c r="A25" t="s">
        <v>326</v>
      </c>
      <c r="B25" t="s">
        <v>539</v>
      </c>
      <c r="C25" t="s">
        <v>323</v>
      </c>
      <c r="E25">
        <v>0</v>
      </c>
      <c r="F25">
        <v>15</v>
      </c>
      <c r="G25">
        <v>9</v>
      </c>
      <c r="H25">
        <v>0</v>
      </c>
    </row>
    <row r="26" spans="1:8" x14ac:dyDescent="0.35">
      <c r="A26" t="s">
        <v>326</v>
      </c>
      <c r="B26" t="s">
        <v>539</v>
      </c>
      <c r="C26" t="s">
        <v>227</v>
      </c>
      <c r="E26">
        <v>0</v>
      </c>
      <c r="F26">
        <v>12</v>
      </c>
      <c r="G26">
        <v>11</v>
      </c>
      <c r="H26">
        <v>0</v>
      </c>
    </row>
    <row r="27" spans="1:8" x14ac:dyDescent="0.35">
      <c r="A27" t="s">
        <v>327</v>
      </c>
      <c r="B27" t="s">
        <v>536</v>
      </c>
      <c r="C27" t="s">
        <v>256</v>
      </c>
      <c r="D27" t="s">
        <v>238</v>
      </c>
      <c r="E27">
        <v>25</v>
      </c>
      <c r="F27">
        <v>0</v>
      </c>
      <c r="G27">
        <v>0</v>
      </c>
      <c r="H27">
        <v>0</v>
      </c>
    </row>
    <row r="28" spans="1:8" x14ac:dyDescent="0.35">
      <c r="A28" t="s">
        <v>327</v>
      </c>
      <c r="B28" t="s">
        <v>536</v>
      </c>
      <c r="C28" t="s">
        <v>280</v>
      </c>
      <c r="D28" t="s">
        <v>238</v>
      </c>
      <c r="E28">
        <v>26</v>
      </c>
      <c r="F28">
        <v>0</v>
      </c>
      <c r="G28">
        <v>3</v>
      </c>
      <c r="H28">
        <v>0</v>
      </c>
    </row>
    <row r="29" spans="1:8" x14ac:dyDescent="0.35">
      <c r="A29" t="s">
        <v>327</v>
      </c>
      <c r="B29" t="s">
        <v>539</v>
      </c>
      <c r="C29" t="s">
        <v>286</v>
      </c>
      <c r="E29">
        <v>0</v>
      </c>
      <c r="F29">
        <v>10</v>
      </c>
      <c r="G29">
        <v>0</v>
      </c>
      <c r="H29">
        <v>0</v>
      </c>
    </row>
    <row r="30" spans="1:8" x14ac:dyDescent="0.35">
      <c r="A30" t="s">
        <v>327</v>
      </c>
      <c r="B30" t="s">
        <v>541</v>
      </c>
      <c r="C30" t="s">
        <v>219</v>
      </c>
      <c r="E30">
        <v>0</v>
      </c>
      <c r="F30">
        <v>12</v>
      </c>
      <c r="G30">
        <v>40</v>
      </c>
      <c r="H30">
        <v>0</v>
      </c>
    </row>
    <row r="31" spans="1:8" x14ac:dyDescent="0.35">
      <c r="A31" t="s">
        <v>327</v>
      </c>
      <c r="B31" t="s">
        <v>543</v>
      </c>
      <c r="C31" t="s">
        <v>544</v>
      </c>
      <c r="D31" t="s">
        <v>548</v>
      </c>
      <c r="E31">
        <v>0</v>
      </c>
      <c r="F31">
        <v>56</v>
      </c>
      <c r="G31">
        <v>28</v>
      </c>
      <c r="H31">
        <v>0</v>
      </c>
    </row>
    <row r="32" spans="1:8" x14ac:dyDescent="0.35">
      <c r="A32" t="s">
        <v>466</v>
      </c>
      <c r="B32" t="s">
        <v>536</v>
      </c>
      <c r="C32" t="s">
        <v>225</v>
      </c>
      <c r="E32">
        <v>26</v>
      </c>
      <c r="F32">
        <v>0</v>
      </c>
      <c r="G32">
        <v>0</v>
      </c>
      <c r="H32">
        <v>0</v>
      </c>
    </row>
    <row r="33" spans="1:8" x14ac:dyDescent="0.35">
      <c r="A33" t="s">
        <v>466</v>
      </c>
      <c r="B33" t="s">
        <v>536</v>
      </c>
      <c r="C33" t="s">
        <v>537</v>
      </c>
      <c r="E33">
        <v>52</v>
      </c>
      <c r="F33">
        <v>0</v>
      </c>
      <c r="G33">
        <v>0</v>
      </c>
      <c r="H33">
        <v>0</v>
      </c>
    </row>
    <row r="34" spans="1:8" x14ac:dyDescent="0.35">
      <c r="A34" t="s">
        <v>466</v>
      </c>
      <c r="B34" t="s">
        <v>536</v>
      </c>
      <c r="C34" t="s">
        <v>288</v>
      </c>
      <c r="E34">
        <v>72</v>
      </c>
      <c r="F34">
        <v>0</v>
      </c>
      <c r="G34">
        <v>0</v>
      </c>
      <c r="H34">
        <v>0</v>
      </c>
    </row>
    <row r="35" spans="1:8" x14ac:dyDescent="0.35">
      <c r="A35" t="s">
        <v>466</v>
      </c>
      <c r="B35" t="s">
        <v>539</v>
      </c>
      <c r="C35" t="s">
        <v>271</v>
      </c>
      <c r="E35">
        <v>0</v>
      </c>
      <c r="F35">
        <v>13</v>
      </c>
      <c r="G35">
        <v>7</v>
      </c>
      <c r="H35">
        <v>0</v>
      </c>
    </row>
    <row r="36" spans="1:8" x14ac:dyDescent="0.35">
      <c r="A36" t="s">
        <v>466</v>
      </c>
      <c r="B36" t="s">
        <v>541</v>
      </c>
      <c r="C36" t="s">
        <v>219</v>
      </c>
      <c r="E36">
        <v>0</v>
      </c>
      <c r="F36">
        <v>14</v>
      </c>
      <c r="G36">
        <v>44</v>
      </c>
      <c r="H36">
        <v>6</v>
      </c>
    </row>
    <row r="37" spans="1:8" x14ac:dyDescent="0.35">
      <c r="A37" t="s">
        <v>214</v>
      </c>
      <c r="B37" t="s">
        <v>536</v>
      </c>
      <c r="C37" t="s">
        <v>537</v>
      </c>
      <c r="D37" t="s">
        <v>244</v>
      </c>
      <c r="E37">
        <v>53</v>
      </c>
      <c r="F37">
        <v>0</v>
      </c>
      <c r="G37">
        <v>0</v>
      </c>
      <c r="H37">
        <v>0</v>
      </c>
    </row>
    <row r="38" spans="1:8" x14ac:dyDescent="0.35">
      <c r="A38" t="s">
        <v>214</v>
      </c>
      <c r="B38" t="s">
        <v>536</v>
      </c>
      <c r="C38" t="s">
        <v>256</v>
      </c>
      <c r="D38" t="s">
        <v>238</v>
      </c>
      <c r="E38">
        <v>24</v>
      </c>
      <c r="F38">
        <v>0</v>
      </c>
      <c r="G38">
        <v>0</v>
      </c>
      <c r="H38">
        <v>0</v>
      </c>
    </row>
    <row r="39" spans="1:8" x14ac:dyDescent="0.35">
      <c r="A39" t="s">
        <v>214</v>
      </c>
      <c r="B39" t="s">
        <v>536</v>
      </c>
      <c r="C39" t="s">
        <v>276</v>
      </c>
      <c r="D39" t="s">
        <v>273</v>
      </c>
      <c r="E39">
        <v>70</v>
      </c>
      <c r="F39">
        <v>0</v>
      </c>
      <c r="G39">
        <v>0</v>
      </c>
      <c r="H39">
        <v>0</v>
      </c>
    </row>
    <row r="40" spans="1:8" x14ac:dyDescent="0.35">
      <c r="A40" t="s">
        <v>214</v>
      </c>
      <c r="B40" t="s">
        <v>536</v>
      </c>
      <c r="C40" t="s">
        <v>305</v>
      </c>
      <c r="D40" t="s">
        <v>304</v>
      </c>
      <c r="E40">
        <v>167</v>
      </c>
      <c r="F40">
        <v>0</v>
      </c>
      <c r="G40">
        <v>0</v>
      </c>
      <c r="H40">
        <v>0</v>
      </c>
    </row>
    <row r="41" spans="1:8" x14ac:dyDescent="0.35">
      <c r="A41" t="s">
        <v>214</v>
      </c>
      <c r="B41" t="s">
        <v>536</v>
      </c>
      <c r="C41" t="s">
        <v>310</v>
      </c>
      <c r="D41" t="s">
        <v>309</v>
      </c>
      <c r="E41">
        <v>73</v>
      </c>
      <c r="F41">
        <v>0</v>
      </c>
      <c r="G41">
        <v>0</v>
      </c>
      <c r="H41">
        <v>0</v>
      </c>
    </row>
    <row r="42" spans="1:8" x14ac:dyDescent="0.35">
      <c r="A42" t="s">
        <v>214</v>
      </c>
      <c r="B42" t="s">
        <v>539</v>
      </c>
      <c r="C42" t="s">
        <v>268</v>
      </c>
      <c r="D42" t="s">
        <v>238</v>
      </c>
      <c r="E42">
        <v>0</v>
      </c>
      <c r="F42">
        <v>8</v>
      </c>
      <c r="G42">
        <v>10</v>
      </c>
      <c r="H42">
        <v>0</v>
      </c>
    </row>
    <row r="43" spans="1:8" x14ac:dyDescent="0.35">
      <c r="A43" t="s">
        <v>214</v>
      </c>
      <c r="B43" t="s">
        <v>539</v>
      </c>
      <c r="C43" t="s">
        <v>286</v>
      </c>
      <c r="D43" t="s">
        <v>285</v>
      </c>
      <c r="E43">
        <v>0</v>
      </c>
      <c r="F43">
        <v>9</v>
      </c>
      <c r="G43">
        <v>7</v>
      </c>
      <c r="H43">
        <v>0</v>
      </c>
    </row>
    <row r="44" spans="1:8" x14ac:dyDescent="0.35">
      <c r="A44" t="s">
        <v>313</v>
      </c>
      <c r="B44" t="s">
        <v>536</v>
      </c>
      <c r="C44" t="s">
        <v>250</v>
      </c>
      <c r="D44" t="s">
        <v>232</v>
      </c>
      <c r="E44">
        <v>49</v>
      </c>
      <c r="F44">
        <v>0</v>
      </c>
      <c r="G44">
        <v>0</v>
      </c>
      <c r="H44">
        <v>0</v>
      </c>
    </row>
    <row r="45" spans="1:8" x14ac:dyDescent="0.35">
      <c r="A45" t="s">
        <v>313</v>
      </c>
      <c r="B45" t="s">
        <v>536</v>
      </c>
      <c r="C45" t="s">
        <v>295</v>
      </c>
      <c r="D45" t="s">
        <v>218</v>
      </c>
      <c r="E45">
        <v>67</v>
      </c>
      <c r="F45">
        <v>0</v>
      </c>
      <c r="G45">
        <v>0</v>
      </c>
      <c r="H45">
        <v>0</v>
      </c>
    </row>
    <row r="46" spans="1:8" x14ac:dyDescent="0.35">
      <c r="A46" t="s">
        <v>313</v>
      </c>
      <c r="B46" t="s">
        <v>539</v>
      </c>
      <c r="C46" t="s">
        <v>231</v>
      </c>
      <c r="D46" t="s">
        <v>232</v>
      </c>
      <c r="E46">
        <v>0</v>
      </c>
      <c r="F46">
        <v>12</v>
      </c>
      <c r="G46">
        <v>16</v>
      </c>
      <c r="H46">
        <v>0</v>
      </c>
    </row>
    <row r="47" spans="1:8" x14ac:dyDescent="0.35">
      <c r="A47" t="s">
        <v>313</v>
      </c>
      <c r="B47" t="s">
        <v>539</v>
      </c>
      <c r="C47" t="s">
        <v>227</v>
      </c>
      <c r="D47" t="s">
        <v>218</v>
      </c>
      <c r="E47">
        <v>0</v>
      </c>
      <c r="F47">
        <v>14</v>
      </c>
      <c r="G47">
        <v>17</v>
      </c>
      <c r="H47">
        <v>0</v>
      </c>
    </row>
    <row r="48" spans="1:8" x14ac:dyDescent="0.35">
      <c r="A48" t="s">
        <v>313</v>
      </c>
      <c r="B48" t="s">
        <v>539</v>
      </c>
      <c r="C48" t="s">
        <v>290</v>
      </c>
      <c r="D48" t="s">
        <v>232</v>
      </c>
      <c r="E48">
        <v>0</v>
      </c>
      <c r="F48">
        <v>8</v>
      </c>
      <c r="G48">
        <v>8</v>
      </c>
      <c r="H48">
        <v>0</v>
      </c>
    </row>
    <row r="49" spans="1:8" x14ac:dyDescent="0.35">
      <c r="A49" t="s">
        <v>313</v>
      </c>
      <c r="B49" t="s">
        <v>541</v>
      </c>
      <c r="C49" t="s">
        <v>233</v>
      </c>
      <c r="D49" t="s">
        <v>232</v>
      </c>
      <c r="E49">
        <v>0</v>
      </c>
      <c r="F49">
        <v>27</v>
      </c>
      <c r="G49">
        <v>76</v>
      </c>
      <c r="H49">
        <v>0</v>
      </c>
    </row>
    <row r="50" spans="1:8" x14ac:dyDescent="0.35">
      <c r="A50" t="s">
        <v>313</v>
      </c>
      <c r="B50" t="s">
        <v>543</v>
      </c>
      <c r="C50" t="s">
        <v>544</v>
      </c>
      <c r="D50" t="s">
        <v>548</v>
      </c>
      <c r="E50">
        <v>0</v>
      </c>
      <c r="F50">
        <v>34</v>
      </c>
      <c r="G50">
        <v>7</v>
      </c>
      <c r="H50">
        <v>49</v>
      </c>
    </row>
    <row r="51" spans="1:8" x14ac:dyDescent="0.35">
      <c r="A51" t="s">
        <v>319</v>
      </c>
      <c r="B51" t="s">
        <v>536</v>
      </c>
      <c r="C51" t="s">
        <v>260</v>
      </c>
      <c r="D51" t="s">
        <v>232</v>
      </c>
      <c r="E51">
        <v>48</v>
      </c>
      <c r="F51">
        <v>0</v>
      </c>
      <c r="G51">
        <v>0</v>
      </c>
      <c r="H51">
        <v>0</v>
      </c>
    </row>
    <row r="52" spans="1:8" x14ac:dyDescent="0.35">
      <c r="A52" t="s">
        <v>319</v>
      </c>
      <c r="B52" t="s">
        <v>539</v>
      </c>
      <c r="C52" t="s">
        <v>258</v>
      </c>
      <c r="D52" t="s">
        <v>238</v>
      </c>
      <c r="E52">
        <v>0</v>
      </c>
      <c r="F52">
        <v>11</v>
      </c>
      <c r="G52">
        <v>17</v>
      </c>
      <c r="H52">
        <v>0</v>
      </c>
    </row>
    <row r="53" spans="1:8" x14ac:dyDescent="0.35">
      <c r="A53" t="s">
        <v>321</v>
      </c>
      <c r="B53" t="s">
        <v>536</v>
      </c>
      <c r="C53" t="s">
        <v>537</v>
      </c>
      <c r="E53">
        <v>50</v>
      </c>
      <c r="F53">
        <v>0</v>
      </c>
      <c r="G53">
        <v>0</v>
      </c>
      <c r="H53">
        <v>0</v>
      </c>
    </row>
    <row r="54" spans="1:8" x14ac:dyDescent="0.35">
      <c r="A54" t="s">
        <v>321</v>
      </c>
      <c r="B54" t="s">
        <v>536</v>
      </c>
      <c r="C54" t="s">
        <v>248</v>
      </c>
      <c r="E54">
        <v>174</v>
      </c>
      <c r="F54">
        <v>0</v>
      </c>
      <c r="G54">
        <v>0</v>
      </c>
      <c r="H54">
        <v>0</v>
      </c>
    </row>
    <row r="55" spans="1:8" x14ac:dyDescent="0.35">
      <c r="A55" t="s">
        <v>321</v>
      </c>
      <c r="B55" t="s">
        <v>536</v>
      </c>
      <c r="C55" t="s">
        <v>254</v>
      </c>
      <c r="E55">
        <v>75</v>
      </c>
      <c r="F55">
        <v>0</v>
      </c>
      <c r="G55">
        <v>0</v>
      </c>
      <c r="H55">
        <v>0</v>
      </c>
    </row>
    <row r="56" spans="1:8" x14ac:dyDescent="0.35">
      <c r="A56" t="s">
        <v>321</v>
      </c>
      <c r="B56" t="s">
        <v>536</v>
      </c>
      <c r="C56" t="s">
        <v>256</v>
      </c>
      <c r="D56" t="s">
        <v>238</v>
      </c>
      <c r="E56">
        <v>24</v>
      </c>
      <c r="F56">
        <v>0</v>
      </c>
      <c r="G56">
        <v>0</v>
      </c>
      <c r="H56">
        <v>0</v>
      </c>
    </row>
    <row r="57" spans="1:8" x14ac:dyDescent="0.35">
      <c r="A57" t="s">
        <v>321</v>
      </c>
      <c r="B57" t="s">
        <v>536</v>
      </c>
      <c r="C57" t="s">
        <v>260</v>
      </c>
      <c r="E57">
        <v>47</v>
      </c>
      <c r="F57">
        <v>0</v>
      </c>
      <c r="G57">
        <v>0</v>
      </c>
      <c r="H57">
        <v>0</v>
      </c>
    </row>
    <row r="58" spans="1:8" x14ac:dyDescent="0.35">
      <c r="A58" t="s">
        <v>321</v>
      </c>
      <c r="B58" t="s">
        <v>536</v>
      </c>
      <c r="C58" t="s">
        <v>276</v>
      </c>
      <c r="E58">
        <v>70</v>
      </c>
      <c r="F58">
        <v>0</v>
      </c>
      <c r="G58">
        <v>0</v>
      </c>
      <c r="H58">
        <v>0</v>
      </c>
    </row>
    <row r="59" spans="1:8" x14ac:dyDescent="0.35">
      <c r="A59" t="s">
        <v>321</v>
      </c>
      <c r="B59" t="s">
        <v>536</v>
      </c>
      <c r="C59" t="s">
        <v>295</v>
      </c>
      <c r="E59">
        <v>66</v>
      </c>
      <c r="F59">
        <v>0</v>
      </c>
      <c r="G59">
        <v>0</v>
      </c>
      <c r="H59">
        <v>0</v>
      </c>
    </row>
    <row r="60" spans="1:8" x14ac:dyDescent="0.35">
      <c r="A60" t="s">
        <v>321</v>
      </c>
      <c r="B60" t="s">
        <v>536</v>
      </c>
      <c r="C60" t="s">
        <v>303</v>
      </c>
      <c r="E60">
        <v>47</v>
      </c>
      <c r="F60">
        <v>0</v>
      </c>
      <c r="G60">
        <v>0</v>
      </c>
      <c r="H60">
        <v>0</v>
      </c>
    </row>
    <row r="61" spans="1:8" x14ac:dyDescent="0.35">
      <c r="A61" t="s">
        <v>321</v>
      </c>
      <c r="B61" t="s">
        <v>536</v>
      </c>
      <c r="C61" t="s">
        <v>308</v>
      </c>
      <c r="D61" t="s">
        <v>238</v>
      </c>
      <c r="E61">
        <v>48</v>
      </c>
      <c r="F61">
        <v>0</v>
      </c>
      <c r="G61">
        <v>0</v>
      </c>
      <c r="H61">
        <v>0</v>
      </c>
    </row>
    <row r="62" spans="1:8" x14ac:dyDescent="0.35">
      <c r="A62" t="s">
        <v>321</v>
      </c>
      <c r="B62" t="s">
        <v>539</v>
      </c>
      <c r="C62" t="s">
        <v>276</v>
      </c>
      <c r="E62">
        <v>0</v>
      </c>
      <c r="F62">
        <v>15</v>
      </c>
      <c r="G62">
        <v>18</v>
      </c>
      <c r="H62">
        <v>0</v>
      </c>
    </row>
    <row r="63" spans="1:8" x14ac:dyDescent="0.35">
      <c r="A63" t="s">
        <v>321</v>
      </c>
      <c r="B63" t="s">
        <v>539</v>
      </c>
      <c r="C63" t="s">
        <v>325</v>
      </c>
      <c r="E63">
        <v>0</v>
      </c>
      <c r="F63">
        <v>15</v>
      </c>
      <c r="G63">
        <v>15</v>
      </c>
      <c r="H63">
        <v>0</v>
      </c>
    </row>
    <row r="64" spans="1:8" x14ac:dyDescent="0.35">
      <c r="A64" t="s">
        <v>321</v>
      </c>
      <c r="B64" t="s">
        <v>539</v>
      </c>
      <c r="C64" t="s">
        <v>258</v>
      </c>
      <c r="E64">
        <v>0</v>
      </c>
      <c r="F64">
        <v>10</v>
      </c>
      <c r="G64">
        <v>12</v>
      </c>
      <c r="H64">
        <v>0</v>
      </c>
    </row>
    <row r="65" spans="1:8" x14ac:dyDescent="0.35">
      <c r="A65" t="s">
        <v>321</v>
      </c>
      <c r="B65" t="s">
        <v>539</v>
      </c>
      <c r="C65" t="s">
        <v>314</v>
      </c>
      <c r="E65">
        <v>0</v>
      </c>
      <c r="F65">
        <v>14</v>
      </c>
      <c r="G65">
        <v>13</v>
      </c>
      <c r="H65">
        <v>0</v>
      </c>
    </row>
    <row r="66" spans="1:8" x14ac:dyDescent="0.35">
      <c r="A66" t="s">
        <v>326</v>
      </c>
      <c r="B66" t="s">
        <v>536</v>
      </c>
      <c r="C66" t="s">
        <v>280</v>
      </c>
      <c r="D66" t="s">
        <v>238</v>
      </c>
      <c r="E66">
        <v>25</v>
      </c>
      <c r="F66">
        <v>0</v>
      </c>
      <c r="G66">
        <v>0</v>
      </c>
      <c r="H66">
        <v>0</v>
      </c>
    </row>
    <row r="67" spans="1:8" x14ac:dyDescent="0.35">
      <c r="A67" t="s">
        <v>326</v>
      </c>
      <c r="B67" t="s">
        <v>536</v>
      </c>
      <c r="C67" t="s">
        <v>305</v>
      </c>
      <c r="E67">
        <v>164</v>
      </c>
      <c r="F67">
        <v>0</v>
      </c>
      <c r="G67">
        <v>0</v>
      </c>
      <c r="H67">
        <v>0</v>
      </c>
    </row>
    <row r="68" spans="1:8" x14ac:dyDescent="0.35">
      <c r="A68" t="s">
        <v>326</v>
      </c>
      <c r="B68" t="s">
        <v>539</v>
      </c>
      <c r="C68" t="s">
        <v>237</v>
      </c>
      <c r="E68">
        <v>0</v>
      </c>
      <c r="F68">
        <v>12</v>
      </c>
      <c r="G68">
        <v>13</v>
      </c>
      <c r="H68">
        <v>0</v>
      </c>
    </row>
    <row r="69" spans="1:8" x14ac:dyDescent="0.35">
      <c r="A69" t="s">
        <v>326</v>
      </c>
      <c r="B69" t="s">
        <v>541</v>
      </c>
      <c r="C69" t="s">
        <v>233</v>
      </c>
      <c r="E69">
        <v>0</v>
      </c>
      <c r="F69">
        <v>18</v>
      </c>
      <c r="G69">
        <v>53</v>
      </c>
      <c r="H69">
        <v>48</v>
      </c>
    </row>
    <row r="70" spans="1:8" x14ac:dyDescent="0.35">
      <c r="A70" t="s">
        <v>327</v>
      </c>
      <c r="B70" t="s">
        <v>536</v>
      </c>
      <c r="C70" t="s">
        <v>282</v>
      </c>
      <c r="E70">
        <v>30</v>
      </c>
      <c r="F70">
        <v>0</v>
      </c>
      <c r="G70">
        <v>0</v>
      </c>
      <c r="H70">
        <v>0</v>
      </c>
    </row>
    <row r="71" spans="1:8" x14ac:dyDescent="0.35">
      <c r="A71" t="s">
        <v>327</v>
      </c>
      <c r="B71" t="s">
        <v>539</v>
      </c>
      <c r="C71" t="s">
        <v>286</v>
      </c>
      <c r="E71">
        <v>0</v>
      </c>
      <c r="F71">
        <v>1</v>
      </c>
      <c r="G71">
        <v>0</v>
      </c>
      <c r="H71">
        <v>0</v>
      </c>
    </row>
    <row r="72" spans="1:8" x14ac:dyDescent="0.35">
      <c r="A72" t="s">
        <v>466</v>
      </c>
      <c r="B72" t="s">
        <v>536</v>
      </c>
      <c r="C72" t="s">
        <v>264</v>
      </c>
      <c r="D72" t="s">
        <v>238</v>
      </c>
      <c r="E72">
        <v>83</v>
      </c>
      <c r="F72">
        <v>0</v>
      </c>
      <c r="G72">
        <v>0</v>
      </c>
      <c r="H72">
        <v>0</v>
      </c>
    </row>
    <row r="73" spans="1:8" x14ac:dyDescent="0.35">
      <c r="A73" t="s">
        <v>466</v>
      </c>
      <c r="B73" t="s">
        <v>536</v>
      </c>
      <c r="C73" t="s">
        <v>284</v>
      </c>
      <c r="E73">
        <v>0</v>
      </c>
      <c r="F73">
        <v>0</v>
      </c>
      <c r="G73">
        <v>3</v>
      </c>
      <c r="H73">
        <v>0</v>
      </c>
    </row>
    <row r="74" spans="1:8" x14ac:dyDescent="0.35">
      <c r="A74" t="s">
        <v>466</v>
      </c>
      <c r="B74" t="s">
        <v>536</v>
      </c>
      <c r="C74" t="s">
        <v>299</v>
      </c>
      <c r="D74" t="s">
        <v>238</v>
      </c>
      <c r="E74">
        <v>58</v>
      </c>
      <c r="F74">
        <v>0</v>
      </c>
      <c r="G74">
        <v>0</v>
      </c>
      <c r="H74">
        <v>0</v>
      </c>
    </row>
    <row r="75" spans="1:8" x14ac:dyDescent="0.35">
      <c r="A75" t="s">
        <v>466</v>
      </c>
      <c r="B75" t="s">
        <v>539</v>
      </c>
      <c r="C75" t="s">
        <v>323</v>
      </c>
      <c r="E75">
        <v>0</v>
      </c>
      <c r="F75">
        <v>15</v>
      </c>
      <c r="G75">
        <v>5</v>
      </c>
      <c r="H75">
        <v>0</v>
      </c>
    </row>
    <row r="76" spans="1:8" x14ac:dyDescent="0.35">
      <c r="A76" t="s">
        <v>466</v>
      </c>
      <c r="B76" t="s">
        <v>539</v>
      </c>
      <c r="C76" t="s">
        <v>286</v>
      </c>
      <c r="E76">
        <v>0</v>
      </c>
      <c r="F76">
        <v>11</v>
      </c>
      <c r="G76">
        <v>0</v>
      </c>
      <c r="H76">
        <v>0</v>
      </c>
    </row>
    <row r="77" spans="1:8" x14ac:dyDescent="0.35">
      <c r="A77" t="s">
        <v>214</v>
      </c>
      <c r="B77" t="s">
        <v>536</v>
      </c>
      <c r="C77" t="s">
        <v>280</v>
      </c>
      <c r="D77" t="s">
        <v>238</v>
      </c>
      <c r="E77">
        <v>26</v>
      </c>
      <c r="F77">
        <v>0</v>
      </c>
      <c r="G77">
        <v>0</v>
      </c>
      <c r="H77">
        <v>0</v>
      </c>
    </row>
    <row r="78" spans="1:8" x14ac:dyDescent="0.35">
      <c r="A78" t="s">
        <v>214</v>
      </c>
      <c r="B78" t="s">
        <v>536</v>
      </c>
      <c r="C78" t="s">
        <v>299</v>
      </c>
      <c r="D78" t="s">
        <v>238</v>
      </c>
      <c r="E78">
        <v>56</v>
      </c>
      <c r="F78">
        <v>0</v>
      </c>
      <c r="G78">
        <v>0</v>
      </c>
      <c r="H78">
        <v>0</v>
      </c>
    </row>
    <row r="79" spans="1:8" x14ac:dyDescent="0.35">
      <c r="A79" t="s">
        <v>313</v>
      </c>
      <c r="B79" t="s">
        <v>536</v>
      </c>
      <c r="C79" t="s">
        <v>216</v>
      </c>
      <c r="D79" t="s">
        <v>218</v>
      </c>
      <c r="E79">
        <v>155</v>
      </c>
      <c r="F79">
        <v>0</v>
      </c>
      <c r="G79">
        <v>0</v>
      </c>
      <c r="H79">
        <v>0</v>
      </c>
    </row>
    <row r="80" spans="1:8" x14ac:dyDescent="0.35">
      <c r="A80" t="s">
        <v>313</v>
      </c>
      <c r="B80" t="s">
        <v>536</v>
      </c>
      <c r="C80" t="s">
        <v>225</v>
      </c>
      <c r="D80" t="s">
        <v>218</v>
      </c>
      <c r="E80">
        <v>27</v>
      </c>
      <c r="F80">
        <v>0</v>
      </c>
      <c r="G80">
        <v>0</v>
      </c>
      <c r="H80">
        <v>0</v>
      </c>
    </row>
    <row r="81" spans="1:8" x14ac:dyDescent="0.35">
      <c r="A81" t="s">
        <v>313</v>
      </c>
      <c r="B81" t="s">
        <v>536</v>
      </c>
      <c r="C81" t="s">
        <v>264</v>
      </c>
      <c r="D81" t="s">
        <v>238</v>
      </c>
      <c r="E81">
        <v>88</v>
      </c>
      <c r="F81">
        <v>0</v>
      </c>
      <c r="G81">
        <v>0</v>
      </c>
      <c r="H81">
        <v>0</v>
      </c>
    </row>
    <row r="82" spans="1:8" x14ac:dyDescent="0.35">
      <c r="A82" t="s">
        <v>313</v>
      </c>
      <c r="B82" t="s">
        <v>536</v>
      </c>
      <c r="C82" t="s">
        <v>308</v>
      </c>
      <c r="D82" t="s">
        <v>238</v>
      </c>
      <c r="E82">
        <v>51</v>
      </c>
      <c r="F82">
        <v>0</v>
      </c>
      <c r="G82">
        <v>0</v>
      </c>
      <c r="H82">
        <v>0</v>
      </c>
    </row>
    <row r="83" spans="1:8" x14ac:dyDescent="0.35">
      <c r="A83" t="s">
        <v>313</v>
      </c>
      <c r="B83" t="s">
        <v>539</v>
      </c>
      <c r="C83" t="s">
        <v>216</v>
      </c>
      <c r="D83" t="s">
        <v>218</v>
      </c>
      <c r="E83">
        <v>0</v>
      </c>
      <c r="F83">
        <v>6</v>
      </c>
      <c r="G83">
        <v>7</v>
      </c>
      <c r="H83">
        <v>0</v>
      </c>
    </row>
    <row r="84" spans="1:8" x14ac:dyDescent="0.35">
      <c r="A84" t="s">
        <v>313</v>
      </c>
      <c r="B84" t="s">
        <v>541</v>
      </c>
      <c r="C84" t="s">
        <v>219</v>
      </c>
      <c r="D84" t="s">
        <v>218</v>
      </c>
      <c r="E84">
        <v>0</v>
      </c>
      <c r="F84">
        <v>12</v>
      </c>
      <c r="G84">
        <v>30</v>
      </c>
      <c r="H84">
        <v>0</v>
      </c>
    </row>
    <row r="85" spans="1:8" x14ac:dyDescent="0.35">
      <c r="A85" t="s">
        <v>319</v>
      </c>
      <c r="B85" t="s">
        <v>536</v>
      </c>
      <c r="C85" t="s">
        <v>221</v>
      </c>
      <c r="D85" t="s">
        <v>218</v>
      </c>
      <c r="E85">
        <v>29</v>
      </c>
      <c r="F85">
        <v>0</v>
      </c>
      <c r="G85">
        <v>0</v>
      </c>
      <c r="H85">
        <v>0</v>
      </c>
    </row>
    <row r="86" spans="1:8" x14ac:dyDescent="0.35">
      <c r="A86" t="s">
        <v>319</v>
      </c>
      <c r="B86" t="s">
        <v>536</v>
      </c>
      <c r="C86" t="s">
        <v>237</v>
      </c>
      <c r="D86" t="s">
        <v>238</v>
      </c>
      <c r="E86">
        <v>300</v>
      </c>
      <c r="F86">
        <v>0</v>
      </c>
      <c r="G86">
        <v>0</v>
      </c>
      <c r="H86">
        <v>0</v>
      </c>
    </row>
    <row r="87" spans="1:8" x14ac:dyDescent="0.35">
      <c r="A87" t="s">
        <v>319</v>
      </c>
      <c r="B87" t="s">
        <v>536</v>
      </c>
      <c r="C87" t="s">
        <v>280</v>
      </c>
      <c r="D87" t="s">
        <v>238</v>
      </c>
      <c r="E87">
        <v>27</v>
      </c>
      <c r="F87">
        <v>0</v>
      </c>
      <c r="G87">
        <v>0</v>
      </c>
      <c r="H87">
        <v>0</v>
      </c>
    </row>
    <row r="88" spans="1:8" x14ac:dyDescent="0.35">
      <c r="A88" t="s">
        <v>319</v>
      </c>
      <c r="B88" t="s">
        <v>536</v>
      </c>
      <c r="C88" t="s">
        <v>282</v>
      </c>
      <c r="D88" t="s">
        <v>218</v>
      </c>
      <c r="E88">
        <v>30</v>
      </c>
      <c r="F88">
        <v>0</v>
      </c>
      <c r="G88">
        <v>0</v>
      </c>
      <c r="H88">
        <v>0</v>
      </c>
    </row>
    <row r="89" spans="1:8" x14ac:dyDescent="0.35">
      <c r="A89" t="s">
        <v>319</v>
      </c>
      <c r="B89" t="s">
        <v>536</v>
      </c>
      <c r="C89" t="s">
        <v>305</v>
      </c>
      <c r="D89" t="s">
        <v>232</v>
      </c>
      <c r="E89">
        <v>168</v>
      </c>
      <c r="F89">
        <v>0</v>
      </c>
      <c r="G89">
        <v>0</v>
      </c>
      <c r="H89">
        <v>0</v>
      </c>
    </row>
    <row r="90" spans="1:8" x14ac:dyDescent="0.35">
      <c r="A90" t="s">
        <v>319</v>
      </c>
      <c r="B90" t="s">
        <v>536</v>
      </c>
      <c r="C90" t="s">
        <v>312</v>
      </c>
      <c r="D90" t="s">
        <v>238</v>
      </c>
      <c r="E90">
        <v>57</v>
      </c>
      <c r="F90">
        <v>0</v>
      </c>
      <c r="G90">
        <v>0</v>
      </c>
      <c r="H90">
        <v>0</v>
      </c>
    </row>
    <row r="91" spans="1:8" x14ac:dyDescent="0.35">
      <c r="A91" t="s">
        <v>319</v>
      </c>
      <c r="B91" t="s">
        <v>541</v>
      </c>
      <c r="C91" t="s">
        <v>239</v>
      </c>
      <c r="D91" t="s">
        <v>238</v>
      </c>
      <c r="E91">
        <v>0</v>
      </c>
      <c r="F91">
        <v>8</v>
      </c>
      <c r="G91">
        <v>38</v>
      </c>
      <c r="H91">
        <v>20</v>
      </c>
    </row>
    <row r="92" spans="1:8" x14ac:dyDescent="0.35">
      <c r="A92" t="s">
        <v>319</v>
      </c>
      <c r="B92" t="s">
        <v>541</v>
      </c>
      <c r="C92" t="s">
        <v>233</v>
      </c>
      <c r="D92" t="s">
        <v>232</v>
      </c>
      <c r="E92">
        <v>0</v>
      </c>
      <c r="F92">
        <v>13</v>
      </c>
      <c r="G92">
        <v>53</v>
      </c>
      <c r="H92">
        <v>25</v>
      </c>
    </row>
    <row r="93" spans="1:8" x14ac:dyDescent="0.35">
      <c r="A93" t="s">
        <v>321</v>
      </c>
      <c r="B93" t="s">
        <v>536</v>
      </c>
      <c r="C93" t="s">
        <v>221</v>
      </c>
      <c r="E93">
        <v>28</v>
      </c>
      <c r="F93">
        <v>0</v>
      </c>
      <c r="G93">
        <v>0</v>
      </c>
      <c r="H93">
        <v>0</v>
      </c>
    </row>
    <row r="94" spans="1:8" x14ac:dyDescent="0.35">
      <c r="A94" t="s">
        <v>321</v>
      </c>
      <c r="B94" t="s">
        <v>536</v>
      </c>
      <c r="C94" t="s">
        <v>237</v>
      </c>
      <c r="D94" t="s">
        <v>238</v>
      </c>
      <c r="E94">
        <v>295</v>
      </c>
      <c r="F94">
        <v>0</v>
      </c>
      <c r="G94">
        <v>0</v>
      </c>
      <c r="H94">
        <v>0</v>
      </c>
    </row>
    <row r="95" spans="1:8" x14ac:dyDescent="0.35">
      <c r="A95" t="s">
        <v>321</v>
      </c>
      <c r="B95" t="s">
        <v>536</v>
      </c>
      <c r="C95" t="s">
        <v>268</v>
      </c>
      <c r="D95" t="s">
        <v>238</v>
      </c>
      <c r="E95">
        <v>254</v>
      </c>
      <c r="F95">
        <v>0</v>
      </c>
      <c r="G95">
        <v>0</v>
      </c>
      <c r="H95">
        <v>0</v>
      </c>
    </row>
    <row r="96" spans="1:8" x14ac:dyDescent="0.35">
      <c r="A96" t="s">
        <v>321</v>
      </c>
      <c r="B96" t="s">
        <v>536</v>
      </c>
      <c r="C96" t="s">
        <v>271</v>
      </c>
      <c r="E96">
        <v>493</v>
      </c>
      <c r="F96">
        <v>0</v>
      </c>
      <c r="G96">
        <v>0</v>
      </c>
      <c r="H96">
        <v>0</v>
      </c>
    </row>
    <row r="97" spans="1:8" x14ac:dyDescent="0.35">
      <c r="A97" t="s">
        <v>321</v>
      </c>
      <c r="B97" t="s">
        <v>536</v>
      </c>
      <c r="C97" t="s">
        <v>308</v>
      </c>
      <c r="E97">
        <v>1</v>
      </c>
      <c r="F97">
        <v>0</v>
      </c>
      <c r="G97">
        <v>0</v>
      </c>
      <c r="H97">
        <v>0</v>
      </c>
    </row>
    <row r="98" spans="1:8" x14ac:dyDescent="0.35">
      <c r="A98" t="s">
        <v>321</v>
      </c>
      <c r="B98" t="s">
        <v>539</v>
      </c>
      <c r="C98" t="s">
        <v>237</v>
      </c>
      <c r="D98" t="s">
        <v>238</v>
      </c>
      <c r="E98">
        <v>0</v>
      </c>
      <c r="F98">
        <v>2</v>
      </c>
      <c r="G98">
        <v>3</v>
      </c>
      <c r="H98">
        <v>0</v>
      </c>
    </row>
    <row r="99" spans="1:8" x14ac:dyDescent="0.35">
      <c r="A99" t="s">
        <v>321</v>
      </c>
      <c r="B99" t="s">
        <v>539</v>
      </c>
      <c r="C99" t="s">
        <v>262</v>
      </c>
      <c r="E99">
        <v>0</v>
      </c>
      <c r="F99">
        <v>10</v>
      </c>
      <c r="G99">
        <v>9</v>
      </c>
      <c r="H99">
        <v>0</v>
      </c>
    </row>
    <row r="100" spans="1:8" x14ac:dyDescent="0.35">
      <c r="A100" t="s">
        <v>321</v>
      </c>
      <c r="B100" t="s">
        <v>539</v>
      </c>
      <c r="C100" t="s">
        <v>266</v>
      </c>
      <c r="E100">
        <v>0</v>
      </c>
      <c r="F100">
        <v>7</v>
      </c>
      <c r="G100">
        <v>9</v>
      </c>
      <c r="H100">
        <v>0</v>
      </c>
    </row>
    <row r="101" spans="1:8" x14ac:dyDescent="0.35">
      <c r="A101" t="s">
        <v>321</v>
      </c>
      <c r="B101" t="s">
        <v>539</v>
      </c>
      <c r="C101" t="s">
        <v>258</v>
      </c>
      <c r="D101" t="s">
        <v>238</v>
      </c>
      <c r="E101">
        <v>0</v>
      </c>
      <c r="F101">
        <v>1</v>
      </c>
      <c r="G101">
        <v>6</v>
      </c>
      <c r="H101">
        <v>0</v>
      </c>
    </row>
    <row r="102" spans="1:8" x14ac:dyDescent="0.35">
      <c r="A102" t="s">
        <v>326</v>
      </c>
      <c r="B102" t="s">
        <v>536</v>
      </c>
      <c r="C102" t="s">
        <v>248</v>
      </c>
      <c r="E102">
        <v>167</v>
      </c>
      <c r="F102">
        <v>0</v>
      </c>
      <c r="G102">
        <v>2</v>
      </c>
      <c r="H102">
        <v>0</v>
      </c>
    </row>
    <row r="103" spans="1:8" x14ac:dyDescent="0.35">
      <c r="A103" t="s">
        <v>326</v>
      </c>
      <c r="B103" t="s">
        <v>536</v>
      </c>
      <c r="C103" t="s">
        <v>260</v>
      </c>
      <c r="E103">
        <v>47</v>
      </c>
      <c r="F103">
        <v>0</v>
      </c>
      <c r="G103">
        <v>0</v>
      </c>
      <c r="H103">
        <v>0</v>
      </c>
    </row>
    <row r="104" spans="1:8" x14ac:dyDescent="0.35">
      <c r="A104" t="s">
        <v>326</v>
      </c>
      <c r="B104" t="s">
        <v>536</v>
      </c>
      <c r="C104" t="s">
        <v>276</v>
      </c>
      <c r="E104">
        <v>73</v>
      </c>
      <c r="F104">
        <v>0</v>
      </c>
      <c r="G104">
        <v>0</v>
      </c>
      <c r="H104">
        <v>0</v>
      </c>
    </row>
    <row r="105" spans="1:8" x14ac:dyDescent="0.35">
      <c r="A105" t="s">
        <v>326</v>
      </c>
      <c r="B105" t="s">
        <v>536</v>
      </c>
      <c r="C105" t="s">
        <v>293</v>
      </c>
      <c r="E105">
        <v>0</v>
      </c>
      <c r="F105">
        <v>0</v>
      </c>
      <c r="G105">
        <v>1</v>
      </c>
      <c r="H105">
        <v>0</v>
      </c>
    </row>
    <row r="106" spans="1:8" x14ac:dyDescent="0.35">
      <c r="A106" t="s">
        <v>326</v>
      </c>
      <c r="B106" t="s">
        <v>536</v>
      </c>
      <c r="C106" t="s">
        <v>295</v>
      </c>
      <c r="E106">
        <v>69</v>
      </c>
      <c r="F106">
        <v>0</v>
      </c>
      <c r="G106">
        <v>0</v>
      </c>
      <c r="H106">
        <v>0</v>
      </c>
    </row>
    <row r="107" spans="1:8" x14ac:dyDescent="0.35">
      <c r="A107" t="s">
        <v>326</v>
      </c>
      <c r="B107" t="s">
        <v>536</v>
      </c>
      <c r="C107" t="s">
        <v>303</v>
      </c>
      <c r="E107">
        <v>48</v>
      </c>
      <c r="F107">
        <v>0</v>
      </c>
      <c r="G107">
        <v>0</v>
      </c>
      <c r="H107">
        <v>0</v>
      </c>
    </row>
    <row r="108" spans="1:8" x14ac:dyDescent="0.35">
      <c r="A108" t="s">
        <v>326</v>
      </c>
      <c r="B108" t="s">
        <v>536</v>
      </c>
      <c r="C108" t="s">
        <v>308</v>
      </c>
      <c r="D108" t="s">
        <v>238</v>
      </c>
      <c r="E108">
        <v>46</v>
      </c>
      <c r="F108">
        <v>0</v>
      </c>
      <c r="G108">
        <v>0</v>
      </c>
      <c r="H108">
        <v>0</v>
      </c>
    </row>
    <row r="109" spans="1:8" x14ac:dyDescent="0.35">
      <c r="A109" t="s">
        <v>326</v>
      </c>
      <c r="B109" t="s">
        <v>539</v>
      </c>
      <c r="C109" t="s">
        <v>258</v>
      </c>
      <c r="D109" t="s">
        <v>238</v>
      </c>
      <c r="E109">
        <v>0</v>
      </c>
      <c r="F109">
        <v>0</v>
      </c>
      <c r="G109">
        <v>5</v>
      </c>
      <c r="H109">
        <v>0</v>
      </c>
    </row>
    <row r="110" spans="1:8" x14ac:dyDescent="0.35">
      <c r="A110" t="s">
        <v>326</v>
      </c>
      <c r="B110" t="s">
        <v>539</v>
      </c>
      <c r="C110" t="s">
        <v>325</v>
      </c>
      <c r="E110">
        <v>0</v>
      </c>
      <c r="F110">
        <v>12</v>
      </c>
      <c r="G110">
        <v>15</v>
      </c>
      <c r="H110">
        <v>0</v>
      </c>
    </row>
    <row r="111" spans="1:8" x14ac:dyDescent="0.35">
      <c r="A111" t="s">
        <v>327</v>
      </c>
      <c r="B111" t="s">
        <v>536</v>
      </c>
      <c r="C111" t="s">
        <v>216</v>
      </c>
      <c r="E111">
        <v>155</v>
      </c>
      <c r="F111">
        <v>0</v>
      </c>
      <c r="G111">
        <v>7</v>
      </c>
      <c r="H111">
        <v>0</v>
      </c>
    </row>
    <row r="112" spans="1:8" x14ac:dyDescent="0.35">
      <c r="A112" t="s">
        <v>327</v>
      </c>
      <c r="B112" t="s">
        <v>536</v>
      </c>
      <c r="C112" t="s">
        <v>241</v>
      </c>
      <c r="D112" t="s">
        <v>238</v>
      </c>
      <c r="E112">
        <v>26</v>
      </c>
      <c r="F112">
        <v>0</v>
      </c>
      <c r="G112">
        <v>1</v>
      </c>
      <c r="H112">
        <v>0</v>
      </c>
    </row>
    <row r="113" spans="1:8" x14ac:dyDescent="0.35">
      <c r="A113" t="s">
        <v>327</v>
      </c>
      <c r="B113" t="s">
        <v>536</v>
      </c>
      <c r="C113" t="s">
        <v>305</v>
      </c>
      <c r="E113">
        <v>161</v>
      </c>
      <c r="F113">
        <v>0</v>
      </c>
      <c r="G113">
        <v>0</v>
      </c>
      <c r="H113">
        <v>0</v>
      </c>
    </row>
    <row r="114" spans="1:8" x14ac:dyDescent="0.35">
      <c r="A114" t="s">
        <v>327</v>
      </c>
      <c r="B114" t="s">
        <v>536</v>
      </c>
      <c r="C114" t="s">
        <v>312</v>
      </c>
      <c r="D114" t="s">
        <v>238</v>
      </c>
      <c r="E114">
        <v>60</v>
      </c>
      <c r="F114">
        <v>0</v>
      </c>
      <c r="G114">
        <v>3</v>
      </c>
      <c r="H114">
        <v>0</v>
      </c>
    </row>
    <row r="115" spans="1:8" x14ac:dyDescent="0.35">
      <c r="A115" t="s">
        <v>327</v>
      </c>
      <c r="B115" t="s">
        <v>539</v>
      </c>
      <c r="C115" t="s">
        <v>231</v>
      </c>
      <c r="E115">
        <v>0</v>
      </c>
      <c r="F115">
        <v>14</v>
      </c>
      <c r="G115">
        <v>14</v>
      </c>
      <c r="H115">
        <v>0</v>
      </c>
    </row>
    <row r="116" spans="1:8" x14ac:dyDescent="0.35">
      <c r="A116" t="s">
        <v>327</v>
      </c>
      <c r="B116" t="s">
        <v>539</v>
      </c>
      <c r="C116" t="s">
        <v>227</v>
      </c>
      <c r="E116">
        <v>0</v>
      </c>
      <c r="F116">
        <v>14</v>
      </c>
      <c r="G116">
        <v>9</v>
      </c>
      <c r="H116">
        <v>0</v>
      </c>
    </row>
    <row r="117" spans="1:8" x14ac:dyDescent="0.35">
      <c r="A117" t="s">
        <v>327</v>
      </c>
      <c r="B117" t="s">
        <v>541</v>
      </c>
      <c r="C117" t="s">
        <v>233</v>
      </c>
      <c r="E117">
        <v>0</v>
      </c>
      <c r="F117">
        <v>13</v>
      </c>
      <c r="G117">
        <v>46</v>
      </c>
      <c r="H117">
        <v>1</v>
      </c>
    </row>
    <row r="118" spans="1:8" x14ac:dyDescent="0.35">
      <c r="A118" t="s">
        <v>466</v>
      </c>
      <c r="B118" t="s">
        <v>536</v>
      </c>
      <c r="C118" t="s">
        <v>216</v>
      </c>
      <c r="E118">
        <v>150</v>
      </c>
      <c r="F118">
        <v>0</v>
      </c>
      <c r="G118">
        <v>7</v>
      </c>
      <c r="H118">
        <v>0</v>
      </c>
    </row>
    <row r="119" spans="1:8" x14ac:dyDescent="0.35">
      <c r="A119" t="s">
        <v>466</v>
      </c>
      <c r="B119" t="s">
        <v>536</v>
      </c>
      <c r="C119" t="s">
        <v>241</v>
      </c>
      <c r="D119" t="s">
        <v>238</v>
      </c>
      <c r="E119">
        <v>25</v>
      </c>
      <c r="F119">
        <v>0</v>
      </c>
      <c r="G119">
        <v>1</v>
      </c>
      <c r="H119">
        <v>0</v>
      </c>
    </row>
    <row r="120" spans="1:8" x14ac:dyDescent="0.35">
      <c r="A120" t="s">
        <v>466</v>
      </c>
      <c r="B120" t="s">
        <v>536</v>
      </c>
      <c r="C120" t="s">
        <v>305</v>
      </c>
      <c r="E120">
        <v>155</v>
      </c>
      <c r="F120">
        <v>0</v>
      </c>
      <c r="G120">
        <v>0</v>
      </c>
      <c r="H120">
        <v>0</v>
      </c>
    </row>
    <row r="121" spans="1:8" x14ac:dyDescent="0.35">
      <c r="A121" t="s">
        <v>466</v>
      </c>
      <c r="B121" t="s">
        <v>536</v>
      </c>
      <c r="C121" t="s">
        <v>312</v>
      </c>
      <c r="D121" t="s">
        <v>238</v>
      </c>
      <c r="E121">
        <v>61</v>
      </c>
      <c r="F121">
        <v>0</v>
      </c>
      <c r="G121">
        <v>3</v>
      </c>
      <c r="H121">
        <v>0</v>
      </c>
    </row>
    <row r="122" spans="1:8" x14ac:dyDescent="0.35">
      <c r="A122" t="s">
        <v>466</v>
      </c>
      <c r="B122" t="s">
        <v>541</v>
      </c>
      <c r="C122" t="s">
        <v>233</v>
      </c>
      <c r="E122">
        <v>0</v>
      </c>
      <c r="F122">
        <v>12</v>
      </c>
      <c r="G122">
        <v>73</v>
      </c>
      <c r="H122">
        <v>47</v>
      </c>
    </row>
    <row r="123" spans="1:8" x14ac:dyDescent="0.35">
      <c r="A123" t="s">
        <v>466</v>
      </c>
      <c r="B123" t="s">
        <v>543</v>
      </c>
      <c r="C123" t="s">
        <v>544</v>
      </c>
      <c r="D123" t="s">
        <v>548</v>
      </c>
      <c r="E123">
        <v>0</v>
      </c>
      <c r="F123">
        <v>57</v>
      </c>
      <c r="G123">
        <v>33</v>
      </c>
      <c r="H123">
        <v>0</v>
      </c>
    </row>
    <row r="124" spans="1:8" x14ac:dyDescent="0.35">
      <c r="A124" t="s">
        <v>214</v>
      </c>
      <c r="B124" t="s">
        <v>536</v>
      </c>
      <c r="C124" t="s">
        <v>248</v>
      </c>
      <c r="D124" t="s">
        <v>247</v>
      </c>
      <c r="E124">
        <v>177</v>
      </c>
      <c r="F124">
        <v>0</v>
      </c>
      <c r="G124">
        <v>0</v>
      </c>
      <c r="H124">
        <v>0</v>
      </c>
    </row>
    <row r="125" spans="1:8" x14ac:dyDescent="0.35">
      <c r="A125" t="s">
        <v>214</v>
      </c>
      <c r="B125" t="s">
        <v>536</v>
      </c>
      <c r="C125" t="s">
        <v>254</v>
      </c>
      <c r="D125" t="s">
        <v>253</v>
      </c>
      <c r="E125">
        <v>78</v>
      </c>
      <c r="F125">
        <v>0</v>
      </c>
      <c r="G125">
        <v>0</v>
      </c>
      <c r="H125">
        <v>0</v>
      </c>
    </row>
    <row r="126" spans="1:8" x14ac:dyDescent="0.35">
      <c r="A126" t="s">
        <v>214</v>
      </c>
      <c r="B126" t="s">
        <v>536</v>
      </c>
      <c r="C126" t="s">
        <v>264</v>
      </c>
      <c r="D126" t="s">
        <v>238</v>
      </c>
      <c r="E126">
        <v>88</v>
      </c>
      <c r="F126">
        <v>0</v>
      </c>
      <c r="G126">
        <v>0</v>
      </c>
      <c r="H126">
        <v>0</v>
      </c>
    </row>
    <row r="127" spans="1:8" x14ac:dyDescent="0.35">
      <c r="A127" t="s">
        <v>214</v>
      </c>
      <c r="B127" t="s">
        <v>539</v>
      </c>
      <c r="C127" t="s">
        <v>276</v>
      </c>
      <c r="D127" t="s">
        <v>275</v>
      </c>
      <c r="E127">
        <v>0</v>
      </c>
      <c r="F127">
        <v>19</v>
      </c>
      <c r="G127">
        <v>26</v>
      </c>
      <c r="H127">
        <v>0</v>
      </c>
    </row>
    <row r="128" spans="1:8" x14ac:dyDescent="0.35">
      <c r="A128" t="s">
        <v>313</v>
      </c>
      <c r="B128" t="s">
        <v>536</v>
      </c>
      <c r="C128" t="s">
        <v>254</v>
      </c>
      <c r="D128" t="s">
        <v>232</v>
      </c>
      <c r="E128">
        <v>79</v>
      </c>
      <c r="F128">
        <v>0</v>
      </c>
      <c r="G128">
        <v>0</v>
      </c>
      <c r="H128">
        <v>0</v>
      </c>
    </row>
    <row r="129" spans="1:8" x14ac:dyDescent="0.35">
      <c r="A129" t="s">
        <v>313</v>
      </c>
      <c r="B129" t="s">
        <v>536</v>
      </c>
      <c r="C129" t="s">
        <v>256</v>
      </c>
      <c r="D129" t="s">
        <v>238</v>
      </c>
      <c r="E129">
        <v>25</v>
      </c>
      <c r="F129">
        <v>0</v>
      </c>
      <c r="G129">
        <v>0</v>
      </c>
      <c r="H129">
        <v>0</v>
      </c>
    </row>
    <row r="130" spans="1:8" x14ac:dyDescent="0.35">
      <c r="A130" t="s">
        <v>313</v>
      </c>
      <c r="B130" t="s">
        <v>536</v>
      </c>
      <c r="C130" t="s">
        <v>260</v>
      </c>
      <c r="D130" t="s">
        <v>232</v>
      </c>
      <c r="E130">
        <v>50</v>
      </c>
      <c r="F130">
        <v>0</v>
      </c>
      <c r="G130">
        <v>0</v>
      </c>
      <c r="H130">
        <v>0</v>
      </c>
    </row>
    <row r="131" spans="1:8" x14ac:dyDescent="0.35">
      <c r="A131" t="s">
        <v>313</v>
      </c>
      <c r="B131" t="s">
        <v>536</v>
      </c>
      <c r="C131" t="s">
        <v>299</v>
      </c>
      <c r="D131" t="s">
        <v>238</v>
      </c>
      <c r="E131">
        <v>53</v>
      </c>
      <c r="F131">
        <v>0</v>
      </c>
      <c r="G131">
        <v>0</v>
      </c>
      <c r="H131">
        <v>0</v>
      </c>
    </row>
    <row r="132" spans="1:8" x14ac:dyDescent="0.35">
      <c r="A132" t="s">
        <v>313</v>
      </c>
      <c r="B132" t="s">
        <v>536</v>
      </c>
      <c r="C132" t="s">
        <v>303</v>
      </c>
      <c r="D132" t="s">
        <v>232</v>
      </c>
      <c r="E132">
        <v>50</v>
      </c>
      <c r="F132">
        <v>0</v>
      </c>
      <c r="G132">
        <v>0</v>
      </c>
      <c r="H132">
        <v>0</v>
      </c>
    </row>
    <row r="133" spans="1:8" x14ac:dyDescent="0.35">
      <c r="A133" t="s">
        <v>313</v>
      </c>
      <c r="B133" t="s">
        <v>539</v>
      </c>
      <c r="C133" t="s">
        <v>223</v>
      </c>
      <c r="D133" t="s">
        <v>218</v>
      </c>
      <c r="E133">
        <v>0</v>
      </c>
      <c r="F133">
        <v>13</v>
      </c>
      <c r="G133">
        <v>12</v>
      </c>
      <c r="H133">
        <v>0</v>
      </c>
    </row>
    <row r="134" spans="1:8" x14ac:dyDescent="0.35">
      <c r="A134" t="s">
        <v>313</v>
      </c>
      <c r="B134" t="s">
        <v>539</v>
      </c>
      <c r="C134" t="s">
        <v>258</v>
      </c>
      <c r="D134" t="s">
        <v>238</v>
      </c>
      <c r="E134">
        <v>0</v>
      </c>
      <c r="F134">
        <v>11</v>
      </c>
      <c r="G134">
        <v>18</v>
      </c>
      <c r="H134">
        <v>0</v>
      </c>
    </row>
    <row r="135" spans="1:8" x14ac:dyDescent="0.35">
      <c r="A135" t="s">
        <v>313</v>
      </c>
      <c r="B135" t="s">
        <v>539</v>
      </c>
      <c r="C135" t="s">
        <v>276</v>
      </c>
      <c r="D135" t="s">
        <v>218</v>
      </c>
      <c r="E135">
        <v>0</v>
      </c>
      <c r="F135">
        <v>18</v>
      </c>
      <c r="G135">
        <v>20</v>
      </c>
      <c r="H135">
        <v>0</v>
      </c>
    </row>
    <row r="136" spans="1:8" x14ac:dyDescent="0.35">
      <c r="A136" t="s">
        <v>313</v>
      </c>
      <c r="B136" t="s">
        <v>539</v>
      </c>
      <c r="C136" t="s">
        <v>314</v>
      </c>
      <c r="E136">
        <v>0</v>
      </c>
      <c r="F136">
        <v>8</v>
      </c>
      <c r="G136">
        <v>11</v>
      </c>
      <c r="H136">
        <v>0</v>
      </c>
    </row>
    <row r="137" spans="1:8" x14ac:dyDescent="0.35">
      <c r="A137" t="s">
        <v>319</v>
      </c>
      <c r="B137" t="s">
        <v>536</v>
      </c>
      <c r="C137" t="s">
        <v>229</v>
      </c>
      <c r="D137" t="s">
        <v>232</v>
      </c>
      <c r="E137">
        <v>52</v>
      </c>
      <c r="F137">
        <v>0</v>
      </c>
      <c r="G137">
        <v>0</v>
      </c>
      <c r="H137">
        <v>0</v>
      </c>
    </row>
    <row r="138" spans="1:8" x14ac:dyDescent="0.35">
      <c r="A138" t="s">
        <v>319</v>
      </c>
      <c r="B138" t="s">
        <v>536</v>
      </c>
      <c r="C138" t="s">
        <v>248</v>
      </c>
      <c r="D138" t="s">
        <v>218</v>
      </c>
      <c r="E138">
        <v>182</v>
      </c>
      <c r="F138">
        <v>0</v>
      </c>
      <c r="G138">
        <v>0</v>
      </c>
      <c r="H138">
        <v>0</v>
      </c>
    </row>
    <row r="139" spans="1:8" x14ac:dyDescent="0.35">
      <c r="A139" t="s">
        <v>319</v>
      </c>
      <c r="B139" t="s">
        <v>536</v>
      </c>
      <c r="C139" t="s">
        <v>250</v>
      </c>
      <c r="D139" t="s">
        <v>232</v>
      </c>
      <c r="E139">
        <v>47</v>
      </c>
      <c r="F139">
        <v>0</v>
      </c>
      <c r="G139">
        <v>0</v>
      </c>
      <c r="H139">
        <v>0</v>
      </c>
    </row>
    <row r="140" spans="1:8" x14ac:dyDescent="0.35">
      <c r="A140" t="s">
        <v>319</v>
      </c>
      <c r="B140" t="s">
        <v>536</v>
      </c>
      <c r="C140" t="s">
        <v>271</v>
      </c>
      <c r="D140" t="s">
        <v>232</v>
      </c>
      <c r="E140">
        <v>499</v>
      </c>
      <c r="F140">
        <v>0</v>
      </c>
      <c r="G140">
        <v>0</v>
      </c>
      <c r="H140">
        <v>0</v>
      </c>
    </row>
    <row r="141" spans="1:8" x14ac:dyDescent="0.35">
      <c r="A141" t="s">
        <v>319</v>
      </c>
      <c r="B141" t="s">
        <v>536</v>
      </c>
      <c r="C141" t="s">
        <v>310</v>
      </c>
      <c r="D141" t="s">
        <v>232</v>
      </c>
      <c r="E141">
        <v>73</v>
      </c>
      <c r="F141">
        <v>0</v>
      </c>
      <c r="G141">
        <v>0</v>
      </c>
      <c r="H141">
        <v>0</v>
      </c>
    </row>
    <row r="142" spans="1:8" x14ac:dyDescent="0.35">
      <c r="A142" t="s">
        <v>319</v>
      </c>
      <c r="B142" t="s">
        <v>539</v>
      </c>
      <c r="C142" t="s">
        <v>227</v>
      </c>
      <c r="D142" t="s">
        <v>218</v>
      </c>
      <c r="E142">
        <v>0</v>
      </c>
      <c r="F142">
        <v>13</v>
      </c>
      <c r="G142">
        <v>15</v>
      </c>
      <c r="H142">
        <v>0</v>
      </c>
    </row>
    <row r="143" spans="1:8" x14ac:dyDescent="0.35">
      <c r="A143" t="s">
        <v>319</v>
      </c>
      <c r="B143" t="s">
        <v>539</v>
      </c>
      <c r="C143" t="s">
        <v>286</v>
      </c>
      <c r="D143" t="s">
        <v>218</v>
      </c>
      <c r="E143">
        <v>0</v>
      </c>
      <c r="F143">
        <v>11</v>
      </c>
      <c r="G143">
        <v>4</v>
      </c>
      <c r="H143">
        <v>0</v>
      </c>
    </row>
    <row r="144" spans="1:8" x14ac:dyDescent="0.35">
      <c r="A144" t="s">
        <v>319</v>
      </c>
      <c r="B144" t="s">
        <v>543</v>
      </c>
      <c r="C144" t="s">
        <v>544</v>
      </c>
      <c r="D144" t="s">
        <v>548</v>
      </c>
      <c r="E144">
        <v>0</v>
      </c>
      <c r="F144">
        <v>59</v>
      </c>
      <c r="G144">
        <v>24</v>
      </c>
      <c r="H144">
        <v>1</v>
      </c>
    </row>
    <row r="145" spans="1:8" x14ac:dyDescent="0.35">
      <c r="A145" t="s">
        <v>321</v>
      </c>
      <c r="B145" t="s">
        <v>536</v>
      </c>
      <c r="C145" t="s">
        <v>241</v>
      </c>
      <c r="D145" t="s">
        <v>238</v>
      </c>
      <c r="E145">
        <v>24</v>
      </c>
      <c r="F145">
        <v>0</v>
      </c>
      <c r="G145">
        <v>0</v>
      </c>
      <c r="H145">
        <v>0</v>
      </c>
    </row>
    <row r="146" spans="1:8" x14ac:dyDescent="0.35">
      <c r="A146" t="s">
        <v>321</v>
      </c>
      <c r="B146" t="s">
        <v>536</v>
      </c>
      <c r="C146" t="s">
        <v>278</v>
      </c>
      <c r="E146">
        <v>68</v>
      </c>
      <c r="F146">
        <v>0</v>
      </c>
      <c r="G146">
        <v>0</v>
      </c>
      <c r="H146">
        <v>0</v>
      </c>
    </row>
    <row r="147" spans="1:8" x14ac:dyDescent="0.35">
      <c r="A147" t="s">
        <v>321</v>
      </c>
      <c r="B147" t="s">
        <v>536</v>
      </c>
      <c r="C147" t="s">
        <v>305</v>
      </c>
      <c r="E147">
        <v>155</v>
      </c>
      <c r="F147">
        <v>0</v>
      </c>
      <c r="G147">
        <v>0</v>
      </c>
      <c r="H147">
        <v>0</v>
      </c>
    </row>
    <row r="148" spans="1:8" x14ac:dyDescent="0.35">
      <c r="A148" t="s">
        <v>321</v>
      </c>
      <c r="B148" t="s">
        <v>536</v>
      </c>
      <c r="C148" t="s">
        <v>312</v>
      </c>
      <c r="D148" t="s">
        <v>238</v>
      </c>
      <c r="E148">
        <v>58</v>
      </c>
      <c r="F148">
        <v>0</v>
      </c>
      <c r="G148">
        <v>0</v>
      </c>
      <c r="H148">
        <v>0</v>
      </c>
    </row>
    <row r="149" spans="1:8" x14ac:dyDescent="0.35">
      <c r="A149" t="s">
        <v>321</v>
      </c>
      <c r="B149" t="s">
        <v>539</v>
      </c>
      <c r="C149" t="s">
        <v>227</v>
      </c>
      <c r="E149">
        <v>0</v>
      </c>
      <c r="F149">
        <v>13</v>
      </c>
      <c r="G149">
        <v>18</v>
      </c>
      <c r="H149">
        <v>0</v>
      </c>
    </row>
    <row r="150" spans="1:8" x14ac:dyDescent="0.35">
      <c r="A150" t="s">
        <v>321</v>
      </c>
      <c r="B150" t="s">
        <v>541</v>
      </c>
      <c r="C150" t="s">
        <v>233</v>
      </c>
      <c r="E150">
        <v>0</v>
      </c>
      <c r="F150">
        <v>14</v>
      </c>
      <c r="G150">
        <v>59</v>
      </c>
      <c r="H150">
        <v>34</v>
      </c>
    </row>
    <row r="151" spans="1:8" x14ac:dyDescent="0.35">
      <c r="A151" t="s">
        <v>321</v>
      </c>
      <c r="B151" t="s">
        <v>543</v>
      </c>
      <c r="C151" t="s">
        <v>544</v>
      </c>
      <c r="D151" t="s">
        <v>548</v>
      </c>
      <c r="E151">
        <v>0</v>
      </c>
      <c r="F151">
        <v>60</v>
      </c>
      <c r="G151">
        <v>25</v>
      </c>
      <c r="H151">
        <v>0</v>
      </c>
    </row>
    <row r="152" spans="1:8" x14ac:dyDescent="0.35">
      <c r="A152" t="s">
        <v>326</v>
      </c>
      <c r="B152" t="s">
        <v>536</v>
      </c>
      <c r="C152" t="s">
        <v>284</v>
      </c>
      <c r="E152">
        <v>0</v>
      </c>
      <c r="F152">
        <v>0</v>
      </c>
      <c r="G152">
        <v>3</v>
      </c>
      <c r="H152">
        <v>0</v>
      </c>
    </row>
    <row r="153" spans="1:8" x14ac:dyDescent="0.35">
      <c r="A153" t="s">
        <v>326</v>
      </c>
      <c r="B153" t="s">
        <v>536</v>
      </c>
      <c r="C153" t="s">
        <v>297</v>
      </c>
      <c r="E153">
        <v>95</v>
      </c>
      <c r="F153">
        <v>0</v>
      </c>
      <c r="G153">
        <v>0</v>
      </c>
      <c r="H153">
        <v>0</v>
      </c>
    </row>
    <row r="154" spans="1:8" x14ac:dyDescent="0.35">
      <c r="A154" t="s">
        <v>326</v>
      </c>
      <c r="B154" t="s">
        <v>536</v>
      </c>
      <c r="C154" t="s">
        <v>301</v>
      </c>
      <c r="E154">
        <v>0</v>
      </c>
      <c r="F154">
        <v>0</v>
      </c>
      <c r="G154">
        <v>1</v>
      </c>
      <c r="H154">
        <v>0</v>
      </c>
    </row>
    <row r="155" spans="1:8" x14ac:dyDescent="0.35">
      <c r="A155" t="s">
        <v>326</v>
      </c>
      <c r="B155" t="s">
        <v>539</v>
      </c>
      <c r="C155" t="s">
        <v>237</v>
      </c>
      <c r="D155" t="s">
        <v>238</v>
      </c>
      <c r="E155">
        <v>0</v>
      </c>
      <c r="F155">
        <v>0</v>
      </c>
      <c r="G155">
        <v>1</v>
      </c>
      <c r="H155">
        <v>0</v>
      </c>
    </row>
    <row r="156" spans="1:8" x14ac:dyDescent="0.35">
      <c r="A156" t="s">
        <v>326</v>
      </c>
      <c r="B156" t="s">
        <v>539</v>
      </c>
      <c r="C156" t="s">
        <v>286</v>
      </c>
      <c r="E156">
        <v>0</v>
      </c>
      <c r="F156">
        <v>1</v>
      </c>
      <c r="G156">
        <v>0</v>
      </c>
      <c r="H156">
        <v>0</v>
      </c>
    </row>
    <row r="157" spans="1:8" x14ac:dyDescent="0.35">
      <c r="A157" t="s">
        <v>326</v>
      </c>
      <c r="B157" t="s">
        <v>539</v>
      </c>
      <c r="C157" t="s">
        <v>314</v>
      </c>
      <c r="E157">
        <v>0</v>
      </c>
      <c r="F157">
        <v>13</v>
      </c>
      <c r="G157">
        <v>13</v>
      </c>
      <c r="H157">
        <v>0</v>
      </c>
    </row>
    <row r="158" spans="1:8" x14ac:dyDescent="0.35">
      <c r="A158" t="s">
        <v>327</v>
      </c>
      <c r="B158" t="s">
        <v>536</v>
      </c>
      <c r="C158" t="s">
        <v>237</v>
      </c>
      <c r="D158" t="s">
        <v>238</v>
      </c>
      <c r="E158">
        <v>293</v>
      </c>
      <c r="F158">
        <v>0</v>
      </c>
      <c r="G158">
        <v>0</v>
      </c>
      <c r="H158">
        <v>0</v>
      </c>
    </row>
    <row r="159" spans="1:8" x14ac:dyDescent="0.35">
      <c r="A159" t="s">
        <v>327</v>
      </c>
      <c r="B159" t="s">
        <v>536</v>
      </c>
      <c r="C159" t="s">
        <v>271</v>
      </c>
      <c r="E159">
        <v>452</v>
      </c>
      <c r="F159">
        <v>0</v>
      </c>
      <c r="G159">
        <v>11</v>
      </c>
      <c r="H159">
        <v>0</v>
      </c>
    </row>
    <row r="160" spans="1:8" x14ac:dyDescent="0.35">
      <c r="A160" t="s">
        <v>327</v>
      </c>
      <c r="B160" t="s">
        <v>539</v>
      </c>
      <c r="C160" t="s">
        <v>262</v>
      </c>
      <c r="E160">
        <v>0</v>
      </c>
      <c r="F160">
        <v>10</v>
      </c>
      <c r="G160">
        <v>8</v>
      </c>
      <c r="H160">
        <v>0</v>
      </c>
    </row>
    <row r="161" spans="1:8" x14ac:dyDescent="0.35">
      <c r="A161" t="s">
        <v>327</v>
      </c>
      <c r="B161" t="s">
        <v>539</v>
      </c>
      <c r="C161" t="s">
        <v>266</v>
      </c>
      <c r="E161">
        <v>0</v>
      </c>
      <c r="F161">
        <v>9</v>
      </c>
      <c r="G161">
        <v>10</v>
      </c>
      <c r="H161">
        <v>0</v>
      </c>
    </row>
    <row r="162" spans="1:8" x14ac:dyDescent="0.35">
      <c r="A162" t="s">
        <v>327</v>
      </c>
      <c r="B162" t="s">
        <v>539</v>
      </c>
      <c r="C162" t="s">
        <v>271</v>
      </c>
      <c r="E162">
        <v>0</v>
      </c>
      <c r="F162">
        <v>13</v>
      </c>
      <c r="G162">
        <v>10</v>
      </c>
      <c r="H162">
        <v>0</v>
      </c>
    </row>
    <row r="163" spans="1:8" x14ac:dyDescent="0.35">
      <c r="A163" t="s">
        <v>327</v>
      </c>
      <c r="B163" t="s">
        <v>539</v>
      </c>
      <c r="C163" t="s">
        <v>314</v>
      </c>
      <c r="D163" t="s">
        <v>238</v>
      </c>
      <c r="E163">
        <v>0</v>
      </c>
      <c r="F163">
        <v>2</v>
      </c>
      <c r="G163">
        <v>2</v>
      </c>
      <c r="H163">
        <v>0</v>
      </c>
    </row>
    <row r="164" spans="1:8" x14ac:dyDescent="0.35">
      <c r="A164" t="s">
        <v>466</v>
      </c>
      <c r="B164" t="s">
        <v>536</v>
      </c>
      <c r="C164" t="s">
        <v>237</v>
      </c>
      <c r="D164" t="s">
        <v>238</v>
      </c>
      <c r="E164">
        <v>288</v>
      </c>
      <c r="F164">
        <v>0</v>
      </c>
      <c r="G164">
        <v>0</v>
      </c>
      <c r="H164">
        <v>0</v>
      </c>
    </row>
    <row r="165" spans="1:8" x14ac:dyDescent="0.35">
      <c r="A165" t="s">
        <v>466</v>
      </c>
      <c r="B165" t="s">
        <v>536</v>
      </c>
      <c r="C165" t="s">
        <v>250</v>
      </c>
      <c r="E165">
        <v>54</v>
      </c>
      <c r="F165">
        <v>0</v>
      </c>
      <c r="G165">
        <v>1</v>
      </c>
      <c r="H165">
        <v>0</v>
      </c>
    </row>
    <row r="166" spans="1:8" x14ac:dyDescent="0.35">
      <c r="A166" t="s">
        <v>466</v>
      </c>
      <c r="B166" t="s">
        <v>536</v>
      </c>
      <c r="C166" t="s">
        <v>268</v>
      </c>
      <c r="D166" t="s">
        <v>238</v>
      </c>
      <c r="E166">
        <v>211</v>
      </c>
      <c r="F166">
        <v>0</v>
      </c>
      <c r="G166">
        <v>0</v>
      </c>
      <c r="H166">
        <v>0</v>
      </c>
    </row>
    <row r="167" spans="1:8" x14ac:dyDescent="0.35">
      <c r="A167" t="s">
        <v>466</v>
      </c>
      <c r="B167" t="s">
        <v>536</v>
      </c>
      <c r="C167" t="s">
        <v>271</v>
      </c>
      <c r="E167">
        <v>438</v>
      </c>
      <c r="F167">
        <v>0</v>
      </c>
      <c r="G167">
        <v>10</v>
      </c>
      <c r="H167">
        <v>0</v>
      </c>
    </row>
    <row r="168" spans="1:8" x14ac:dyDescent="0.35">
      <c r="A168" t="s">
        <v>466</v>
      </c>
      <c r="B168" t="s">
        <v>536</v>
      </c>
      <c r="C168" t="s">
        <v>280</v>
      </c>
      <c r="D168" t="s">
        <v>238</v>
      </c>
      <c r="E168">
        <v>28</v>
      </c>
      <c r="F168">
        <v>0</v>
      </c>
      <c r="G168">
        <v>0</v>
      </c>
      <c r="H168">
        <v>0</v>
      </c>
    </row>
    <row r="169" spans="1:8" x14ac:dyDescent="0.35">
      <c r="A169" t="s">
        <v>466</v>
      </c>
      <c r="B169" t="s">
        <v>539</v>
      </c>
      <c r="C169" t="s">
        <v>262</v>
      </c>
      <c r="E169">
        <v>0</v>
      </c>
      <c r="F169">
        <v>9</v>
      </c>
      <c r="G169">
        <v>6</v>
      </c>
      <c r="H169">
        <v>0</v>
      </c>
    </row>
    <row r="170" spans="1:8" x14ac:dyDescent="0.35">
      <c r="A170" t="s">
        <v>466</v>
      </c>
      <c r="B170" t="s">
        <v>539</v>
      </c>
      <c r="C170" t="s">
        <v>266</v>
      </c>
      <c r="E170">
        <v>0</v>
      </c>
      <c r="F170">
        <v>9</v>
      </c>
      <c r="G170">
        <v>6</v>
      </c>
      <c r="H170">
        <v>0</v>
      </c>
    </row>
    <row r="171" spans="1:8" x14ac:dyDescent="0.35">
      <c r="A171" t="s">
        <v>214</v>
      </c>
      <c r="B171" t="s">
        <v>536</v>
      </c>
      <c r="C171" t="s">
        <v>225</v>
      </c>
      <c r="D171" t="s">
        <v>224</v>
      </c>
      <c r="E171">
        <v>28</v>
      </c>
      <c r="F171">
        <v>0</v>
      </c>
      <c r="G171">
        <v>0</v>
      </c>
      <c r="H171">
        <v>0</v>
      </c>
    </row>
    <row r="172" spans="1:8" x14ac:dyDescent="0.35">
      <c r="A172" t="s">
        <v>214</v>
      </c>
      <c r="B172" t="s">
        <v>536</v>
      </c>
      <c r="C172" t="s">
        <v>237</v>
      </c>
      <c r="D172" t="s">
        <v>238</v>
      </c>
      <c r="E172">
        <v>297</v>
      </c>
      <c r="F172">
        <v>0</v>
      </c>
      <c r="G172">
        <v>0</v>
      </c>
      <c r="H172">
        <v>0</v>
      </c>
    </row>
    <row r="173" spans="1:8" x14ac:dyDescent="0.35">
      <c r="A173" t="s">
        <v>214</v>
      </c>
      <c r="B173" t="s">
        <v>536</v>
      </c>
      <c r="C173" t="s">
        <v>241</v>
      </c>
      <c r="D173" t="s">
        <v>238</v>
      </c>
      <c r="E173">
        <v>25</v>
      </c>
      <c r="F173">
        <v>0</v>
      </c>
      <c r="G173">
        <v>0</v>
      </c>
      <c r="H173">
        <v>0</v>
      </c>
    </row>
    <row r="174" spans="1:8" x14ac:dyDescent="0.35">
      <c r="A174" t="s">
        <v>214</v>
      </c>
      <c r="B174" t="s">
        <v>536</v>
      </c>
      <c r="C174" t="s">
        <v>271</v>
      </c>
      <c r="D174" t="s">
        <v>270</v>
      </c>
      <c r="E174">
        <v>515</v>
      </c>
      <c r="F174">
        <v>0</v>
      </c>
      <c r="G174">
        <v>0</v>
      </c>
      <c r="H174">
        <v>0</v>
      </c>
    </row>
    <row r="175" spans="1:8" x14ac:dyDescent="0.35">
      <c r="A175" t="s">
        <v>214</v>
      </c>
      <c r="B175" t="s">
        <v>539</v>
      </c>
      <c r="C175" t="s">
        <v>216</v>
      </c>
      <c r="D175" t="s">
        <v>217</v>
      </c>
      <c r="E175">
        <v>0</v>
      </c>
      <c r="F175">
        <v>7</v>
      </c>
      <c r="G175">
        <v>9</v>
      </c>
      <c r="H175">
        <v>0</v>
      </c>
    </row>
    <row r="176" spans="1:8" x14ac:dyDescent="0.35">
      <c r="A176" t="s">
        <v>214</v>
      </c>
      <c r="B176" t="s">
        <v>539</v>
      </c>
      <c r="C176" t="s">
        <v>231</v>
      </c>
      <c r="D176" t="s">
        <v>230</v>
      </c>
      <c r="E176">
        <v>0</v>
      </c>
      <c r="F176">
        <v>12</v>
      </c>
      <c r="G176">
        <v>14</v>
      </c>
      <c r="H176">
        <v>0</v>
      </c>
    </row>
    <row r="177" spans="1:8" x14ac:dyDescent="0.35">
      <c r="A177" t="s">
        <v>214</v>
      </c>
      <c r="B177" t="s">
        <v>539</v>
      </c>
      <c r="C177" t="s">
        <v>227</v>
      </c>
      <c r="D177" t="s">
        <v>226</v>
      </c>
      <c r="E177">
        <v>0</v>
      </c>
      <c r="F177">
        <v>13</v>
      </c>
      <c r="G177">
        <v>16</v>
      </c>
      <c r="H177">
        <v>0</v>
      </c>
    </row>
    <row r="178" spans="1:8" x14ac:dyDescent="0.35">
      <c r="A178" t="s">
        <v>214</v>
      </c>
      <c r="B178" t="s">
        <v>539</v>
      </c>
      <c r="C178" t="s">
        <v>258</v>
      </c>
      <c r="D178" t="s">
        <v>238</v>
      </c>
      <c r="E178">
        <v>0</v>
      </c>
      <c r="F178">
        <v>11</v>
      </c>
      <c r="G178">
        <v>14</v>
      </c>
      <c r="H178">
        <v>0</v>
      </c>
    </row>
    <row r="179" spans="1:8" x14ac:dyDescent="0.35">
      <c r="A179" t="s">
        <v>214</v>
      </c>
      <c r="B179" t="s">
        <v>539</v>
      </c>
      <c r="C179" t="s">
        <v>290</v>
      </c>
      <c r="D179" t="s">
        <v>291</v>
      </c>
      <c r="E179">
        <v>0</v>
      </c>
      <c r="F179">
        <v>8</v>
      </c>
      <c r="G179">
        <v>9</v>
      </c>
      <c r="H179">
        <v>0</v>
      </c>
    </row>
    <row r="180" spans="1:8" x14ac:dyDescent="0.35">
      <c r="A180" t="s">
        <v>214</v>
      </c>
      <c r="B180" t="s">
        <v>539</v>
      </c>
      <c r="C180" t="s">
        <v>305</v>
      </c>
      <c r="D180" t="s">
        <v>306</v>
      </c>
      <c r="E180">
        <v>0</v>
      </c>
      <c r="F180">
        <v>9</v>
      </c>
      <c r="G180">
        <v>7</v>
      </c>
      <c r="H180">
        <v>0</v>
      </c>
    </row>
    <row r="181" spans="1:8" x14ac:dyDescent="0.35">
      <c r="A181" t="s">
        <v>214</v>
      </c>
      <c r="B181" t="s">
        <v>539</v>
      </c>
      <c r="C181" t="s">
        <v>243</v>
      </c>
      <c r="D181" t="s">
        <v>238</v>
      </c>
      <c r="E181">
        <v>0</v>
      </c>
      <c r="F181">
        <v>9</v>
      </c>
      <c r="G181">
        <v>9</v>
      </c>
      <c r="H181">
        <v>0</v>
      </c>
    </row>
    <row r="182" spans="1:8" x14ac:dyDescent="0.35">
      <c r="A182" t="s">
        <v>313</v>
      </c>
      <c r="B182" t="s">
        <v>536</v>
      </c>
      <c r="C182" t="s">
        <v>221</v>
      </c>
      <c r="D182" t="s">
        <v>218</v>
      </c>
      <c r="E182">
        <v>32</v>
      </c>
      <c r="F182">
        <v>0</v>
      </c>
      <c r="G182">
        <v>0</v>
      </c>
      <c r="H182">
        <v>0</v>
      </c>
    </row>
    <row r="183" spans="1:8" x14ac:dyDescent="0.35">
      <c r="A183" t="s">
        <v>313</v>
      </c>
      <c r="B183" t="s">
        <v>536</v>
      </c>
      <c r="C183" t="s">
        <v>537</v>
      </c>
      <c r="D183" t="s">
        <v>232</v>
      </c>
      <c r="E183">
        <v>52</v>
      </c>
      <c r="F183">
        <v>0</v>
      </c>
      <c r="G183">
        <v>0</v>
      </c>
      <c r="H183">
        <v>0</v>
      </c>
    </row>
    <row r="184" spans="1:8" x14ac:dyDescent="0.35">
      <c r="A184" t="s">
        <v>313</v>
      </c>
      <c r="B184" t="s">
        <v>536</v>
      </c>
      <c r="C184" t="s">
        <v>288</v>
      </c>
      <c r="D184" t="s">
        <v>232</v>
      </c>
      <c r="E184">
        <v>75</v>
      </c>
      <c r="F184">
        <v>0</v>
      </c>
      <c r="G184">
        <v>0</v>
      </c>
      <c r="H184">
        <v>0</v>
      </c>
    </row>
    <row r="185" spans="1:8" x14ac:dyDescent="0.35">
      <c r="A185" t="s">
        <v>313</v>
      </c>
      <c r="B185" t="s">
        <v>536</v>
      </c>
      <c r="C185" t="s">
        <v>312</v>
      </c>
      <c r="D185" t="s">
        <v>238</v>
      </c>
      <c r="E185">
        <v>58</v>
      </c>
      <c r="F185">
        <v>0</v>
      </c>
      <c r="G185">
        <v>0</v>
      </c>
      <c r="H185">
        <v>0</v>
      </c>
    </row>
    <row r="186" spans="1:8" x14ac:dyDescent="0.35">
      <c r="A186" t="s">
        <v>313</v>
      </c>
      <c r="B186" t="s">
        <v>539</v>
      </c>
      <c r="C186" t="s">
        <v>237</v>
      </c>
      <c r="D186" t="s">
        <v>238</v>
      </c>
      <c r="E186">
        <v>0</v>
      </c>
      <c r="F186">
        <v>10</v>
      </c>
      <c r="G186">
        <v>18</v>
      </c>
      <c r="H186">
        <v>0</v>
      </c>
    </row>
    <row r="187" spans="1:8" x14ac:dyDescent="0.35">
      <c r="A187" t="s">
        <v>313</v>
      </c>
      <c r="B187" t="s">
        <v>539</v>
      </c>
      <c r="C187" t="s">
        <v>271</v>
      </c>
      <c r="D187" t="s">
        <v>232</v>
      </c>
      <c r="E187">
        <v>0</v>
      </c>
      <c r="F187">
        <v>16</v>
      </c>
      <c r="G187">
        <v>9</v>
      </c>
      <c r="H187">
        <v>0</v>
      </c>
    </row>
    <row r="188" spans="1:8" x14ac:dyDescent="0.35">
      <c r="A188" t="s">
        <v>319</v>
      </c>
      <c r="B188" t="s">
        <v>536</v>
      </c>
      <c r="C188" t="s">
        <v>241</v>
      </c>
      <c r="D188" t="s">
        <v>238</v>
      </c>
      <c r="E188">
        <v>24</v>
      </c>
      <c r="F188">
        <v>0</v>
      </c>
      <c r="G188">
        <v>0</v>
      </c>
      <c r="H188">
        <v>0</v>
      </c>
    </row>
    <row r="189" spans="1:8" x14ac:dyDescent="0.35">
      <c r="A189" t="s">
        <v>319</v>
      </c>
      <c r="B189" t="s">
        <v>536</v>
      </c>
      <c r="C189" t="s">
        <v>276</v>
      </c>
      <c r="D189" t="s">
        <v>218</v>
      </c>
      <c r="E189">
        <v>74</v>
      </c>
      <c r="F189">
        <v>0</v>
      </c>
      <c r="G189">
        <v>0</v>
      </c>
      <c r="H189">
        <v>0</v>
      </c>
    </row>
    <row r="190" spans="1:8" x14ac:dyDescent="0.35">
      <c r="A190" t="s">
        <v>319</v>
      </c>
      <c r="B190" t="s">
        <v>536</v>
      </c>
      <c r="C190" t="s">
        <v>278</v>
      </c>
      <c r="D190" t="s">
        <v>232</v>
      </c>
      <c r="E190">
        <v>70</v>
      </c>
      <c r="F190">
        <v>0</v>
      </c>
      <c r="G190">
        <v>0</v>
      </c>
      <c r="H190">
        <v>0</v>
      </c>
    </row>
    <row r="191" spans="1:8" x14ac:dyDescent="0.35">
      <c r="A191" t="s">
        <v>319</v>
      </c>
      <c r="B191" t="s">
        <v>536</v>
      </c>
      <c r="C191" t="s">
        <v>297</v>
      </c>
      <c r="D191" t="s">
        <v>232</v>
      </c>
      <c r="E191">
        <v>100</v>
      </c>
      <c r="F191">
        <v>0</v>
      </c>
      <c r="G191">
        <v>0</v>
      </c>
      <c r="H191">
        <v>0</v>
      </c>
    </row>
    <row r="192" spans="1:8" x14ac:dyDescent="0.35">
      <c r="A192" t="s">
        <v>319</v>
      </c>
      <c r="B192" t="s">
        <v>536</v>
      </c>
      <c r="C192" t="s">
        <v>299</v>
      </c>
      <c r="D192" t="s">
        <v>238</v>
      </c>
      <c r="E192">
        <v>51</v>
      </c>
      <c r="F192">
        <v>0</v>
      </c>
      <c r="G192">
        <v>0</v>
      </c>
      <c r="H192">
        <v>0</v>
      </c>
    </row>
    <row r="193" spans="1:8" x14ac:dyDescent="0.35">
      <c r="A193" t="s">
        <v>319</v>
      </c>
      <c r="B193" t="s">
        <v>539</v>
      </c>
      <c r="C193" t="s">
        <v>245</v>
      </c>
      <c r="D193" t="s">
        <v>232</v>
      </c>
      <c r="E193">
        <v>0</v>
      </c>
      <c r="F193">
        <v>9</v>
      </c>
      <c r="G193">
        <v>12</v>
      </c>
      <c r="H193">
        <v>0</v>
      </c>
    </row>
    <row r="194" spans="1:8" x14ac:dyDescent="0.35">
      <c r="A194" t="s">
        <v>319</v>
      </c>
      <c r="B194" t="s">
        <v>539</v>
      </c>
      <c r="C194" t="s">
        <v>252</v>
      </c>
      <c r="D194" t="s">
        <v>232</v>
      </c>
      <c r="E194">
        <v>0</v>
      </c>
      <c r="F194">
        <v>13</v>
      </c>
      <c r="G194">
        <v>14</v>
      </c>
      <c r="H194">
        <v>0</v>
      </c>
    </row>
    <row r="195" spans="1:8" x14ac:dyDescent="0.35">
      <c r="A195" t="s">
        <v>319</v>
      </c>
      <c r="B195" t="s">
        <v>539</v>
      </c>
      <c r="C195" t="s">
        <v>276</v>
      </c>
      <c r="D195" t="s">
        <v>218</v>
      </c>
      <c r="E195">
        <v>0</v>
      </c>
      <c r="F195">
        <v>17</v>
      </c>
      <c r="G195">
        <v>18</v>
      </c>
      <c r="H195">
        <v>0</v>
      </c>
    </row>
    <row r="196" spans="1:8" x14ac:dyDescent="0.35">
      <c r="A196" t="s">
        <v>319</v>
      </c>
      <c r="B196" t="s">
        <v>539</v>
      </c>
      <c r="C196" t="s">
        <v>305</v>
      </c>
      <c r="D196" t="s">
        <v>232</v>
      </c>
      <c r="E196">
        <v>0</v>
      </c>
      <c r="F196">
        <v>9</v>
      </c>
      <c r="G196">
        <v>7</v>
      </c>
      <c r="H196">
        <v>0</v>
      </c>
    </row>
    <row r="197" spans="1:8" x14ac:dyDescent="0.35">
      <c r="A197" t="s">
        <v>319</v>
      </c>
      <c r="B197" t="s">
        <v>539</v>
      </c>
      <c r="C197" t="s">
        <v>314</v>
      </c>
      <c r="D197" t="s">
        <v>238</v>
      </c>
      <c r="E197">
        <v>0</v>
      </c>
      <c r="F197">
        <v>4</v>
      </c>
      <c r="G197">
        <v>11</v>
      </c>
      <c r="H197">
        <v>0</v>
      </c>
    </row>
    <row r="198" spans="1:8" x14ac:dyDescent="0.35">
      <c r="A198" t="s">
        <v>321</v>
      </c>
      <c r="B198" t="s">
        <v>536</v>
      </c>
      <c r="C198" t="s">
        <v>250</v>
      </c>
      <c r="E198">
        <v>46</v>
      </c>
      <c r="F198">
        <v>0</v>
      </c>
      <c r="G198">
        <v>0</v>
      </c>
      <c r="H198">
        <v>0</v>
      </c>
    </row>
    <row r="199" spans="1:8" x14ac:dyDescent="0.35">
      <c r="A199" t="s">
        <v>321</v>
      </c>
      <c r="B199" t="s">
        <v>536</v>
      </c>
      <c r="C199" t="s">
        <v>290</v>
      </c>
      <c r="E199">
        <v>156</v>
      </c>
      <c r="F199">
        <v>0</v>
      </c>
      <c r="G199">
        <v>0</v>
      </c>
      <c r="H199">
        <v>0</v>
      </c>
    </row>
    <row r="200" spans="1:8" x14ac:dyDescent="0.35">
      <c r="A200" t="s">
        <v>321</v>
      </c>
      <c r="B200" t="s">
        <v>536</v>
      </c>
      <c r="C200" t="s">
        <v>297</v>
      </c>
      <c r="E200">
        <v>99</v>
      </c>
      <c r="F200">
        <v>0</v>
      </c>
      <c r="G200">
        <v>0</v>
      </c>
      <c r="H200">
        <v>0</v>
      </c>
    </row>
    <row r="201" spans="1:8" x14ac:dyDescent="0.35">
      <c r="A201" t="s">
        <v>321</v>
      </c>
      <c r="B201" t="s">
        <v>536</v>
      </c>
      <c r="C201" t="s">
        <v>310</v>
      </c>
      <c r="E201">
        <v>69</v>
      </c>
      <c r="F201">
        <v>0</v>
      </c>
      <c r="G201">
        <v>0</v>
      </c>
      <c r="H201">
        <v>0</v>
      </c>
    </row>
    <row r="202" spans="1:8" x14ac:dyDescent="0.35">
      <c r="A202" t="s">
        <v>321</v>
      </c>
      <c r="B202" t="s">
        <v>539</v>
      </c>
      <c r="C202" t="s">
        <v>245</v>
      </c>
      <c r="E202">
        <v>0</v>
      </c>
      <c r="F202">
        <v>9</v>
      </c>
      <c r="G202">
        <v>13</v>
      </c>
      <c r="H202">
        <v>0</v>
      </c>
    </row>
    <row r="203" spans="1:8" x14ac:dyDescent="0.35">
      <c r="A203" t="s">
        <v>321</v>
      </c>
      <c r="B203" t="s">
        <v>539</v>
      </c>
      <c r="C203" t="s">
        <v>314</v>
      </c>
      <c r="D203" t="s">
        <v>238</v>
      </c>
      <c r="E203">
        <v>0</v>
      </c>
      <c r="F203">
        <v>4</v>
      </c>
      <c r="G203">
        <v>7</v>
      </c>
      <c r="H203">
        <v>0</v>
      </c>
    </row>
    <row r="204" spans="1:8" x14ac:dyDescent="0.35">
      <c r="A204" t="s">
        <v>321</v>
      </c>
      <c r="B204" t="s">
        <v>541</v>
      </c>
      <c r="C204" t="s">
        <v>239</v>
      </c>
      <c r="D204" t="s">
        <v>238</v>
      </c>
      <c r="E204">
        <v>0</v>
      </c>
      <c r="F204">
        <v>8</v>
      </c>
      <c r="G204">
        <v>37</v>
      </c>
      <c r="H204">
        <v>21</v>
      </c>
    </row>
    <row r="205" spans="1:8" x14ac:dyDescent="0.35">
      <c r="A205" t="s">
        <v>326</v>
      </c>
      <c r="B205" t="s">
        <v>536</v>
      </c>
      <c r="C205" t="s">
        <v>264</v>
      </c>
      <c r="D205" t="s">
        <v>238</v>
      </c>
      <c r="E205">
        <v>84</v>
      </c>
      <c r="F205">
        <v>0</v>
      </c>
      <c r="G205">
        <v>0</v>
      </c>
      <c r="H205">
        <v>0</v>
      </c>
    </row>
    <row r="206" spans="1:8" x14ac:dyDescent="0.35">
      <c r="A206" t="s">
        <v>326</v>
      </c>
      <c r="B206" t="s">
        <v>536</v>
      </c>
      <c r="C206" t="s">
        <v>268</v>
      </c>
      <c r="D206" t="s">
        <v>238</v>
      </c>
      <c r="E206">
        <v>238</v>
      </c>
      <c r="F206">
        <v>0</v>
      </c>
      <c r="G206">
        <v>1</v>
      </c>
      <c r="H206">
        <v>0</v>
      </c>
    </row>
    <row r="207" spans="1:8" x14ac:dyDescent="0.35">
      <c r="A207" t="s">
        <v>326</v>
      </c>
      <c r="B207" t="s">
        <v>536</v>
      </c>
      <c r="C207" t="s">
        <v>276</v>
      </c>
      <c r="E207">
        <v>0</v>
      </c>
      <c r="F207">
        <v>0</v>
      </c>
      <c r="G207">
        <v>11</v>
      </c>
      <c r="H207">
        <v>0</v>
      </c>
    </row>
    <row r="208" spans="1:8" x14ac:dyDescent="0.35">
      <c r="A208" t="s">
        <v>326</v>
      </c>
      <c r="B208" t="s">
        <v>539</v>
      </c>
      <c r="C208" t="s">
        <v>262</v>
      </c>
      <c r="E208">
        <v>0</v>
      </c>
      <c r="F208">
        <v>10</v>
      </c>
      <c r="G208">
        <v>9</v>
      </c>
      <c r="H208">
        <v>0</v>
      </c>
    </row>
    <row r="209" spans="1:8" x14ac:dyDescent="0.35">
      <c r="A209" t="s">
        <v>326</v>
      </c>
      <c r="B209" t="s">
        <v>539</v>
      </c>
      <c r="C209" t="s">
        <v>266</v>
      </c>
      <c r="E209">
        <v>0</v>
      </c>
      <c r="F209">
        <v>8</v>
      </c>
      <c r="G209">
        <v>11</v>
      </c>
      <c r="H209">
        <v>0</v>
      </c>
    </row>
    <row r="210" spans="1:8" x14ac:dyDescent="0.35">
      <c r="A210" t="s">
        <v>326</v>
      </c>
      <c r="B210" t="s">
        <v>539</v>
      </c>
      <c r="C210" t="s">
        <v>276</v>
      </c>
      <c r="E210">
        <v>0</v>
      </c>
      <c r="F210">
        <v>15</v>
      </c>
      <c r="G210">
        <v>5</v>
      </c>
      <c r="H210">
        <v>0</v>
      </c>
    </row>
    <row r="211" spans="1:8" x14ac:dyDescent="0.35">
      <c r="A211" t="s">
        <v>326</v>
      </c>
      <c r="B211" t="s">
        <v>539</v>
      </c>
      <c r="C211" t="s">
        <v>286</v>
      </c>
      <c r="E211">
        <v>0</v>
      </c>
      <c r="F211">
        <v>9</v>
      </c>
      <c r="G211">
        <v>0</v>
      </c>
      <c r="H211">
        <v>0</v>
      </c>
    </row>
    <row r="212" spans="1:8" x14ac:dyDescent="0.35">
      <c r="A212" t="s">
        <v>327</v>
      </c>
      <c r="B212" t="s">
        <v>536</v>
      </c>
      <c r="C212" t="s">
        <v>248</v>
      </c>
      <c r="E212">
        <v>166</v>
      </c>
      <c r="F212">
        <v>0</v>
      </c>
      <c r="G212">
        <v>2</v>
      </c>
      <c r="H212">
        <v>0</v>
      </c>
    </row>
    <row r="213" spans="1:8" x14ac:dyDescent="0.35">
      <c r="A213" t="s">
        <v>327</v>
      </c>
      <c r="B213" t="s">
        <v>536</v>
      </c>
      <c r="C213" t="s">
        <v>278</v>
      </c>
      <c r="E213">
        <v>63</v>
      </c>
      <c r="F213">
        <v>0</v>
      </c>
      <c r="G213">
        <v>0</v>
      </c>
      <c r="H213">
        <v>0</v>
      </c>
    </row>
    <row r="214" spans="1:8" x14ac:dyDescent="0.35">
      <c r="A214" t="s">
        <v>327</v>
      </c>
      <c r="B214" t="s">
        <v>536</v>
      </c>
      <c r="C214" t="s">
        <v>299</v>
      </c>
      <c r="D214" t="s">
        <v>238</v>
      </c>
      <c r="E214">
        <v>57</v>
      </c>
      <c r="F214">
        <v>0</v>
      </c>
      <c r="G214">
        <v>0</v>
      </c>
      <c r="H214">
        <v>0</v>
      </c>
    </row>
    <row r="215" spans="1:8" x14ac:dyDescent="0.35">
      <c r="A215" t="s">
        <v>327</v>
      </c>
      <c r="B215" t="s">
        <v>539</v>
      </c>
      <c r="C215" t="s">
        <v>323</v>
      </c>
      <c r="E215">
        <v>0</v>
      </c>
      <c r="F215">
        <v>16</v>
      </c>
      <c r="G215">
        <v>6</v>
      </c>
      <c r="H215">
        <v>0</v>
      </c>
    </row>
    <row r="216" spans="1:8" x14ac:dyDescent="0.35">
      <c r="A216" t="s">
        <v>327</v>
      </c>
      <c r="B216" t="s">
        <v>539</v>
      </c>
      <c r="C216" t="s">
        <v>252</v>
      </c>
      <c r="E216">
        <v>0</v>
      </c>
      <c r="F216">
        <v>13</v>
      </c>
      <c r="G216">
        <v>12</v>
      </c>
      <c r="H216">
        <v>0</v>
      </c>
    </row>
    <row r="217" spans="1:8" x14ac:dyDescent="0.35">
      <c r="A217" t="s">
        <v>466</v>
      </c>
      <c r="B217" t="s">
        <v>536</v>
      </c>
      <c r="C217" t="s">
        <v>282</v>
      </c>
      <c r="E217">
        <v>30</v>
      </c>
      <c r="F217">
        <v>0</v>
      </c>
      <c r="G217">
        <v>0</v>
      </c>
      <c r="H217">
        <v>0</v>
      </c>
    </row>
    <row r="218" spans="1:8" x14ac:dyDescent="0.35">
      <c r="A218" t="s">
        <v>466</v>
      </c>
      <c r="B218" t="s">
        <v>539</v>
      </c>
      <c r="C218" t="s">
        <v>231</v>
      </c>
      <c r="E218">
        <v>0</v>
      </c>
      <c r="F218">
        <v>14</v>
      </c>
      <c r="G218">
        <v>6</v>
      </c>
      <c r="H218">
        <v>0</v>
      </c>
    </row>
    <row r="219" spans="1:8" x14ac:dyDescent="0.35">
      <c r="A219" t="s">
        <v>466</v>
      </c>
      <c r="B219" t="s">
        <v>539</v>
      </c>
      <c r="C219" t="s">
        <v>252</v>
      </c>
      <c r="E219">
        <v>0</v>
      </c>
      <c r="F219">
        <v>13</v>
      </c>
      <c r="G219">
        <v>5</v>
      </c>
      <c r="H219">
        <v>0</v>
      </c>
    </row>
    <row r="220" spans="1:8" x14ac:dyDescent="0.35">
      <c r="A220" t="s">
        <v>466</v>
      </c>
      <c r="B220" t="s">
        <v>539</v>
      </c>
      <c r="C220" t="s">
        <v>325</v>
      </c>
      <c r="E220">
        <v>0</v>
      </c>
      <c r="F220">
        <v>13</v>
      </c>
      <c r="G220">
        <v>10</v>
      </c>
      <c r="H220">
        <v>0</v>
      </c>
    </row>
    <row r="221" spans="1:8" x14ac:dyDescent="0.35">
      <c r="A221" t="s">
        <v>214</v>
      </c>
      <c r="B221" t="s">
        <v>536</v>
      </c>
      <c r="C221" t="s">
        <v>216</v>
      </c>
      <c r="D221" t="s">
        <v>215</v>
      </c>
      <c r="E221">
        <v>154</v>
      </c>
      <c r="F221">
        <v>0</v>
      </c>
      <c r="G221">
        <v>0</v>
      </c>
      <c r="H221">
        <v>0</v>
      </c>
    </row>
    <row r="222" spans="1:8" x14ac:dyDescent="0.35">
      <c r="A222" t="s">
        <v>214</v>
      </c>
      <c r="B222" t="s">
        <v>536</v>
      </c>
      <c r="C222" t="s">
        <v>229</v>
      </c>
      <c r="D222" t="s">
        <v>228</v>
      </c>
      <c r="E222">
        <v>54</v>
      </c>
      <c r="F222">
        <v>0</v>
      </c>
      <c r="G222">
        <v>0</v>
      </c>
      <c r="H222">
        <v>0</v>
      </c>
    </row>
    <row r="223" spans="1:8" x14ac:dyDescent="0.35">
      <c r="A223" t="s">
        <v>214</v>
      </c>
      <c r="B223" t="s">
        <v>536</v>
      </c>
      <c r="C223" t="s">
        <v>268</v>
      </c>
      <c r="D223" t="s">
        <v>238</v>
      </c>
      <c r="E223">
        <v>274</v>
      </c>
      <c r="F223">
        <v>0</v>
      </c>
      <c r="G223">
        <v>0</v>
      </c>
      <c r="H223">
        <v>0</v>
      </c>
    </row>
    <row r="224" spans="1:8" x14ac:dyDescent="0.35">
      <c r="A224" t="s">
        <v>214</v>
      </c>
      <c r="B224" t="s">
        <v>536</v>
      </c>
      <c r="C224" t="s">
        <v>282</v>
      </c>
      <c r="D224" t="s">
        <v>281</v>
      </c>
      <c r="E224">
        <v>30</v>
      </c>
      <c r="F224">
        <v>0</v>
      </c>
      <c r="G224">
        <v>0</v>
      </c>
      <c r="H224">
        <v>0</v>
      </c>
    </row>
    <row r="225" spans="1:8" x14ac:dyDescent="0.35">
      <c r="A225" t="s">
        <v>214</v>
      </c>
      <c r="B225" t="s">
        <v>536</v>
      </c>
      <c r="C225" t="s">
        <v>303</v>
      </c>
      <c r="D225" t="s">
        <v>302</v>
      </c>
      <c r="E225">
        <v>50</v>
      </c>
      <c r="F225">
        <v>0</v>
      </c>
      <c r="G225">
        <v>0</v>
      </c>
      <c r="H225">
        <v>0</v>
      </c>
    </row>
    <row r="226" spans="1:8" x14ac:dyDescent="0.35">
      <c r="A226" t="s">
        <v>214</v>
      </c>
      <c r="B226" t="s">
        <v>539</v>
      </c>
      <c r="C226" t="s">
        <v>223</v>
      </c>
      <c r="D226" t="s">
        <v>222</v>
      </c>
      <c r="E226">
        <v>0</v>
      </c>
      <c r="F226">
        <v>11</v>
      </c>
      <c r="G226">
        <v>14</v>
      </c>
      <c r="H226">
        <v>0</v>
      </c>
    </row>
    <row r="227" spans="1:8" x14ac:dyDescent="0.35">
      <c r="A227" t="s">
        <v>214</v>
      </c>
      <c r="B227" t="s">
        <v>539</v>
      </c>
      <c r="C227" t="s">
        <v>245</v>
      </c>
      <c r="D227" t="s">
        <v>246</v>
      </c>
      <c r="E227">
        <v>0</v>
      </c>
      <c r="F227">
        <v>9</v>
      </c>
      <c r="G227">
        <v>13</v>
      </c>
      <c r="H227">
        <v>0</v>
      </c>
    </row>
    <row r="228" spans="1:8" x14ac:dyDescent="0.35">
      <c r="A228" t="s">
        <v>214</v>
      </c>
      <c r="B228" t="s">
        <v>539</v>
      </c>
      <c r="C228" t="s">
        <v>252</v>
      </c>
      <c r="D228" t="s">
        <v>251</v>
      </c>
      <c r="E228">
        <v>0</v>
      </c>
      <c r="F228">
        <v>13</v>
      </c>
      <c r="G228">
        <v>12</v>
      </c>
      <c r="H228">
        <v>0</v>
      </c>
    </row>
    <row r="229" spans="1:8" x14ac:dyDescent="0.35">
      <c r="A229" t="s">
        <v>214</v>
      </c>
      <c r="B229" t="s">
        <v>539</v>
      </c>
      <c r="C229" t="s">
        <v>266</v>
      </c>
      <c r="D229" t="s">
        <v>238</v>
      </c>
      <c r="E229">
        <v>0</v>
      </c>
      <c r="F229">
        <v>9</v>
      </c>
      <c r="G229">
        <v>11</v>
      </c>
      <c r="H229">
        <v>0</v>
      </c>
    </row>
    <row r="230" spans="1:8" x14ac:dyDescent="0.35">
      <c r="A230" t="s">
        <v>214</v>
      </c>
      <c r="B230" t="s">
        <v>539</v>
      </c>
      <c r="C230" t="s">
        <v>271</v>
      </c>
      <c r="D230" t="s">
        <v>272</v>
      </c>
      <c r="E230">
        <v>0</v>
      </c>
      <c r="F230">
        <v>14</v>
      </c>
      <c r="G230">
        <v>11</v>
      </c>
      <c r="H230">
        <v>0</v>
      </c>
    </row>
    <row r="231" spans="1:8" x14ac:dyDescent="0.35">
      <c r="A231" t="s">
        <v>214</v>
      </c>
      <c r="B231" t="s">
        <v>541</v>
      </c>
      <c r="C231" t="s">
        <v>239</v>
      </c>
      <c r="D231" t="s">
        <v>238</v>
      </c>
      <c r="E231">
        <v>0</v>
      </c>
      <c r="F231">
        <v>11</v>
      </c>
      <c r="G231">
        <v>26</v>
      </c>
      <c r="H231">
        <v>0</v>
      </c>
    </row>
    <row r="232" spans="1:8" x14ac:dyDescent="0.35">
      <c r="A232" t="s">
        <v>313</v>
      </c>
      <c r="B232" t="s">
        <v>536</v>
      </c>
      <c r="C232" t="s">
        <v>229</v>
      </c>
      <c r="D232" t="s">
        <v>232</v>
      </c>
      <c r="E232">
        <v>53</v>
      </c>
      <c r="F232">
        <v>0</v>
      </c>
      <c r="G232">
        <v>0</v>
      </c>
      <c r="H232">
        <v>0</v>
      </c>
    </row>
    <row r="233" spans="1:8" x14ac:dyDescent="0.35">
      <c r="A233" t="s">
        <v>313</v>
      </c>
      <c r="B233" t="s">
        <v>536</v>
      </c>
      <c r="C233" t="s">
        <v>237</v>
      </c>
      <c r="D233" t="s">
        <v>238</v>
      </c>
      <c r="E233">
        <v>306</v>
      </c>
      <c r="F233">
        <v>0</v>
      </c>
      <c r="G233">
        <v>0</v>
      </c>
      <c r="H233">
        <v>0</v>
      </c>
    </row>
    <row r="234" spans="1:8" x14ac:dyDescent="0.35">
      <c r="A234" t="s">
        <v>313</v>
      </c>
      <c r="B234" t="s">
        <v>536</v>
      </c>
      <c r="C234" t="s">
        <v>271</v>
      </c>
      <c r="D234" t="s">
        <v>232</v>
      </c>
      <c r="E234">
        <v>517</v>
      </c>
      <c r="F234">
        <v>0</v>
      </c>
      <c r="G234">
        <v>0</v>
      </c>
      <c r="H234">
        <v>0</v>
      </c>
    </row>
    <row r="235" spans="1:8" x14ac:dyDescent="0.35">
      <c r="A235" t="s">
        <v>313</v>
      </c>
      <c r="B235" t="s">
        <v>536</v>
      </c>
      <c r="C235" t="s">
        <v>280</v>
      </c>
      <c r="D235" t="s">
        <v>238</v>
      </c>
      <c r="E235">
        <v>26</v>
      </c>
      <c r="F235">
        <v>0</v>
      </c>
      <c r="G235">
        <v>0</v>
      </c>
      <c r="H235">
        <v>0</v>
      </c>
    </row>
    <row r="236" spans="1:8" x14ac:dyDescent="0.35">
      <c r="A236" t="s">
        <v>313</v>
      </c>
      <c r="B236" t="s">
        <v>536</v>
      </c>
      <c r="C236" t="s">
        <v>282</v>
      </c>
      <c r="D236" t="s">
        <v>218</v>
      </c>
      <c r="E236">
        <v>30</v>
      </c>
      <c r="F236">
        <v>0</v>
      </c>
      <c r="G236">
        <v>0</v>
      </c>
      <c r="H236">
        <v>0</v>
      </c>
    </row>
    <row r="237" spans="1:8" x14ac:dyDescent="0.35">
      <c r="A237" t="s">
        <v>313</v>
      </c>
      <c r="B237" t="s">
        <v>536</v>
      </c>
      <c r="C237" t="s">
        <v>305</v>
      </c>
      <c r="D237" t="s">
        <v>232</v>
      </c>
      <c r="E237">
        <v>168</v>
      </c>
      <c r="F237">
        <v>0</v>
      </c>
      <c r="G237">
        <v>0</v>
      </c>
      <c r="H237">
        <v>0</v>
      </c>
    </row>
    <row r="238" spans="1:8" x14ac:dyDescent="0.35">
      <c r="A238" t="s">
        <v>313</v>
      </c>
      <c r="B238" t="s">
        <v>539</v>
      </c>
      <c r="C238" t="s">
        <v>262</v>
      </c>
      <c r="D238" t="s">
        <v>232</v>
      </c>
      <c r="E238">
        <v>0</v>
      </c>
      <c r="F238">
        <v>9</v>
      </c>
      <c r="G238">
        <v>4</v>
      </c>
      <c r="H238">
        <v>0</v>
      </c>
    </row>
    <row r="239" spans="1:8" x14ac:dyDescent="0.35">
      <c r="A239" t="s">
        <v>313</v>
      </c>
      <c r="B239" t="s">
        <v>539</v>
      </c>
      <c r="C239" t="s">
        <v>305</v>
      </c>
      <c r="D239" t="s">
        <v>232</v>
      </c>
      <c r="E239">
        <v>0</v>
      </c>
      <c r="F239">
        <v>9</v>
      </c>
      <c r="G239">
        <v>7</v>
      </c>
      <c r="H239">
        <v>0</v>
      </c>
    </row>
    <row r="240" spans="1:8" x14ac:dyDescent="0.35">
      <c r="A240" t="s">
        <v>313</v>
      </c>
      <c r="B240" t="s">
        <v>539</v>
      </c>
      <c r="C240" t="s">
        <v>286</v>
      </c>
      <c r="D240" t="s">
        <v>218</v>
      </c>
      <c r="E240">
        <v>0</v>
      </c>
      <c r="F240">
        <v>9</v>
      </c>
      <c r="G240">
        <v>5</v>
      </c>
      <c r="H240">
        <v>0</v>
      </c>
    </row>
    <row r="241" spans="1:8" x14ac:dyDescent="0.35">
      <c r="A241" t="s">
        <v>319</v>
      </c>
      <c r="B241" t="s">
        <v>536</v>
      </c>
      <c r="C241" t="s">
        <v>216</v>
      </c>
      <c r="D241" t="s">
        <v>218</v>
      </c>
      <c r="E241">
        <v>149</v>
      </c>
      <c r="F241">
        <v>0</v>
      </c>
      <c r="G241">
        <v>0</v>
      </c>
      <c r="H241">
        <v>0</v>
      </c>
    </row>
    <row r="242" spans="1:8" x14ac:dyDescent="0.35">
      <c r="A242" t="s">
        <v>319</v>
      </c>
      <c r="B242" t="s">
        <v>536</v>
      </c>
      <c r="C242" t="s">
        <v>225</v>
      </c>
      <c r="D242" t="s">
        <v>218</v>
      </c>
      <c r="E242">
        <v>27</v>
      </c>
      <c r="F242">
        <v>0</v>
      </c>
      <c r="G242">
        <v>0</v>
      </c>
      <c r="H242">
        <v>0</v>
      </c>
    </row>
    <row r="243" spans="1:8" x14ac:dyDescent="0.35">
      <c r="A243" t="s">
        <v>319</v>
      </c>
      <c r="B243" t="s">
        <v>536</v>
      </c>
      <c r="C243" t="s">
        <v>303</v>
      </c>
      <c r="D243" t="s">
        <v>232</v>
      </c>
      <c r="E243">
        <v>51</v>
      </c>
      <c r="F243">
        <v>0</v>
      </c>
      <c r="G243">
        <v>0</v>
      </c>
      <c r="H243">
        <v>0</v>
      </c>
    </row>
    <row r="244" spans="1:8" x14ac:dyDescent="0.35">
      <c r="A244" t="s">
        <v>319</v>
      </c>
      <c r="B244" t="s">
        <v>536</v>
      </c>
      <c r="C244" t="s">
        <v>308</v>
      </c>
      <c r="D244" t="s">
        <v>238</v>
      </c>
      <c r="E244">
        <v>52</v>
      </c>
      <c r="F244">
        <v>0</v>
      </c>
      <c r="G244">
        <v>0</v>
      </c>
      <c r="H244">
        <v>0</v>
      </c>
    </row>
    <row r="245" spans="1:8" x14ac:dyDescent="0.35">
      <c r="A245" t="s">
        <v>319</v>
      </c>
      <c r="B245" t="s">
        <v>539</v>
      </c>
      <c r="C245" t="s">
        <v>216</v>
      </c>
      <c r="D245" t="s">
        <v>218</v>
      </c>
      <c r="E245">
        <v>0</v>
      </c>
      <c r="F245">
        <v>6</v>
      </c>
      <c r="G245">
        <v>6</v>
      </c>
      <c r="H245">
        <v>0</v>
      </c>
    </row>
    <row r="246" spans="1:8" x14ac:dyDescent="0.35">
      <c r="A246" t="s">
        <v>319</v>
      </c>
      <c r="B246" t="s">
        <v>539</v>
      </c>
      <c r="C246" t="s">
        <v>223</v>
      </c>
      <c r="D246" t="s">
        <v>218</v>
      </c>
      <c r="E246">
        <v>0</v>
      </c>
      <c r="F246">
        <v>13</v>
      </c>
      <c r="G246">
        <v>13</v>
      </c>
      <c r="H246">
        <v>0</v>
      </c>
    </row>
    <row r="247" spans="1:8" x14ac:dyDescent="0.35">
      <c r="A247" t="s">
        <v>319</v>
      </c>
      <c r="B247" t="s">
        <v>539</v>
      </c>
      <c r="C247" t="s">
        <v>237</v>
      </c>
      <c r="D247" t="s">
        <v>238</v>
      </c>
      <c r="E247">
        <v>0</v>
      </c>
      <c r="F247">
        <v>11</v>
      </c>
      <c r="G247">
        <v>17</v>
      </c>
      <c r="H247">
        <v>0</v>
      </c>
    </row>
    <row r="248" spans="1:8" x14ac:dyDescent="0.35">
      <c r="A248" t="s">
        <v>319</v>
      </c>
      <c r="B248" t="s">
        <v>539</v>
      </c>
      <c r="C248" t="s">
        <v>314</v>
      </c>
      <c r="E248">
        <v>0</v>
      </c>
      <c r="F248">
        <v>12</v>
      </c>
      <c r="G248">
        <v>10</v>
      </c>
      <c r="H248">
        <v>0</v>
      </c>
    </row>
    <row r="249" spans="1:8" x14ac:dyDescent="0.35">
      <c r="A249" t="s">
        <v>319</v>
      </c>
      <c r="B249" t="s">
        <v>541</v>
      </c>
      <c r="C249" t="s">
        <v>219</v>
      </c>
      <c r="D249" t="s">
        <v>218</v>
      </c>
      <c r="E249">
        <v>0</v>
      </c>
      <c r="F249">
        <v>10</v>
      </c>
      <c r="G249">
        <v>32</v>
      </c>
      <c r="H249">
        <v>13</v>
      </c>
    </row>
    <row r="250" spans="1:8" x14ac:dyDescent="0.35">
      <c r="A250" t="s">
        <v>321</v>
      </c>
      <c r="B250" t="s">
        <v>536</v>
      </c>
      <c r="C250" t="s">
        <v>264</v>
      </c>
      <c r="D250" t="s">
        <v>238</v>
      </c>
      <c r="E250">
        <v>87</v>
      </c>
      <c r="F250">
        <v>0</v>
      </c>
      <c r="G250">
        <v>0</v>
      </c>
      <c r="H250">
        <v>0</v>
      </c>
    </row>
    <row r="251" spans="1:8" x14ac:dyDescent="0.35">
      <c r="A251" t="s">
        <v>321</v>
      </c>
      <c r="B251" t="s">
        <v>536</v>
      </c>
      <c r="C251" t="s">
        <v>299</v>
      </c>
      <c r="D251" t="s">
        <v>238</v>
      </c>
      <c r="E251">
        <v>53</v>
      </c>
      <c r="F251">
        <v>0</v>
      </c>
      <c r="G251">
        <v>0</v>
      </c>
      <c r="H251">
        <v>0</v>
      </c>
    </row>
    <row r="252" spans="1:8" x14ac:dyDescent="0.35">
      <c r="A252" t="s">
        <v>321</v>
      </c>
      <c r="B252" t="s">
        <v>539</v>
      </c>
      <c r="C252" t="s">
        <v>323</v>
      </c>
      <c r="E252">
        <v>0</v>
      </c>
      <c r="F252">
        <v>17</v>
      </c>
      <c r="G252">
        <v>19</v>
      </c>
      <c r="H252">
        <v>0</v>
      </c>
    </row>
    <row r="253" spans="1:8" x14ac:dyDescent="0.35">
      <c r="A253" t="s">
        <v>321</v>
      </c>
      <c r="B253" t="s">
        <v>539</v>
      </c>
      <c r="C253" t="s">
        <v>286</v>
      </c>
      <c r="E253">
        <v>0</v>
      </c>
      <c r="F253">
        <v>12</v>
      </c>
      <c r="G253">
        <v>5</v>
      </c>
      <c r="H253">
        <v>0</v>
      </c>
    </row>
    <row r="254" spans="1:8" x14ac:dyDescent="0.35">
      <c r="A254" t="s">
        <v>326</v>
      </c>
      <c r="B254" t="s">
        <v>536</v>
      </c>
      <c r="C254" t="s">
        <v>310</v>
      </c>
      <c r="E254">
        <v>68</v>
      </c>
      <c r="F254">
        <v>0</v>
      </c>
      <c r="G254">
        <v>0</v>
      </c>
      <c r="H254">
        <v>0</v>
      </c>
    </row>
    <row r="255" spans="1:8" x14ac:dyDescent="0.35">
      <c r="A255" t="s">
        <v>326</v>
      </c>
      <c r="B255" t="s">
        <v>536</v>
      </c>
      <c r="C255" t="s">
        <v>312</v>
      </c>
      <c r="D255" t="s">
        <v>238</v>
      </c>
      <c r="E255">
        <v>57</v>
      </c>
      <c r="F255">
        <v>0</v>
      </c>
      <c r="G255">
        <v>0</v>
      </c>
      <c r="H255">
        <v>0</v>
      </c>
    </row>
    <row r="256" spans="1:8" x14ac:dyDescent="0.35">
      <c r="A256" t="s">
        <v>326</v>
      </c>
      <c r="B256" t="s">
        <v>539</v>
      </c>
      <c r="C256" t="s">
        <v>258</v>
      </c>
      <c r="E256">
        <v>0</v>
      </c>
      <c r="F256">
        <v>11</v>
      </c>
      <c r="G256">
        <v>16</v>
      </c>
      <c r="H256">
        <v>0</v>
      </c>
    </row>
    <row r="257" spans="1:8" x14ac:dyDescent="0.35">
      <c r="A257" t="s">
        <v>326</v>
      </c>
      <c r="B257" t="s">
        <v>539</v>
      </c>
      <c r="C257" t="s">
        <v>314</v>
      </c>
      <c r="D257" t="s">
        <v>238</v>
      </c>
      <c r="E257">
        <v>0</v>
      </c>
      <c r="F257">
        <v>2</v>
      </c>
      <c r="G257">
        <v>3</v>
      </c>
      <c r="H257">
        <v>0</v>
      </c>
    </row>
    <row r="258" spans="1:8" x14ac:dyDescent="0.35">
      <c r="A258" t="s">
        <v>326</v>
      </c>
      <c r="B258" t="s">
        <v>543</v>
      </c>
      <c r="C258" t="s">
        <v>544</v>
      </c>
      <c r="D258" t="s">
        <v>548</v>
      </c>
      <c r="E258">
        <v>0</v>
      </c>
      <c r="F258">
        <v>52</v>
      </c>
      <c r="G258">
        <v>17</v>
      </c>
      <c r="H258">
        <v>0</v>
      </c>
    </row>
    <row r="259" spans="1:8" x14ac:dyDescent="0.35">
      <c r="A259" t="s">
        <v>327</v>
      </c>
      <c r="B259" t="s">
        <v>536</v>
      </c>
      <c r="C259" t="s">
        <v>229</v>
      </c>
      <c r="E259">
        <v>54</v>
      </c>
      <c r="F259">
        <v>0</v>
      </c>
      <c r="G259">
        <v>1</v>
      </c>
      <c r="H259">
        <v>0</v>
      </c>
    </row>
    <row r="260" spans="1:8" x14ac:dyDescent="0.35">
      <c r="A260" t="s">
        <v>327</v>
      </c>
      <c r="B260" t="s">
        <v>536</v>
      </c>
      <c r="C260" t="s">
        <v>537</v>
      </c>
      <c r="E260">
        <v>53</v>
      </c>
      <c r="F260">
        <v>0</v>
      </c>
      <c r="G260">
        <v>0</v>
      </c>
      <c r="H260">
        <v>0</v>
      </c>
    </row>
    <row r="261" spans="1:8" x14ac:dyDescent="0.35">
      <c r="A261" t="s">
        <v>327</v>
      </c>
      <c r="B261" t="s">
        <v>536</v>
      </c>
      <c r="C261" t="s">
        <v>254</v>
      </c>
      <c r="E261">
        <v>76</v>
      </c>
      <c r="F261">
        <v>0</v>
      </c>
      <c r="G261">
        <v>0</v>
      </c>
      <c r="H261">
        <v>0</v>
      </c>
    </row>
    <row r="262" spans="1:8" x14ac:dyDescent="0.35">
      <c r="A262" t="s">
        <v>327</v>
      </c>
      <c r="B262" t="s">
        <v>536</v>
      </c>
      <c r="C262" t="s">
        <v>260</v>
      </c>
      <c r="E262">
        <v>53</v>
      </c>
      <c r="F262">
        <v>0</v>
      </c>
      <c r="G262">
        <v>0</v>
      </c>
      <c r="H262">
        <v>0</v>
      </c>
    </row>
    <row r="263" spans="1:8" x14ac:dyDescent="0.35">
      <c r="A263" t="s">
        <v>327</v>
      </c>
      <c r="B263" t="s">
        <v>536</v>
      </c>
      <c r="C263" t="s">
        <v>276</v>
      </c>
      <c r="E263">
        <v>72</v>
      </c>
      <c r="F263">
        <v>0</v>
      </c>
      <c r="G263">
        <v>8</v>
      </c>
      <c r="H263">
        <v>0</v>
      </c>
    </row>
    <row r="264" spans="1:8" x14ac:dyDescent="0.35">
      <c r="A264" t="s">
        <v>327</v>
      </c>
      <c r="B264" t="s">
        <v>536</v>
      </c>
      <c r="C264" t="s">
        <v>284</v>
      </c>
      <c r="E264">
        <v>0</v>
      </c>
      <c r="F264">
        <v>0</v>
      </c>
      <c r="G264">
        <v>3</v>
      </c>
      <c r="H264">
        <v>0</v>
      </c>
    </row>
    <row r="265" spans="1:8" x14ac:dyDescent="0.35">
      <c r="A265" t="s">
        <v>327</v>
      </c>
      <c r="B265" t="s">
        <v>536</v>
      </c>
      <c r="C265" t="s">
        <v>288</v>
      </c>
      <c r="E265">
        <v>85</v>
      </c>
      <c r="F265">
        <v>0</v>
      </c>
      <c r="G265">
        <v>0</v>
      </c>
      <c r="H265">
        <v>0</v>
      </c>
    </row>
    <row r="266" spans="1:8" x14ac:dyDescent="0.35">
      <c r="A266" t="s">
        <v>327</v>
      </c>
      <c r="B266" t="s">
        <v>536</v>
      </c>
      <c r="C266" t="s">
        <v>295</v>
      </c>
      <c r="E266">
        <v>65</v>
      </c>
      <c r="F266">
        <v>0</v>
      </c>
      <c r="G266">
        <v>1</v>
      </c>
      <c r="H266">
        <v>0</v>
      </c>
    </row>
    <row r="267" spans="1:8" x14ac:dyDescent="0.35">
      <c r="A267" t="s">
        <v>327</v>
      </c>
      <c r="B267" t="s">
        <v>536</v>
      </c>
      <c r="C267" t="s">
        <v>303</v>
      </c>
      <c r="E267">
        <v>51</v>
      </c>
      <c r="F267">
        <v>0</v>
      </c>
      <c r="G267">
        <v>1</v>
      </c>
      <c r="H267">
        <v>0</v>
      </c>
    </row>
    <row r="268" spans="1:8" x14ac:dyDescent="0.35">
      <c r="A268" t="s">
        <v>327</v>
      </c>
      <c r="B268" t="s">
        <v>536</v>
      </c>
      <c r="C268" t="s">
        <v>308</v>
      </c>
      <c r="D268" t="s">
        <v>238</v>
      </c>
      <c r="E268">
        <v>49</v>
      </c>
      <c r="F268">
        <v>0</v>
      </c>
      <c r="G268">
        <v>0</v>
      </c>
      <c r="H268">
        <v>0</v>
      </c>
    </row>
    <row r="269" spans="1:8" x14ac:dyDescent="0.35">
      <c r="A269" t="s">
        <v>327</v>
      </c>
      <c r="B269" t="s">
        <v>539</v>
      </c>
      <c r="C269" t="s">
        <v>237</v>
      </c>
      <c r="E269">
        <v>0</v>
      </c>
      <c r="F269">
        <v>11</v>
      </c>
      <c r="G269">
        <v>16</v>
      </c>
      <c r="H269">
        <v>0</v>
      </c>
    </row>
    <row r="270" spans="1:8" x14ac:dyDescent="0.35">
      <c r="A270" t="s">
        <v>327</v>
      </c>
      <c r="B270" t="s">
        <v>539</v>
      </c>
      <c r="C270" t="s">
        <v>245</v>
      </c>
      <c r="E270">
        <v>0</v>
      </c>
      <c r="F270">
        <v>8</v>
      </c>
      <c r="G270">
        <v>14</v>
      </c>
      <c r="H270">
        <v>0</v>
      </c>
    </row>
    <row r="271" spans="1:8" x14ac:dyDescent="0.35">
      <c r="A271" t="s">
        <v>327</v>
      </c>
      <c r="B271" t="s">
        <v>539</v>
      </c>
      <c r="C271" t="s">
        <v>276</v>
      </c>
      <c r="E271">
        <v>0</v>
      </c>
      <c r="F271">
        <v>17</v>
      </c>
      <c r="G271">
        <v>6</v>
      </c>
      <c r="H271">
        <v>0</v>
      </c>
    </row>
    <row r="272" spans="1:8" x14ac:dyDescent="0.35">
      <c r="A272" t="s">
        <v>327</v>
      </c>
      <c r="B272" t="s">
        <v>539</v>
      </c>
      <c r="C272" t="s">
        <v>325</v>
      </c>
      <c r="E272">
        <v>0</v>
      </c>
      <c r="F272">
        <v>14</v>
      </c>
      <c r="G272">
        <v>13</v>
      </c>
      <c r="H272">
        <v>0</v>
      </c>
    </row>
    <row r="273" spans="1:8" x14ac:dyDescent="0.35">
      <c r="A273" t="s">
        <v>327</v>
      </c>
      <c r="B273" t="s">
        <v>539</v>
      </c>
      <c r="C273" t="s">
        <v>258</v>
      </c>
      <c r="E273">
        <v>0</v>
      </c>
      <c r="F273">
        <v>10</v>
      </c>
      <c r="G273">
        <v>16</v>
      </c>
      <c r="H273">
        <v>0</v>
      </c>
    </row>
    <row r="274" spans="1:8" x14ac:dyDescent="0.35">
      <c r="A274" t="s">
        <v>327</v>
      </c>
      <c r="B274" t="s">
        <v>539</v>
      </c>
      <c r="C274" t="s">
        <v>314</v>
      </c>
      <c r="E274">
        <v>0</v>
      </c>
      <c r="F274">
        <v>12</v>
      </c>
      <c r="G274">
        <v>17</v>
      </c>
      <c r="H274">
        <v>0</v>
      </c>
    </row>
    <row r="275" spans="1:8" x14ac:dyDescent="0.35">
      <c r="A275" t="s">
        <v>466</v>
      </c>
      <c r="B275" t="s">
        <v>536</v>
      </c>
      <c r="C275" t="s">
        <v>229</v>
      </c>
      <c r="E275">
        <v>52</v>
      </c>
      <c r="F275">
        <v>0</v>
      </c>
      <c r="G275">
        <v>1</v>
      </c>
      <c r="H275">
        <v>0</v>
      </c>
    </row>
    <row r="276" spans="1:8" x14ac:dyDescent="0.35">
      <c r="A276" t="s">
        <v>466</v>
      </c>
      <c r="B276" t="s">
        <v>536</v>
      </c>
      <c r="C276" t="s">
        <v>248</v>
      </c>
      <c r="E276">
        <v>162</v>
      </c>
      <c r="F276">
        <v>0</v>
      </c>
      <c r="G276">
        <v>0</v>
      </c>
      <c r="H276">
        <v>0</v>
      </c>
    </row>
    <row r="277" spans="1:8" x14ac:dyDescent="0.35">
      <c r="A277" t="s">
        <v>466</v>
      </c>
      <c r="B277" t="s">
        <v>536</v>
      </c>
      <c r="C277" t="s">
        <v>254</v>
      </c>
      <c r="E277">
        <v>75</v>
      </c>
      <c r="F277">
        <v>0</v>
      </c>
      <c r="G277">
        <v>0</v>
      </c>
      <c r="H277">
        <v>0</v>
      </c>
    </row>
    <row r="278" spans="1:8" x14ac:dyDescent="0.35">
      <c r="A278" t="s">
        <v>466</v>
      </c>
      <c r="B278" t="s">
        <v>536</v>
      </c>
      <c r="C278" t="s">
        <v>256</v>
      </c>
      <c r="D278" t="s">
        <v>238</v>
      </c>
      <c r="E278">
        <v>26</v>
      </c>
      <c r="F278">
        <v>0</v>
      </c>
      <c r="G278">
        <v>0</v>
      </c>
      <c r="H278">
        <v>0</v>
      </c>
    </row>
    <row r="279" spans="1:8" x14ac:dyDescent="0.35">
      <c r="A279" t="s">
        <v>466</v>
      </c>
      <c r="B279" t="s">
        <v>536</v>
      </c>
      <c r="C279" t="s">
        <v>260</v>
      </c>
      <c r="E279">
        <v>52</v>
      </c>
      <c r="F279">
        <v>0</v>
      </c>
      <c r="G279">
        <v>0</v>
      </c>
      <c r="H279">
        <v>0</v>
      </c>
    </row>
    <row r="280" spans="1:8" x14ac:dyDescent="0.35">
      <c r="A280" t="s">
        <v>466</v>
      </c>
      <c r="B280" t="s">
        <v>536</v>
      </c>
      <c r="C280" t="s">
        <v>276</v>
      </c>
      <c r="E280">
        <v>70</v>
      </c>
      <c r="F280">
        <v>0</v>
      </c>
      <c r="G280">
        <v>3</v>
      </c>
      <c r="H280">
        <v>0</v>
      </c>
    </row>
    <row r="281" spans="1:8" x14ac:dyDescent="0.35">
      <c r="A281" t="s">
        <v>214</v>
      </c>
      <c r="B281" t="s">
        <v>536</v>
      </c>
      <c r="C281" t="s">
        <v>278</v>
      </c>
      <c r="D281" t="s">
        <v>277</v>
      </c>
      <c r="E281">
        <v>72</v>
      </c>
      <c r="F281">
        <v>0</v>
      </c>
      <c r="G281">
        <v>0</v>
      </c>
      <c r="H281">
        <v>0</v>
      </c>
    </row>
    <row r="282" spans="1:8" x14ac:dyDescent="0.35">
      <c r="A282" t="s">
        <v>214</v>
      </c>
      <c r="B282" t="s">
        <v>536</v>
      </c>
      <c r="C282" t="s">
        <v>290</v>
      </c>
      <c r="D282" t="s">
        <v>289</v>
      </c>
      <c r="E282">
        <v>166</v>
      </c>
      <c r="F282">
        <v>0</v>
      </c>
      <c r="G282">
        <v>0</v>
      </c>
      <c r="H282">
        <v>0</v>
      </c>
    </row>
    <row r="283" spans="1:8" x14ac:dyDescent="0.35">
      <c r="A283" t="s">
        <v>214</v>
      </c>
      <c r="B283" t="s">
        <v>536</v>
      </c>
      <c r="C283" t="s">
        <v>295</v>
      </c>
      <c r="D283" t="s">
        <v>494</v>
      </c>
      <c r="E283">
        <v>69</v>
      </c>
      <c r="F283">
        <v>0</v>
      </c>
      <c r="G283">
        <v>0</v>
      </c>
      <c r="H283">
        <v>0</v>
      </c>
    </row>
    <row r="284" spans="1:8" x14ac:dyDescent="0.35">
      <c r="A284" t="s">
        <v>313</v>
      </c>
      <c r="B284" t="s">
        <v>536</v>
      </c>
      <c r="C284" t="s">
        <v>268</v>
      </c>
      <c r="D284" t="s">
        <v>238</v>
      </c>
      <c r="E284">
        <v>269</v>
      </c>
      <c r="F284">
        <v>0</v>
      </c>
      <c r="G284">
        <v>0</v>
      </c>
      <c r="H284">
        <v>0</v>
      </c>
    </row>
    <row r="285" spans="1:8" x14ac:dyDescent="0.35">
      <c r="A285" t="s">
        <v>319</v>
      </c>
      <c r="B285" t="s">
        <v>536</v>
      </c>
      <c r="C285" t="s">
        <v>290</v>
      </c>
      <c r="D285" t="s">
        <v>232</v>
      </c>
      <c r="E285">
        <v>160</v>
      </c>
      <c r="F285">
        <v>0</v>
      </c>
      <c r="G285">
        <v>0</v>
      </c>
      <c r="H285">
        <v>0</v>
      </c>
    </row>
    <row r="286" spans="1:8" x14ac:dyDescent="0.35">
      <c r="A286" t="s">
        <v>319</v>
      </c>
      <c r="B286" t="s">
        <v>539</v>
      </c>
      <c r="C286" t="s">
        <v>231</v>
      </c>
      <c r="D286" t="s">
        <v>232</v>
      </c>
      <c r="E286">
        <v>0</v>
      </c>
      <c r="F286">
        <v>11</v>
      </c>
      <c r="G286">
        <v>15</v>
      </c>
      <c r="H286">
        <v>0</v>
      </c>
    </row>
    <row r="287" spans="1:8" x14ac:dyDescent="0.35">
      <c r="A287" t="s">
        <v>319</v>
      </c>
      <c r="B287" t="s">
        <v>539</v>
      </c>
      <c r="C287" t="s">
        <v>266</v>
      </c>
      <c r="D287" t="s">
        <v>238</v>
      </c>
      <c r="E287">
        <v>0</v>
      </c>
      <c r="F287">
        <v>8</v>
      </c>
      <c r="G287">
        <v>11</v>
      </c>
      <c r="H287">
        <v>0</v>
      </c>
    </row>
    <row r="288" spans="1:8" x14ac:dyDescent="0.35">
      <c r="A288" t="s">
        <v>319</v>
      </c>
      <c r="B288" t="s">
        <v>539</v>
      </c>
      <c r="C288" t="s">
        <v>290</v>
      </c>
      <c r="D288" t="s">
        <v>232</v>
      </c>
      <c r="E288">
        <v>0</v>
      </c>
      <c r="F288">
        <v>8</v>
      </c>
      <c r="G288">
        <v>7</v>
      </c>
      <c r="H288">
        <v>0</v>
      </c>
    </row>
    <row r="289" spans="1:8" x14ac:dyDescent="0.35">
      <c r="A289" t="s">
        <v>321</v>
      </c>
      <c r="B289" t="s">
        <v>536</v>
      </c>
      <c r="C289" t="s">
        <v>216</v>
      </c>
      <c r="E289">
        <v>154</v>
      </c>
      <c r="F289">
        <v>0</v>
      </c>
      <c r="G289">
        <v>0</v>
      </c>
      <c r="H289">
        <v>0</v>
      </c>
    </row>
    <row r="290" spans="1:8" x14ac:dyDescent="0.35">
      <c r="A290" t="s">
        <v>321</v>
      </c>
      <c r="B290" t="s">
        <v>536</v>
      </c>
      <c r="C290" t="s">
        <v>282</v>
      </c>
      <c r="E290">
        <v>30</v>
      </c>
      <c r="F290">
        <v>0</v>
      </c>
      <c r="G290">
        <v>0</v>
      </c>
      <c r="H290">
        <v>0</v>
      </c>
    </row>
    <row r="291" spans="1:8" x14ac:dyDescent="0.35">
      <c r="A291" t="s">
        <v>321</v>
      </c>
      <c r="B291" t="s">
        <v>539</v>
      </c>
      <c r="C291" t="s">
        <v>231</v>
      </c>
      <c r="E291">
        <v>0</v>
      </c>
      <c r="F291">
        <v>13</v>
      </c>
      <c r="G291">
        <v>15</v>
      </c>
      <c r="H291">
        <v>0</v>
      </c>
    </row>
    <row r="292" spans="1:8" x14ac:dyDescent="0.35">
      <c r="A292" t="s">
        <v>321</v>
      </c>
      <c r="B292" t="s">
        <v>539</v>
      </c>
      <c r="C292" t="s">
        <v>252</v>
      </c>
      <c r="E292">
        <v>0</v>
      </c>
      <c r="F292">
        <v>15</v>
      </c>
      <c r="G292">
        <v>12</v>
      </c>
      <c r="H292">
        <v>0</v>
      </c>
    </row>
    <row r="293" spans="1:8" x14ac:dyDescent="0.35">
      <c r="A293" t="s">
        <v>321</v>
      </c>
      <c r="B293" t="s">
        <v>539</v>
      </c>
      <c r="C293" t="s">
        <v>266</v>
      </c>
      <c r="D293" t="s">
        <v>238</v>
      </c>
      <c r="E293">
        <v>0</v>
      </c>
      <c r="F293">
        <v>0</v>
      </c>
      <c r="G293">
        <v>2</v>
      </c>
      <c r="H293">
        <v>0</v>
      </c>
    </row>
    <row r="294" spans="1:8" x14ac:dyDescent="0.35">
      <c r="A294" t="s">
        <v>326</v>
      </c>
      <c r="B294" t="s">
        <v>536</v>
      </c>
      <c r="C294" t="s">
        <v>225</v>
      </c>
      <c r="E294">
        <v>24</v>
      </c>
      <c r="F294">
        <v>0</v>
      </c>
      <c r="G294">
        <v>0</v>
      </c>
      <c r="H294">
        <v>0</v>
      </c>
    </row>
    <row r="295" spans="1:8" x14ac:dyDescent="0.35">
      <c r="A295" t="s">
        <v>326</v>
      </c>
      <c r="B295" t="s">
        <v>536</v>
      </c>
      <c r="C295" t="s">
        <v>229</v>
      </c>
      <c r="E295">
        <v>50</v>
      </c>
      <c r="F295">
        <v>0</v>
      </c>
      <c r="G295">
        <v>0</v>
      </c>
      <c r="H295">
        <v>0</v>
      </c>
    </row>
    <row r="296" spans="1:8" x14ac:dyDescent="0.35">
      <c r="A296" t="s">
        <v>326</v>
      </c>
      <c r="B296" t="s">
        <v>536</v>
      </c>
      <c r="C296" t="s">
        <v>537</v>
      </c>
      <c r="E296">
        <v>51</v>
      </c>
      <c r="F296">
        <v>0</v>
      </c>
      <c r="G296">
        <v>0</v>
      </c>
      <c r="H296">
        <v>0</v>
      </c>
    </row>
    <row r="297" spans="1:8" x14ac:dyDescent="0.35">
      <c r="A297" t="s">
        <v>326</v>
      </c>
      <c r="B297" t="s">
        <v>536</v>
      </c>
      <c r="C297" t="s">
        <v>254</v>
      </c>
      <c r="E297">
        <v>71</v>
      </c>
      <c r="F297">
        <v>0</v>
      </c>
      <c r="G297">
        <v>0</v>
      </c>
      <c r="H297">
        <v>0</v>
      </c>
    </row>
    <row r="298" spans="1:8" x14ac:dyDescent="0.35">
      <c r="A298" t="s">
        <v>326</v>
      </c>
      <c r="B298" t="s">
        <v>536</v>
      </c>
      <c r="C298" t="s">
        <v>256</v>
      </c>
      <c r="D298" t="s">
        <v>238</v>
      </c>
      <c r="E298">
        <v>24</v>
      </c>
      <c r="F298">
        <v>0</v>
      </c>
      <c r="G298">
        <v>0</v>
      </c>
      <c r="H298">
        <v>0</v>
      </c>
    </row>
    <row r="299" spans="1:8" x14ac:dyDescent="0.35">
      <c r="A299" t="s">
        <v>326</v>
      </c>
      <c r="B299" t="s">
        <v>536</v>
      </c>
      <c r="C299" t="s">
        <v>271</v>
      </c>
      <c r="E299">
        <v>481</v>
      </c>
      <c r="F299">
        <v>0</v>
      </c>
      <c r="G299">
        <v>10</v>
      </c>
      <c r="H299">
        <v>0</v>
      </c>
    </row>
    <row r="300" spans="1:8" x14ac:dyDescent="0.35">
      <c r="A300" t="s">
        <v>326</v>
      </c>
      <c r="B300" t="s">
        <v>536</v>
      </c>
      <c r="C300" t="s">
        <v>288</v>
      </c>
      <c r="E300">
        <v>75</v>
      </c>
      <c r="F300">
        <v>0</v>
      </c>
      <c r="G300">
        <v>0</v>
      </c>
      <c r="H300">
        <v>0</v>
      </c>
    </row>
    <row r="301" spans="1:8" x14ac:dyDescent="0.35">
      <c r="A301" t="s">
        <v>326</v>
      </c>
      <c r="B301" t="s">
        <v>539</v>
      </c>
      <c r="C301" t="s">
        <v>271</v>
      </c>
      <c r="E301">
        <v>0</v>
      </c>
      <c r="F301">
        <v>14</v>
      </c>
      <c r="G301">
        <v>9</v>
      </c>
      <c r="H301">
        <v>0</v>
      </c>
    </row>
    <row r="302" spans="1:8" x14ac:dyDescent="0.35">
      <c r="A302" t="s">
        <v>326</v>
      </c>
      <c r="B302" t="s">
        <v>541</v>
      </c>
      <c r="C302" t="s">
        <v>219</v>
      </c>
      <c r="E302">
        <v>0</v>
      </c>
      <c r="F302">
        <v>11</v>
      </c>
      <c r="G302">
        <v>34</v>
      </c>
      <c r="H302">
        <v>25</v>
      </c>
    </row>
    <row r="303" spans="1:8" x14ac:dyDescent="0.35">
      <c r="A303" t="s">
        <v>327</v>
      </c>
      <c r="B303" t="s">
        <v>536</v>
      </c>
      <c r="C303" t="s">
        <v>221</v>
      </c>
      <c r="E303">
        <v>28</v>
      </c>
      <c r="F303">
        <v>0</v>
      </c>
      <c r="G303">
        <v>0</v>
      </c>
      <c r="H303">
        <v>0</v>
      </c>
    </row>
    <row r="304" spans="1:8" x14ac:dyDescent="0.35">
      <c r="A304" t="s">
        <v>327</v>
      </c>
      <c r="B304" t="s">
        <v>536</v>
      </c>
      <c r="C304" t="s">
        <v>250</v>
      </c>
      <c r="E304">
        <v>47</v>
      </c>
      <c r="F304">
        <v>0</v>
      </c>
      <c r="G304">
        <v>1</v>
      </c>
      <c r="H304">
        <v>0</v>
      </c>
    </row>
    <row r="305" spans="1:8" x14ac:dyDescent="0.35">
      <c r="A305" t="s">
        <v>327</v>
      </c>
      <c r="B305" t="s">
        <v>536</v>
      </c>
      <c r="C305" t="s">
        <v>290</v>
      </c>
      <c r="E305">
        <v>167</v>
      </c>
      <c r="F305">
        <v>0</v>
      </c>
      <c r="G305">
        <v>2</v>
      </c>
      <c r="H305">
        <v>0</v>
      </c>
    </row>
    <row r="306" spans="1:8" x14ac:dyDescent="0.35">
      <c r="A306" t="s">
        <v>327</v>
      </c>
      <c r="B306" t="s">
        <v>536</v>
      </c>
      <c r="C306" t="s">
        <v>297</v>
      </c>
      <c r="E306">
        <v>102</v>
      </c>
      <c r="F306">
        <v>0</v>
      </c>
      <c r="G306">
        <v>0</v>
      </c>
      <c r="H306">
        <v>0</v>
      </c>
    </row>
    <row r="307" spans="1:8" x14ac:dyDescent="0.35">
      <c r="A307" t="s">
        <v>327</v>
      </c>
      <c r="B307" t="s">
        <v>536</v>
      </c>
      <c r="C307" t="s">
        <v>310</v>
      </c>
      <c r="E307">
        <v>75</v>
      </c>
      <c r="F307">
        <v>0</v>
      </c>
      <c r="G307">
        <v>0</v>
      </c>
      <c r="H307">
        <v>0</v>
      </c>
    </row>
    <row r="308" spans="1:8" x14ac:dyDescent="0.35">
      <c r="A308" t="s">
        <v>327</v>
      </c>
      <c r="B308" t="s">
        <v>541</v>
      </c>
      <c r="C308" t="s">
        <v>239</v>
      </c>
      <c r="D308" t="s">
        <v>238</v>
      </c>
      <c r="E308">
        <v>0</v>
      </c>
      <c r="F308">
        <v>8</v>
      </c>
      <c r="G308">
        <v>21</v>
      </c>
      <c r="H308">
        <v>0</v>
      </c>
    </row>
    <row r="309" spans="1:8" x14ac:dyDescent="0.35">
      <c r="A309" t="s">
        <v>466</v>
      </c>
      <c r="B309" t="s">
        <v>536</v>
      </c>
      <c r="C309" t="s">
        <v>221</v>
      </c>
      <c r="E309">
        <v>31</v>
      </c>
      <c r="F309">
        <v>0</v>
      </c>
      <c r="G309">
        <v>0</v>
      </c>
      <c r="H309">
        <v>0</v>
      </c>
    </row>
    <row r="310" spans="1:8" x14ac:dyDescent="0.35">
      <c r="A310" t="s">
        <v>466</v>
      </c>
      <c r="B310" t="s">
        <v>536</v>
      </c>
      <c r="C310" t="s">
        <v>278</v>
      </c>
      <c r="E310">
        <v>64</v>
      </c>
      <c r="F310">
        <v>0</v>
      </c>
      <c r="G310">
        <v>0</v>
      </c>
      <c r="H310">
        <v>0</v>
      </c>
    </row>
    <row r="311" spans="1:8" x14ac:dyDescent="0.35">
      <c r="A311" t="s">
        <v>466</v>
      </c>
      <c r="B311" t="s">
        <v>536</v>
      </c>
      <c r="C311" t="s">
        <v>290</v>
      </c>
      <c r="E311">
        <v>163</v>
      </c>
      <c r="F311">
        <v>0</v>
      </c>
      <c r="G311">
        <v>0</v>
      </c>
      <c r="H311">
        <v>0</v>
      </c>
    </row>
    <row r="312" spans="1:8" x14ac:dyDescent="0.35">
      <c r="A312" t="s">
        <v>466</v>
      </c>
      <c r="B312" t="s">
        <v>536</v>
      </c>
      <c r="C312" t="s">
        <v>297</v>
      </c>
      <c r="E312">
        <v>102</v>
      </c>
      <c r="F312">
        <v>0</v>
      </c>
      <c r="G312">
        <v>0</v>
      </c>
      <c r="H312">
        <v>0</v>
      </c>
    </row>
    <row r="313" spans="1:8" x14ac:dyDescent="0.35">
      <c r="A313" t="s">
        <v>466</v>
      </c>
      <c r="B313" t="s">
        <v>536</v>
      </c>
      <c r="C313" t="s">
        <v>310</v>
      </c>
      <c r="E313">
        <v>75</v>
      </c>
      <c r="F313">
        <v>0</v>
      </c>
      <c r="G313">
        <v>0</v>
      </c>
      <c r="H313">
        <v>0</v>
      </c>
    </row>
    <row r="314" spans="1:8" x14ac:dyDescent="0.35">
      <c r="A314" t="s">
        <v>466</v>
      </c>
      <c r="B314" t="s">
        <v>539</v>
      </c>
      <c r="C314" t="s">
        <v>245</v>
      </c>
      <c r="E314">
        <v>0</v>
      </c>
      <c r="F314">
        <v>1</v>
      </c>
      <c r="G314">
        <v>0</v>
      </c>
      <c r="H314">
        <v>0</v>
      </c>
    </row>
    <row r="315" spans="1:8" x14ac:dyDescent="0.35">
      <c r="A315" t="s">
        <v>466</v>
      </c>
      <c r="B315" t="s">
        <v>539</v>
      </c>
      <c r="C315" t="s">
        <v>227</v>
      </c>
      <c r="E315">
        <v>0</v>
      </c>
      <c r="F315">
        <v>13</v>
      </c>
      <c r="G315">
        <v>12</v>
      </c>
      <c r="H315">
        <v>0</v>
      </c>
    </row>
    <row r="316" spans="1:8" x14ac:dyDescent="0.35">
      <c r="A316" t="s">
        <v>466</v>
      </c>
      <c r="B316" t="s">
        <v>539</v>
      </c>
      <c r="C316" t="s">
        <v>314</v>
      </c>
      <c r="D316" t="s">
        <v>238</v>
      </c>
      <c r="E316">
        <v>0</v>
      </c>
      <c r="F316">
        <v>2</v>
      </c>
      <c r="G316">
        <v>0</v>
      </c>
      <c r="H316">
        <v>0</v>
      </c>
    </row>
    <row r="317" spans="1:8" x14ac:dyDescent="0.35">
      <c r="A317" t="s">
        <v>466</v>
      </c>
      <c r="B317" t="s">
        <v>541</v>
      </c>
      <c r="C317" t="s">
        <v>239</v>
      </c>
      <c r="D317" t="s">
        <v>238</v>
      </c>
      <c r="E317">
        <v>0</v>
      </c>
      <c r="F317">
        <v>11</v>
      </c>
      <c r="G317">
        <v>46</v>
      </c>
      <c r="H317">
        <v>16</v>
      </c>
    </row>
    <row r="318" spans="1:8" x14ac:dyDescent="0.35">
      <c r="A318" t="s">
        <v>466</v>
      </c>
      <c r="B318" t="s">
        <v>536</v>
      </c>
      <c r="C318" t="s">
        <v>280</v>
      </c>
      <c r="E318">
        <v>1</v>
      </c>
      <c r="F318">
        <v>0</v>
      </c>
      <c r="G318">
        <v>0</v>
      </c>
      <c r="H318">
        <v>0</v>
      </c>
    </row>
    <row r="319" spans="1:8" x14ac:dyDescent="0.35">
      <c r="A319" t="s">
        <v>466</v>
      </c>
      <c r="B319" t="s">
        <v>536</v>
      </c>
      <c r="C319" t="s">
        <v>295</v>
      </c>
      <c r="E319">
        <v>59</v>
      </c>
      <c r="F319">
        <v>0</v>
      </c>
      <c r="G319">
        <v>0</v>
      </c>
      <c r="H319">
        <v>0</v>
      </c>
    </row>
    <row r="320" spans="1:8" x14ac:dyDescent="0.35">
      <c r="A320" t="s">
        <v>466</v>
      </c>
      <c r="B320" t="s">
        <v>536</v>
      </c>
      <c r="C320" t="s">
        <v>303</v>
      </c>
      <c r="E320">
        <v>52</v>
      </c>
      <c r="F320">
        <v>0</v>
      </c>
      <c r="G320">
        <v>1</v>
      </c>
      <c r="H320">
        <v>0</v>
      </c>
    </row>
    <row r="321" spans="1:8" x14ac:dyDescent="0.35">
      <c r="A321" t="s">
        <v>466</v>
      </c>
      <c r="B321" t="s">
        <v>536</v>
      </c>
      <c r="C321" t="s">
        <v>308</v>
      </c>
      <c r="D321" t="s">
        <v>238</v>
      </c>
      <c r="E321">
        <v>47</v>
      </c>
      <c r="F321">
        <v>0</v>
      </c>
      <c r="G321">
        <v>0</v>
      </c>
      <c r="H321">
        <v>0</v>
      </c>
    </row>
    <row r="322" spans="1:8" x14ac:dyDescent="0.35">
      <c r="A322" t="s">
        <v>466</v>
      </c>
      <c r="B322" t="s">
        <v>539</v>
      </c>
      <c r="C322" t="s">
        <v>245</v>
      </c>
      <c r="E322">
        <v>0</v>
      </c>
      <c r="F322">
        <v>8</v>
      </c>
      <c r="G322">
        <v>7</v>
      </c>
      <c r="H322">
        <v>0</v>
      </c>
    </row>
    <row r="323" spans="1:8" x14ac:dyDescent="0.35">
      <c r="A323" t="s">
        <v>466</v>
      </c>
      <c r="B323" t="s">
        <v>539</v>
      </c>
      <c r="C323" t="s">
        <v>276</v>
      </c>
      <c r="E323">
        <v>0</v>
      </c>
      <c r="F323">
        <v>19</v>
      </c>
      <c r="G323">
        <v>6</v>
      </c>
      <c r="H323">
        <v>0</v>
      </c>
    </row>
    <row r="324" spans="1:8" x14ac:dyDescent="0.35">
      <c r="A324" t="s">
        <v>466</v>
      </c>
      <c r="B324" t="s">
        <v>539</v>
      </c>
      <c r="C324" t="s">
        <v>258</v>
      </c>
      <c r="E324">
        <v>0</v>
      </c>
      <c r="F324">
        <v>10</v>
      </c>
      <c r="G324">
        <v>10</v>
      </c>
      <c r="H324">
        <v>0</v>
      </c>
    </row>
    <row r="325" spans="1:8" x14ac:dyDescent="0.35">
      <c r="A325" t="s">
        <v>466</v>
      </c>
      <c r="B325" t="s">
        <v>539</v>
      </c>
      <c r="C325" t="s">
        <v>314</v>
      </c>
      <c r="E325">
        <v>0</v>
      </c>
      <c r="F325">
        <v>13</v>
      </c>
      <c r="G325">
        <v>11</v>
      </c>
      <c r="H325">
        <v>0</v>
      </c>
    </row>
    <row r="326" spans="1:8" x14ac:dyDescent="0.35">
      <c r="A326" t="s">
        <v>214</v>
      </c>
      <c r="B326" t="s">
        <v>536</v>
      </c>
      <c r="C326" t="s">
        <v>221</v>
      </c>
      <c r="D326" t="s">
        <v>220</v>
      </c>
      <c r="E326">
        <v>30</v>
      </c>
      <c r="F326">
        <v>0</v>
      </c>
      <c r="G326">
        <v>0</v>
      </c>
      <c r="H326">
        <v>0</v>
      </c>
    </row>
    <row r="327" spans="1:8" x14ac:dyDescent="0.35">
      <c r="A327" t="s">
        <v>214</v>
      </c>
      <c r="B327" t="s">
        <v>536</v>
      </c>
      <c r="C327" t="s">
        <v>250</v>
      </c>
      <c r="D327" t="s">
        <v>249</v>
      </c>
      <c r="E327">
        <v>47</v>
      </c>
      <c r="F327">
        <v>0</v>
      </c>
      <c r="G327">
        <v>0</v>
      </c>
      <c r="H327">
        <v>0</v>
      </c>
    </row>
    <row r="328" spans="1:8" x14ac:dyDescent="0.35">
      <c r="A328" t="s">
        <v>214</v>
      </c>
      <c r="B328" t="s">
        <v>536</v>
      </c>
      <c r="C328" t="s">
        <v>260</v>
      </c>
      <c r="D328" t="s">
        <v>259</v>
      </c>
      <c r="E328">
        <v>52</v>
      </c>
      <c r="F328">
        <v>0</v>
      </c>
      <c r="G328">
        <v>0</v>
      </c>
      <c r="H328">
        <v>0</v>
      </c>
    </row>
    <row r="329" spans="1:8" x14ac:dyDescent="0.35">
      <c r="A329" t="s">
        <v>214</v>
      </c>
      <c r="B329" t="s">
        <v>536</v>
      </c>
      <c r="C329" t="s">
        <v>288</v>
      </c>
      <c r="D329" t="s">
        <v>287</v>
      </c>
      <c r="E329">
        <v>76</v>
      </c>
      <c r="F329">
        <v>0</v>
      </c>
      <c r="G329">
        <v>0</v>
      </c>
      <c r="H329">
        <v>0</v>
      </c>
    </row>
    <row r="330" spans="1:8" x14ac:dyDescent="0.35">
      <c r="A330" t="s">
        <v>214</v>
      </c>
      <c r="B330" t="s">
        <v>536</v>
      </c>
      <c r="C330" t="s">
        <v>308</v>
      </c>
      <c r="D330" t="s">
        <v>238</v>
      </c>
      <c r="E330">
        <v>49</v>
      </c>
      <c r="F330">
        <v>0</v>
      </c>
      <c r="G330">
        <v>0</v>
      </c>
      <c r="H330">
        <v>0</v>
      </c>
    </row>
    <row r="331" spans="1:8" x14ac:dyDescent="0.35">
      <c r="A331" t="s">
        <v>214</v>
      </c>
      <c r="B331" t="s">
        <v>539</v>
      </c>
      <c r="C331" t="s">
        <v>262</v>
      </c>
      <c r="D331" t="s">
        <v>261</v>
      </c>
      <c r="E331">
        <v>0</v>
      </c>
      <c r="F331">
        <v>9</v>
      </c>
      <c r="G331">
        <v>5</v>
      </c>
      <c r="H331">
        <v>0</v>
      </c>
    </row>
    <row r="332" spans="1:8" x14ac:dyDescent="0.35">
      <c r="A332" t="s">
        <v>214</v>
      </c>
      <c r="B332" t="s">
        <v>541</v>
      </c>
      <c r="C332" t="s">
        <v>219</v>
      </c>
      <c r="D332" t="s">
        <v>218</v>
      </c>
      <c r="E332">
        <v>0</v>
      </c>
      <c r="F332">
        <v>12</v>
      </c>
      <c r="G332">
        <v>18</v>
      </c>
      <c r="H332">
        <v>0</v>
      </c>
    </row>
    <row r="333" spans="1:8" x14ac:dyDescent="0.35">
      <c r="A333" t="s">
        <v>214</v>
      </c>
      <c r="B333" t="s">
        <v>541</v>
      </c>
      <c r="C333" t="s">
        <v>233</v>
      </c>
      <c r="D333" t="s">
        <v>232</v>
      </c>
      <c r="E333">
        <v>0</v>
      </c>
      <c r="F333">
        <v>18</v>
      </c>
      <c r="G333">
        <v>61</v>
      </c>
      <c r="H333">
        <v>0</v>
      </c>
    </row>
    <row r="334" spans="1:8" x14ac:dyDescent="0.35">
      <c r="A334" t="s">
        <v>214</v>
      </c>
      <c r="B334" t="s">
        <v>543</v>
      </c>
      <c r="C334" t="s">
        <v>544</v>
      </c>
      <c r="D334" t="s">
        <v>548</v>
      </c>
      <c r="E334">
        <v>0</v>
      </c>
      <c r="F334">
        <v>43</v>
      </c>
      <c r="G334">
        <v>46</v>
      </c>
      <c r="H334">
        <v>60</v>
      </c>
    </row>
    <row r="335" spans="1:8" x14ac:dyDescent="0.35">
      <c r="A335" t="s">
        <v>313</v>
      </c>
      <c r="B335" t="s">
        <v>536</v>
      </c>
      <c r="C335" t="s">
        <v>241</v>
      </c>
      <c r="D335" t="s">
        <v>238</v>
      </c>
      <c r="E335">
        <v>25</v>
      </c>
      <c r="F335">
        <v>0</v>
      </c>
      <c r="G335">
        <v>0</v>
      </c>
      <c r="H335">
        <v>0</v>
      </c>
    </row>
    <row r="336" spans="1:8" x14ac:dyDescent="0.35">
      <c r="A336" t="s">
        <v>313</v>
      </c>
      <c r="B336" t="s">
        <v>539</v>
      </c>
      <c r="C336" t="s">
        <v>245</v>
      </c>
      <c r="D336" t="s">
        <v>232</v>
      </c>
      <c r="E336">
        <v>0</v>
      </c>
      <c r="F336">
        <v>9</v>
      </c>
      <c r="G336">
        <v>13</v>
      </c>
      <c r="H336">
        <v>0</v>
      </c>
    </row>
    <row r="337" spans="1:8" x14ac:dyDescent="0.35">
      <c r="A337" t="s">
        <v>313</v>
      </c>
      <c r="B337" t="s">
        <v>539</v>
      </c>
      <c r="C337" t="s">
        <v>252</v>
      </c>
      <c r="D337" t="s">
        <v>232</v>
      </c>
      <c r="E337">
        <v>0</v>
      </c>
      <c r="F337">
        <v>14</v>
      </c>
      <c r="G337">
        <v>14</v>
      </c>
      <c r="H337">
        <v>0</v>
      </c>
    </row>
    <row r="338" spans="1:8" x14ac:dyDescent="0.35">
      <c r="A338" t="s">
        <v>313</v>
      </c>
      <c r="B338" t="s">
        <v>541</v>
      </c>
      <c r="C338" t="s">
        <v>239</v>
      </c>
      <c r="D338" t="s">
        <v>238</v>
      </c>
      <c r="E338">
        <v>0</v>
      </c>
      <c r="F338">
        <v>13</v>
      </c>
      <c r="G338">
        <v>39</v>
      </c>
      <c r="H338">
        <v>0</v>
      </c>
    </row>
    <row r="339" spans="1:8" x14ac:dyDescent="0.35">
      <c r="A339" t="s">
        <v>319</v>
      </c>
      <c r="B339" t="s">
        <v>536</v>
      </c>
      <c r="C339" t="s">
        <v>264</v>
      </c>
      <c r="D339" t="s">
        <v>238</v>
      </c>
      <c r="E339">
        <v>88</v>
      </c>
      <c r="F339">
        <v>0</v>
      </c>
      <c r="G339">
        <v>0</v>
      </c>
      <c r="H339">
        <v>0</v>
      </c>
    </row>
    <row r="340" spans="1:8" x14ac:dyDescent="0.35">
      <c r="A340" t="s">
        <v>319</v>
      </c>
      <c r="B340" t="s">
        <v>536</v>
      </c>
      <c r="C340" t="s">
        <v>268</v>
      </c>
      <c r="D340" t="s">
        <v>238</v>
      </c>
      <c r="E340">
        <v>254</v>
      </c>
      <c r="F340">
        <v>0</v>
      </c>
      <c r="G340">
        <v>0</v>
      </c>
      <c r="H340">
        <v>0</v>
      </c>
    </row>
    <row r="341" spans="1:8" x14ac:dyDescent="0.35">
      <c r="A341" t="s">
        <v>319</v>
      </c>
      <c r="B341" t="s">
        <v>536</v>
      </c>
      <c r="C341" t="s">
        <v>295</v>
      </c>
      <c r="D341" t="s">
        <v>218</v>
      </c>
      <c r="E341">
        <v>63</v>
      </c>
      <c r="F341">
        <v>0</v>
      </c>
      <c r="G341">
        <v>0</v>
      </c>
      <c r="H341">
        <v>0</v>
      </c>
    </row>
    <row r="342" spans="1:8" x14ac:dyDescent="0.35">
      <c r="A342" t="s">
        <v>319</v>
      </c>
      <c r="B342" t="s">
        <v>539</v>
      </c>
      <c r="C342" t="s">
        <v>262</v>
      </c>
      <c r="D342" t="s">
        <v>232</v>
      </c>
      <c r="E342">
        <v>0</v>
      </c>
      <c r="F342">
        <v>10</v>
      </c>
      <c r="G342">
        <v>7</v>
      </c>
      <c r="H342">
        <v>0</v>
      </c>
    </row>
    <row r="343" spans="1:8" x14ac:dyDescent="0.35">
      <c r="A343" t="s">
        <v>321</v>
      </c>
      <c r="B343" t="s">
        <v>536</v>
      </c>
      <c r="C343" t="s">
        <v>225</v>
      </c>
      <c r="E343">
        <v>26</v>
      </c>
      <c r="F343">
        <v>0</v>
      </c>
      <c r="G343">
        <v>0</v>
      </c>
      <c r="H343">
        <v>0</v>
      </c>
    </row>
    <row r="344" spans="1:8" x14ac:dyDescent="0.35">
      <c r="A344" t="s">
        <v>321</v>
      </c>
      <c r="B344" t="s">
        <v>536</v>
      </c>
      <c r="C344" t="s">
        <v>229</v>
      </c>
      <c r="E344">
        <v>46</v>
      </c>
      <c r="F344">
        <v>0</v>
      </c>
      <c r="G344">
        <v>0</v>
      </c>
      <c r="H344">
        <v>0</v>
      </c>
    </row>
    <row r="345" spans="1:8" x14ac:dyDescent="0.35">
      <c r="A345" t="s">
        <v>321</v>
      </c>
      <c r="B345" t="s">
        <v>536</v>
      </c>
      <c r="C345" t="s">
        <v>280</v>
      </c>
      <c r="D345" t="s">
        <v>238</v>
      </c>
      <c r="E345">
        <v>26</v>
      </c>
      <c r="F345">
        <v>0</v>
      </c>
      <c r="G345">
        <v>0</v>
      </c>
      <c r="H345">
        <v>0</v>
      </c>
    </row>
    <row r="346" spans="1:8" x14ac:dyDescent="0.35">
      <c r="A346" t="s">
        <v>321</v>
      </c>
      <c r="B346" t="s">
        <v>536</v>
      </c>
      <c r="C346" t="s">
        <v>288</v>
      </c>
      <c r="E346">
        <v>74</v>
      </c>
      <c r="F346">
        <v>0</v>
      </c>
      <c r="G346">
        <v>0</v>
      </c>
      <c r="H346">
        <v>0</v>
      </c>
    </row>
    <row r="347" spans="1:8" x14ac:dyDescent="0.35">
      <c r="A347" t="s">
        <v>321</v>
      </c>
      <c r="B347" t="s">
        <v>539</v>
      </c>
      <c r="C347" t="s">
        <v>271</v>
      </c>
      <c r="E347">
        <v>0</v>
      </c>
      <c r="F347">
        <v>14</v>
      </c>
      <c r="G347">
        <v>9</v>
      </c>
      <c r="H347">
        <v>0</v>
      </c>
    </row>
    <row r="348" spans="1:8" x14ac:dyDescent="0.35">
      <c r="A348" t="s">
        <v>321</v>
      </c>
      <c r="B348" t="s">
        <v>541</v>
      </c>
      <c r="C348" t="s">
        <v>219</v>
      </c>
      <c r="E348">
        <v>0</v>
      </c>
      <c r="F348">
        <v>11</v>
      </c>
      <c r="G348">
        <v>27</v>
      </c>
      <c r="H348">
        <v>10</v>
      </c>
    </row>
    <row r="349" spans="1:8" x14ac:dyDescent="0.35">
      <c r="A349" t="s">
        <v>326</v>
      </c>
      <c r="B349" t="s">
        <v>536</v>
      </c>
      <c r="C349" t="s">
        <v>221</v>
      </c>
      <c r="E349">
        <v>28</v>
      </c>
      <c r="F349">
        <v>0</v>
      </c>
      <c r="G349">
        <v>0</v>
      </c>
      <c r="H349">
        <v>0</v>
      </c>
    </row>
    <row r="350" spans="1:8" x14ac:dyDescent="0.35">
      <c r="A350" t="s">
        <v>326</v>
      </c>
      <c r="B350" t="s">
        <v>536</v>
      </c>
      <c r="C350" t="s">
        <v>237</v>
      </c>
      <c r="D350" t="s">
        <v>238</v>
      </c>
      <c r="E350">
        <v>283</v>
      </c>
      <c r="F350">
        <v>0</v>
      </c>
      <c r="G350">
        <v>0</v>
      </c>
      <c r="H350">
        <v>0</v>
      </c>
    </row>
    <row r="351" spans="1:8" x14ac:dyDescent="0.35">
      <c r="A351" t="s">
        <v>326</v>
      </c>
      <c r="B351" t="s">
        <v>536</v>
      </c>
      <c r="C351" t="s">
        <v>250</v>
      </c>
      <c r="E351">
        <v>46</v>
      </c>
      <c r="F351">
        <v>0</v>
      </c>
      <c r="G351">
        <v>1</v>
      </c>
      <c r="H351">
        <v>0</v>
      </c>
    </row>
    <row r="352" spans="1:8" x14ac:dyDescent="0.35">
      <c r="A352" t="s">
        <v>326</v>
      </c>
      <c r="B352" t="s">
        <v>536</v>
      </c>
      <c r="C352" t="s">
        <v>282</v>
      </c>
      <c r="E352">
        <v>29</v>
      </c>
      <c r="F352">
        <v>0</v>
      </c>
      <c r="G352">
        <v>0</v>
      </c>
      <c r="H352">
        <v>0</v>
      </c>
    </row>
    <row r="353" spans="1:8" x14ac:dyDescent="0.35">
      <c r="A353" t="s">
        <v>326</v>
      </c>
      <c r="B353" t="s">
        <v>536</v>
      </c>
      <c r="C353" t="s">
        <v>290</v>
      </c>
      <c r="E353">
        <v>158</v>
      </c>
      <c r="F353">
        <v>0</v>
      </c>
      <c r="G353">
        <v>1</v>
      </c>
      <c r="H353">
        <v>0</v>
      </c>
    </row>
    <row r="354" spans="1:8" x14ac:dyDescent="0.35">
      <c r="A354" t="s">
        <v>326</v>
      </c>
      <c r="B354" t="s">
        <v>536</v>
      </c>
      <c r="C354" t="s">
        <v>299</v>
      </c>
      <c r="D354" t="s">
        <v>238</v>
      </c>
      <c r="E354">
        <v>56</v>
      </c>
      <c r="F354">
        <v>0</v>
      </c>
      <c r="G354">
        <v>0</v>
      </c>
      <c r="H354">
        <v>0</v>
      </c>
    </row>
    <row r="355" spans="1:8" x14ac:dyDescent="0.35">
      <c r="A355" t="s">
        <v>326</v>
      </c>
      <c r="B355" t="s">
        <v>539</v>
      </c>
      <c r="C355" t="s">
        <v>231</v>
      </c>
      <c r="E355">
        <v>0</v>
      </c>
      <c r="F355">
        <v>15</v>
      </c>
      <c r="G355">
        <v>15</v>
      </c>
      <c r="H355">
        <v>0</v>
      </c>
    </row>
    <row r="356" spans="1:8" x14ac:dyDescent="0.35">
      <c r="A356" t="s">
        <v>326</v>
      </c>
      <c r="B356" t="s">
        <v>539</v>
      </c>
      <c r="C356" t="s">
        <v>245</v>
      </c>
      <c r="E356">
        <v>0</v>
      </c>
      <c r="F356">
        <v>9</v>
      </c>
      <c r="G356">
        <v>9</v>
      </c>
      <c r="H356">
        <v>0</v>
      </c>
    </row>
    <row r="357" spans="1:8" x14ac:dyDescent="0.35">
      <c r="A357" t="s">
        <v>326</v>
      </c>
      <c r="B357" t="s">
        <v>539</v>
      </c>
      <c r="C357" t="s">
        <v>252</v>
      </c>
      <c r="E357">
        <v>0</v>
      </c>
      <c r="F357">
        <v>15</v>
      </c>
      <c r="G357">
        <v>11</v>
      </c>
      <c r="H357">
        <v>0</v>
      </c>
    </row>
    <row r="358" spans="1:8" x14ac:dyDescent="0.35">
      <c r="A358" t="s">
        <v>326</v>
      </c>
      <c r="B358" t="s">
        <v>541</v>
      </c>
      <c r="C358" t="s">
        <v>239</v>
      </c>
      <c r="D358" t="s">
        <v>238</v>
      </c>
      <c r="E358">
        <v>0</v>
      </c>
      <c r="F358">
        <v>8</v>
      </c>
      <c r="G358">
        <v>29</v>
      </c>
      <c r="H358">
        <v>30</v>
      </c>
    </row>
    <row r="359" spans="1:8" x14ac:dyDescent="0.35">
      <c r="A359" t="s">
        <v>327</v>
      </c>
      <c r="B359" t="s">
        <v>536</v>
      </c>
      <c r="C359" t="s">
        <v>225</v>
      </c>
      <c r="E359">
        <v>27</v>
      </c>
      <c r="F359">
        <v>0</v>
      </c>
      <c r="G359">
        <v>0</v>
      </c>
      <c r="H359">
        <v>0</v>
      </c>
    </row>
    <row r="360" spans="1:8" x14ac:dyDescent="0.35">
      <c r="A360" t="s">
        <v>327</v>
      </c>
      <c r="B360" t="s">
        <v>536</v>
      </c>
      <c r="C360" t="s">
        <v>264</v>
      </c>
      <c r="D360" t="s">
        <v>238</v>
      </c>
      <c r="E360">
        <v>91</v>
      </c>
      <c r="F360">
        <v>0</v>
      </c>
      <c r="G360">
        <v>0</v>
      </c>
      <c r="H360">
        <v>0</v>
      </c>
    </row>
    <row r="361" spans="1:8" x14ac:dyDescent="0.35">
      <c r="A361" t="s">
        <v>327</v>
      </c>
      <c r="B361" t="s">
        <v>536</v>
      </c>
      <c r="C361" t="s">
        <v>268</v>
      </c>
      <c r="D361" t="s">
        <v>238</v>
      </c>
      <c r="E361">
        <v>214</v>
      </c>
      <c r="F361">
        <v>0</v>
      </c>
      <c r="G361">
        <v>2</v>
      </c>
      <c r="H361">
        <v>0</v>
      </c>
    </row>
    <row r="362" spans="1:8" x14ac:dyDescent="0.35">
      <c r="A362" t="s">
        <v>327</v>
      </c>
      <c r="B362" t="s">
        <v>536</v>
      </c>
      <c r="C362" t="s">
        <v>301</v>
      </c>
      <c r="E362">
        <v>0</v>
      </c>
      <c r="F362">
        <v>0</v>
      </c>
      <c r="G362">
        <v>1</v>
      </c>
      <c r="H362">
        <v>0</v>
      </c>
    </row>
    <row r="363" spans="1:8" x14ac:dyDescent="0.35">
      <c r="A363" t="s">
        <v>466</v>
      </c>
      <c r="B363" t="s">
        <v>539</v>
      </c>
      <c r="C363" t="s">
        <v>237</v>
      </c>
      <c r="E363">
        <v>0</v>
      </c>
      <c r="F363">
        <v>10</v>
      </c>
      <c r="G363">
        <v>15</v>
      </c>
      <c r="H363">
        <v>0</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H79"/>
  <sheetViews>
    <sheetView showGridLines="0" zoomScaleNormal="100" workbookViewId="0">
      <pane ySplit="2" topLeftCell="A3" activePane="bottomLeft" state="frozen"/>
      <selection pane="bottomLeft"/>
    </sheetView>
  </sheetViews>
  <sheetFormatPr defaultRowHeight="14.5" x14ac:dyDescent="0.35"/>
  <cols>
    <col min="1" max="1" width="17.1796875" customWidth="1"/>
    <col min="2" max="2" width="59.453125" customWidth="1"/>
    <col min="3" max="7" width="13.26953125" customWidth="1"/>
    <col min="8" max="8" width="19.54296875" customWidth="1"/>
  </cols>
  <sheetData>
    <row r="1" spans="1:7" ht="30" customHeight="1" x14ac:dyDescent="0.35">
      <c r="A1" s="514" t="s">
        <v>513</v>
      </c>
      <c r="B1" s="514"/>
      <c r="C1" s="514"/>
      <c r="D1" s="514"/>
      <c r="E1" s="514"/>
      <c r="F1" s="514"/>
      <c r="G1" s="514"/>
    </row>
    <row r="2" spans="1:7" ht="17.5" x14ac:dyDescent="0.35">
      <c r="A2" s="499" t="s">
        <v>201</v>
      </c>
      <c r="B2" s="1"/>
      <c r="C2" s="1"/>
      <c r="D2" s="1"/>
      <c r="E2" s="1"/>
      <c r="F2" s="1"/>
      <c r="G2" s="1"/>
    </row>
    <row r="4" spans="1:7" ht="30" customHeight="1" x14ac:dyDescent="0.35">
      <c r="A4" s="439" t="s">
        <v>549</v>
      </c>
      <c r="B4" s="439"/>
    </row>
    <row r="5" spans="1:7" ht="15" customHeight="1" x14ac:dyDescent="0.35">
      <c r="A5" t="s">
        <v>202</v>
      </c>
      <c r="B5" t="s">
        <v>61</v>
      </c>
    </row>
    <row r="6" spans="1:7" ht="15" customHeight="1" x14ac:dyDescent="0.35">
      <c r="A6" t="s">
        <v>203</v>
      </c>
      <c r="B6" t="s">
        <v>204</v>
      </c>
    </row>
    <row r="7" spans="1:7" ht="15" customHeight="1" x14ac:dyDescent="0.35">
      <c r="A7" t="s">
        <v>205</v>
      </c>
      <c r="B7" t="s">
        <v>206</v>
      </c>
    </row>
    <row r="8" spans="1:7" ht="22.5" customHeight="1" x14ac:dyDescent="0.35"/>
    <row r="9" spans="1:7" s="460" customFormat="1" ht="37.5" customHeight="1" x14ac:dyDescent="0.35">
      <c r="A9" s="592" t="s">
        <v>207</v>
      </c>
      <c r="B9" s="592" t="s">
        <v>550</v>
      </c>
      <c r="C9" s="3" t="s">
        <v>529</v>
      </c>
      <c r="D9" s="3" t="s">
        <v>530</v>
      </c>
      <c r="E9" s="3" t="s">
        <v>534</v>
      </c>
      <c r="F9" s="3" t="s">
        <v>532</v>
      </c>
      <c r="G9" s="3" t="s">
        <v>517</v>
      </c>
    </row>
    <row r="10" spans="1:7" ht="30" customHeight="1" thickBot="1" x14ac:dyDescent="0.4">
      <c r="A10" s="38" t="str">
        <f>dutysystemlapivot!B1</f>
        <v>2024-25</v>
      </c>
      <c r="B10" s="38" t="s">
        <v>551</v>
      </c>
      <c r="C10" s="64">
        <f t="shared" ref="C10:F10" si="0">C45+C65+C71+C73</f>
        <v>2762</v>
      </c>
      <c r="D10" s="64">
        <f>D45+D65+D71+D73</f>
        <v>267</v>
      </c>
      <c r="E10" s="64">
        <f t="shared" si="0"/>
        <v>332</v>
      </c>
      <c r="F10" s="64">
        <f t="shared" si="0"/>
        <v>69</v>
      </c>
      <c r="G10" s="64">
        <f>G45+G65+G71+G73</f>
        <v>3430</v>
      </c>
    </row>
    <row r="11" spans="1:7" ht="19.5" customHeight="1" x14ac:dyDescent="0.35">
      <c r="B11" s="39"/>
      <c r="C11" s="44"/>
      <c r="D11" s="44"/>
      <c r="E11" s="44"/>
      <c r="F11" s="44"/>
      <c r="G11" s="44"/>
    </row>
    <row r="12" spans="1:7" ht="15" customHeight="1" x14ac:dyDescent="0.35">
      <c r="A12" s="42" t="s">
        <v>208</v>
      </c>
      <c r="B12" s="42" t="s">
        <v>347</v>
      </c>
      <c r="C12" s="20"/>
      <c r="D12" s="20"/>
      <c r="E12" s="20"/>
      <c r="F12" s="20"/>
      <c r="G12" s="20"/>
    </row>
    <row r="13" spans="1:7" ht="15" customHeight="1" x14ac:dyDescent="0.35">
      <c r="A13" s="391" t="s">
        <v>215</v>
      </c>
      <c r="B13" s="45" t="s">
        <v>216</v>
      </c>
      <c r="C13" s="66">
        <f>GETPIVOTDATA("Sum of Operational Crewing",dutysystemlapivot!$A$3,"ReportingLevel","1:LA","lvl","Aberdeen City")</f>
        <v>150</v>
      </c>
      <c r="D13" s="66">
        <f>GETPIVOTDATA("Sum of Incident Command Officers",dutysystemlapivot!$A$3,"ReportingLevel","1:LA","lvl","Aberdeen City")</f>
        <v>0</v>
      </c>
      <c r="E13" s="66">
        <f>GETPIVOTDATA("Sum of Office Duties",dutysystemlapivot!$A$3,"ReportingLevel","1:LA","lvl","Aberdeen City")</f>
        <v>7</v>
      </c>
      <c r="F13" s="66">
        <f>GETPIVOTDATA("Sum of Trainees",dutysystemlapivot!$A$3,"ReportingLevel","1:LA","lvl","Aberdeen City")</f>
        <v>0</v>
      </c>
      <c r="G13" s="66">
        <f>SUM(C13:F13)</f>
        <v>157</v>
      </c>
    </row>
    <row r="14" spans="1:7" ht="15" customHeight="1" x14ac:dyDescent="0.35">
      <c r="A14" s="89" t="s">
        <v>220</v>
      </c>
      <c r="B14" s="48" t="s">
        <v>221</v>
      </c>
      <c r="C14" s="66">
        <f>GETPIVOTDATA("Sum of Operational Crewing",dutysystemlapivot!$A$3,"ReportingLevel","1:LA","lvl","Aberdeenshire")</f>
        <v>31</v>
      </c>
      <c r="D14" s="66">
        <f>GETPIVOTDATA("Sum of Incident Command Officers",dutysystemlapivot!$A$3,"ReportingLevel","1:LA","lvl","Aberdeenshire")</f>
        <v>0</v>
      </c>
      <c r="E14" s="66">
        <f>GETPIVOTDATA("Sum of Office Duties",dutysystemlapivot!$A$3,"ReportingLevel","1:LA","lvl","Aberdeenshire")</f>
        <v>0</v>
      </c>
      <c r="F14" s="66">
        <f>GETPIVOTDATA("Sum of Trainees",dutysystemlapivot!$A$3,"ReportingLevel","1:LA","lvl","Aberdeenshire")</f>
        <v>0</v>
      </c>
      <c r="G14" s="66">
        <f t="shared" ref="G14:G44" si="1">SUM(C14:F14)</f>
        <v>31</v>
      </c>
    </row>
    <row r="15" spans="1:7" ht="15" customHeight="1" x14ac:dyDescent="0.35">
      <c r="A15" s="89" t="s">
        <v>224</v>
      </c>
      <c r="B15" s="48" t="s">
        <v>225</v>
      </c>
      <c r="C15" s="66">
        <f>GETPIVOTDATA("Sum of Operational Crewing",dutysystemlapivot!$A$3,"ReportingLevel","1:LA","lvl","Angus")</f>
        <v>26</v>
      </c>
      <c r="D15" s="66">
        <f>GETPIVOTDATA("Sum of Incident Command Officers",dutysystemlapivot!$A$3,"ReportingLevel","1:LA","lvl","Angus")</f>
        <v>0</v>
      </c>
      <c r="E15" s="66">
        <f>GETPIVOTDATA("Sum of Office Duties",dutysystemlapivot!$A$3,"ReportingLevel","1:LA","lvl","Angus")</f>
        <v>0</v>
      </c>
      <c r="F15" s="66">
        <f>GETPIVOTDATA("Sum of Trainees",dutysystemlapivot!$A$3,"ReportingLevel","1:LA","lvl","Angus")</f>
        <v>0</v>
      </c>
      <c r="G15" s="66">
        <f t="shared" si="1"/>
        <v>26</v>
      </c>
    </row>
    <row r="16" spans="1:7" ht="15" customHeight="1" x14ac:dyDescent="0.35">
      <c r="A16" s="89" t="s">
        <v>228</v>
      </c>
      <c r="B16" s="48" t="s">
        <v>229</v>
      </c>
      <c r="C16" s="66">
        <f>GETPIVOTDATA("Sum of Operational Crewing",dutysystemlapivot!$A$3,"ReportingLevel","1:LA","lvl","Argyll and Bute")</f>
        <v>52</v>
      </c>
      <c r="D16" s="66">
        <f>GETPIVOTDATA("Sum of Incident Command Officers",dutysystemlapivot!$A$3,"ReportingLevel","1:LA","lvl","Argyll and Bute")</f>
        <v>0</v>
      </c>
      <c r="E16" s="66">
        <f>GETPIVOTDATA("Sum of Office Duties",dutysystemlapivot!$A$3,"ReportingLevel","1:LA","lvl","Argyll and Bute")</f>
        <v>1</v>
      </c>
      <c r="F16" s="66">
        <f>GETPIVOTDATA("Sum of Trainees",dutysystemlapivot!$A$3,"ReportingLevel","1:LA","lvl","Argyll and Bute")</f>
        <v>0</v>
      </c>
      <c r="G16" s="66">
        <f t="shared" si="1"/>
        <v>53</v>
      </c>
    </row>
    <row r="17" spans="1:7" ht="15" customHeight="1" x14ac:dyDescent="0.35">
      <c r="A17" s="89" t="s">
        <v>234</v>
      </c>
      <c r="B17" s="48" t="s">
        <v>235</v>
      </c>
      <c r="C17" s="66">
        <f>GETPIVOTDATA("Sum of Operational Crewing",dutysystemlapivot!$A$3,"ReportingLevel","1:LA","lvl","Edinburgh City")</f>
        <v>288</v>
      </c>
      <c r="D17" s="66">
        <f>GETPIVOTDATA("Sum of Incident Command Officers",dutysystemlapivot!$A$3,"ReportingLevel","1:LA","lvl","Edinburgh City")</f>
        <v>0</v>
      </c>
      <c r="E17" s="66">
        <f>GETPIVOTDATA("Sum of Office Duties",dutysystemlapivot!$A$3,"ReportingLevel","1:LA","lvl","Edinburgh City")</f>
        <v>0</v>
      </c>
      <c r="F17" s="66">
        <f>GETPIVOTDATA("Sum of Trainees",dutysystemlapivot!$A$3,"ReportingLevel","1:LA","lvl","Edinburgh City")</f>
        <v>0</v>
      </c>
      <c r="G17" s="66">
        <f t="shared" si="1"/>
        <v>288</v>
      </c>
    </row>
    <row r="18" spans="1:7" ht="15" customHeight="1" x14ac:dyDescent="0.35">
      <c r="A18" s="89" t="s">
        <v>240</v>
      </c>
      <c r="B18" s="48" t="s">
        <v>241</v>
      </c>
      <c r="C18" s="66">
        <f>GETPIVOTDATA("Sum of Operational Crewing",dutysystemlapivot!$A$3,"ReportingLevel","1:LA","lvl","Clackmannanshire")</f>
        <v>25</v>
      </c>
      <c r="D18" s="66">
        <f>GETPIVOTDATA("Sum of Incident Command Officers",dutysystemlapivot!$A$3,"ReportingLevel","1:LA","lvl","Clackmannanshire")</f>
        <v>0</v>
      </c>
      <c r="E18" s="66">
        <f>GETPIVOTDATA("Sum of Office Duties",dutysystemlapivot!$A$3,"ReportingLevel","1:LA","lvl","Clackmannanshire")</f>
        <v>1</v>
      </c>
      <c r="F18" s="66">
        <f>GETPIVOTDATA("Sum of Trainees",dutysystemlapivot!$A$3,"ReportingLevel","1:LA","lvl","Clackmannanshire")</f>
        <v>0</v>
      </c>
      <c r="G18" s="66">
        <f t="shared" si="1"/>
        <v>26</v>
      </c>
    </row>
    <row r="19" spans="1:7" ht="15" customHeight="1" x14ac:dyDescent="0.35">
      <c r="A19" s="89" t="s">
        <v>244</v>
      </c>
      <c r="B19" s="48" t="s">
        <v>245</v>
      </c>
      <c r="C19" s="66">
        <f>GETPIVOTDATA("Sum of Operational Crewing",dutysystemlapivot!$A$3,"ReportingLevel","1:LA","lvl","Dumfries and Gallowa")</f>
        <v>52</v>
      </c>
      <c r="D19" s="66">
        <f>GETPIVOTDATA("Sum of Incident Command Officers",dutysystemlapivot!$A$3,"ReportingLevel","1:LA","lvl","Dumfries and Gallowa")</f>
        <v>0</v>
      </c>
      <c r="E19" s="66">
        <f>GETPIVOTDATA("Sum of Office Duties",dutysystemlapivot!$A$3,"ReportingLevel","1:LA","lvl","Dumfries and Gallowa")</f>
        <v>0</v>
      </c>
      <c r="F19" s="66">
        <f>GETPIVOTDATA("Sum of Trainees",dutysystemlapivot!$A$3,"ReportingLevel","1:LA","lvl","Dumfries and Gallowa")</f>
        <v>0</v>
      </c>
      <c r="G19" s="66">
        <f t="shared" si="1"/>
        <v>52</v>
      </c>
    </row>
    <row r="20" spans="1:7" ht="15" customHeight="1" x14ac:dyDescent="0.35">
      <c r="A20" s="89" t="s">
        <v>247</v>
      </c>
      <c r="B20" s="48" t="s">
        <v>248</v>
      </c>
      <c r="C20" s="66">
        <f>GETPIVOTDATA("Sum of Operational Crewing",dutysystemlapivot!$A$3,"ReportingLevel","1:LA","lvl","Dundee City")</f>
        <v>162</v>
      </c>
      <c r="D20" s="66">
        <f>GETPIVOTDATA("Sum of Incident Command Officers",dutysystemlapivot!$A$3,"ReportingLevel","1:LA","lvl","Dundee City")</f>
        <v>0</v>
      </c>
      <c r="E20" s="66">
        <f>GETPIVOTDATA("Sum of Office Duties",dutysystemlapivot!$A$3,"ReportingLevel","1:LA","lvl","Dundee City")</f>
        <v>0</v>
      </c>
      <c r="F20" s="66">
        <f>GETPIVOTDATA("Sum of Trainees",dutysystemlapivot!$A$3,"ReportingLevel","1:LA","lvl","Dundee City")</f>
        <v>0</v>
      </c>
      <c r="G20" s="66">
        <f t="shared" si="1"/>
        <v>162</v>
      </c>
    </row>
    <row r="21" spans="1:7" ht="15" customHeight="1" x14ac:dyDescent="0.35">
      <c r="A21" s="89" t="s">
        <v>249</v>
      </c>
      <c r="B21" s="48" t="s">
        <v>250</v>
      </c>
      <c r="C21" s="66">
        <f>GETPIVOTDATA("Sum of Operational Crewing",dutysystemlapivot!$A$3,"ReportingLevel","1:LA","lvl","East Ayrshire")</f>
        <v>54</v>
      </c>
      <c r="D21" s="66">
        <f>GETPIVOTDATA("Sum of Incident Command Officers",dutysystemlapivot!$A$3,"ReportingLevel","1:LA","lvl","East Ayrshire")</f>
        <v>0</v>
      </c>
      <c r="E21" s="66">
        <f>GETPIVOTDATA("Sum of Office Duties",dutysystemlapivot!$A$3,"ReportingLevel","1:LA","lvl","East Ayrshire")</f>
        <v>1</v>
      </c>
      <c r="F21" s="66">
        <f>GETPIVOTDATA("Sum of Trainees",dutysystemlapivot!$A$3,"ReportingLevel","1:LA","lvl","East Ayrshire")</f>
        <v>0</v>
      </c>
      <c r="G21" s="66">
        <f t="shared" si="1"/>
        <v>55</v>
      </c>
    </row>
    <row r="22" spans="1:7" ht="15" customHeight="1" x14ac:dyDescent="0.35">
      <c r="A22" s="89" t="s">
        <v>253</v>
      </c>
      <c r="B22" s="48" t="s">
        <v>254</v>
      </c>
      <c r="C22" s="66">
        <f>GETPIVOTDATA("Sum of Operational Crewing",dutysystemlapivot!$A$3,"ReportingLevel","1:LA","lvl","East Dunbartonshire")</f>
        <v>75</v>
      </c>
      <c r="D22" s="66">
        <f>GETPIVOTDATA("Sum of Incident Command Officers",dutysystemlapivot!$A$3,"ReportingLevel","1:LA","lvl","East Dunbartonshire")</f>
        <v>0</v>
      </c>
      <c r="E22" s="66">
        <f>GETPIVOTDATA("Sum of Office Duties",dutysystemlapivot!$A$3,"ReportingLevel","1:LA","lvl","East Dunbartonshire")</f>
        <v>0</v>
      </c>
      <c r="F22" s="66">
        <f>GETPIVOTDATA("Sum of Trainees",dutysystemlapivot!$A$3,"ReportingLevel","1:LA","lvl","East Dunbartonshire")</f>
        <v>0</v>
      </c>
      <c r="G22" s="66">
        <f t="shared" si="1"/>
        <v>75</v>
      </c>
    </row>
    <row r="23" spans="1:7" ht="15" customHeight="1" x14ac:dyDescent="0.35">
      <c r="A23" s="89" t="s">
        <v>255</v>
      </c>
      <c r="B23" s="48" t="s">
        <v>256</v>
      </c>
      <c r="C23" s="66">
        <f>GETPIVOTDATA("Sum of Operational Crewing",dutysystemlapivot!$A$3,"ReportingLevel","1:LA","lvl","East Lothian")</f>
        <v>26</v>
      </c>
      <c r="D23" s="66">
        <f>GETPIVOTDATA("Sum of Incident Command Officers",dutysystemlapivot!$A$3,"ReportingLevel","1:LA","lvl","East Lothian")</f>
        <v>0</v>
      </c>
      <c r="E23" s="66">
        <f>GETPIVOTDATA("Sum of Office Duties",dutysystemlapivot!$A$3,"ReportingLevel","1:LA","lvl","East Lothian")</f>
        <v>0</v>
      </c>
      <c r="F23" s="66">
        <f>GETPIVOTDATA("Sum of Trainees",dutysystemlapivot!$A$3,"ReportingLevel","1:LA","lvl","East Lothian")</f>
        <v>0</v>
      </c>
      <c r="G23" s="66">
        <f t="shared" si="1"/>
        <v>26</v>
      </c>
    </row>
    <row r="24" spans="1:7" ht="15" customHeight="1" x14ac:dyDescent="0.35">
      <c r="A24" s="89" t="s">
        <v>259</v>
      </c>
      <c r="B24" s="48" t="s">
        <v>260</v>
      </c>
      <c r="C24" s="66">
        <f>GETPIVOTDATA("Sum of Operational Crewing",dutysystemlapivot!$A$3,"ReportingLevel","1:LA","lvl","East Renfrewshire")</f>
        <v>52</v>
      </c>
      <c r="D24" s="66">
        <f>GETPIVOTDATA("Sum of Incident Command Officers",dutysystemlapivot!$A$3,"ReportingLevel","1:LA","lvl","East Renfrewshire")</f>
        <v>0</v>
      </c>
      <c r="E24" s="66">
        <f>GETPIVOTDATA("Sum of Office Duties",dutysystemlapivot!$A$3,"ReportingLevel","1:LA","lvl","East Renfrewshire")</f>
        <v>0</v>
      </c>
      <c r="F24" s="66">
        <f>GETPIVOTDATA("Sum of Trainees",dutysystemlapivot!$A$3,"ReportingLevel","1:LA","lvl","East Renfrewshire")</f>
        <v>0</v>
      </c>
      <c r="G24" s="66">
        <f t="shared" si="1"/>
        <v>52</v>
      </c>
    </row>
    <row r="25" spans="1:7" ht="15" customHeight="1" x14ac:dyDescent="0.35">
      <c r="A25" s="89" t="s">
        <v>263</v>
      </c>
      <c r="B25" s="48" t="s">
        <v>264</v>
      </c>
      <c r="C25" s="66">
        <f>GETPIVOTDATA("Sum of Operational Crewing",dutysystemlapivot!$A$3,"ReportingLevel","1:LA","lvl","Falkirk")</f>
        <v>83</v>
      </c>
      <c r="D25" s="66">
        <f>GETPIVOTDATA("Sum of Incident Command Officers",dutysystemlapivot!$A$3,"ReportingLevel","1:LA","lvl","Falkirk")</f>
        <v>0</v>
      </c>
      <c r="E25" s="66">
        <f>GETPIVOTDATA("Sum of Office Duties",dutysystemlapivot!$A$3,"ReportingLevel","1:LA","lvl","Falkirk")</f>
        <v>0</v>
      </c>
      <c r="F25" s="66">
        <f>GETPIVOTDATA("Sum of Trainees",dutysystemlapivot!$A$3,"ReportingLevel","1:LA","lvl","Falkirk")</f>
        <v>0</v>
      </c>
      <c r="G25" s="66">
        <f t="shared" si="1"/>
        <v>83</v>
      </c>
    </row>
    <row r="26" spans="1:7" ht="15" customHeight="1" x14ac:dyDescent="0.35">
      <c r="A26" s="89" t="s">
        <v>267</v>
      </c>
      <c r="B26" s="48" t="s">
        <v>268</v>
      </c>
      <c r="C26" s="66">
        <f>GETPIVOTDATA("Sum of Operational Crewing",dutysystemlapivot!$A$3,"ReportingLevel","1:LA","lvl","Fife")</f>
        <v>211</v>
      </c>
      <c r="D26" s="66">
        <f>GETPIVOTDATA("Sum of Incident Command Officers",dutysystemlapivot!$A$3,"ReportingLevel","1:LA","lvl","Fife")</f>
        <v>0</v>
      </c>
      <c r="E26" s="66">
        <f>GETPIVOTDATA("Sum of Office Duties",dutysystemlapivot!$A$3,"ReportingLevel","1:LA","lvl","Fife")</f>
        <v>0</v>
      </c>
      <c r="F26" s="66">
        <f>GETPIVOTDATA("Sum of Trainees",dutysystemlapivot!$A$3,"ReportingLevel","1:LA","lvl","Fife")</f>
        <v>0</v>
      </c>
      <c r="G26" s="66">
        <f t="shared" si="1"/>
        <v>211</v>
      </c>
    </row>
    <row r="27" spans="1:7" ht="15" customHeight="1" x14ac:dyDescent="0.35">
      <c r="A27" s="89" t="str">
        <f>IF(A10 = "2018-19","S12000046","S12000049")</f>
        <v>S12000049</v>
      </c>
      <c r="B27" s="48" t="s">
        <v>271</v>
      </c>
      <c r="C27" s="66">
        <f>GETPIVOTDATA("Sum of Operational Crewing",dutysystemlapivot!$A$3,"ReportingLevel","1:LA","lvl","Glasgow City")</f>
        <v>438</v>
      </c>
      <c r="D27" s="66">
        <f>GETPIVOTDATA("Sum of Incident Command Officers",dutysystemlapivot!$A$3,"ReportingLevel","1:LA","lvl","Glasgow City")</f>
        <v>0</v>
      </c>
      <c r="E27" s="66">
        <f>GETPIVOTDATA("Sum of Office Duties",dutysystemlapivot!$A$3,"ReportingLevel","1:LA","lvl","Glasgow City")</f>
        <v>10</v>
      </c>
      <c r="F27" s="66">
        <f>GETPIVOTDATA("Sum of Trainees",dutysystemlapivot!$A$3,"ReportingLevel","1:LA","lvl","Glasgow City")</f>
        <v>0</v>
      </c>
      <c r="G27" s="66">
        <f t="shared" si="1"/>
        <v>448</v>
      </c>
    </row>
    <row r="28" spans="1:7" ht="15" customHeight="1" x14ac:dyDescent="0.35">
      <c r="A28" s="89" t="s">
        <v>273</v>
      </c>
      <c r="B28" s="48" t="s">
        <v>274</v>
      </c>
      <c r="C28" s="66">
        <f>GETPIVOTDATA("Sum of Operational Crewing",dutysystemlapivot!$A$3,"ReportingLevel","1:LA","lvl","Highlands")</f>
        <v>70</v>
      </c>
      <c r="D28" s="66">
        <f>GETPIVOTDATA("Sum of Incident Command Officers",dutysystemlapivot!$A$3,"ReportingLevel","1:LA","lvl","Highlands")</f>
        <v>0</v>
      </c>
      <c r="E28" s="66">
        <f>GETPIVOTDATA("Sum of Office Duties",dutysystemlapivot!$A$3,"ReportingLevel","1:LA","lvl","Highlands")</f>
        <v>3</v>
      </c>
      <c r="F28" s="66">
        <f>GETPIVOTDATA("Sum of Trainees",dutysystemlapivot!$A$3,"ReportingLevel","1:LA","lvl","Highlands")</f>
        <v>0</v>
      </c>
      <c r="G28" s="66">
        <f t="shared" si="1"/>
        <v>73</v>
      </c>
    </row>
    <row r="29" spans="1:7" ht="15" customHeight="1" x14ac:dyDescent="0.35">
      <c r="A29" s="89" t="s">
        <v>277</v>
      </c>
      <c r="B29" s="48" t="s">
        <v>278</v>
      </c>
      <c r="C29" s="66">
        <f>GETPIVOTDATA("Sum of Operational Crewing",dutysystemlapivot!$A$3,"ReportingLevel","1:LA","lvl","Inverclyde")</f>
        <v>64</v>
      </c>
      <c r="D29" s="66">
        <f>GETPIVOTDATA("Sum of Incident Command Officers",dutysystemlapivot!$A$3,"ReportingLevel","1:LA","lvl","Inverclyde")</f>
        <v>0</v>
      </c>
      <c r="E29" s="66">
        <f>GETPIVOTDATA("Sum of Office Duties",dutysystemlapivot!$A$3,"ReportingLevel","1:LA","lvl","Inverclyde")</f>
        <v>0</v>
      </c>
      <c r="F29" s="66">
        <f>GETPIVOTDATA("Sum of Trainees",dutysystemlapivot!$A$3,"ReportingLevel","1:LA","lvl","Inverclyde")</f>
        <v>0</v>
      </c>
      <c r="G29" s="66">
        <f t="shared" si="1"/>
        <v>64</v>
      </c>
    </row>
    <row r="30" spans="1:7" ht="15" customHeight="1" x14ac:dyDescent="0.35">
      <c r="A30" s="89" t="s">
        <v>279</v>
      </c>
      <c r="B30" s="48" t="s">
        <v>280</v>
      </c>
      <c r="C30" s="66">
        <f>GETPIVOTDATA("Sum of Operational Crewing",dutysystemlapivot!$A$3,"ReportingLevel","1:LA","lvl","Midlothian")</f>
        <v>29</v>
      </c>
      <c r="D30" s="66">
        <f>GETPIVOTDATA("Sum of Incident Command Officers",dutysystemlapivot!$A$3,"ReportingLevel","1:LA","lvl","Midlothian")</f>
        <v>0</v>
      </c>
      <c r="E30" s="66">
        <f>GETPIVOTDATA("Sum of Office Duties",dutysystemlapivot!$A$3,"ReportingLevel","1:LA","lvl","Midlothian")</f>
        <v>0</v>
      </c>
      <c r="F30" s="66">
        <f>GETPIVOTDATA("Sum of Trainees",dutysystemlapivot!$A$3,"ReportingLevel","1:LA","lvl","Midlothian")</f>
        <v>0</v>
      </c>
      <c r="G30" s="66">
        <f t="shared" si="1"/>
        <v>29</v>
      </c>
    </row>
    <row r="31" spans="1:7" ht="15" customHeight="1" x14ac:dyDescent="0.35">
      <c r="A31" s="89" t="s">
        <v>281</v>
      </c>
      <c r="B31" s="48" t="s">
        <v>282</v>
      </c>
      <c r="C31" s="66">
        <f>GETPIVOTDATA("Sum of Operational Crewing",dutysystemlapivot!$A$3,"ReportingLevel","1:LA","lvl","Moray")</f>
        <v>30</v>
      </c>
      <c r="D31" s="66">
        <f>GETPIVOTDATA("Sum of Incident Command Officers",dutysystemlapivot!$A$3,"ReportingLevel","1:LA","lvl","Moray")</f>
        <v>0</v>
      </c>
      <c r="E31" s="66">
        <f>GETPIVOTDATA("Sum of Office Duties",dutysystemlapivot!$A$3,"ReportingLevel","1:LA","lvl","Moray")</f>
        <v>0</v>
      </c>
      <c r="F31" s="66">
        <f>GETPIVOTDATA("Sum of Trainees",dutysystemlapivot!$A$3,"ReportingLevel","1:LA","lvl","Moray")</f>
        <v>0</v>
      </c>
      <c r="G31" s="66">
        <f t="shared" si="1"/>
        <v>30</v>
      </c>
    </row>
    <row r="32" spans="1:7" ht="15" customHeight="1" x14ac:dyDescent="0.35">
      <c r="A32" s="89" t="s">
        <v>283</v>
      </c>
      <c r="B32" s="48" t="s">
        <v>284</v>
      </c>
      <c r="C32" s="668">
        <f>IFERROR(GETPIVOTDATA("Sum of Operational Crewing",dutysystemlapivot!$A$3,"ReportingLevel","1:LA","lvl","Na h-Eileanan Siar"), "-")</f>
        <v>0</v>
      </c>
      <c r="D32" s="668">
        <f>IFERROR(GETPIVOTDATA("Sum of Incident Command Officers",dutysystemlapivot!$A$3,"ReportingLevel","1:LA","lvl","Na h-Eileanan Siar"), "-")</f>
        <v>0</v>
      </c>
      <c r="E32" s="668">
        <f>IFERROR(GETPIVOTDATA("Sum of Office Duties",dutysystemlapivot!$A$3,"ReportingLevel","1:LA","lvl","Na h-Eileanan Siar"), "-")</f>
        <v>3</v>
      </c>
      <c r="F32" s="668">
        <f>IFERROR(GETPIVOTDATA("Sum of Trainees",dutysystemlapivot!$A$3,"ReportingLevel","1:LA","lvl","Na h-Eileanan Siar"), "-")</f>
        <v>0</v>
      </c>
      <c r="G32" s="668">
        <f t="shared" si="1"/>
        <v>3</v>
      </c>
    </row>
    <row r="33" spans="1:7" ht="15" customHeight="1" x14ac:dyDescent="0.35">
      <c r="A33" s="89" t="s">
        <v>287</v>
      </c>
      <c r="B33" s="48" t="s">
        <v>288</v>
      </c>
      <c r="C33" s="668">
        <f>GETPIVOTDATA("Sum of Operational Crewing",dutysystemlapivot!$A$3,"ReportingLevel","1:LA","lvl","North Ayrshire")</f>
        <v>72</v>
      </c>
      <c r="D33" s="668">
        <f>GETPIVOTDATA("Sum of Incident Command Officers",dutysystemlapivot!$A$3,"ReportingLevel","1:LA","lvl","North Ayrshire")</f>
        <v>0</v>
      </c>
      <c r="E33" s="668">
        <f>GETPIVOTDATA("Sum of Office Duties",dutysystemlapivot!$A$3,"ReportingLevel","1:LA","lvl","North Ayrshire")</f>
        <v>0</v>
      </c>
      <c r="F33" s="668">
        <f>GETPIVOTDATA("Sum of Trainees",dutysystemlapivot!$A$3,"ReportingLevel","1:LA","lvl","North Ayrshire")</f>
        <v>0</v>
      </c>
      <c r="G33" s="668">
        <f t="shared" si="1"/>
        <v>72</v>
      </c>
    </row>
    <row r="34" spans="1:7" ht="15" customHeight="1" x14ac:dyDescent="0.35">
      <c r="A34" s="89" t="str">
        <f>IF(A10="2018-19","S12000044","S12000050")</f>
        <v>S12000050</v>
      </c>
      <c r="B34" s="48" t="s">
        <v>290</v>
      </c>
      <c r="C34" s="668">
        <f>GETPIVOTDATA("Sum of Operational Crewing",dutysystemlapivot!$A$3,"ReportingLevel","1:LA","lvl","North Lanarkshire")</f>
        <v>163</v>
      </c>
      <c r="D34" s="668">
        <f>GETPIVOTDATA("Sum of Incident Command Officers",dutysystemlapivot!$A$3,"ReportingLevel","1:LA","lvl","North Lanarkshire")</f>
        <v>0</v>
      </c>
      <c r="E34" s="668">
        <f>GETPIVOTDATA("Sum of Office Duties",dutysystemlapivot!$A$3,"ReportingLevel","1:LA","lvl","North Lanarkshire")</f>
        <v>0</v>
      </c>
      <c r="F34" s="668">
        <f>GETPIVOTDATA("Sum of Trainees",dutysystemlapivot!$A$3,"ReportingLevel","1:LA","lvl","North Lanarkshire")</f>
        <v>0</v>
      </c>
      <c r="G34" s="668">
        <f t="shared" si="1"/>
        <v>163</v>
      </c>
    </row>
    <row r="35" spans="1:7" ht="15" customHeight="1" x14ac:dyDescent="0.35">
      <c r="A35" s="89" t="s">
        <v>292</v>
      </c>
      <c r="B35" s="48" t="s">
        <v>293</v>
      </c>
      <c r="C35" s="668" t="str">
        <f>IFERROR(GETPIVOTDATA("Sum of Operational Crewing",dutysystemlapivot!$A$3,"ReportingLevel","1:LA","lvl","Orkney Islands"), "-")</f>
        <v>-</v>
      </c>
      <c r="D35" s="668" t="str">
        <f>IFERROR(GETPIVOTDATA("Sum of Incident Command Officers",dutysystemlapivot!$A$3,"ReportingLevel","1:LA","lvl","Orkney Islands"), "-")</f>
        <v>-</v>
      </c>
      <c r="E35" s="668" t="str">
        <f>IFERROR(GETPIVOTDATA("Sum of Office Duties",dutysystemlapivot!$A$3,"ReportingLevel","1:LA","lvl","Orkney Islands"), "-")</f>
        <v>-</v>
      </c>
      <c r="F35" s="668" t="str">
        <f>IFERROR(GETPIVOTDATA("Sum of Trainees",dutysystemlapivot!$A$3,"ReportingLevel","1:LA","lvl","Orkney Islands"), "-")</f>
        <v>-</v>
      </c>
      <c r="G35" s="668">
        <f t="shared" si="1"/>
        <v>0</v>
      </c>
    </row>
    <row r="36" spans="1:7" ht="15" customHeight="1" x14ac:dyDescent="0.35">
      <c r="A36" s="89" t="s">
        <v>294</v>
      </c>
      <c r="B36" s="48" t="s">
        <v>295</v>
      </c>
      <c r="C36" s="668">
        <f>GETPIVOTDATA("Sum of Operational Crewing",dutysystemlapivot!$A$3,"ReportingLevel","1:LA","lvl","Perth and Kinross")</f>
        <v>59</v>
      </c>
      <c r="D36" s="668">
        <f>GETPIVOTDATA("Sum of Incident Command Officers",dutysystemlapivot!$A$3,"ReportingLevel","1:LA","lvl","Perth and Kinross")</f>
        <v>0</v>
      </c>
      <c r="E36" s="668">
        <f>GETPIVOTDATA("Sum of Office Duties",dutysystemlapivot!$A$3,"ReportingLevel","1:LA","lvl","Perth and Kinross")</f>
        <v>0</v>
      </c>
      <c r="F36" s="668">
        <f>GETPIVOTDATA("Sum of Trainees",dutysystemlapivot!$A$3,"ReportingLevel","1:LA","lvl","Perth and Kinross")</f>
        <v>0</v>
      </c>
      <c r="G36" s="668">
        <f t="shared" si="1"/>
        <v>59</v>
      </c>
    </row>
    <row r="37" spans="1:7" ht="15" customHeight="1" x14ac:dyDescent="0.35">
      <c r="A37" s="89" t="s">
        <v>296</v>
      </c>
      <c r="B37" s="48" t="s">
        <v>297</v>
      </c>
      <c r="C37" s="668">
        <f>GETPIVOTDATA("Sum of Operational Crewing",dutysystemlapivot!$A$3,"ReportingLevel","1:LA","lvl","Renfrewshire")</f>
        <v>102</v>
      </c>
      <c r="D37" s="668">
        <f>GETPIVOTDATA("Sum of Incident Command Officers",dutysystemlapivot!$A$3,"ReportingLevel","1:LA","lvl","Renfrewshire")</f>
        <v>0</v>
      </c>
      <c r="E37" s="668">
        <f>GETPIVOTDATA("Sum of Office Duties",dutysystemlapivot!$A$3,"ReportingLevel","1:LA","lvl","Renfrewshire")</f>
        <v>0</v>
      </c>
      <c r="F37" s="668">
        <f>GETPIVOTDATA("Sum of Trainees",dutysystemlapivot!$A$3,"ReportingLevel","1:LA","lvl","Renfrewshire")</f>
        <v>0</v>
      </c>
      <c r="G37" s="668">
        <f t="shared" si="1"/>
        <v>102</v>
      </c>
    </row>
    <row r="38" spans="1:7" ht="15" customHeight="1" x14ac:dyDescent="0.35">
      <c r="A38" s="89" t="s">
        <v>298</v>
      </c>
      <c r="B38" s="48" t="s">
        <v>299</v>
      </c>
      <c r="C38" s="668">
        <f>GETPIVOTDATA("Sum of Operational Crewing",dutysystemlapivot!$A$3,"ReportingLevel","1:LA","lvl","Scottish Borders")</f>
        <v>58</v>
      </c>
      <c r="D38" s="668">
        <f>GETPIVOTDATA("Sum of Incident Command Officers",dutysystemlapivot!$A$3,"ReportingLevel","1:LA","lvl","Scottish Borders")</f>
        <v>0</v>
      </c>
      <c r="E38" s="668">
        <f>GETPIVOTDATA("Sum of Office Duties",dutysystemlapivot!$A$3,"ReportingLevel","1:LA","lvl","Scottish Borders")</f>
        <v>0</v>
      </c>
      <c r="F38" s="668">
        <f>GETPIVOTDATA("Sum of Trainees",dutysystemlapivot!$A$3,"ReportingLevel","1:LA","lvl","Scottish Borders")</f>
        <v>0</v>
      </c>
      <c r="G38" s="668">
        <f t="shared" si="1"/>
        <v>58</v>
      </c>
    </row>
    <row r="39" spans="1:7" ht="15" customHeight="1" x14ac:dyDescent="0.35">
      <c r="A39" s="89" t="s">
        <v>300</v>
      </c>
      <c r="B39" s="48" t="s">
        <v>301</v>
      </c>
      <c r="C39" s="668" t="str">
        <f>IFERROR(GETPIVOTDATA("Sum of Operational Crewing",dutysystemlapivot!$A$3,"ReportingLevel","1:LA","lvl","Sheltnad Islands"), "-")</f>
        <v>-</v>
      </c>
      <c r="D39" s="668" t="str">
        <f>IFERROR(GETPIVOTDATA("Sum of Incident Command Officers",dutysystemlapivot!$A$3,"ReportingLevel","1:LA","lvl","Sheltand Islands"), "-")</f>
        <v>-</v>
      </c>
      <c r="E39" s="668" t="str">
        <f>IFERROR(GETPIVOTDATA("Sum of Office Duties",dutysystemlapivot!$A$3,"ReportingLevel","1:LA","lvl","Sheltnad Islands"), "-")</f>
        <v>-</v>
      </c>
      <c r="F39" s="668" t="str">
        <f>IFERROR(GETPIVOTDATA("Sum of Trainees",dutysystemlapivot!$A$3,"ReportingLevel","1:LA","lvl","Sheltnad Islands"), "-")</f>
        <v>-</v>
      </c>
      <c r="G39" s="668">
        <f t="shared" si="1"/>
        <v>0</v>
      </c>
    </row>
    <row r="40" spans="1:7" ht="15" customHeight="1" x14ac:dyDescent="0.35">
      <c r="A40" s="89" t="s">
        <v>302</v>
      </c>
      <c r="B40" s="48" t="s">
        <v>303</v>
      </c>
      <c r="C40" s="66">
        <f>GETPIVOTDATA("Sum of Operational Crewing",dutysystemlapivot!$A$3,"ReportingLevel","1:LA","lvl","South Ayrshire")</f>
        <v>52</v>
      </c>
      <c r="D40" s="66">
        <f>GETPIVOTDATA("Sum of Incident Command Officers",dutysystemlapivot!$A$3,"ReportingLevel","1:LA","lvl","South Ayrshire")</f>
        <v>0</v>
      </c>
      <c r="E40" s="66">
        <f>GETPIVOTDATA("Sum of Office Duties",dutysystemlapivot!$A$3,"ReportingLevel","1:LA","lvl","South Ayrshire")</f>
        <v>1</v>
      </c>
      <c r="F40" s="66">
        <f>GETPIVOTDATA("Sum of Trainees",dutysystemlapivot!$A$3,"ReportingLevel","1:LA","lvl","South Ayrshire")</f>
        <v>0</v>
      </c>
      <c r="G40" s="66">
        <f t="shared" si="1"/>
        <v>53</v>
      </c>
    </row>
    <row r="41" spans="1:7" ht="15" customHeight="1" x14ac:dyDescent="0.35">
      <c r="A41" s="89" t="s">
        <v>304</v>
      </c>
      <c r="B41" s="48" t="s">
        <v>305</v>
      </c>
      <c r="C41" s="66">
        <f>GETPIVOTDATA("Sum of Operational Crewing",dutysystemlapivot!$A$3,"ReportingLevel","1:LA","lvl","South Lanarkshire")</f>
        <v>155</v>
      </c>
      <c r="D41" s="66">
        <f>GETPIVOTDATA("Sum of Incident Command Officers",dutysystemlapivot!$A$3,"ReportingLevel","1:LA","lvl","South Lanarkshire")</f>
        <v>0</v>
      </c>
      <c r="E41" s="66">
        <f>GETPIVOTDATA("Sum of Office Duties",dutysystemlapivot!$A$3,"ReportingLevel","1:LA","lvl","South Lanarkshire")</f>
        <v>0</v>
      </c>
      <c r="F41" s="66">
        <f>GETPIVOTDATA("Sum of Trainees",dutysystemlapivot!$A$3,"ReportingLevel","1:LA","lvl","South Lanarkshire")</f>
        <v>0</v>
      </c>
      <c r="G41" s="66">
        <f t="shared" si="1"/>
        <v>155</v>
      </c>
    </row>
    <row r="42" spans="1:7" ht="15" customHeight="1" x14ac:dyDescent="0.35">
      <c r="A42" s="89" t="s">
        <v>307</v>
      </c>
      <c r="B42" s="48" t="s">
        <v>308</v>
      </c>
      <c r="C42" s="66">
        <f>GETPIVOTDATA("Sum of Operational Crewing",dutysystemlapivot!$A$3,"ReportingLevel","1:LA","lvl","Stirling")</f>
        <v>47</v>
      </c>
      <c r="D42" s="66">
        <f>GETPIVOTDATA("Sum of Incident Command Officers",dutysystemlapivot!$A$3,"ReportingLevel","1:LA","lvl","Stirling")</f>
        <v>0</v>
      </c>
      <c r="E42" s="66">
        <f>GETPIVOTDATA("Sum of Office Duties",dutysystemlapivot!$A$3,"ReportingLevel","1:LA","lvl","Stirling")</f>
        <v>0</v>
      </c>
      <c r="F42" s="66">
        <f>GETPIVOTDATA("Sum of Trainees",dutysystemlapivot!$A$3,"ReportingLevel","1:LA","lvl","Stirling")</f>
        <v>0</v>
      </c>
      <c r="G42" s="66">
        <f t="shared" si="1"/>
        <v>47</v>
      </c>
    </row>
    <row r="43" spans="1:7" ht="15" customHeight="1" x14ac:dyDescent="0.35">
      <c r="A43" s="89" t="s">
        <v>309</v>
      </c>
      <c r="B43" s="48" t="s">
        <v>310</v>
      </c>
      <c r="C43" s="66">
        <f>GETPIVOTDATA("Sum of Operational Crewing",dutysystemlapivot!$A$3,"ReportingLevel","1:LA","lvl","West Dunbartonshire")</f>
        <v>75</v>
      </c>
      <c r="D43" s="66">
        <f>GETPIVOTDATA("Sum of Incident Command Officers",dutysystemlapivot!$A$3,"ReportingLevel","1:LA","lvl","West Dunbartonshire")</f>
        <v>0</v>
      </c>
      <c r="E43" s="66">
        <f>GETPIVOTDATA("Sum of Office Duties",dutysystemlapivot!$A$3,"ReportingLevel","1:LA","lvl","West Dunbartonshire")</f>
        <v>0</v>
      </c>
      <c r="F43" s="66">
        <f>GETPIVOTDATA("Sum of Trainees",dutysystemlapivot!$A$3,"ReportingLevel","1:LA","lvl","West Dunbartonshire")</f>
        <v>0</v>
      </c>
      <c r="G43" s="66">
        <f t="shared" si="1"/>
        <v>75</v>
      </c>
    </row>
    <row r="44" spans="1:7" ht="15" customHeight="1" x14ac:dyDescent="0.35">
      <c r="A44" s="89" t="s">
        <v>311</v>
      </c>
      <c r="B44" s="411" t="s">
        <v>312</v>
      </c>
      <c r="C44" s="66">
        <f>GETPIVOTDATA("Sum of Operational Crewing",dutysystemlapivot!$A$3,"ReportingLevel","1:LA","lvl","West Lothian")</f>
        <v>61</v>
      </c>
      <c r="D44" s="66">
        <f>GETPIVOTDATA("Sum of Incident Command Officers",dutysystemlapivot!$A$3,"ReportingLevel","1:LA","lvl","West Lothian")</f>
        <v>0</v>
      </c>
      <c r="E44" s="66">
        <f>GETPIVOTDATA("Sum of Office Duties",dutysystemlapivot!$A$3,"ReportingLevel","1:LA","lvl","West Lothian")</f>
        <v>3</v>
      </c>
      <c r="F44" s="66">
        <f>GETPIVOTDATA("Sum of Trainees",dutysystemlapivot!$A$3,"ReportingLevel","1:LA","lvl","West Lothian")</f>
        <v>0</v>
      </c>
      <c r="G44" s="625">
        <f t="shared" si="1"/>
        <v>64</v>
      </c>
    </row>
    <row r="45" spans="1:7" ht="30" customHeight="1" thickBot="1" x14ac:dyDescent="0.4">
      <c r="A45" s="52"/>
      <c r="B45" s="624" t="s">
        <v>552</v>
      </c>
      <c r="C45" s="70">
        <f>GETPIVOTDATA("Sum of Operational Crewing",dutysystemlapivot!$A$3,"ReportingLevel","1:LA")</f>
        <v>2762</v>
      </c>
      <c r="D45" s="70">
        <f>GETPIVOTDATA("Sum of Incident Command Officers",dutysystemlapivot!$A$3,"ReportingLevel","1:LA")</f>
        <v>0</v>
      </c>
      <c r="E45" s="70">
        <f>GETPIVOTDATA("Sum of Office Duties",dutysystemlapivot!$A$3,"ReportingLevel","1:LA")</f>
        <v>30</v>
      </c>
      <c r="F45" s="70">
        <f>GETPIVOTDATA("Sum of Trainees",dutysystemlapivot!$A$3,"ReportingLevel","1:LA")</f>
        <v>0</v>
      </c>
      <c r="G45" s="623">
        <f>SUM(C45:F45)</f>
        <v>2792</v>
      </c>
    </row>
    <row r="46" spans="1:7" ht="22.5" customHeight="1" x14ac:dyDescent="0.35">
      <c r="A46" s="48"/>
      <c r="B46" s="48"/>
      <c r="C46" s="71"/>
      <c r="D46" s="71"/>
      <c r="E46" s="71"/>
      <c r="F46" s="55"/>
      <c r="G46" s="55"/>
    </row>
    <row r="47" spans="1:7" ht="15" customHeight="1" x14ac:dyDescent="0.35">
      <c r="A47" s="54" t="s">
        <v>209</v>
      </c>
      <c r="B47" s="626" t="s">
        <v>553</v>
      </c>
      <c r="C47" s="43"/>
      <c r="D47" s="43"/>
      <c r="E47" s="43"/>
      <c r="F47" s="43"/>
      <c r="G47" s="43"/>
    </row>
    <row r="48" spans="1:7" ht="15" customHeight="1" x14ac:dyDescent="0.35">
      <c r="A48" s="392" t="str">
        <f>IF(OR(A10="2021-22", A10 = "2022-23"), "S39000023", "S39000001")</f>
        <v>S39000001</v>
      </c>
      <c r="B48" s="666" t="str">
        <f>IF(OR(A10="2021-22", A10 = "2022-23", A10 = "2023-24", A10 = "2024-25"), "Aberdeen City, Aberdeenshire and Moray", "Aberdeen City")</f>
        <v>Aberdeen City, Aberdeenshire and Moray</v>
      </c>
      <c r="C48" s="66">
        <f>IF(OR(A10="2021-22", A10 = "2022-23", A10 = "2023-24", A10 = "2024-25"), GETPIVOTDATA("Sum of Operational Crewing",dutysystemlapivot!$A$3,"ReportingLevel","2:LSO","lvl","Aberdeen City, Aberdeenshire and Moray"), GETPIVOTDATA("Sum of Operational Crewing",dutysystemlapivot!$A$3,"ReportingLevel","2:LSO","lvl","Aberdeen City"))</f>
        <v>0</v>
      </c>
      <c r="D48" s="66">
        <f>IF(OR(A10="2021-22", A10 = "2022-23", A10 = "2023-24", A10 = "2024-25"), GETPIVOTDATA("Sum of Incident Command Officers",dutysystemlapivot!$A$3,"ReportingLevel","2:LSO","lvl","Aberdeen City, Aberdeenshire and Moray"), GETPIVOTDATA("Sum of Incident Command Officers",dutysystemlapivot!$A$3,"ReportingLevel","2:LSO","lvl","Aberdeen City"))</f>
        <v>15</v>
      </c>
      <c r="E48" s="66">
        <f>IF(OR(A10="2021-22", A10 = "2022-23", A10 = "2023-24", A10 = "2024-25"), GETPIVOTDATA("Sum of Office Duties",dutysystemlapivot!$A$3,"ReportingLevel","2:LSO","lvl","Aberdeen City, Aberdeenshire and Moray"), GETPIVOTDATA("Sum of Office Duties",dutysystemlapivot!$A$3,"ReportingLevel","2:LSO","lvl","Aberdeen City"))</f>
        <v>5</v>
      </c>
      <c r="F48" s="66">
        <f>IF(OR(A10="2021-22", A10 = "2022-23", A10 = "2023-24", A10 = "2024-25"), GETPIVOTDATA("Sum of Trainees",dutysystemlapivot!$A$3,"ReportingLevel","2:LSO","lvl","Aberdeen City, Aberdeenshire and Moray"), GETPIVOTDATA("Sum of Trainees",dutysystemlapivot!$A$3,"ReportingLevel","2:LSO","lvl","Aberdeen City"))</f>
        <v>0</v>
      </c>
      <c r="G48" s="66">
        <f>SUM(C48:F48)</f>
        <v>20</v>
      </c>
    </row>
    <row r="49" spans="1:7" ht="15" customHeight="1" x14ac:dyDescent="0.35">
      <c r="A49" s="393" t="str">
        <f>IF(OR(A10="2021-22", A10 = "2022-23"), "", "S39000002")</f>
        <v>S39000002</v>
      </c>
      <c r="B49" s="667" t="str">
        <f xml:space="preserve"> IF(OR(A10="2021-22", A10 = "2022-23", A10 = "2023-24", A10 = "2024-25"), "", "Aberdeenshire and Moray")</f>
        <v/>
      </c>
      <c r="C49" s="66" t="str">
        <f>IF(OR(A10="2021-22", A10 = "2022-23", A10 = "2023-24", A10 = "2024-25"), "", GETPIVOTDATA("Sum of Operational Crewing",dutysystemlapivot!$A$3,"ReportingLevel","2:LSO","lvl","Aberdeenshire and Moray"))</f>
        <v/>
      </c>
      <c r="D49" s="66" t="str">
        <f>IF(OR(A10="2021-22", A10 = "2022-23", A10 = "2023-24", A10 = "2024-25"), "", GETPIVOTDATA("Sum of Incident Command Officers",dutysystemlapivot!$A$3,"ReportingLevel","2:LSO","lvl","Aberdeenshire and Moray"))</f>
        <v/>
      </c>
      <c r="E49" s="66" t="str">
        <f>IF(OR(A10="2021-22", A10 = "2022-23", A10 = "2023-24", A10 = "2024-25"), "", GETPIVOTDATA("Sum of Office Duties",dutysystemlapivot!$A$3,"ReportingLevel","2:LSO","lvl","Aberdeenshire and Moray"))</f>
        <v/>
      </c>
      <c r="F49" s="66" t="str">
        <f>IF(OR(A10="2021-22", A10 = "2022-23", A10 = "2023-24", A10 = "2024-25"), "", GETPIVOTDATA("Sum of Trainees",dutysystemlapivot!$A$3,"ReportingLevel","2:LSO","lvl","Aberdeenshire and Moray"))</f>
        <v/>
      </c>
      <c r="G49" s="66">
        <f t="shared" ref="G49:G65" si="2">SUM(C49:F49)</f>
        <v>0</v>
      </c>
    </row>
    <row r="50" spans="1:7" ht="15" customHeight="1" x14ac:dyDescent="0.35">
      <c r="A50" s="393" t="s">
        <v>230</v>
      </c>
      <c r="B50" s="57" t="s">
        <v>231</v>
      </c>
      <c r="C50" s="66">
        <f>GETPIVOTDATA("Sum of Operational Crewing",dutysystemlapivot!$A$3,"ReportingLevel","2:LSO","lvl","Argyll and Bute, East Dunbartonshire and West Dunbartonshire")</f>
        <v>0</v>
      </c>
      <c r="D50" s="66">
        <f>GETPIVOTDATA("Sum of Incident Command Officers",dutysystemlapivot!$A$3,"ReportingLevel","2:LSO","lvl","Argyll and Bute, East Dunbartonshire and West Dunbartonshire")</f>
        <v>14</v>
      </c>
      <c r="E50" s="66">
        <f>GETPIVOTDATA("Sum of Office Duties",dutysystemlapivot!$A$3,"ReportingLevel","2:LSO","lvl","Argyll and Bute, East Dunbartonshire and West Dunbartonshire")</f>
        <v>6</v>
      </c>
      <c r="F50" s="66">
        <f>GETPIVOTDATA("Sum of Trainees",dutysystemlapivot!$A$3,"ReportingLevel","2:LSO","lvl","Argyll and Bute, East Dunbartonshire and West Dunbartonshire")</f>
        <v>0</v>
      </c>
      <c r="G50" s="66">
        <f t="shared" si="2"/>
        <v>20</v>
      </c>
    </row>
    <row r="51" spans="1:7" ht="15" customHeight="1" x14ac:dyDescent="0.35">
      <c r="A51" s="393" t="s">
        <v>246</v>
      </c>
      <c r="B51" s="57" t="s">
        <v>245</v>
      </c>
      <c r="C51" s="66">
        <f>GETPIVOTDATA("Sum of Operational Crewing",dutysystemlapivot!$A$3,"ReportingLevel","2:LSO","lvl","Dumfries and Galloway")</f>
        <v>0</v>
      </c>
      <c r="D51" s="66">
        <f>GETPIVOTDATA("Sum of Incident Command Officers",dutysystemlapivot!$A$3,"ReportingLevel","2:LSO","lvl","Dumfries and Galloway")</f>
        <v>9</v>
      </c>
      <c r="E51" s="66">
        <f>GETPIVOTDATA("Sum of Office Duties",dutysystemlapivot!$A$3,"ReportingLevel","2:LSO","lvl","Dumfries and Galloway")</f>
        <v>7</v>
      </c>
      <c r="F51" s="66">
        <f>GETPIVOTDATA("Sum of Trainees",dutysystemlapivot!$A$3,"ReportingLevel","2:LSO","lvl","Dumfries and Galloway")</f>
        <v>0</v>
      </c>
      <c r="G51" s="66">
        <f t="shared" si="2"/>
        <v>16</v>
      </c>
    </row>
    <row r="52" spans="1:7" ht="15" customHeight="1" x14ac:dyDescent="0.35">
      <c r="A52" s="393" t="s">
        <v>226</v>
      </c>
      <c r="B52" s="57" t="s">
        <v>227</v>
      </c>
      <c r="C52" s="66">
        <f>GETPIVOTDATA("Sum of Operational Crewing",dutysystemlapivot!$A$3,"ReportingLevel","2:LSO","lvl","Dundee, Angus, Perth and Kinross")</f>
        <v>0</v>
      </c>
      <c r="D52" s="66">
        <f>GETPIVOTDATA("Sum of Incident Command Officers",dutysystemlapivot!$A$3,"ReportingLevel","2:LSO","lvl","Dundee, Angus, Perth and Kinross")</f>
        <v>13</v>
      </c>
      <c r="E52" s="66">
        <f>GETPIVOTDATA("Sum of Office Duties",dutysystemlapivot!$A$3,"ReportingLevel","2:LSO","lvl","Dundee, Angus, Perth and Kinross")</f>
        <v>12</v>
      </c>
      <c r="F52" s="66">
        <f>GETPIVOTDATA("Sum of Trainees",dutysystemlapivot!$A$3,"ReportingLevel","2:LSO","lvl","Dundee, Angus, Perth and Kinross")</f>
        <v>0</v>
      </c>
      <c r="G52" s="66">
        <f t="shared" si="2"/>
        <v>25</v>
      </c>
    </row>
    <row r="53" spans="1:7" ht="15" customHeight="1" x14ac:dyDescent="0.35">
      <c r="A53" s="393" t="s">
        <v>251</v>
      </c>
      <c r="B53" s="57" t="s">
        <v>252</v>
      </c>
      <c r="C53" s="66">
        <f>GETPIVOTDATA("Sum of Operational Crewing",dutysystemlapivot!$A$3,"ReportingLevel","2:LSO","lvl","East Ayrshire, North Ayrshire and South Ayrshire")</f>
        <v>0</v>
      </c>
      <c r="D53" s="66">
        <f>GETPIVOTDATA("Sum of Incident Command Officers",dutysystemlapivot!$A$3,"ReportingLevel","2:LSO","lvl","East Ayrshire, North Ayrshire and South Ayrshire")</f>
        <v>13</v>
      </c>
      <c r="E53" s="66">
        <f>GETPIVOTDATA("Sum of Office Duties",dutysystemlapivot!$A$3,"ReportingLevel","2:LSO","lvl","East Ayrshire, North Ayrshire and South Ayrshire")</f>
        <v>5</v>
      </c>
      <c r="F53" s="66">
        <f>GETPIVOTDATA("Sum of Trainees",dutysystemlapivot!$A$3,"ReportingLevel","2:LSO","lvl","East Ayrshire, North Ayrshire and South Ayrshire")</f>
        <v>0</v>
      </c>
      <c r="G53" s="66">
        <f t="shared" si="2"/>
        <v>18</v>
      </c>
    </row>
    <row r="54" spans="1:7" ht="15" customHeight="1" x14ac:dyDescent="0.35">
      <c r="A54" s="393" t="s">
        <v>257</v>
      </c>
      <c r="B54" s="57" t="s">
        <v>258</v>
      </c>
      <c r="C54" s="66">
        <f>GETPIVOTDATA("Sum of Operational Crewing",dutysystemlapivot!$A$3,"ReportingLevel","2:LSO","lvl","East Lothian, Midlothian and the Scottish Borders")</f>
        <v>0</v>
      </c>
      <c r="D54" s="66">
        <f>GETPIVOTDATA("Sum of Incident Command Officers",dutysystemlapivot!$A$3,"ReportingLevel","2:LSO","lvl","East Lothian, Midlothian and the Scottish Borders")</f>
        <v>10</v>
      </c>
      <c r="E54" s="66">
        <f>GETPIVOTDATA("Sum of Office Duties",dutysystemlapivot!$A$3,"ReportingLevel","2:LSO","lvl","East Lothian, Midlothian and the Scottish Borders")</f>
        <v>10</v>
      </c>
      <c r="F54" s="66">
        <f>GETPIVOTDATA("Sum of Trainees",dutysystemlapivot!$A$3,"ReportingLevel","2:LSO","lvl","East Lothian, Midlothian and the Scottish Borders")</f>
        <v>0</v>
      </c>
      <c r="G54" s="66">
        <f t="shared" si="2"/>
        <v>20</v>
      </c>
    </row>
    <row r="55" spans="1:7" ht="15" customHeight="1" x14ac:dyDescent="0.35">
      <c r="A55" s="338" t="s">
        <v>261</v>
      </c>
      <c r="B55" s="57" t="s">
        <v>262</v>
      </c>
      <c r="C55" s="66">
        <f>GETPIVOTDATA("Sum of Operational Crewing",dutysystemlapivot!$A$3,"ReportingLevel","2:LSO","lvl","East Renfrewshire, Renfrewshire and Inverclyde")</f>
        <v>0</v>
      </c>
      <c r="D55" s="66">
        <f>GETPIVOTDATA("Sum of Incident Command Officers",dutysystemlapivot!$A$3,"ReportingLevel","2:LSO","lvl","East Renfrewshire, Renfrewshire and Inverclyde")</f>
        <v>9</v>
      </c>
      <c r="E55" s="66">
        <f>GETPIVOTDATA("Sum of Office Duties",dutysystemlapivot!$A$3,"ReportingLevel","2:LSO","lvl","East Renfrewshire, Renfrewshire and Inverclyde")</f>
        <v>6</v>
      </c>
      <c r="F55" s="66">
        <f>GETPIVOTDATA("Sum of Trainees",dutysystemlapivot!$A$3,"ReportingLevel","2:LSO","lvl","East Renfrewshire, Renfrewshire and Inverclyde")</f>
        <v>0</v>
      </c>
      <c r="G55" s="66">
        <f t="shared" si="2"/>
        <v>15</v>
      </c>
    </row>
    <row r="56" spans="1:7" ht="15" customHeight="1" x14ac:dyDescent="0.35">
      <c r="A56" s="393" t="s">
        <v>236</v>
      </c>
      <c r="B56" s="57" t="s">
        <v>237</v>
      </c>
      <c r="C56" s="66">
        <f>GETPIVOTDATA("Sum of Operational Crewing",dutysystemlapivot!$A$3,"ReportingLevel","2:LSO","lvl","Edinburgh City")</f>
        <v>0</v>
      </c>
      <c r="D56" s="66">
        <f>GETPIVOTDATA("Sum of Incident Command Officers",dutysystemlapivot!$A$3,"ReportingLevel","2:LSO","lvl","Edinburgh City")</f>
        <v>10</v>
      </c>
      <c r="E56" s="66">
        <f>GETPIVOTDATA("Sum of Office Duties",dutysystemlapivot!$A$3,"ReportingLevel","2:LSO","lvl","Edinburgh City")</f>
        <v>15</v>
      </c>
      <c r="F56" s="66">
        <f>GETPIVOTDATA("Sum of Trainees",dutysystemlapivot!$A$3,"ReportingLevel","2:LSO","lvl","Edinburgh City")</f>
        <v>0</v>
      </c>
      <c r="G56" s="66">
        <f t="shared" si="2"/>
        <v>25</v>
      </c>
    </row>
    <row r="57" spans="1:7" ht="15" customHeight="1" x14ac:dyDescent="0.35">
      <c r="A57" s="393" t="s">
        <v>265</v>
      </c>
      <c r="B57" s="57" t="s">
        <v>266</v>
      </c>
      <c r="C57" s="66">
        <f>GETPIVOTDATA("Sum of Operational Crewing",dutysystemlapivot!$A$3,"ReportingLevel","2:LSO","lvl","Falkirk and West Lothian")</f>
        <v>0</v>
      </c>
      <c r="D57" s="66">
        <f>GETPIVOTDATA("Sum of Incident Command Officers",dutysystemlapivot!$A$3,"ReportingLevel","2:LSO","lvl","Falkirk and West Lothian")</f>
        <v>9</v>
      </c>
      <c r="E57" s="66">
        <f>GETPIVOTDATA("Sum of Office Duties",dutysystemlapivot!$A$3,"ReportingLevel","2:LSO","lvl","Falkirk and West Lothian")</f>
        <v>6</v>
      </c>
      <c r="F57" s="66">
        <f>GETPIVOTDATA("Sum of Trainees",dutysystemlapivot!$A$3,"ReportingLevel","2:LSO","lvl","Falkirk and West Lothian")</f>
        <v>0</v>
      </c>
      <c r="G57" s="66">
        <f t="shared" si="2"/>
        <v>15</v>
      </c>
    </row>
    <row r="58" spans="1:7" ht="15" customHeight="1" x14ac:dyDescent="0.35">
      <c r="A58" s="393" t="str">
        <f>IF(A10="2018-19","S39000019","")</f>
        <v/>
      </c>
      <c r="B58" s="312" t="str">
        <f>IF(A10 = "2018-19", "Fife", "")</f>
        <v/>
      </c>
      <c r="C58" s="66" t="str">
        <f>IF(A10 = "2018-19", GETPIVOTDATA("Sum of Operational Crewing",dutysystemlapivot!$A$3,"ReportingLevel","2:LSO","lvl","Fife"), "")</f>
        <v/>
      </c>
      <c r="D58" s="66" t="str">
        <f>IF(A10 = "2018-19", GETPIVOTDATA("Sum of Incident Command Officers",dutysystemlapivot!$A$3,"ReportingLevel","2:LSO","lvl","Fife"), "")</f>
        <v/>
      </c>
      <c r="E58" s="66" t="str">
        <f>IF(A10 = "2018-19", GETPIVOTDATA("Sum of Office Duties",dutysystemlapivot!$A$3,"ReportingLevel","2:LSO","lvl","Fife"), "")</f>
        <v/>
      </c>
      <c r="F58" s="66" t="str">
        <f>IF(A10 = "2018-19", GETPIVOTDATA("Sum of Trainees",dutysystemlapivot!$A$3,"ReportingLevel","2:LSO","lvl","Fife"), "")</f>
        <v/>
      </c>
      <c r="G58" s="66">
        <f t="shared" si="2"/>
        <v>0</v>
      </c>
    </row>
    <row r="59" spans="1:7" ht="15" customHeight="1" x14ac:dyDescent="0.35">
      <c r="A59" s="393" t="str">
        <f>IF(A10="2018-19","S39000012","S39000020")</f>
        <v>S39000020</v>
      </c>
      <c r="B59" s="57" t="s">
        <v>271</v>
      </c>
      <c r="C59" s="66">
        <f>GETPIVOTDATA("Sum of Operational Crewing",dutysystemlapivot!$A$3,"ReportingLevel","2:LSO","lvl","Glasgow City")</f>
        <v>0</v>
      </c>
      <c r="D59" s="66">
        <f>GETPIVOTDATA("Sum of Incident Command Officers",dutysystemlapivot!$A$3,"ReportingLevel","2:LSO","lvl","Glasgow City")</f>
        <v>13</v>
      </c>
      <c r="E59" s="66">
        <f>GETPIVOTDATA("Sum of Office Duties",dutysystemlapivot!$A$3,"ReportingLevel","2:LSO","lvl","Glasgow City")</f>
        <v>7</v>
      </c>
      <c r="F59" s="66">
        <f>GETPIVOTDATA("Sum of Trainees",dutysystemlapivot!$A$3,"ReportingLevel","2:LSO","lvl","Glasgow City")</f>
        <v>0</v>
      </c>
      <c r="G59" s="66">
        <f t="shared" si="2"/>
        <v>20</v>
      </c>
    </row>
    <row r="60" spans="1:7" ht="15" customHeight="1" x14ac:dyDescent="0.35">
      <c r="A60" s="393" t="s">
        <v>275</v>
      </c>
      <c r="B60" s="57" t="s">
        <v>276</v>
      </c>
      <c r="C60" s="66">
        <f>GETPIVOTDATA("Sum of Operational Crewing",dutysystemlapivot!$A$3,"ReportingLevel","2:LSO","lvl","Highlands")</f>
        <v>0</v>
      </c>
      <c r="D60" s="66">
        <f>GETPIVOTDATA("Sum of Incident Command Officers",dutysystemlapivot!$A$3,"ReportingLevel","2:LSO","lvl","Highlands")</f>
        <v>19</v>
      </c>
      <c r="E60" s="66">
        <f>GETPIVOTDATA("Sum of Office Duties",dutysystemlapivot!$A$3,"ReportingLevel","2:LSO","lvl","Highlands")</f>
        <v>6</v>
      </c>
      <c r="F60" s="66">
        <f>GETPIVOTDATA("Sum of Trainees",dutysystemlapivot!$A$3,"ReportingLevel","2:LSO","lvl","Highlands")</f>
        <v>0</v>
      </c>
      <c r="G60" s="66">
        <f t="shared" si="2"/>
        <v>25</v>
      </c>
    </row>
    <row r="61" spans="1:7" ht="15" customHeight="1" x14ac:dyDescent="0.35">
      <c r="A61" s="393" t="str">
        <f>IF(A10="2021-22","S39000024","S39000021")</f>
        <v>S39000021</v>
      </c>
      <c r="B61" s="667" t="str">
        <f>IF( OR(A10 = "2021-22", , A10 = "2023-24", A10 = "2024-25"),"Lanarkshire", "North Lanarkshire")</f>
        <v>Lanarkshire</v>
      </c>
      <c r="C61" s="66">
        <f>IF(OR(A10="2021-22", A10 = "2022-23", A10 = "2023-24", A10 = "2024-25"), GETPIVOTDATA("Sum of Operational Crewing",dutysystemlapivot!$A$3,"ReportingLevel","2:LSO","lvl","Lanarkshire"), GETPIVOTDATA("Sum of Operational Crewing",dutysystemlapivot!$A$3,"ReportingLevel","2:LSO","lvl","North Lanarkshire"))</f>
        <v>0</v>
      </c>
      <c r="D61" s="66">
        <f>IF(OR(A10="2021-22", A10 = "2022-23", A10 = "2023-24", A10 = "2024-25"), GETPIVOTDATA("Sum of Incident Command Officers",dutysystemlapivot!$A$3,"ReportingLevel","2:LSO","lvl","Lanarkshire"), GETPIVOTDATA("Sum of Incident Command Officers",dutysystemlapivot!$A$3,"ReportingLevel","2:LSO","lvl","North Lanarkshire"))</f>
        <v>13</v>
      </c>
      <c r="E61" s="66">
        <f>IF(OR(A10="2021-22", A10 = "2022-23", A10 = "2023-24", A10 = "2024-25"), GETPIVOTDATA("Sum of Office Duties",dutysystemlapivot!$A$3,"ReportingLevel","2:LSO","lvl","Lanarkshire"), GETPIVOTDATA("Sum of Office Duties",dutysystemlapivot!$A$3,"ReportingLevel","2:LSO","lvl","North Lanarkshire"))</f>
        <v>10</v>
      </c>
      <c r="F61" s="66">
        <f>IF(OR(A10="2021-22", A10 = "2022-23", A10 = "2023-24", A10 = "2024-25"), GETPIVOTDATA("Sum of Trainees",dutysystemlapivot!$A$3,"ReportingLevel","2:LSO","lvl","Lanarkshire"), GETPIVOTDATA("Sum of Trainees",dutysystemlapivot!$A$3,"ReportingLevel","2:LSO","lvl","North Lanarkshire"))</f>
        <v>0</v>
      </c>
      <c r="G61" s="66">
        <f t="shared" si="2"/>
        <v>23</v>
      </c>
    </row>
    <row r="62" spans="1:7" ht="15" customHeight="1" x14ac:dyDescent="0.35">
      <c r="A62" s="393" t="str">
        <f>IF(A10="2021-22","","S39000015")</f>
        <v>S39000015</v>
      </c>
      <c r="B62" s="667" t="str">
        <f>IF( OR(A10 = "2021-22", A10 = "2023-24", A10 = "2024-25"), "", "South Lanarkshire")</f>
        <v/>
      </c>
      <c r="C62" s="66" t="str">
        <f>IF(OR(A10="2021-22", A10 = "2022-23", A10 = "2023-24", A10 = "2024-25"), "", GETPIVOTDATA("Sum of Operational Crewing",dutysystemlapivot!$A$3,"ReportingLevel","2:LSO","lvl","South Lanarkshire"))</f>
        <v/>
      </c>
      <c r="D62" s="66" t="str">
        <f>IF(OR(A10="2021-22", A10 = "2022-23", A10 = "2023-24", A10 = "2024-25"), "", GETPIVOTDATA("Sum of Incident Command Officers",dutysystemlapivot!$A$3,"ReportingLevel","2:LSO","lvl","South Lanarkshire"))</f>
        <v/>
      </c>
      <c r="E62" s="66" t="str">
        <f>IF(OR(A10="2021-22", A10 = "2022-23", A10 = "2023-24", A10 = "2024-25"), "", GETPIVOTDATA("Sum of Office Duties",dutysystemlapivot!$A$3,"ReportingLevel","2:LSO","lvl","South Lanarkshire"))</f>
        <v/>
      </c>
      <c r="F62" s="66" t="str">
        <f>IF(OR(A10="2021-22", A10 = "2022-23", A10 = "2023-24", A10 = "2024-25"), "", GETPIVOTDATA("Sum of Trainees",dutysystemlapivot!$A$3,"ReportingLevel","2:LSO","lvl","South Lanarkshire"))</f>
        <v/>
      </c>
      <c r="G62" s="66">
        <f t="shared" si="2"/>
        <v>0</v>
      </c>
    </row>
    <row r="63" spans="1:7" ht="15.75" customHeight="1" x14ac:dyDescent="0.35">
      <c r="A63" s="393" t="str">
        <f>IF(A10="2018-19","S39000016","S39000022")</f>
        <v>S39000022</v>
      </c>
      <c r="B63" s="583" t="str">
        <f>IF(A10="2018-19","Stirling and Clackmannanshire","Stirling, Clackmannanshire and Fife")</f>
        <v>Stirling, Clackmannanshire and Fife</v>
      </c>
      <c r="C63" s="66">
        <f>IF(A10 = "2018-19", GETPIVOTDATA("Sum of Operational Crewing",dutysystemlapivot!$A$3,"ReportingLevel","2:LSO","lvl","Stirling and Clackmannanshire"), GETPIVOTDATA("Sum of Operational Crewing",dutysystemlapivot!$A$3,"ReportingLevel","2:LSO","lvl","Stirling, Clackmannanshire and Fife"))</f>
        <v>0</v>
      </c>
      <c r="D63" s="66">
        <f>IF(A10 = "2018-19", GETPIVOTDATA("Sum of Incident Command Officers",dutysystemlapivot!$A$3,"ReportingLevel","2:LSO","lvl","Stirling and Clackmannanshire"), GETPIVOTDATA("Sum of Incident Command Officers",dutysystemlapivot!$A$3,"ReportingLevel","2:LSO","lvl","Stirling, Clackmannanshire and Fife"))</f>
        <v>15</v>
      </c>
      <c r="E63" s="66">
        <f>IF(A10 = "2018-19", GETPIVOTDATA("Sum of Office Duties",dutysystemlapivot!$A$3,"ReportingLevel","2:LSO","lvl","Stirling and Clackmannanshire"), GETPIVOTDATA("Sum of Office Duties",dutysystemlapivot!$A$3,"ReportingLevel","2:LSO","lvl","Stirling, Clackmannanshire and Fife"))</f>
        <v>11</v>
      </c>
      <c r="F63" s="66">
        <f>IF(A10 = "2018-19", GETPIVOTDATA("Sum of Trainees",dutysystemlapivot!$A$3,"ReportingLevel","2:LSO","lvl","Stirling and Clackmannanshire"), GETPIVOTDATA("Sum of Trainees",dutysystemlapivot!$A$3,"ReportingLevel","2:LSO","lvl","Stirling, Clackmannanshire and Fife"))</f>
        <v>0</v>
      </c>
      <c r="G63" s="66">
        <f t="shared" si="2"/>
        <v>26</v>
      </c>
    </row>
    <row r="64" spans="1:7" ht="12.75" customHeight="1" x14ac:dyDescent="0.35">
      <c r="A64" s="393" t="s">
        <v>285</v>
      </c>
      <c r="B64" s="628" t="s">
        <v>286</v>
      </c>
      <c r="C64" s="66">
        <f>GETPIVOTDATA("Sum of Operational Crewing",dutysystemlapivot!$A$3,"ReportingLevel","2:LSO","lvl","Western Isles, Orkney and Shetland Islands")</f>
        <v>0</v>
      </c>
      <c r="D64" s="66">
        <f>GETPIVOTDATA("Sum of Incident Command Officers",dutysystemlapivot!$A$3,"ReportingLevel","2:LSO","lvl","Western Isles, Orkney and Shetland Islands")</f>
        <v>11</v>
      </c>
      <c r="E64" s="66">
        <f>GETPIVOTDATA("Sum of Office Duties",dutysystemlapivot!$A$3,"ReportingLevel","2:LSO","lvl","Western Isles, Orkney and Shetland Islands")</f>
        <v>0</v>
      </c>
      <c r="F64" s="66">
        <f>GETPIVOTDATA("Sum of Trainees",dutysystemlapivot!$A$3,"ReportingLevel","2:LSO","lvl","Western Isles, Orkney and Shetland Islands")</f>
        <v>0</v>
      </c>
      <c r="G64" s="66">
        <f t="shared" si="2"/>
        <v>11</v>
      </c>
    </row>
    <row r="65" spans="1:8" ht="30" customHeight="1" thickBot="1" x14ac:dyDescent="0.4">
      <c r="A65" s="58"/>
      <c r="B65" s="627" t="s">
        <v>554</v>
      </c>
      <c r="C65" s="70">
        <f>GETPIVOTDATA("Sum of Operational Crewing",dutysystemlapivot!$A$3,"ReportingLevel","2:LSO")</f>
        <v>0</v>
      </c>
      <c r="D65" s="70">
        <f>GETPIVOTDATA("Sum of Incident Command Officers",dutysystemlapivot!$A$3,"ReportingLevel","2:LSO")</f>
        <v>173</v>
      </c>
      <c r="E65" s="70">
        <f>GETPIVOTDATA("Sum of Office Duties",dutysystemlapivot!$A$3,"ReportingLevel","2:LSO")</f>
        <v>106</v>
      </c>
      <c r="F65" s="70">
        <f>GETPIVOTDATA("Sum of Trainees",dutysystemlapivot!$A$3,"ReportingLevel","2:LSO")</f>
        <v>0</v>
      </c>
      <c r="G65" s="299">
        <f t="shared" si="2"/>
        <v>279</v>
      </c>
    </row>
    <row r="66" spans="1:8" ht="22.5" customHeight="1" x14ac:dyDescent="0.35">
      <c r="A66" s="48"/>
      <c r="B66" s="48"/>
      <c r="C66" s="74"/>
      <c r="D66" s="41"/>
      <c r="E66" s="41"/>
      <c r="F66" s="41"/>
      <c r="G66" s="41"/>
    </row>
    <row r="67" spans="1:8" ht="15" customHeight="1" x14ac:dyDescent="0.35">
      <c r="A67" s="36" t="s">
        <v>212</v>
      </c>
      <c r="B67" s="36" t="s">
        <v>213</v>
      </c>
      <c r="C67" s="43"/>
      <c r="D67" s="43"/>
      <c r="E67" s="43"/>
      <c r="F67" s="43"/>
      <c r="G67" s="43"/>
    </row>
    <row r="68" spans="1:8" ht="15" customHeight="1" x14ac:dyDescent="0.35">
      <c r="A68" s="482" t="s">
        <v>238</v>
      </c>
      <c r="B68" s="60" t="s">
        <v>239</v>
      </c>
      <c r="C68" s="66">
        <f>GETPIVOTDATA("Sum of Operational Crewing",dutysystemlapivot!$A$3,"ReportingLevel","3:SDA","lvl","East")</f>
        <v>0</v>
      </c>
      <c r="D68" s="66">
        <f>GETPIVOTDATA("Sum of Incident Command Officers",dutysystemlapivot!$A$3,"ReportingLevel","3:SDA","lvl","East")</f>
        <v>11</v>
      </c>
      <c r="E68" s="66">
        <f>GETPIVOTDATA("Sum of Office Duties",dutysystemlapivot!$A$3,"ReportingLevel","3:SDA","lvl","East")</f>
        <v>46</v>
      </c>
      <c r="F68" s="66">
        <f>GETPIVOTDATA("Sum of Trainees",dutysystemlapivot!$A$3,"ReportingLevel","3:SDA","lvl","East")</f>
        <v>16</v>
      </c>
      <c r="G68" s="66">
        <f>SUM(C68:F68)</f>
        <v>73</v>
      </c>
    </row>
    <row r="69" spans="1:8" ht="16.5" customHeight="1" x14ac:dyDescent="0.35">
      <c r="A69" s="50" t="s">
        <v>218</v>
      </c>
      <c r="B69" s="48" t="s">
        <v>219</v>
      </c>
      <c r="C69" s="66">
        <f>GETPIVOTDATA("Sum of Operational Crewing",dutysystemlapivot!$A$3,"ReportingLevel","3:SDA","lvl","North")</f>
        <v>0</v>
      </c>
      <c r="D69" s="66">
        <f>GETPIVOTDATA("Sum of Incident Command Officers",dutysystemlapivot!$A$3,"ReportingLevel","3:SDA","lvl","North")</f>
        <v>14</v>
      </c>
      <c r="E69" s="66">
        <f>GETPIVOTDATA("Sum of Office Duties",dutysystemlapivot!$A$3,"ReportingLevel","3:SDA","lvl","North")</f>
        <v>44</v>
      </c>
      <c r="F69" s="66">
        <f>GETPIVOTDATA("Sum of Trainees",dutysystemlapivot!$A$3,"ReportingLevel","3:SDA","lvl","North")</f>
        <v>6</v>
      </c>
      <c r="G69" s="66">
        <f t="shared" ref="G69:G70" si="3">SUM(C69:F69)</f>
        <v>64</v>
      </c>
    </row>
    <row r="70" spans="1:8" x14ac:dyDescent="0.35">
      <c r="A70" s="454" t="s">
        <v>232</v>
      </c>
      <c r="B70" s="48" t="s">
        <v>233</v>
      </c>
      <c r="C70" s="66">
        <f>GETPIVOTDATA("Sum of Operational Crewing",dutysystemlapivot!$A$3,"ReportingLevel","3:SDA","lvl","West")</f>
        <v>0</v>
      </c>
      <c r="D70" s="66">
        <f>GETPIVOTDATA("Sum of Incident Command Officers",dutysystemlapivot!$A$3,"ReportingLevel","3:SDA","lvl","West")</f>
        <v>12</v>
      </c>
      <c r="E70" s="66">
        <f>GETPIVOTDATA("Sum of Office Duties",dutysystemlapivot!$A$3,"ReportingLevel","3:SDA","lvl","West")</f>
        <v>73</v>
      </c>
      <c r="F70" s="66">
        <f>GETPIVOTDATA("Sum of Trainees",dutysystemlapivot!$A$3,"ReportingLevel","3:SDA","lvl","West")</f>
        <v>47</v>
      </c>
      <c r="G70" s="66">
        <f t="shared" si="3"/>
        <v>132</v>
      </c>
    </row>
    <row r="71" spans="1:8" ht="16.5" customHeight="1" thickBot="1" x14ac:dyDescent="0.4">
      <c r="A71" s="52"/>
      <c r="B71" s="52" t="s">
        <v>555</v>
      </c>
      <c r="C71" s="70">
        <f>GETPIVOTDATA("Sum of Operational Crewing",dutysystemlapivot!$A$3,"ReportingLevel","3:SDA")</f>
        <v>0</v>
      </c>
      <c r="D71" s="70">
        <f>GETPIVOTDATA("Sum of Incident Command Officers",dutysystemlapivot!$A$3,"ReportingLevel","3:SDA")</f>
        <v>37</v>
      </c>
      <c r="E71" s="70">
        <f>GETPIVOTDATA("Sum of Office Duties",dutysystemlapivot!$A$3,"ReportingLevel","3:SDA")</f>
        <v>163</v>
      </c>
      <c r="F71" s="70">
        <f>GETPIVOTDATA("Sum of Trainees",dutysystemlapivot!$A$3,"ReportingLevel","3:SDA")</f>
        <v>69</v>
      </c>
      <c r="G71" s="70">
        <f t="shared" ref="G71:G73" si="4">SUM(C71:F71)</f>
        <v>269</v>
      </c>
    </row>
    <row r="72" spans="1:8" ht="18.75" customHeight="1" x14ac:dyDescent="0.35">
      <c r="A72" s="36" t="s">
        <v>556</v>
      </c>
      <c r="B72" s="48"/>
      <c r="C72" s="44"/>
      <c r="D72" s="44"/>
      <c r="E72" s="44"/>
      <c r="F72" s="44"/>
      <c r="G72" s="669"/>
    </row>
    <row r="73" spans="1:8" ht="13.5" customHeight="1" thickBot="1" x14ac:dyDescent="0.4">
      <c r="A73" s="52" t="s">
        <v>548</v>
      </c>
      <c r="B73" s="76" t="s">
        <v>557</v>
      </c>
      <c r="C73" s="299">
        <f>GETPIVOTDATA("Sum of Operational Crewing",dutysystemlapivot!$A$3,"ReportingLevel","4:National","lvl","Scotland")</f>
        <v>0</v>
      </c>
      <c r="D73" s="299">
        <f>GETPIVOTDATA("Sum of Incident Command Officers",dutysystemlapivot!$A$3,"ReportingLevel","4:National","lvl","Scotland")</f>
        <v>57</v>
      </c>
      <c r="E73" s="299">
        <f>GETPIVOTDATA("Sum of Office Duties",dutysystemlapivot!$A$3,"ReportingLevel","4:National","lvl","Scotland")</f>
        <v>33</v>
      </c>
      <c r="F73" s="299">
        <f>GETPIVOTDATA("Sum of Trainees",dutysystemlapivot!$A$3,"ReportingLevel","4:National","lvl","Scotland")</f>
        <v>0</v>
      </c>
      <c r="G73" s="70">
        <f t="shared" si="4"/>
        <v>90</v>
      </c>
    </row>
    <row r="74" spans="1:8" ht="13.5" customHeight="1" x14ac:dyDescent="0.35"/>
    <row r="75" spans="1:8" x14ac:dyDescent="0.35">
      <c r="A75" s="348" t="s">
        <v>329</v>
      </c>
      <c r="B75" s="349"/>
      <c r="C75" s="349"/>
      <c r="D75" s="349"/>
      <c r="E75" s="349"/>
      <c r="F75" s="349"/>
      <c r="G75" s="349"/>
    </row>
    <row r="76" spans="1:8" ht="44.5" customHeight="1" x14ac:dyDescent="0.35">
      <c r="A76" s="1010" t="s">
        <v>535</v>
      </c>
      <c r="B76" s="1010"/>
      <c r="C76" s="1010"/>
      <c r="D76" s="1010"/>
      <c r="E76" s="1010"/>
      <c r="F76" s="1010"/>
      <c r="G76" s="349"/>
    </row>
    <row r="77" spans="1:8" x14ac:dyDescent="0.35">
      <c r="A77" s="345" t="s">
        <v>558</v>
      </c>
      <c r="B77" s="339"/>
      <c r="C77" s="346"/>
      <c r="D77" s="347"/>
      <c r="E77" s="347"/>
      <c r="F77" s="347"/>
      <c r="G77" s="347"/>
    </row>
    <row r="78" spans="1:8" x14ac:dyDescent="0.35">
      <c r="A78" s="377"/>
      <c r="B78" s="422"/>
      <c r="C78" s="422"/>
      <c r="D78" s="422"/>
      <c r="E78" s="422"/>
      <c r="F78" s="422"/>
      <c r="G78" s="422"/>
      <c r="H78" s="372"/>
    </row>
    <row r="79" spans="1:8" x14ac:dyDescent="0.35">
      <c r="A79" s="345"/>
    </row>
  </sheetData>
  <sheetProtection algorithmName="SHA-512" hashValue="T2F6bm7IqbTzu2pka3tSd424oADpY9ArMXIYZC9iUwpblupArp08Lka1IaCGgTHMbG+Z8APEDU2nneHO7Je/Kw==" saltValue="Ix2ioR8Sgx+tzHN5Ft6SdA==" spinCount="100000" sheet="1" scenarios="1" formatCells="0" sort="0" autoFilter="0" pivotTables="0"/>
  <mergeCells count="1">
    <mergeCell ref="A76:F76"/>
  </mergeCells>
  <hyperlinks>
    <hyperlink ref="A2" location="'Table of Contents'!A1" display="Back to Table of Contents" xr:uid="{00000000-0004-0000-1D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AD262"/>
  <sheetViews>
    <sheetView zoomScaleNormal="100" workbookViewId="0">
      <selection sqref="A1:B1"/>
    </sheetView>
  </sheetViews>
  <sheetFormatPr defaultColWidth="8.7265625" defaultRowHeight="14.5" x14ac:dyDescent="0.35"/>
  <cols>
    <col min="1" max="1" width="14.81640625" style="371" bestFit="1" customWidth="1"/>
    <col min="2" max="2" width="48.54296875" style="371" bestFit="1" customWidth="1"/>
    <col min="3" max="3" width="50.26953125" style="371" bestFit="1" customWidth="1"/>
    <col min="4" max="4" width="36.6328125" style="371" bestFit="1" customWidth="1"/>
    <col min="5" max="5" width="34.90625" style="371" bestFit="1" customWidth="1"/>
    <col min="6" max="6" width="31.1796875" style="371" bestFit="1" customWidth="1"/>
    <col min="7" max="8" width="17.1796875" style="371" bestFit="1" customWidth="1"/>
    <col min="9" max="9" width="15.54296875" style="371" bestFit="1" customWidth="1"/>
    <col min="10" max="16" width="10.453125" style="371" customWidth="1"/>
    <col min="17" max="17" width="42.453125" style="371" customWidth="1"/>
    <col min="18" max="18" width="44.1796875" style="371" bestFit="1" customWidth="1"/>
    <col min="19" max="19" width="45.7265625" style="371" bestFit="1" customWidth="1"/>
    <col min="20" max="20" width="24.81640625" style="371" bestFit="1" customWidth="1"/>
    <col min="21" max="21" width="23.453125" style="371" bestFit="1" customWidth="1"/>
    <col min="22" max="22" width="20.26953125" style="371" bestFit="1" customWidth="1"/>
    <col min="23" max="23" width="11" style="371" bestFit="1" customWidth="1"/>
    <col min="24" max="24" width="11.453125" style="371" bestFit="1" customWidth="1"/>
    <col min="25" max="25" width="13.26953125" style="371" bestFit="1" customWidth="1"/>
    <col min="26" max="26" width="23" style="371" bestFit="1" customWidth="1"/>
    <col min="27" max="27" width="21.54296875" style="371" bestFit="1" customWidth="1"/>
    <col min="28" max="28" width="18.453125" style="371" bestFit="1" customWidth="1"/>
    <col min="29" max="29" width="9.453125" style="371" bestFit="1" customWidth="1"/>
    <col min="30" max="30" width="9.81640625" style="371" bestFit="1" customWidth="1"/>
    <col min="31" max="31" width="11.453125" style="371" bestFit="1" customWidth="1"/>
    <col min="32" max="32" width="15.54296875" style="371" customWidth="1"/>
    <col min="33" max="33" width="23" style="371" customWidth="1"/>
    <col min="34" max="34" width="21.54296875" style="371" customWidth="1"/>
    <col min="35" max="16384" width="8.7265625" style="371"/>
  </cols>
  <sheetData>
    <row r="1" spans="1:29" ht="15.5" customHeight="1" x14ac:dyDescent="0.35">
      <c r="A1" s="1025" t="s">
        <v>513</v>
      </c>
      <c r="B1" s="1025"/>
    </row>
    <row r="2" spans="1:29" ht="17.5" x14ac:dyDescent="0.35">
      <c r="A2" s="794" t="s">
        <v>201</v>
      </c>
      <c r="B2" s="1"/>
    </row>
    <row r="3" spans="1:29" ht="17.5" x14ac:dyDescent="0.35">
      <c r="A3" s="1"/>
    </row>
    <row r="4" spans="1:29" ht="15.5" customHeight="1" x14ac:dyDescent="0.35">
      <c r="A4" s="1026" t="s">
        <v>559</v>
      </c>
      <c r="B4" s="1026"/>
    </row>
    <row r="5" spans="1:29" x14ac:dyDescent="0.35">
      <c r="A5" s="371" t="s">
        <v>202</v>
      </c>
      <c r="B5" s="371" t="s">
        <v>63</v>
      </c>
    </row>
    <row r="6" spans="1:29" x14ac:dyDescent="0.35">
      <c r="A6" s="371" t="s">
        <v>203</v>
      </c>
      <c r="B6" s="371" t="s">
        <v>204</v>
      </c>
    </row>
    <row r="7" spans="1:29" x14ac:dyDescent="0.35">
      <c r="A7" s="371" t="s">
        <v>205</v>
      </c>
      <c r="B7" s="371" t="s">
        <v>206</v>
      </c>
    </row>
    <row r="9" spans="1:29" x14ac:dyDescent="0.35">
      <c r="A9" s="1000" t="s">
        <v>207</v>
      </c>
      <c r="B9" s="1000" t="s">
        <v>560</v>
      </c>
      <c r="C9" s="1000" t="s">
        <v>561</v>
      </c>
      <c r="D9" s="1000" t="s">
        <v>515</v>
      </c>
      <c r="E9" s="1000" t="s">
        <v>361</v>
      </c>
      <c r="F9" s="1000" t="s">
        <v>516</v>
      </c>
      <c r="G9" s="1000" t="s">
        <v>511</v>
      </c>
      <c r="H9" s="1000" t="s">
        <v>512</v>
      </c>
      <c r="I9" s="1000" t="s">
        <v>339</v>
      </c>
    </row>
    <row r="10" spans="1:29" s="339" customFormat="1" ht="14.5" hidden="1" customHeight="1" x14ac:dyDescent="0.35">
      <c r="A10" s="334" t="s">
        <v>214</v>
      </c>
      <c r="C10" s="339" t="s">
        <v>562</v>
      </c>
      <c r="D10" s="926">
        <v>5</v>
      </c>
      <c r="E10" s="926"/>
      <c r="F10" s="926"/>
      <c r="G10" s="926"/>
      <c r="H10" s="926">
        <v>182</v>
      </c>
      <c r="I10" s="926"/>
      <c r="J10" s="371"/>
      <c r="K10" s="371"/>
      <c r="L10" s="371"/>
      <c r="M10" s="371"/>
      <c r="N10" s="371"/>
      <c r="O10" s="371"/>
      <c r="P10" s="371"/>
      <c r="Q10" s="371"/>
      <c r="R10" s="371"/>
      <c r="S10" s="371"/>
      <c r="T10" s="371"/>
      <c r="U10" s="371"/>
      <c r="V10" s="371"/>
      <c r="W10" s="371"/>
      <c r="X10" s="371"/>
      <c r="Y10" s="371"/>
      <c r="Z10" s="371"/>
      <c r="AA10" s="371"/>
      <c r="AB10" s="371"/>
      <c r="AC10" s="371"/>
    </row>
    <row r="11" spans="1:29" ht="14.5" hidden="1" customHeight="1" x14ac:dyDescent="0.35">
      <c r="A11" s="596" t="s">
        <v>214</v>
      </c>
      <c r="C11" s="371" t="s">
        <v>563</v>
      </c>
      <c r="D11" s="926">
        <v>2</v>
      </c>
      <c r="E11" s="926"/>
      <c r="F11" s="926"/>
      <c r="G11" s="926"/>
      <c r="H11" s="926">
        <v>66</v>
      </c>
      <c r="I11" s="926"/>
    </row>
    <row r="12" spans="1:29" ht="14.5" hidden="1" customHeight="1" x14ac:dyDescent="0.35">
      <c r="A12" s="596" t="s">
        <v>214</v>
      </c>
      <c r="C12" s="371" t="s">
        <v>564</v>
      </c>
      <c r="D12" s="926"/>
      <c r="E12" s="926"/>
      <c r="F12" s="926"/>
      <c r="G12" s="926"/>
      <c r="H12" s="926">
        <v>67</v>
      </c>
      <c r="I12" s="926"/>
    </row>
    <row r="13" spans="1:29" ht="14.5" hidden="1" customHeight="1" x14ac:dyDescent="0.35">
      <c r="A13" s="596" t="s">
        <v>214</v>
      </c>
      <c r="C13" s="371" t="s">
        <v>565</v>
      </c>
      <c r="D13" s="926">
        <v>3</v>
      </c>
      <c r="E13" s="926"/>
      <c r="F13" s="926"/>
      <c r="G13" s="926"/>
      <c r="H13" s="926">
        <v>46</v>
      </c>
      <c r="I13" s="926"/>
    </row>
    <row r="14" spans="1:29" ht="14.5" hidden="1" customHeight="1" x14ac:dyDescent="0.35">
      <c r="A14" s="596" t="s">
        <v>214</v>
      </c>
      <c r="C14" s="371" t="s">
        <v>566</v>
      </c>
      <c r="D14" s="926">
        <v>2</v>
      </c>
      <c r="E14" s="926"/>
      <c r="F14" s="926"/>
      <c r="G14" s="926"/>
      <c r="H14" s="926">
        <v>56</v>
      </c>
      <c r="I14" s="926"/>
    </row>
    <row r="15" spans="1:29" ht="14.5" hidden="1" customHeight="1" x14ac:dyDescent="0.35">
      <c r="A15" s="596" t="s">
        <v>214</v>
      </c>
      <c r="C15" s="371" t="s">
        <v>567</v>
      </c>
      <c r="D15" s="926"/>
      <c r="E15" s="926"/>
      <c r="F15" s="926"/>
      <c r="G15" s="926"/>
      <c r="H15" s="926">
        <v>77</v>
      </c>
      <c r="I15" s="926"/>
    </row>
    <row r="16" spans="1:29" ht="14.5" hidden="1" customHeight="1" x14ac:dyDescent="0.35">
      <c r="A16" s="596" t="s">
        <v>214</v>
      </c>
      <c r="C16" s="371" t="s">
        <v>568</v>
      </c>
      <c r="D16" s="926">
        <v>200</v>
      </c>
      <c r="E16" s="926"/>
      <c r="F16" s="926"/>
      <c r="G16" s="926"/>
      <c r="H16" s="926">
        <v>82</v>
      </c>
      <c r="I16" s="926"/>
    </row>
    <row r="17" spans="1:9" ht="14.5" hidden="1" customHeight="1" x14ac:dyDescent="0.35">
      <c r="A17" s="596" t="s">
        <v>214</v>
      </c>
      <c r="C17" s="371" t="s">
        <v>569</v>
      </c>
      <c r="D17" s="926">
        <v>45</v>
      </c>
      <c r="E17" s="926"/>
      <c r="F17" s="926"/>
      <c r="G17" s="926">
        <v>197</v>
      </c>
      <c r="H17" s="926">
        <v>73</v>
      </c>
      <c r="I17" s="926"/>
    </row>
    <row r="18" spans="1:9" ht="14.5" hidden="1" customHeight="1" x14ac:dyDescent="0.35">
      <c r="A18" s="596" t="s">
        <v>214</v>
      </c>
      <c r="C18" s="371" t="s">
        <v>570</v>
      </c>
      <c r="D18" s="926">
        <v>4</v>
      </c>
      <c r="E18" s="926"/>
      <c r="F18" s="926"/>
      <c r="G18" s="926"/>
      <c r="H18" s="926">
        <v>3</v>
      </c>
      <c r="I18" s="926"/>
    </row>
    <row r="19" spans="1:9" ht="14.5" hidden="1" customHeight="1" x14ac:dyDescent="0.35">
      <c r="A19" s="596" t="s">
        <v>214</v>
      </c>
      <c r="C19" s="371" t="s">
        <v>571</v>
      </c>
      <c r="D19" s="926">
        <v>3101</v>
      </c>
      <c r="E19" s="926">
        <v>2935</v>
      </c>
      <c r="F19" s="926">
        <v>18</v>
      </c>
      <c r="G19" s="926"/>
      <c r="H19" s="926">
        <v>26</v>
      </c>
      <c r="I19" s="926">
        <v>321</v>
      </c>
    </row>
    <row r="20" spans="1:9" ht="14.5" hidden="1" customHeight="1" x14ac:dyDescent="0.35">
      <c r="A20" s="596" t="s">
        <v>214</v>
      </c>
      <c r="C20" s="371" t="s">
        <v>572</v>
      </c>
      <c r="D20" s="926">
        <v>5</v>
      </c>
      <c r="E20" s="926"/>
      <c r="F20" s="926"/>
      <c r="G20" s="926"/>
      <c r="H20" s="926"/>
      <c r="I20" s="926"/>
    </row>
    <row r="21" spans="1:9" ht="14.5" hidden="1" customHeight="1" x14ac:dyDescent="0.35">
      <c r="A21" s="596" t="s">
        <v>214</v>
      </c>
      <c r="C21" s="371" t="s">
        <v>573</v>
      </c>
      <c r="D21" s="926">
        <v>2</v>
      </c>
      <c r="E21" s="926"/>
      <c r="F21" s="926"/>
      <c r="G21" s="926"/>
      <c r="H21" s="926">
        <v>55</v>
      </c>
      <c r="I21" s="926"/>
    </row>
    <row r="22" spans="1:9" ht="14.5" hidden="1" customHeight="1" x14ac:dyDescent="0.35">
      <c r="A22" s="596" t="s">
        <v>214</v>
      </c>
      <c r="C22" s="371" t="s">
        <v>532</v>
      </c>
      <c r="D22" s="926">
        <v>65</v>
      </c>
      <c r="E22" s="926"/>
      <c r="F22" s="926"/>
      <c r="G22" s="926">
        <v>10</v>
      </c>
      <c r="H22" s="926">
        <v>1</v>
      </c>
      <c r="I22" s="926"/>
    </row>
    <row r="23" spans="1:9" ht="14.5" hidden="1" customHeight="1" thickBot="1" x14ac:dyDescent="0.4">
      <c r="A23" s="1001" t="s">
        <v>214</v>
      </c>
      <c r="B23" s="866"/>
      <c r="C23" s="866" t="s">
        <v>574</v>
      </c>
      <c r="D23" s="927">
        <v>203</v>
      </c>
      <c r="E23" s="927"/>
      <c r="F23" s="927"/>
      <c r="G23" s="927"/>
      <c r="H23" s="927">
        <v>58</v>
      </c>
      <c r="I23" s="927"/>
    </row>
    <row r="24" spans="1:9" ht="14.5" hidden="1" customHeight="1" x14ac:dyDescent="0.35">
      <c r="A24" s="596" t="s">
        <v>313</v>
      </c>
      <c r="C24" s="371" t="s">
        <v>562</v>
      </c>
      <c r="D24" s="926">
        <v>5</v>
      </c>
      <c r="E24" s="926"/>
      <c r="F24" s="926"/>
      <c r="G24" s="926"/>
      <c r="H24" s="926">
        <v>185</v>
      </c>
      <c r="I24" s="926"/>
    </row>
    <row r="25" spans="1:9" ht="14.5" hidden="1" customHeight="1" x14ac:dyDescent="0.35">
      <c r="A25" s="596" t="s">
        <v>313</v>
      </c>
      <c r="C25" s="371" t="s">
        <v>563</v>
      </c>
      <c r="D25" s="926">
        <v>2</v>
      </c>
      <c r="E25" s="926"/>
      <c r="F25" s="926"/>
      <c r="G25" s="926"/>
      <c r="H25" s="926">
        <v>71</v>
      </c>
      <c r="I25" s="926"/>
    </row>
    <row r="26" spans="1:9" ht="14.5" hidden="1" customHeight="1" x14ac:dyDescent="0.35">
      <c r="A26" s="596" t="s">
        <v>313</v>
      </c>
      <c r="C26" s="371" t="s">
        <v>564</v>
      </c>
      <c r="D26" s="926"/>
      <c r="E26" s="926"/>
      <c r="F26" s="926"/>
      <c r="G26" s="926"/>
      <c r="H26" s="926">
        <v>67</v>
      </c>
      <c r="I26" s="926"/>
    </row>
    <row r="27" spans="1:9" ht="14.5" hidden="1" customHeight="1" x14ac:dyDescent="0.35">
      <c r="A27" s="596" t="s">
        <v>313</v>
      </c>
      <c r="C27" s="371" t="s">
        <v>575</v>
      </c>
      <c r="D27" s="926">
        <v>2</v>
      </c>
      <c r="E27" s="926"/>
      <c r="F27" s="926"/>
      <c r="G27" s="926"/>
      <c r="H27" s="926">
        <v>17</v>
      </c>
      <c r="I27" s="926"/>
    </row>
    <row r="28" spans="1:9" ht="14.5" hidden="1" customHeight="1" x14ac:dyDescent="0.35">
      <c r="A28" s="596" t="s">
        <v>313</v>
      </c>
      <c r="C28" s="371" t="s">
        <v>567</v>
      </c>
      <c r="D28" s="926"/>
      <c r="E28" s="926"/>
      <c r="F28" s="926"/>
      <c r="G28" s="926"/>
      <c r="H28" s="926">
        <v>73</v>
      </c>
      <c r="I28" s="926"/>
    </row>
    <row r="29" spans="1:9" ht="14.5" hidden="1" customHeight="1" x14ac:dyDescent="0.35">
      <c r="A29" s="596" t="s">
        <v>313</v>
      </c>
      <c r="C29" s="371" t="s">
        <v>576</v>
      </c>
      <c r="D29" s="926">
        <v>2</v>
      </c>
      <c r="E29" s="926"/>
      <c r="F29" s="926"/>
      <c r="G29" s="926"/>
      <c r="H29" s="926">
        <v>95</v>
      </c>
      <c r="I29" s="926"/>
    </row>
    <row r="30" spans="1:9" ht="14.5" hidden="1" customHeight="1" x14ac:dyDescent="0.35">
      <c r="A30" s="596" t="s">
        <v>313</v>
      </c>
      <c r="C30" s="371" t="s">
        <v>568</v>
      </c>
      <c r="D30" s="926">
        <v>51</v>
      </c>
      <c r="E30" s="926"/>
      <c r="F30" s="926"/>
      <c r="G30" s="926"/>
      <c r="H30" s="926">
        <v>17</v>
      </c>
      <c r="I30" s="926"/>
    </row>
    <row r="31" spans="1:9" ht="14.5" hidden="1" customHeight="1" x14ac:dyDescent="0.35">
      <c r="A31" s="596" t="s">
        <v>313</v>
      </c>
      <c r="C31" s="371" t="s">
        <v>569</v>
      </c>
      <c r="D31" s="926">
        <v>52</v>
      </c>
      <c r="E31" s="926"/>
      <c r="F31" s="926"/>
      <c r="G31" s="926">
        <v>186</v>
      </c>
      <c r="H31" s="926">
        <v>77</v>
      </c>
      <c r="I31" s="926"/>
    </row>
    <row r="32" spans="1:9" ht="14.5" hidden="1" customHeight="1" x14ac:dyDescent="0.35">
      <c r="A32" s="596" t="s">
        <v>313</v>
      </c>
      <c r="C32" s="371" t="s">
        <v>570</v>
      </c>
      <c r="D32" s="926">
        <v>6</v>
      </c>
      <c r="E32" s="926"/>
      <c r="F32" s="926"/>
      <c r="G32" s="926"/>
      <c r="H32" s="926">
        <v>3</v>
      </c>
      <c r="I32" s="926"/>
    </row>
    <row r="33" spans="1:29" ht="14.5" hidden="1" customHeight="1" x14ac:dyDescent="0.35">
      <c r="A33" s="596" t="s">
        <v>313</v>
      </c>
      <c r="C33" s="371" t="s">
        <v>571</v>
      </c>
      <c r="D33" s="926">
        <v>3358</v>
      </c>
      <c r="E33" s="926">
        <v>2937</v>
      </c>
      <c r="F33" s="926">
        <v>36</v>
      </c>
      <c r="G33" s="926"/>
      <c r="H33" s="926">
        <v>96</v>
      </c>
      <c r="I33" s="926">
        <v>315</v>
      </c>
    </row>
    <row r="34" spans="1:29" ht="14.5" hidden="1" customHeight="1" x14ac:dyDescent="0.35">
      <c r="A34" s="596" t="s">
        <v>313</v>
      </c>
      <c r="C34" s="371" t="s">
        <v>572</v>
      </c>
      <c r="D34" s="926">
        <v>5</v>
      </c>
      <c r="E34" s="926"/>
      <c r="F34" s="926"/>
      <c r="G34" s="926"/>
      <c r="H34" s="926">
        <v>1</v>
      </c>
      <c r="I34" s="926"/>
    </row>
    <row r="35" spans="1:29" ht="14.5" hidden="1" customHeight="1" x14ac:dyDescent="0.35">
      <c r="A35" s="596" t="s">
        <v>313</v>
      </c>
      <c r="C35" s="371" t="s">
        <v>573</v>
      </c>
      <c r="D35" s="926">
        <v>2</v>
      </c>
      <c r="E35" s="926"/>
      <c r="F35" s="926"/>
      <c r="G35" s="926"/>
      <c r="H35" s="926">
        <v>61</v>
      </c>
      <c r="I35" s="926"/>
    </row>
    <row r="36" spans="1:29" ht="14.5" hidden="1" customHeight="1" x14ac:dyDescent="0.35">
      <c r="A36" s="596" t="s">
        <v>313</v>
      </c>
      <c r="C36" s="371" t="s">
        <v>532</v>
      </c>
      <c r="D36" s="926">
        <v>53</v>
      </c>
      <c r="E36" s="926"/>
      <c r="F36" s="926"/>
      <c r="G36" s="926">
        <v>2</v>
      </c>
      <c r="H36" s="926">
        <v>2</v>
      </c>
      <c r="I36" s="926"/>
    </row>
    <row r="37" spans="1:29" ht="14.5" hidden="1" customHeight="1" thickBot="1" x14ac:dyDescent="0.4">
      <c r="A37" s="1001" t="s">
        <v>313</v>
      </c>
      <c r="B37" s="866"/>
      <c r="C37" s="866" t="s">
        <v>574</v>
      </c>
      <c r="D37" s="927">
        <v>98</v>
      </c>
      <c r="E37" s="927"/>
      <c r="F37" s="927"/>
      <c r="G37" s="927"/>
      <c r="H37" s="927">
        <v>52</v>
      </c>
      <c r="I37" s="927"/>
    </row>
    <row r="38" spans="1:29" ht="14.5" hidden="1" customHeight="1" x14ac:dyDescent="0.35">
      <c r="A38" s="596" t="s">
        <v>319</v>
      </c>
      <c r="B38" s="371" t="s">
        <v>577</v>
      </c>
      <c r="C38" s="371" t="s">
        <v>562</v>
      </c>
      <c r="D38" s="926">
        <v>6</v>
      </c>
      <c r="E38" s="926">
        <v>0</v>
      </c>
      <c r="F38" s="926">
        <v>0</v>
      </c>
      <c r="G38" s="926">
        <v>0</v>
      </c>
      <c r="H38" s="926">
        <v>185</v>
      </c>
      <c r="I38" s="926">
        <v>0</v>
      </c>
    </row>
    <row r="39" spans="1:29" ht="14.5" hidden="1" customHeight="1" x14ac:dyDescent="0.35">
      <c r="A39" s="596" t="s">
        <v>319</v>
      </c>
      <c r="B39" s="371" t="s">
        <v>577</v>
      </c>
      <c r="C39" s="371" t="s">
        <v>564</v>
      </c>
      <c r="D39" s="926">
        <v>0</v>
      </c>
      <c r="E39" s="926">
        <v>0</v>
      </c>
      <c r="F39" s="926">
        <v>0</v>
      </c>
      <c r="G39" s="926">
        <v>0</v>
      </c>
      <c r="H39" s="926">
        <v>67</v>
      </c>
      <c r="I39" s="926">
        <v>0</v>
      </c>
    </row>
    <row r="40" spans="1:29" ht="14.5" hidden="1" customHeight="1" x14ac:dyDescent="0.35">
      <c r="A40" s="596" t="s">
        <v>319</v>
      </c>
      <c r="B40" s="371" t="s">
        <v>578</v>
      </c>
      <c r="C40" s="371" t="s">
        <v>576</v>
      </c>
      <c r="D40" s="926">
        <v>1</v>
      </c>
      <c r="E40" s="926">
        <v>0</v>
      </c>
      <c r="F40" s="926">
        <v>0</v>
      </c>
      <c r="G40" s="926">
        <v>0</v>
      </c>
      <c r="H40" s="926">
        <v>106</v>
      </c>
      <c r="I40" s="926">
        <v>0</v>
      </c>
    </row>
    <row r="41" spans="1:29" ht="14.5" hidden="1" customHeight="1" x14ac:dyDescent="0.35">
      <c r="A41" s="596" t="s">
        <v>319</v>
      </c>
      <c r="B41" s="371" t="s">
        <v>571</v>
      </c>
      <c r="C41" s="371" t="s">
        <v>579</v>
      </c>
      <c r="D41" s="926">
        <v>3285</v>
      </c>
      <c r="E41" s="926">
        <v>2872</v>
      </c>
      <c r="F41" s="926">
        <v>54</v>
      </c>
      <c r="G41" s="926">
        <v>0</v>
      </c>
      <c r="H41" s="926">
        <v>97</v>
      </c>
      <c r="I41" s="926">
        <v>303</v>
      </c>
    </row>
    <row r="42" spans="1:29" ht="14.5" hidden="1" customHeight="1" x14ac:dyDescent="0.35">
      <c r="A42" s="596" t="s">
        <v>319</v>
      </c>
      <c r="B42" s="371" t="s">
        <v>571</v>
      </c>
      <c r="C42" s="371" t="s">
        <v>580</v>
      </c>
      <c r="D42" s="926">
        <v>40</v>
      </c>
      <c r="E42" s="926">
        <v>0</v>
      </c>
      <c r="F42" s="926">
        <v>0</v>
      </c>
      <c r="G42" s="926">
        <v>174</v>
      </c>
      <c r="H42" s="926">
        <v>74</v>
      </c>
      <c r="I42" s="926">
        <v>0</v>
      </c>
    </row>
    <row r="43" spans="1:29" ht="14.5" hidden="1" customHeight="1" x14ac:dyDescent="0.35">
      <c r="A43" s="596" t="s">
        <v>319</v>
      </c>
      <c r="B43" s="371" t="s">
        <v>571</v>
      </c>
      <c r="C43" s="371" t="s">
        <v>581</v>
      </c>
      <c r="D43" s="926">
        <v>52</v>
      </c>
      <c r="E43" s="926">
        <v>0</v>
      </c>
      <c r="F43" s="926">
        <v>0</v>
      </c>
      <c r="G43" s="926">
        <v>0</v>
      </c>
      <c r="H43" s="926">
        <v>17</v>
      </c>
      <c r="I43" s="926">
        <v>0</v>
      </c>
    </row>
    <row r="44" spans="1:29" s="596" customFormat="1" ht="14.5" hidden="1" customHeight="1" x14ac:dyDescent="0.35">
      <c r="A44" s="596" t="s">
        <v>319</v>
      </c>
      <c r="B44" s="371" t="s">
        <v>571</v>
      </c>
      <c r="C44" s="371" t="s">
        <v>582</v>
      </c>
      <c r="D44" s="926">
        <v>13</v>
      </c>
      <c r="E44" s="926">
        <v>0</v>
      </c>
      <c r="F44" s="926">
        <v>0</v>
      </c>
      <c r="G44" s="926">
        <v>8</v>
      </c>
      <c r="H44" s="926">
        <v>4</v>
      </c>
      <c r="I44" s="926">
        <v>0</v>
      </c>
      <c r="J44" s="371"/>
      <c r="K44" s="371"/>
      <c r="L44" s="371"/>
      <c r="M44" s="371"/>
      <c r="N44" s="371"/>
      <c r="O44" s="371"/>
      <c r="P44" s="371"/>
      <c r="Q44" s="371"/>
      <c r="R44" s="371"/>
      <c r="S44" s="371"/>
      <c r="T44" s="371"/>
      <c r="U44" s="371"/>
      <c r="V44" s="371"/>
      <c r="W44" s="371"/>
      <c r="X44" s="371"/>
      <c r="Y44" s="371"/>
      <c r="Z44" s="371"/>
      <c r="AA44" s="371"/>
      <c r="AB44" s="371"/>
      <c r="AC44" s="371"/>
    </row>
    <row r="45" spans="1:29" ht="14.5" hidden="1" customHeight="1" x14ac:dyDescent="0.35">
      <c r="A45" s="596" t="s">
        <v>319</v>
      </c>
      <c r="B45" s="371" t="s">
        <v>571</v>
      </c>
      <c r="C45" s="371" t="s">
        <v>532</v>
      </c>
      <c r="D45" s="926">
        <v>58</v>
      </c>
      <c r="E45" s="926">
        <v>0</v>
      </c>
      <c r="F45" s="926">
        <v>0</v>
      </c>
      <c r="G45" s="926">
        <v>0</v>
      </c>
      <c r="H45" s="926">
        <v>0</v>
      </c>
      <c r="I45" s="926">
        <v>0</v>
      </c>
    </row>
    <row r="46" spans="1:29" ht="14.5" hidden="1" customHeight="1" x14ac:dyDescent="0.35">
      <c r="A46" s="596" t="s">
        <v>319</v>
      </c>
      <c r="B46" s="371" t="s">
        <v>571</v>
      </c>
      <c r="C46" s="371" t="s">
        <v>583</v>
      </c>
      <c r="D46" s="926">
        <v>1</v>
      </c>
      <c r="E46" s="926">
        <v>0</v>
      </c>
      <c r="F46" s="926">
        <v>0</v>
      </c>
      <c r="G46" s="926">
        <v>0</v>
      </c>
      <c r="H46" s="926">
        <v>0</v>
      </c>
      <c r="I46" s="926">
        <v>0</v>
      </c>
    </row>
    <row r="47" spans="1:29" ht="14.5" hidden="1" customHeight="1" x14ac:dyDescent="0.35">
      <c r="A47" s="596" t="s">
        <v>319</v>
      </c>
      <c r="B47" s="371" t="s">
        <v>584</v>
      </c>
      <c r="C47" s="371" t="s">
        <v>585</v>
      </c>
      <c r="D47" s="926">
        <v>0</v>
      </c>
      <c r="E47" s="926">
        <v>0</v>
      </c>
      <c r="F47" s="926">
        <v>0</v>
      </c>
      <c r="G47" s="926">
        <v>0</v>
      </c>
      <c r="H47" s="926">
        <v>1</v>
      </c>
      <c r="I47" s="926">
        <v>0</v>
      </c>
    </row>
    <row r="48" spans="1:29" ht="14.5" hidden="1" customHeight="1" x14ac:dyDescent="0.35">
      <c r="A48" s="596" t="s">
        <v>319</v>
      </c>
      <c r="B48" s="371" t="s">
        <v>584</v>
      </c>
      <c r="C48" s="371" t="s">
        <v>473</v>
      </c>
      <c r="D48" s="926">
        <v>6</v>
      </c>
      <c r="E48" s="926">
        <v>0</v>
      </c>
      <c r="F48" s="926">
        <v>0</v>
      </c>
      <c r="G48" s="926">
        <v>0</v>
      </c>
      <c r="H48" s="926">
        <v>84</v>
      </c>
      <c r="I48" s="926">
        <v>0</v>
      </c>
    </row>
    <row r="49" spans="1:9" ht="14.5" hidden="1" customHeight="1" x14ac:dyDescent="0.35">
      <c r="A49" s="596" t="s">
        <v>319</v>
      </c>
      <c r="B49" s="371" t="s">
        <v>586</v>
      </c>
      <c r="C49" s="371" t="s">
        <v>587</v>
      </c>
      <c r="D49" s="926">
        <v>5</v>
      </c>
      <c r="E49" s="926">
        <v>0</v>
      </c>
      <c r="F49" s="926">
        <v>0</v>
      </c>
      <c r="G49" s="926">
        <v>0</v>
      </c>
      <c r="H49" s="926">
        <v>3</v>
      </c>
      <c r="I49" s="926">
        <v>0</v>
      </c>
    </row>
    <row r="50" spans="1:9" ht="14.5" hidden="1" customHeight="1" x14ac:dyDescent="0.35">
      <c r="A50" s="596" t="s">
        <v>319</v>
      </c>
      <c r="B50" s="371" t="s">
        <v>588</v>
      </c>
      <c r="C50" s="371" t="s">
        <v>589</v>
      </c>
      <c r="D50" s="926">
        <v>0</v>
      </c>
      <c r="E50" s="926">
        <v>0</v>
      </c>
      <c r="F50" s="926">
        <v>0</v>
      </c>
      <c r="G50" s="926">
        <v>0</v>
      </c>
      <c r="H50" s="926">
        <v>22</v>
      </c>
      <c r="I50" s="926">
        <v>0</v>
      </c>
    </row>
    <row r="51" spans="1:9" ht="14.5" hidden="1" customHeight="1" x14ac:dyDescent="0.35">
      <c r="A51" s="596" t="s">
        <v>319</v>
      </c>
      <c r="B51" s="371" t="s">
        <v>588</v>
      </c>
      <c r="C51" s="371" t="s">
        <v>590</v>
      </c>
      <c r="D51" s="926">
        <v>2</v>
      </c>
      <c r="E51" s="926">
        <v>0</v>
      </c>
      <c r="F51" s="926">
        <v>0</v>
      </c>
      <c r="G51" s="926">
        <v>0</v>
      </c>
      <c r="H51" s="926">
        <v>102</v>
      </c>
      <c r="I51" s="926">
        <v>0</v>
      </c>
    </row>
    <row r="52" spans="1:9" ht="14.5" hidden="1" customHeight="1" x14ac:dyDescent="0.35">
      <c r="A52" s="596" t="s">
        <v>319</v>
      </c>
      <c r="B52" s="371" t="s">
        <v>591</v>
      </c>
      <c r="C52" s="371" t="s">
        <v>592</v>
      </c>
      <c r="D52" s="926">
        <v>9</v>
      </c>
      <c r="E52" s="926">
        <v>0</v>
      </c>
      <c r="F52" s="926">
        <v>0</v>
      </c>
      <c r="G52" s="926">
        <v>0</v>
      </c>
      <c r="H52" s="926">
        <v>18</v>
      </c>
      <c r="I52" s="926">
        <v>0</v>
      </c>
    </row>
    <row r="53" spans="1:9" ht="14.5" hidden="1" customHeight="1" thickBot="1" x14ac:dyDescent="0.4">
      <c r="A53" s="1001" t="s">
        <v>319</v>
      </c>
      <c r="B53" s="866" t="s">
        <v>591</v>
      </c>
      <c r="C53" s="866" t="s">
        <v>583</v>
      </c>
      <c r="D53" s="927">
        <v>103</v>
      </c>
      <c r="E53" s="927">
        <v>0</v>
      </c>
      <c r="F53" s="927">
        <v>0</v>
      </c>
      <c r="G53" s="927">
        <v>0</v>
      </c>
      <c r="H53" s="927">
        <v>55</v>
      </c>
      <c r="I53" s="927">
        <v>0</v>
      </c>
    </row>
    <row r="54" spans="1:9" ht="14.5" hidden="1" customHeight="1" x14ac:dyDescent="0.35">
      <c r="A54" s="596" t="s">
        <v>321</v>
      </c>
      <c r="B54" s="371" t="s">
        <v>577</v>
      </c>
      <c r="C54" s="371" t="s">
        <v>562</v>
      </c>
      <c r="D54" s="926">
        <v>5</v>
      </c>
      <c r="E54" s="926">
        <v>0</v>
      </c>
      <c r="F54" s="926">
        <v>0</v>
      </c>
      <c r="G54" s="926">
        <v>0</v>
      </c>
      <c r="H54" s="926">
        <v>181</v>
      </c>
      <c r="I54" s="926">
        <v>0</v>
      </c>
    </row>
    <row r="55" spans="1:9" ht="14.5" hidden="1" customHeight="1" x14ac:dyDescent="0.35">
      <c r="A55" s="596" t="s">
        <v>321</v>
      </c>
      <c r="B55" s="371" t="s">
        <v>577</v>
      </c>
      <c r="C55" s="371" t="s">
        <v>564</v>
      </c>
      <c r="D55" s="926">
        <v>0</v>
      </c>
      <c r="E55" s="926">
        <v>0</v>
      </c>
      <c r="F55" s="926">
        <v>0</v>
      </c>
      <c r="G55" s="926">
        <v>0</v>
      </c>
      <c r="H55" s="926">
        <v>72</v>
      </c>
      <c r="I55" s="926">
        <v>0</v>
      </c>
    </row>
    <row r="56" spans="1:9" ht="14.5" hidden="1" customHeight="1" x14ac:dyDescent="0.35">
      <c r="A56" s="596" t="s">
        <v>321</v>
      </c>
      <c r="B56" s="371" t="s">
        <v>578</v>
      </c>
      <c r="C56" s="371" t="s">
        <v>576</v>
      </c>
      <c r="D56" s="926">
        <v>2</v>
      </c>
      <c r="E56" s="926">
        <v>0</v>
      </c>
      <c r="F56" s="926">
        <v>0</v>
      </c>
      <c r="G56" s="926">
        <v>0</v>
      </c>
      <c r="H56" s="926">
        <v>137</v>
      </c>
      <c r="I56" s="926">
        <v>0</v>
      </c>
    </row>
    <row r="57" spans="1:9" ht="14.5" hidden="1" customHeight="1" x14ac:dyDescent="0.35">
      <c r="A57" s="596" t="s">
        <v>321</v>
      </c>
      <c r="B57" s="371" t="s">
        <v>571</v>
      </c>
      <c r="C57" s="371" t="s">
        <v>579</v>
      </c>
      <c r="D57" s="926">
        <v>3228</v>
      </c>
      <c r="E57" s="926">
        <v>2758</v>
      </c>
      <c r="F57" s="926">
        <v>53</v>
      </c>
      <c r="G57" s="926">
        <v>0</v>
      </c>
      <c r="H57" s="926">
        <v>123</v>
      </c>
      <c r="I57" s="926">
        <v>277</v>
      </c>
    </row>
    <row r="58" spans="1:9" ht="14.5" hidden="1" customHeight="1" x14ac:dyDescent="0.35">
      <c r="A58" s="596" t="s">
        <v>321</v>
      </c>
      <c r="B58" s="371" t="s">
        <v>571</v>
      </c>
      <c r="C58" s="371" t="s">
        <v>580</v>
      </c>
      <c r="D58" s="926">
        <v>45</v>
      </c>
      <c r="E58" s="926">
        <v>0</v>
      </c>
      <c r="F58" s="926">
        <v>0</v>
      </c>
      <c r="G58" s="926">
        <v>168</v>
      </c>
      <c r="H58" s="926">
        <v>77</v>
      </c>
      <c r="I58" s="926">
        <v>0</v>
      </c>
    </row>
    <row r="59" spans="1:9" ht="14.5" hidden="1" customHeight="1" x14ac:dyDescent="0.35">
      <c r="A59" s="596" t="s">
        <v>321</v>
      </c>
      <c r="B59" s="371" t="s">
        <v>571</v>
      </c>
      <c r="C59" s="371" t="s">
        <v>581</v>
      </c>
      <c r="D59" s="926">
        <v>50</v>
      </c>
      <c r="E59" s="926">
        <v>0</v>
      </c>
      <c r="F59" s="926">
        <v>0</v>
      </c>
      <c r="G59" s="926">
        <v>0</v>
      </c>
      <c r="H59" s="926">
        <v>18</v>
      </c>
      <c r="I59" s="926">
        <v>0</v>
      </c>
    </row>
    <row r="60" spans="1:9" ht="14.5" hidden="1" customHeight="1" x14ac:dyDescent="0.35">
      <c r="A60" s="596" t="s">
        <v>321</v>
      </c>
      <c r="B60" s="371" t="s">
        <v>571</v>
      </c>
      <c r="C60" s="371" t="s">
        <v>532</v>
      </c>
      <c r="D60" s="926">
        <v>65</v>
      </c>
      <c r="E60" s="926">
        <v>0</v>
      </c>
      <c r="F60" s="926">
        <v>0</v>
      </c>
      <c r="G60" s="926">
        <v>0</v>
      </c>
      <c r="H60" s="926">
        <v>0</v>
      </c>
      <c r="I60" s="926">
        <v>0</v>
      </c>
    </row>
    <row r="61" spans="1:9" ht="14.5" hidden="1" customHeight="1" x14ac:dyDescent="0.35">
      <c r="A61" s="596" t="s">
        <v>321</v>
      </c>
      <c r="B61" s="371" t="s">
        <v>584</v>
      </c>
      <c r="C61" s="371" t="s">
        <v>585</v>
      </c>
      <c r="D61" s="926">
        <v>0</v>
      </c>
      <c r="E61" s="926">
        <v>0</v>
      </c>
      <c r="F61" s="926">
        <v>0</v>
      </c>
      <c r="G61" s="926">
        <v>0</v>
      </c>
      <c r="H61" s="926">
        <v>1</v>
      </c>
      <c r="I61" s="926">
        <v>0</v>
      </c>
    </row>
    <row r="62" spans="1:9" ht="14.5" hidden="1" customHeight="1" x14ac:dyDescent="0.35">
      <c r="A62" s="596" t="s">
        <v>321</v>
      </c>
      <c r="B62" s="371" t="s">
        <v>584</v>
      </c>
      <c r="C62" s="371" t="s">
        <v>473</v>
      </c>
      <c r="D62" s="926">
        <v>7</v>
      </c>
      <c r="E62" s="926">
        <v>0</v>
      </c>
      <c r="F62" s="926">
        <v>0</v>
      </c>
      <c r="G62" s="926">
        <v>0</v>
      </c>
      <c r="H62" s="926">
        <v>100</v>
      </c>
      <c r="I62" s="926">
        <v>0</v>
      </c>
    </row>
    <row r="63" spans="1:9" ht="14.5" hidden="1" customHeight="1" x14ac:dyDescent="0.35">
      <c r="A63" s="596" t="s">
        <v>321</v>
      </c>
      <c r="B63" s="371" t="s">
        <v>586</v>
      </c>
      <c r="C63" s="371" t="s">
        <v>587</v>
      </c>
      <c r="D63" s="926">
        <v>5</v>
      </c>
      <c r="E63" s="926">
        <v>0</v>
      </c>
      <c r="F63" s="926">
        <v>0</v>
      </c>
      <c r="G63" s="926">
        <v>0</v>
      </c>
      <c r="H63" s="926">
        <v>4</v>
      </c>
      <c r="I63" s="926">
        <v>0</v>
      </c>
    </row>
    <row r="64" spans="1:9" ht="14.5" hidden="1" customHeight="1" x14ac:dyDescent="0.35">
      <c r="A64" s="596" t="s">
        <v>321</v>
      </c>
      <c r="B64" s="371" t="s">
        <v>588</v>
      </c>
      <c r="C64" s="371" t="s">
        <v>589</v>
      </c>
      <c r="D64" s="926">
        <v>0</v>
      </c>
      <c r="E64" s="926">
        <v>0</v>
      </c>
      <c r="F64" s="926">
        <v>0</v>
      </c>
      <c r="G64" s="926">
        <v>0</v>
      </c>
      <c r="H64" s="926">
        <v>22</v>
      </c>
      <c r="I64" s="926">
        <v>0</v>
      </c>
    </row>
    <row r="65" spans="1:9" ht="14.5" hidden="1" customHeight="1" x14ac:dyDescent="0.35">
      <c r="A65" s="596" t="s">
        <v>321</v>
      </c>
      <c r="B65" s="371" t="s">
        <v>588</v>
      </c>
      <c r="C65" s="371" t="s">
        <v>590</v>
      </c>
      <c r="D65" s="926">
        <v>3</v>
      </c>
      <c r="E65" s="926">
        <v>0</v>
      </c>
      <c r="F65" s="926">
        <v>0</v>
      </c>
      <c r="G65" s="926">
        <v>0</v>
      </c>
      <c r="H65" s="926">
        <v>111</v>
      </c>
      <c r="I65" s="926">
        <v>0</v>
      </c>
    </row>
    <row r="66" spans="1:9" ht="14.5" hidden="1" customHeight="1" x14ac:dyDescent="0.35">
      <c r="A66" s="596" t="s">
        <v>321</v>
      </c>
      <c r="B66" s="371" t="s">
        <v>591</v>
      </c>
      <c r="C66" s="371" t="s">
        <v>582</v>
      </c>
      <c r="D66" s="926">
        <v>3</v>
      </c>
      <c r="E66" s="926">
        <v>0</v>
      </c>
      <c r="F66" s="926">
        <v>0</v>
      </c>
      <c r="G66" s="926">
        <v>6</v>
      </c>
      <c r="H66" s="926">
        <v>2</v>
      </c>
      <c r="I66" s="926">
        <v>0</v>
      </c>
    </row>
    <row r="67" spans="1:9" ht="14.5" hidden="1" customHeight="1" x14ac:dyDescent="0.35">
      <c r="A67" s="596" t="s">
        <v>321</v>
      </c>
      <c r="B67" s="371" t="s">
        <v>591</v>
      </c>
      <c r="C67" s="371" t="s">
        <v>592</v>
      </c>
      <c r="D67" s="926">
        <v>8</v>
      </c>
      <c r="E67" s="926">
        <v>0</v>
      </c>
      <c r="F67" s="926">
        <v>0</v>
      </c>
      <c r="G67" s="926">
        <v>0</v>
      </c>
      <c r="H67" s="926">
        <v>20</v>
      </c>
      <c r="I67" s="926">
        <v>0</v>
      </c>
    </row>
    <row r="68" spans="1:9" ht="14.5" hidden="1" customHeight="1" thickBot="1" x14ac:dyDescent="0.4">
      <c r="A68" s="1001" t="s">
        <v>321</v>
      </c>
      <c r="B68" s="866" t="s">
        <v>591</v>
      </c>
      <c r="C68" s="866" t="s">
        <v>583</v>
      </c>
      <c r="D68" s="927">
        <v>109</v>
      </c>
      <c r="E68" s="927">
        <v>0</v>
      </c>
      <c r="F68" s="927">
        <v>0</v>
      </c>
      <c r="G68" s="927">
        <v>0</v>
      </c>
      <c r="H68" s="927">
        <v>52</v>
      </c>
      <c r="I68" s="927">
        <v>0</v>
      </c>
    </row>
    <row r="69" spans="1:9" ht="14.5" hidden="1" customHeight="1" x14ac:dyDescent="0.35">
      <c r="A69" s="596" t="s">
        <v>326</v>
      </c>
      <c r="B69" s="371" t="s">
        <v>577</v>
      </c>
      <c r="C69" s="371" t="s">
        <v>562</v>
      </c>
      <c r="D69" s="926">
        <v>5</v>
      </c>
      <c r="E69" s="926">
        <v>0</v>
      </c>
      <c r="F69" s="926">
        <v>0</v>
      </c>
      <c r="G69" s="926">
        <v>0</v>
      </c>
      <c r="H69" s="926">
        <v>184</v>
      </c>
      <c r="I69" s="926">
        <v>0</v>
      </c>
    </row>
    <row r="70" spans="1:9" ht="14.5" hidden="1" customHeight="1" x14ac:dyDescent="0.35">
      <c r="A70" s="596" t="s">
        <v>326</v>
      </c>
      <c r="B70" s="371" t="s">
        <v>577</v>
      </c>
      <c r="C70" s="371" t="s">
        <v>564</v>
      </c>
      <c r="D70" s="926">
        <v>0</v>
      </c>
      <c r="E70" s="926">
        <v>0</v>
      </c>
      <c r="F70" s="926">
        <v>0</v>
      </c>
      <c r="G70" s="926">
        <v>0</v>
      </c>
      <c r="H70" s="926">
        <v>70</v>
      </c>
      <c r="I70" s="926">
        <v>0</v>
      </c>
    </row>
    <row r="71" spans="1:9" ht="14.5" hidden="1" customHeight="1" x14ac:dyDescent="0.35">
      <c r="A71" s="596" t="s">
        <v>326</v>
      </c>
      <c r="B71" s="371" t="s">
        <v>578</v>
      </c>
      <c r="C71" s="371" t="s">
        <v>576</v>
      </c>
      <c r="D71" s="926">
        <v>2</v>
      </c>
      <c r="E71" s="926">
        <v>0</v>
      </c>
      <c r="F71" s="926">
        <v>0</v>
      </c>
      <c r="G71" s="926">
        <v>0</v>
      </c>
      <c r="H71" s="926">
        <v>115</v>
      </c>
      <c r="I71" s="926">
        <v>0</v>
      </c>
    </row>
    <row r="72" spans="1:9" ht="14.5" hidden="1" customHeight="1" x14ac:dyDescent="0.35">
      <c r="A72" s="596" t="s">
        <v>326</v>
      </c>
      <c r="B72" s="371" t="s">
        <v>571</v>
      </c>
      <c r="C72" s="371" t="s">
        <v>579</v>
      </c>
      <c r="D72" s="926">
        <v>3145</v>
      </c>
      <c r="E72" s="926">
        <v>2735</v>
      </c>
      <c r="F72" s="926">
        <v>54</v>
      </c>
      <c r="G72" s="926">
        <v>0</v>
      </c>
      <c r="H72" s="926">
        <v>124</v>
      </c>
      <c r="I72" s="926">
        <v>266</v>
      </c>
    </row>
    <row r="73" spans="1:9" ht="14.5" hidden="1" customHeight="1" x14ac:dyDescent="0.35">
      <c r="A73" s="596" t="s">
        <v>326</v>
      </c>
      <c r="B73" s="371" t="s">
        <v>571</v>
      </c>
      <c r="C73" s="371" t="s">
        <v>580</v>
      </c>
      <c r="D73" s="926">
        <v>39</v>
      </c>
      <c r="E73" s="926">
        <v>0</v>
      </c>
      <c r="F73" s="926">
        <v>0</v>
      </c>
      <c r="G73" s="926">
        <v>165</v>
      </c>
      <c r="H73" s="926">
        <v>76</v>
      </c>
      <c r="I73" s="926">
        <v>0</v>
      </c>
    </row>
    <row r="74" spans="1:9" ht="14.5" hidden="1" customHeight="1" x14ac:dyDescent="0.35">
      <c r="A74" s="596" t="s">
        <v>326</v>
      </c>
      <c r="B74" s="371" t="s">
        <v>571</v>
      </c>
      <c r="C74" s="371" t="s">
        <v>581</v>
      </c>
      <c r="D74" s="926">
        <v>40</v>
      </c>
      <c r="E74" s="926">
        <v>0</v>
      </c>
      <c r="F74" s="926">
        <v>0</v>
      </c>
      <c r="G74" s="926">
        <v>0</v>
      </c>
      <c r="H74" s="926">
        <v>21</v>
      </c>
      <c r="I74" s="926">
        <v>0</v>
      </c>
    </row>
    <row r="75" spans="1:9" ht="14.5" hidden="1" customHeight="1" x14ac:dyDescent="0.35">
      <c r="A75" s="596" t="s">
        <v>326</v>
      </c>
      <c r="B75" s="371" t="s">
        <v>571</v>
      </c>
      <c r="C75" s="371" t="s">
        <v>532</v>
      </c>
      <c r="D75" s="926">
        <v>103</v>
      </c>
      <c r="E75" s="926">
        <v>0</v>
      </c>
      <c r="F75" s="926">
        <v>0</v>
      </c>
      <c r="G75" s="926">
        <v>0</v>
      </c>
      <c r="H75" s="926">
        <v>0</v>
      </c>
      <c r="I75" s="926">
        <v>0</v>
      </c>
    </row>
    <row r="76" spans="1:9" ht="14.5" hidden="1" customHeight="1" x14ac:dyDescent="0.35">
      <c r="A76" s="596" t="s">
        <v>326</v>
      </c>
      <c r="B76" s="371" t="s">
        <v>584</v>
      </c>
      <c r="C76" s="371" t="s">
        <v>585</v>
      </c>
      <c r="D76" s="926">
        <v>0</v>
      </c>
      <c r="E76" s="926">
        <v>0</v>
      </c>
      <c r="F76" s="926">
        <v>0</v>
      </c>
      <c r="G76" s="926">
        <v>0</v>
      </c>
      <c r="H76" s="926">
        <v>1</v>
      </c>
      <c r="I76" s="926">
        <v>0</v>
      </c>
    </row>
    <row r="77" spans="1:9" ht="14.5" hidden="1" customHeight="1" x14ac:dyDescent="0.35">
      <c r="A77" s="596" t="s">
        <v>326</v>
      </c>
      <c r="B77" s="371" t="s">
        <v>584</v>
      </c>
      <c r="C77" s="371" t="s">
        <v>473</v>
      </c>
      <c r="D77" s="926">
        <v>9</v>
      </c>
      <c r="E77" s="926">
        <v>0</v>
      </c>
      <c r="F77" s="926">
        <v>0</v>
      </c>
      <c r="G77" s="926">
        <v>7</v>
      </c>
      <c r="H77" s="926">
        <v>111</v>
      </c>
      <c r="I77" s="926">
        <v>0</v>
      </c>
    </row>
    <row r="78" spans="1:9" ht="14.5" hidden="1" customHeight="1" x14ac:dyDescent="0.35">
      <c r="A78" s="596" t="s">
        <v>326</v>
      </c>
      <c r="B78" s="371" t="s">
        <v>586</v>
      </c>
      <c r="C78" s="371" t="s">
        <v>587</v>
      </c>
      <c r="D78" s="926">
        <v>5</v>
      </c>
      <c r="E78" s="926">
        <v>0</v>
      </c>
      <c r="F78" s="926">
        <v>0</v>
      </c>
      <c r="G78" s="926">
        <v>0</v>
      </c>
      <c r="H78" s="926">
        <v>4</v>
      </c>
      <c r="I78" s="926">
        <v>0</v>
      </c>
    </row>
    <row r="79" spans="1:9" ht="14.5" hidden="1" customHeight="1" x14ac:dyDescent="0.35">
      <c r="A79" s="596" t="s">
        <v>326</v>
      </c>
      <c r="B79" s="371" t="s">
        <v>588</v>
      </c>
      <c r="C79" s="371" t="s">
        <v>589</v>
      </c>
      <c r="D79" s="926">
        <v>0</v>
      </c>
      <c r="E79" s="926">
        <v>0</v>
      </c>
      <c r="F79" s="926">
        <v>0</v>
      </c>
      <c r="G79" s="926">
        <v>0</v>
      </c>
      <c r="H79" s="926">
        <v>24</v>
      </c>
      <c r="I79" s="926">
        <v>0</v>
      </c>
    </row>
    <row r="80" spans="1:9" ht="14.5" hidden="1" customHeight="1" x14ac:dyDescent="0.35">
      <c r="A80" s="596" t="s">
        <v>326</v>
      </c>
      <c r="B80" s="371" t="s">
        <v>588</v>
      </c>
      <c r="C80" s="371" t="s">
        <v>590</v>
      </c>
      <c r="D80" s="926">
        <v>2</v>
      </c>
      <c r="E80" s="926">
        <v>0</v>
      </c>
      <c r="F80" s="926">
        <v>0</v>
      </c>
      <c r="G80" s="926">
        <v>0</v>
      </c>
      <c r="H80" s="926">
        <v>102</v>
      </c>
      <c r="I80" s="926">
        <v>0</v>
      </c>
    </row>
    <row r="81" spans="1:30" ht="14.5" hidden="1" customHeight="1" x14ac:dyDescent="0.35">
      <c r="A81" s="596" t="s">
        <v>326</v>
      </c>
      <c r="B81" s="371" t="s">
        <v>591</v>
      </c>
      <c r="C81" s="371" t="s">
        <v>582</v>
      </c>
      <c r="D81" s="926">
        <v>1</v>
      </c>
      <c r="E81" s="926">
        <v>0</v>
      </c>
      <c r="F81" s="926">
        <v>0</v>
      </c>
      <c r="G81" s="926">
        <v>0</v>
      </c>
      <c r="H81" s="926">
        <v>0</v>
      </c>
      <c r="I81" s="926">
        <v>0</v>
      </c>
    </row>
    <row r="82" spans="1:30" ht="14.5" hidden="1" customHeight="1" x14ac:dyDescent="0.35">
      <c r="A82" s="596" t="s">
        <v>326</v>
      </c>
      <c r="B82" s="371" t="s">
        <v>591</v>
      </c>
      <c r="C82" s="371" t="s">
        <v>592</v>
      </c>
      <c r="D82" s="926">
        <v>9</v>
      </c>
      <c r="E82" s="926">
        <v>0</v>
      </c>
      <c r="F82" s="926">
        <v>0</v>
      </c>
      <c r="G82" s="926">
        <v>0</v>
      </c>
      <c r="H82" s="926">
        <v>18</v>
      </c>
      <c r="I82" s="926">
        <v>0</v>
      </c>
    </row>
    <row r="83" spans="1:30" ht="14.5" hidden="1" customHeight="1" thickBot="1" x14ac:dyDescent="0.4">
      <c r="A83" s="1001" t="s">
        <v>326</v>
      </c>
      <c r="B83" s="866" t="s">
        <v>591</v>
      </c>
      <c r="C83" s="866" t="s">
        <v>583</v>
      </c>
      <c r="D83" s="927">
        <v>130</v>
      </c>
      <c r="E83" s="927">
        <v>0</v>
      </c>
      <c r="F83" s="927">
        <v>1</v>
      </c>
      <c r="G83" s="927">
        <v>0</v>
      </c>
      <c r="H83" s="927">
        <v>51</v>
      </c>
      <c r="I83" s="927">
        <v>0</v>
      </c>
    </row>
    <row r="84" spans="1:30" ht="14.5" hidden="1" customHeight="1" x14ac:dyDescent="0.35">
      <c r="A84" s="596" t="s">
        <v>327</v>
      </c>
      <c r="B84" s="371" t="s">
        <v>577</v>
      </c>
      <c r="C84" s="371" t="s">
        <v>562</v>
      </c>
      <c r="D84" s="926">
        <v>5</v>
      </c>
      <c r="E84" s="926">
        <v>0</v>
      </c>
      <c r="F84" s="926">
        <v>0</v>
      </c>
      <c r="G84" s="926">
        <v>0</v>
      </c>
      <c r="H84" s="926">
        <v>186</v>
      </c>
      <c r="I84" s="926">
        <v>0</v>
      </c>
    </row>
    <row r="85" spans="1:30" ht="14.5" hidden="1" customHeight="1" x14ac:dyDescent="0.35">
      <c r="A85" s="596" t="s">
        <v>327</v>
      </c>
      <c r="B85" s="371" t="s">
        <v>577</v>
      </c>
      <c r="C85" s="371" t="s">
        <v>564</v>
      </c>
      <c r="D85" s="926">
        <v>0</v>
      </c>
      <c r="E85" s="926">
        <v>0</v>
      </c>
      <c r="F85" s="926">
        <v>0</v>
      </c>
      <c r="G85" s="926">
        <v>0</v>
      </c>
      <c r="H85" s="926">
        <v>65</v>
      </c>
      <c r="I85" s="926">
        <v>0</v>
      </c>
    </row>
    <row r="86" spans="1:30" ht="14.5" hidden="1" customHeight="1" x14ac:dyDescent="0.35">
      <c r="A86" s="596" t="s">
        <v>327</v>
      </c>
      <c r="B86" s="371" t="s">
        <v>577</v>
      </c>
      <c r="C86" s="371" t="s">
        <v>585</v>
      </c>
      <c r="D86" s="926">
        <v>1</v>
      </c>
      <c r="E86" s="926">
        <v>0</v>
      </c>
      <c r="F86" s="926">
        <v>0</v>
      </c>
      <c r="G86" s="926">
        <v>0</v>
      </c>
      <c r="H86" s="926">
        <v>77</v>
      </c>
      <c r="I86" s="926">
        <v>0</v>
      </c>
    </row>
    <row r="87" spans="1:30" ht="14.5" hidden="1" customHeight="1" x14ac:dyDescent="0.35">
      <c r="A87" s="596" t="s">
        <v>327</v>
      </c>
      <c r="B87" s="371" t="s">
        <v>593</v>
      </c>
      <c r="C87" s="371" t="s">
        <v>587</v>
      </c>
      <c r="D87" s="926">
        <v>1</v>
      </c>
      <c r="E87" s="926">
        <v>0</v>
      </c>
      <c r="F87" s="926">
        <v>0</v>
      </c>
      <c r="G87" s="926">
        <v>0</v>
      </c>
      <c r="H87" s="926">
        <v>0</v>
      </c>
      <c r="I87" s="926">
        <v>0</v>
      </c>
    </row>
    <row r="88" spans="1:30" ht="14.5" hidden="1" customHeight="1" x14ac:dyDescent="0.35">
      <c r="A88" s="596" t="s">
        <v>327</v>
      </c>
      <c r="B88" s="371" t="s">
        <v>593</v>
      </c>
      <c r="C88" s="371" t="s">
        <v>579</v>
      </c>
      <c r="D88" s="926">
        <v>3169</v>
      </c>
      <c r="E88" s="926">
        <v>2708</v>
      </c>
      <c r="F88" s="926">
        <v>53</v>
      </c>
      <c r="G88" s="926">
        <v>0</v>
      </c>
      <c r="H88" s="926">
        <v>124</v>
      </c>
      <c r="I88" s="926">
        <v>269</v>
      </c>
    </row>
    <row r="89" spans="1:30" ht="14.5" hidden="1" customHeight="1" x14ac:dyDescent="0.35">
      <c r="A89" s="596" t="s">
        <v>327</v>
      </c>
      <c r="B89" s="371" t="s">
        <v>593</v>
      </c>
      <c r="C89" s="371" t="s">
        <v>580</v>
      </c>
      <c r="D89" s="926">
        <v>32</v>
      </c>
      <c r="E89" s="926">
        <v>0</v>
      </c>
      <c r="F89" s="926">
        <v>0</v>
      </c>
      <c r="G89" s="926">
        <v>167</v>
      </c>
      <c r="H89" s="926">
        <v>53</v>
      </c>
      <c r="I89" s="926">
        <v>0</v>
      </c>
    </row>
    <row r="90" spans="1:30" ht="14.5" hidden="1" customHeight="1" x14ac:dyDescent="0.35">
      <c r="A90" s="596" t="s">
        <v>327</v>
      </c>
      <c r="B90" s="371" t="s">
        <v>594</v>
      </c>
      <c r="C90" s="371" t="s">
        <v>587</v>
      </c>
      <c r="D90" s="926">
        <v>2</v>
      </c>
      <c r="E90" s="926">
        <v>0</v>
      </c>
      <c r="F90" s="926">
        <v>0</v>
      </c>
      <c r="G90" s="926">
        <v>0</v>
      </c>
      <c r="H90" s="926">
        <v>74</v>
      </c>
      <c r="I90" s="926">
        <v>0</v>
      </c>
    </row>
    <row r="91" spans="1:30" ht="14.5" hidden="1" customHeight="1" x14ac:dyDescent="0.35">
      <c r="A91" s="596" t="s">
        <v>327</v>
      </c>
      <c r="B91" s="371" t="s">
        <v>594</v>
      </c>
      <c r="C91" s="371" t="s">
        <v>595</v>
      </c>
      <c r="D91" s="926">
        <v>0</v>
      </c>
      <c r="E91" s="926">
        <v>0</v>
      </c>
      <c r="F91" s="926">
        <v>0</v>
      </c>
      <c r="G91" s="926">
        <v>0</v>
      </c>
      <c r="H91" s="926">
        <v>13</v>
      </c>
      <c r="I91" s="926">
        <v>0</v>
      </c>
    </row>
    <row r="92" spans="1:30" ht="14.5" hidden="1" customHeight="1" x14ac:dyDescent="0.35">
      <c r="A92" s="596" t="s">
        <v>327</v>
      </c>
      <c r="B92" s="371" t="s">
        <v>594</v>
      </c>
      <c r="C92" s="371" t="s">
        <v>596</v>
      </c>
      <c r="D92" s="926">
        <v>0</v>
      </c>
      <c r="E92" s="926">
        <v>0</v>
      </c>
      <c r="F92" s="926">
        <v>0</v>
      </c>
      <c r="G92" s="926">
        <v>0</v>
      </c>
      <c r="H92" s="926">
        <v>17</v>
      </c>
      <c r="I92" s="926">
        <v>0</v>
      </c>
      <c r="AD92" s="476"/>
    </row>
    <row r="93" spans="1:30" ht="14.5" hidden="1" customHeight="1" x14ac:dyDescent="0.35">
      <c r="A93" s="596" t="s">
        <v>327</v>
      </c>
      <c r="B93" s="371" t="s">
        <v>597</v>
      </c>
      <c r="C93" s="371" t="s">
        <v>587</v>
      </c>
      <c r="D93" s="926">
        <v>0</v>
      </c>
      <c r="E93" s="926">
        <v>0</v>
      </c>
      <c r="F93" s="926">
        <v>0</v>
      </c>
      <c r="G93" s="926">
        <v>0</v>
      </c>
      <c r="H93" s="926">
        <v>6</v>
      </c>
      <c r="I93" s="926">
        <v>0</v>
      </c>
    </row>
    <row r="94" spans="1:30" ht="14.5" hidden="1" customHeight="1" x14ac:dyDescent="0.35">
      <c r="A94" s="596" t="s">
        <v>327</v>
      </c>
      <c r="B94" s="371" t="s">
        <v>597</v>
      </c>
      <c r="C94" s="371" t="s">
        <v>598</v>
      </c>
      <c r="D94" s="926">
        <v>0</v>
      </c>
      <c r="E94" s="926">
        <v>0</v>
      </c>
      <c r="F94" s="926">
        <v>0</v>
      </c>
      <c r="G94" s="926">
        <v>0</v>
      </c>
      <c r="H94" s="926">
        <v>3</v>
      </c>
      <c r="I94" s="926">
        <v>0</v>
      </c>
    </row>
    <row r="95" spans="1:30" ht="14.5" hidden="1" customHeight="1" x14ac:dyDescent="0.35">
      <c r="A95" s="596" t="s">
        <v>327</v>
      </c>
      <c r="B95" s="371" t="s">
        <v>597</v>
      </c>
      <c r="C95" s="371" t="s">
        <v>599</v>
      </c>
      <c r="D95" s="926">
        <v>3</v>
      </c>
      <c r="E95" s="926">
        <v>0</v>
      </c>
      <c r="F95" s="926">
        <v>0</v>
      </c>
      <c r="G95" s="926">
        <v>4</v>
      </c>
      <c r="H95" s="926">
        <v>14</v>
      </c>
      <c r="I95" s="926">
        <v>0</v>
      </c>
    </row>
    <row r="96" spans="1:30" ht="14.5" hidden="1" customHeight="1" x14ac:dyDescent="0.35">
      <c r="A96" s="596" t="s">
        <v>327</v>
      </c>
      <c r="B96" s="371" t="s">
        <v>600</v>
      </c>
      <c r="C96" s="371" t="s">
        <v>587</v>
      </c>
      <c r="D96" s="926">
        <v>6</v>
      </c>
      <c r="E96" s="926">
        <v>0</v>
      </c>
      <c r="F96" s="926">
        <v>0</v>
      </c>
      <c r="G96" s="926">
        <v>0</v>
      </c>
      <c r="H96" s="926">
        <v>3</v>
      </c>
      <c r="I96" s="926">
        <v>0</v>
      </c>
    </row>
    <row r="97" spans="1:9" ht="14.5" hidden="1" customHeight="1" x14ac:dyDescent="0.35">
      <c r="A97" s="596" t="s">
        <v>327</v>
      </c>
      <c r="B97" s="371" t="s">
        <v>600</v>
      </c>
      <c r="C97" s="371" t="s">
        <v>601</v>
      </c>
      <c r="D97" s="926">
        <v>10</v>
      </c>
      <c r="E97" s="926">
        <v>0</v>
      </c>
      <c r="F97" s="926">
        <v>0</v>
      </c>
      <c r="G97" s="926">
        <v>0</v>
      </c>
      <c r="H97" s="926">
        <v>46</v>
      </c>
      <c r="I97" s="926">
        <v>0</v>
      </c>
    </row>
    <row r="98" spans="1:9" ht="14.5" hidden="1" customHeight="1" x14ac:dyDescent="0.35">
      <c r="A98" s="596" t="s">
        <v>327</v>
      </c>
      <c r="B98" s="371" t="s">
        <v>600</v>
      </c>
      <c r="C98" s="371" t="s">
        <v>602</v>
      </c>
      <c r="D98" s="926">
        <v>8</v>
      </c>
      <c r="E98" s="926">
        <v>0</v>
      </c>
      <c r="F98" s="926">
        <v>0</v>
      </c>
      <c r="G98" s="926">
        <v>0</v>
      </c>
      <c r="H98" s="926">
        <v>16</v>
      </c>
      <c r="I98" s="926">
        <v>0</v>
      </c>
    </row>
    <row r="99" spans="1:9" ht="14.5" hidden="1" customHeight="1" x14ac:dyDescent="0.35">
      <c r="A99" s="596" t="s">
        <v>327</v>
      </c>
      <c r="B99" s="371" t="s">
        <v>600</v>
      </c>
      <c r="C99" s="371" t="s">
        <v>603</v>
      </c>
      <c r="D99" s="926">
        <v>29</v>
      </c>
      <c r="E99" s="926">
        <v>0</v>
      </c>
      <c r="F99" s="926">
        <v>0</v>
      </c>
      <c r="G99" s="926">
        <v>0</v>
      </c>
      <c r="H99" s="926">
        <v>4</v>
      </c>
      <c r="I99" s="926">
        <v>0</v>
      </c>
    </row>
    <row r="100" spans="1:9" ht="14.5" hidden="1" customHeight="1" x14ac:dyDescent="0.35">
      <c r="A100" s="596" t="s">
        <v>327</v>
      </c>
      <c r="B100" s="371" t="s">
        <v>584</v>
      </c>
      <c r="C100" s="371" t="s">
        <v>473</v>
      </c>
      <c r="D100" s="926">
        <v>0</v>
      </c>
      <c r="E100" s="926">
        <v>0</v>
      </c>
      <c r="F100" s="926">
        <v>0</v>
      </c>
      <c r="G100" s="926">
        <v>0</v>
      </c>
      <c r="H100" s="926">
        <v>1</v>
      </c>
      <c r="I100" s="926">
        <v>0</v>
      </c>
    </row>
    <row r="101" spans="1:9" ht="14.5" hidden="1" customHeight="1" x14ac:dyDescent="0.35">
      <c r="A101" s="596" t="s">
        <v>327</v>
      </c>
      <c r="B101" s="371" t="s">
        <v>586</v>
      </c>
      <c r="C101" s="371" t="s">
        <v>587</v>
      </c>
      <c r="D101" s="926">
        <v>5</v>
      </c>
      <c r="E101" s="926">
        <v>0</v>
      </c>
      <c r="F101" s="926">
        <v>0</v>
      </c>
      <c r="G101" s="926">
        <v>0</v>
      </c>
      <c r="H101" s="926">
        <v>4</v>
      </c>
      <c r="I101" s="926">
        <v>0</v>
      </c>
    </row>
    <row r="102" spans="1:9" ht="14.5" hidden="1" customHeight="1" x14ac:dyDescent="0.35">
      <c r="A102" s="596" t="s">
        <v>327</v>
      </c>
      <c r="B102" s="371" t="s">
        <v>588</v>
      </c>
      <c r="C102" s="371" t="s">
        <v>589</v>
      </c>
      <c r="D102" s="926">
        <v>0</v>
      </c>
      <c r="E102" s="926">
        <v>0</v>
      </c>
      <c r="F102" s="926">
        <v>0</v>
      </c>
      <c r="G102" s="926">
        <v>0</v>
      </c>
      <c r="H102" s="926">
        <v>26</v>
      </c>
      <c r="I102" s="926">
        <v>0</v>
      </c>
    </row>
    <row r="103" spans="1:9" ht="14.5" hidden="1" customHeight="1" x14ac:dyDescent="0.35">
      <c r="A103" s="596" t="s">
        <v>327</v>
      </c>
      <c r="B103" s="371" t="s">
        <v>588</v>
      </c>
      <c r="C103" s="371" t="s">
        <v>590</v>
      </c>
      <c r="D103" s="926">
        <v>2</v>
      </c>
      <c r="E103" s="926">
        <v>0</v>
      </c>
      <c r="F103" s="926">
        <v>0</v>
      </c>
      <c r="G103" s="926">
        <v>0</v>
      </c>
      <c r="H103" s="926">
        <v>104</v>
      </c>
      <c r="I103" s="926">
        <v>0</v>
      </c>
    </row>
    <row r="104" spans="1:9" ht="14.5" hidden="1" customHeight="1" x14ac:dyDescent="0.35">
      <c r="A104" s="596" t="s">
        <v>327</v>
      </c>
      <c r="B104" s="371" t="s">
        <v>591</v>
      </c>
      <c r="C104" s="371" t="s">
        <v>592</v>
      </c>
      <c r="D104" s="926">
        <v>11</v>
      </c>
      <c r="E104" s="926">
        <v>0</v>
      </c>
      <c r="F104" s="926">
        <v>0</v>
      </c>
      <c r="G104" s="926">
        <v>0</v>
      </c>
      <c r="H104" s="926">
        <v>19</v>
      </c>
      <c r="I104" s="926">
        <v>0</v>
      </c>
    </row>
    <row r="105" spans="1:9" ht="14.5" hidden="1" customHeight="1" thickBot="1" x14ac:dyDescent="0.4">
      <c r="A105" s="1001" t="s">
        <v>327</v>
      </c>
      <c r="B105" s="866" t="s">
        <v>591</v>
      </c>
      <c r="C105" s="866" t="s">
        <v>583</v>
      </c>
      <c r="D105" s="927">
        <v>138</v>
      </c>
      <c r="E105" s="927">
        <v>0</v>
      </c>
      <c r="F105" s="927">
        <v>2</v>
      </c>
      <c r="G105" s="927">
        <v>0</v>
      </c>
      <c r="H105" s="927">
        <v>32</v>
      </c>
      <c r="I105" s="927">
        <v>0</v>
      </c>
    </row>
    <row r="106" spans="1:9" x14ac:dyDescent="0.35">
      <c r="A106" s="596" t="s">
        <v>466</v>
      </c>
      <c r="B106" s="371" t="s">
        <v>577</v>
      </c>
      <c r="C106" s="371" t="s">
        <v>562</v>
      </c>
      <c r="D106" s="926">
        <v>5</v>
      </c>
      <c r="E106" s="926">
        <v>0</v>
      </c>
      <c r="F106" s="926">
        <v>0</v>
      </c>
      <c r="G106" s="926">
        <v>0</v>
      </c>
      <c r="H106" s="926">
        <v>194</v>
      </c>
      <c r="I106" s="926">
        <v>0</v>
      </c>
    </row>
    <row r="107" spans="1:9" x14ac:dyDescent="0.35">
      <c r="A107" s="596" t="s">
        <v>466</v>
      </c>
      <c r="B107" s="371" t="s">
        <v>577</v>
      </c>
      <c r="C107" s="371" t="s">
        <v>564</v>
      </c>
      <c r="D107" s="926">
        <v>0</v>
      </c>
      <c r="E107" s="926">
        <v>0</v>
      </c>
      <c r="F107" s="926">
        <v>0</v>
      </c>
      <c r="G107" s="926">
        <v>0</v>
      </c>
      <c r="H107" s="926">
        <v>67</v>
      </c>
      <c r="I107" s="926">
        <v>0</v>
      </c>
    </row>
    <row r="108" spans="1:9" x14ac:dyDescent="0.35">
      <c r="A108" s="596" t="s">
        <v>466</v>
      </c>
      <c r="B108" s="371" t="s">
        <v>577</v>
      </c>
      <c r="C108" s="371" t="s">
        <v>585</v>
      </c>
      <c r="D108" s="926">
        <v>0</v>
      </c>
      <c r="E108" s="926">
        <v>0</v>
      </c>
      <c r="F108" s="926">
        <v>0</v>
      </c>
      <c r="G108" s="926">
        <v>0</v>
      </c>
      <c r="H108" s="926">
        <v>77</v>
      </c>
      <c r="I108" s="926">
        <v>0</v>
      </c>
    </row>
    <row r="109" spans="1:9" x14ac:dyDescent="0.35">
      <c r="A109" s="596" t="s">
        <v>466</v>
      </c>
      <c r="B109" s="371" t="s">
        <v>593</v>
      </c>
      <c r="C109" s="371" t="s">
        <v>587</v>
      </c>
      <c r="D109" s="926">
        <v>1</v>
      </c>
      <c r="E109" s="926">
        <v>0</v>
      </c>
      <c r="F109" s="926">
        <v>0</v>
      </c>
      <c r="G109" s="926">
        <v>0</v>
      </c>
      <c r="H109" s="926">
        <v>0</v>
      </c>
      <c r="I109" s="926">
        <v>0</v>
      </c>
    </row>
    <row r="110" spans="1:9" x14ac:dyDescent="0.35">
      <c r="A110" s="596" t="s">
        <v>466</v>
      </c>
      <c r="B110" s="371" t="s">
        <v>593</v>
      </c>
      <c r="C110" s="371" t="s">
        <v>579</v>
      </c>
      <c r="D110" s="926">
        <v>3121</v>
      </c>
      <c r="E110" s="926">
        <v>2705</v>
      </c>
      <c r="F110" s="926">
        <v>56</v>
      </c>
      <c r="G110" s="926">
        <v>0</v>
      </c>
      <c r="H110" s="926">
        <v>117</v>
      </c>
      <c r="I110" s="926">
        <v>273</v>
      </c>
    </row>
    <row r="111" spans="1:9" x14ac:dyDescent="0.35">
      <c r="A111" s="596" t="s">
        <v>466</v>
      </c>
      <c r="B111" s="371" t="s">
        <v>593</v>
      </c>
      <c r="C111" s="371" t="s">
        <v>580</v>
      </c>
      <c r="D111" s="926">
        <v>34</v>
      </c>
      <c r="E111" s="926">
        <v>0</v>
      </c>
      <c r="F111" s="926">
        <v>0</v>
      </c>
      <c r="G111" s="926">
        <v>168</v>
      </c>
      <c r="H111" s="926">
        <v>51</v>
      </c>
      <c r="I111" s="926">
        <v>0</v>
      </c>
    </row>
    <row r="112" spans="1:9" x14ac:dyDescent="0.35">
      <c r="A112" s="596" t="s">
        <v>466</v>
      </c>
      <c r="B112" s="371" t="s">
        <v>594</v>
      </c>
      <c r="C112" s="371" t="s">
        <v>587</v>
      </c>
      <c r="D112" s="926">
        <v>2</v>
      </c>
      <c r="E112" s="926">
        <v>0</v>
      </c>
      <c r="F112" s="926">
        <v>0</v>
      </c>
      <c r="G112" s="926">
        <v>0</v>
      </c>
      <c r="H112" s="926">
        <v>70</v>
      </c>
      <c r="I112" s="926">
        <v>0</v>
      </c>
    </row>
    <row r="113" spans="1:9" x14ac:dyDescent="0.35">
      <c r="A113" s="596" t="s">
        <v>466</v>
      </c>
      <c r="B113" s="371" t="s">
        <v>594</v>
      </c>
      <c r="C113" s="371" t="s">
        <v>595</v>
      </c>
      <c r="D113" s="926">
        <v>0</v>
      </c>
      <c r="E113" s="926">
        <v>0</v>
      </c>
      <c r="F113" s="926">
        <v>0</v>
      </c>
      <c r="G113" s="926">
        <v>0</v>
      </c>
      <c r="H113" s="926">
        <v>12</v>
      </c>
      <c r="I113" s="926">
        <v>0</v>
      </c>
    </row>
    <row r="114" spans="1:9" x14ac:dyDescent="0.35">
      <c r="A114" s="596" t="s">
        <v>466</v>
      </c>
      <c r="B114" s="371" t="s">
        <v>594</v>
      </c>
      <c r="C114" s="371" t="s">
        <v>596</v>
      </c>
      <c r="D114" s="926">
        <v>0</v>
      </c>
      <c r="E114" s="926">
        <v>0</v>
      </c>
      <c r="F114" s="926">
        <v>0</v>
      </c>
      <c r="G114" s="926">
        <v>0</v>
      </c>
      <c r="H114" s="926">
        <v>24</v>
      </c>
      <c r="I114" s="926">
        <v>0</v>
      </c>
    </row>
    <row r="115" spans="1:9" x14ac:dyDescent="0.35">
      <c r="A115" s="596" t="s">
        <v>466</v>
      </c>
      <c r="B115" s="371" t="s">
        <v>597</v>
      </c>
      <c r="C115" s="371" t="s">
        <v>587</v>
      </c>
      <c r="D115" s="926">
        <v>0</v>
      </c>
      <c r="E115" s="926">
        <v>0</v>
      </c>
      <c r="F115" s="926">
        <v>0</v>
      </c>
      <c r="G115" s="926">
        <v>0</v>
      </c>
      <c r="H115" s="926">
        <v>5</v>
      </c>
      <c r="I115" s="926">
        <v>0</v>
      </c>
    </row>
    <row r="116" spans="1:9" x14ac:dyDescent="0.35">
      <c r="A116" s="596" t="s">
        <v>466</v>
      </c>
      <c r="B116" s="371" t="s">
        <v>597</v>
      </c>
      <c r="C116" s="371" t="s">
        <v>598</v>
      </c>
      <c r="D116" s="926">
        <v>0</v>
      </c>
      <c r="E116" s="926">
        <v>0</v>
      </c>
      <c r="F116" s="926">
        <v>0</v>
      </c>
      <c r="G116" s="926">
        <v>0</v>
      </c>
      <c r="H116" s="926">
        <v>3</v>
      </c>
      <c r="I116" s="926">
        <v>0</v>
      </c>
    </row>
    <row r="117" spans="1:9" x14ac:dyDescent="0.35">
      <c r="A117" s="596" t="s">
        <v>466</v>
      </c>
      <c r="B117" s="371" t="s">
        <v>597</v>
      </c>
      <c r="C117" s="371" t="s">
        <v>599</v>
      </c>
      <c r="D117" s="926">
        <v>5</v>
      </c>
      <c r="E117" s="926">
        <v>0</v>
      </c>
      <c r="F117" s="926">
        <v>0</v>
      </c>
      <c r="G117" s="926">
        <v>3</v>
      </c>
      <c r="H117" s="926">
        <v>28</v>
      </c>
      <c r="I117" s="926">
        <v>0</v>
      </c>
    </row>
    <row r="118" spans="1:9" x14ac:dyDescent="0.35">
      <c r="A118" s="596" t="s">
        <v>466</v>
      </c>
      <c r="B118" s="371" t="s">
        <v>600</v>
      </c>
      <c r="C118" s="371" t="s">
        <v>587</v>
      </c>
      <c r="D118" s="926">
        <v>3</v>
      </c>
      <c r="E118" s="926">
        <v>0</v>
      </c>
      <c r="F118" s="926">
        <v>0</v>
      </c>
      <c r="G118" s="926">
        <v>0</v>
      </c>
      <c r="H118" s="926">
        <v>3</v>
      </c>
      <c r="I118" s="926">
        <v>0</v>
      </c>
    </row>
    <row r="119" spans="1:9" x14ac:dyDescent="0.35">
      <c r="A119" s="596" t="s">
        <v>466</v>
      </c>
      <c r="B119" s="371" t="s">
        <v>600</v>
      </c>
      <c r="C119" s="371" t="s">
        <v>601</v>
      </c>
      <c r="D119" s="926">
        <v>13</v>
      </c>
      <c r="E119" s="926">
        <v>0</v>
      </c>
      <c r="F119" s="926">
        <v>0</v>
      </c>
      <c r="G119" s="926">
        <v>0</v>
      </c>
      <c r="H119" s="926">
        <v>48</v>
      </c>
      <c r="I119" s="926">
        <v>0</v>
      </c>
    </row>
    <row r="120" spans="1:9" x14ac:dyDescent="0.35">
      <c r="A120" s="596" t="s">
        <v>466</v>
      </c>
      <c r="B120" s="371" t="s">
        <v>600</v>
      </c>
      <c r="C120" s="371" t="s">
        <v>602</v>
      </c>
      <c r="D120" s="926">
        <v>8</v>
      </c>
      <c r="E120" s="926">
        <v>0</v>
      </c>
      <c r="F120" s="926">
        <v>0</v>
      </c>
      <c r="G120" s="926">
        <v>0</v>
      </c>
      <c r="H120" s="926">
        <v>16</v>
      </c>
      <c r="I120" s="926">
        <v>0</v>
      </c>
    </row>
    <row r="121" spans="1:9" x14ac:dyDescent="0.35">
      <c r="A121" s="596" t="s">
        <v>466</v>
      </c>
      <c r="B121" s="371" t="s">
        <v>600</v>
      </c>
      <c r="C121" s="371" t="s">
        <v>603</v>
      </c>
      <c r="D121" s="926">
        <v>31</v>
      </c>
      <c r="E121" s="926">
        <v>0</v>
      </c>
      <c r="F121" s="926">
        <v>0</v>
      </c>
      <c r="G121" s="926">
        <v>0</v>
      </c>
      <c r="H121" s="926">
        <v>5</v>
      </c>
      <c r="I121" s="926">
        <v>0</v>
      </c>
    </row>
    <row r="122" spans="1:9" x14ac:dyDescent="0.35">
      <c r="A122" s="596" t="s">
        <v>466</v>
      </c>
      <c r="B122" s="371" t="s">
        <v>586</v>
      </c>
      <c r="C122" s="371" t="s">
        <v>587</v>
      </c>
      <c r="D122" s="926">
        <v>5</v>
      </c>
      <c r="E122" s="926">
        <v>0</v>
      </c>
      <c r="F122" s="926">
        <v>0</v>
      </c>
      <c r="G122" s="926">
        <v>0</v>
      </c>
      <c r="H122" s="926">
        <v>5</v>
      </c>
      <c r="I122" s="926">
        <v>0</v>
      </c>
    </row>
    <row r="123" spans="1:9" x14ac:dyDescent="0.35">
      <c r="A123" s="596" t="s">
        <v>466</v>
      </c>
      <c r="B123" s="371" t="s">
        <v>588</v>
      </c>
      <c r="C123" s="371" t="s">
        <v>589</v>
      </c>
      <c r="D123" s="926">
        <v>0</v>
      </c>
      <c r="E123" s="926">
        <v>0</v>
      </c>
      <c r="F123" s="926">
        <v>0</v>
      </c>
      <c r="G123" s="926">
        <v>0</v>
      </c>
      <c r="H123" s="926">
        <v>28</v>
      </c>
      <c r="I123" s="926">
        <v>0</v>
      </c>
    </row>
    <row r="124" spans="1:9" x14ac:dyDescent="0.35">
      <c r="A124" s="596" t="s">
        <v>466</v>
      </c>
      <c r="B124" s="371" t="s">
        <v>588</v>
      </c>
      <c r="C124" s="371" t="s">
        <v>590</v>
      </c>
      <c r="D124" s="926">
        <v>2</v>
      </c>
      <c r="E124" s="926">
        <v>0</v>
      </c>
      <c r="F124" s="926">
        <v>0</v>
      </c>
      <c r="G124" s="926">
        <v>0</v>
      </c>
      <c r="H124" s="926">
        <v>111</v>
      </c>
      <c r="I124" s="926">
        <v>0</v>
      </c>
    </row>
    <row r="125" spans="1:9" x14ac:dyDescent="0.35">
      <c r="A125" s="596" t="s">
        <v>466</v>
      </c>
      <c r="B125" s="371" t="s">
        <v>591</v>
      </c>
      <c r="C125" s="371" t="s">
        <v>592</v>
      </c>
      <c r="D125" s="926">
        <v>11</v>
      </c>
      <c r="E125" s="926">
        <v>0</v>
      </c>
      <c r="F125" s="926">
        <v>0</v>
      </c>
      <c r="G125" s="926">
        <v>0</v>
      </c>
      <c r="H125" s="926">
        <v>17</v>
      </c>
      <c r="I125" s="926">
        <v>0</v>
      </c>
    </row>
    <row r="126" spans="1:9" ht="15" thickBot="1" x14ac:dyDescent="0.4">
      <c r="A126" s="1001" t="s">
        <v>466</v>
      </c>
      <c r="B126" s="866" t="s">
        <v>591</v>
      </c>
      <c r="C126" s="866" t="s">
        <v>583</v>
      </c>
      <c r="D126" s="927">
        <v>189</v>
      </c>
      <c r="E126" s="927">
        <v>0</v>
      </c>
      <c r="F126" s="927">
        <v>4</v>
      </c>
      <c r="G126" s="927">
        <v>0</v>
      </c>
      <c r="H126" s="927">
        <v>36</v>
      </c>
      <c r="I126" s="927">
        <v>0</v>
      </c>
    </row>
    <row r="128" spans="1:9" x14ac:dyDescent="0.35">
      <c r="A128" s="596" t="s">
        <v>329</v>
      </c>
    </row>
    <row r="129" spans="1:8" ht="14.5" customHeight="1" x14ac:dyDescent="0.35">
      <c r="A129" s="1023" t="s">
        <v>604</v>
      </c>
      <c r="B129" s="1023"/>
      <c r="C129" s="1023"/>
      <c r="D129" s="1023"/>
      <c r="E129" s="1023"/>
      <c r="F129" s="1023"/>
      <c r="G129" s="1023"/>
      <c r="H129" s="1023"/>
    </row>
    <row r="132" spans="1:8" ht="15.5" x14ac:dyDescent="0.35">
      <c r="A132" s="515" t="s">
        <v>605</v>
      </c>
      <c r="B132" s="515"/>
      <c r="C132" s="515"/>
      <c r="D132" s="515"/>
      <c r="E132" s="515"/>
      <c r="F132" s="515"/>
      <c r="G132" s="515"/>
      <c r="H132" s="515"/>
    </row>
    <row r="133" spans="1:8" x14ac:dyDescent="0.35">
      <c r="A133" s="371" t="s">
        <v>202</v>
      </c>
      <c r="B133" s="371" t="s">
        <v>64</v>
      </c>
    </row>
    <row r="134" spans="1:8" x14ac:dyDescent="0.35">
      <c r="A134" s="371" t="s">
        <v>203</v>
      </c>
      <c r="B134" s="371" t="s">
        <v>204</v>
      </c>
    </row>
    <row r="135" spans="1:8" x14ac:dyDescent="0.35">
      <c r="A135" s="371" t="s">
        <v>205</v>
      </c>
      <c r="B135" s="371" t="s">
        <v>206</v>
      </c>
    </row>
    <row r="138" spans="1:8" s="339" customFormat="1" x14ac:dyDescent="0.35">
      <c r="A138" s="1000" t="s">
        <v>207</v>
      </c>
      <c r="B138" s="1000" t="s">
        <v>560</v>
      </c>
      <c r="C138" s="1000" t="s">
        <v>561</v>
      </c>
      <c r="D138" s="1000" t="s">
        <v>515</v>
      </c>
      <c r="E138" s="1000" t="s">
        <v>361</v>
      </c>
      <c r="F138" s="1000" t="s">
        <v>516</v>
      </c>
      <c r="G138" s="1000" t="s">
        <v>511</v>
      </c>
      <c r="H138" s="1000" t="s">
        <v>512</v>
      </c>
    </row>
    <row r="139" spans="1:8" hidden="1" x14ac:dyDescent="0.35">
      <c r="A139" s="596" t="s">
        <v>214</v>
      </c>
      <c r="C139" s="371" t="s">
        <v>565</v>
      </c>
      <c r="D139" s="371">
        <v>3</v>
      </c>
      <c r="H139" s="371">
        <v>42.75</v>
      </c>
    </row>
    <row r="140" spans="1:8" hidden="1" x14ac:dyDescent="0.35">
      <c r="A140" s="596" t="s">
        <v>214</v>
      </c>
      <c r="C140" s="371" t="s">
        <v>574</v>
      </c>
      <c r="D140" s="371">
        <v>203</v>
      </c>
      <c r="H140" s="371">
        <v>53.360000000000007</v>
      </c>
    </row>
    <row r="141" spans="1:8" hidden="1" x14ac:dyDescent="0.35">
      <c r="A141" s="596" t="s">
        <v>313</v>
      </c>
      <c r="C141" s="371" t="s">
        <v>568</v>
      </c>
      <c r="D141" s="371">
        <v>51</v>
      </c>
      <c r="H141" s="371">
        <v>16.689999999999998</v>
      </c>
    </row>
    <row r="142" spans="1:8" hidden="1" x14ac:dyDescent="0.35">
      <c r="A142" s="596" t="s">
        <v>313</v>
      </c>
      <c r="C142" s="371" t="s">
        <v>570</v>
      </c>
      <c r="D142" s="371">
        <v>6</v>
      </c>
      <c r="H142" s="371">
        <v>3</v>
      </c>
    </row>
    <row r="143" spans="1:8" hidden="1" x14ac:dyDescent="0.35">
      <c r="A143" s="596" t="s">
        <v>313</v>
      </c>
      <c r="C143" s="371" t="s">
        <v>574</v>
      </c>
      <c r="D143" s="371">
        <v>98</v>
      </c>
      <c r="H143" s="371">
        <v>46.81</v>
      </c>
    </row>
    <row r="144" spans="1:8" hidden="1" x14ac:dyDescent="0.35">
      <c r="A144" s="596" t="s">
        <v>319</v>
      </c>
      <c r="B144" s="371" t="s">
        <v>584</v>
      </c>
      <c r="C144" s="371" t="s">
        <v>473</v>
      </c>
      <c r="D144" s="371">
        <v>6</v>
      </c>
      <c r="E144" s="371">
        <v>0</v>
      </c>
      <c r="F144" s="371">
        <v>0</v>
      </c>
      <c r="G144" s="371">
        <v>0</v>
      </c>
      <c r="H144" s="371">
        <v>82.990000000000009</v>
      </c>
    </row>
    <row r="145" spans="1:8" hidden="1" x14ac:dyDescent="0.35">
      <c r="A145" s="596" t="s">
        <v>321</v>
      </c>
      <c r="B145" s="371" t="s">
        <v>578</v>
      </c>
      <c r="C145" s="371" t="s">
        <v>576</v>
      </c>
      <c r="D145" s="371">
        <v>2</v>
      </c>
      <c r="E145" s="371">
        <v>0</v>
      </c>
      <c r="F145" s="371">
        <v>0</v>
      </c>
      <c r="G145" s="371">
        <v>0</v>
      </c>
      <c r="H145" s="371">
        <v>128.09999999999997</v>
      </c>
    </row>
    <row r="146" spans="1:8" hidden="1" x14ac:dyDescent="0.35">
      <c r="A146" s="596" t="s">
        <v>321</v>
      </c>
      <c r="B146" s="371" t="s">
        <v>571</v>
      </c>
      <c r="C146" s="371" t="s">
        <v>579</v>
      </c>
      <c r="D146" s="371">
        <v>3226.43</v>
      </c>
      <c r="E146" s="371">
        <v>2375.48</v>
      </c>
      <c r="F146" s="371">
        <v>53</v>
      </c>
      <c r="G146" s="371">
        <v>0</v>
      </c>
      <c r="H146" s="371">
        <v>105.92000000000002</v>
      </c>
    </row>
    <row r="147" spans="1:8" hidden="1" x14ac:dyDescent="0.35">
      <c r="A147" s="596" t="s">
        <v>326</v>
      </c>
      <c r="B147" s="371" t="s">
        <v>586</v>
      </c>
      <c r="C147" s="371" t="s">
        <v>587</v>
      </c>
      <c r="D147" s="371">
        <v>5</v>
      </c>
      <c r="E147" s="371">
        <v>0</v>
      </c>
      <c r="F147" s="371">
        <v>0</v>
      </c>
      <c r="G147" s="371">
        <v>0</v>
      </c>
      <c r="H147" s="371">
        <v>4</v>
      </c>
    </row>
    <row r="148" spans="1:8" x14ac:dyDescent="0.35">
      <c r="A148" s="596" t="s">
        <v>466</v>
      </c>
      <c r="B148" s="371" t="s">
        <v>600</v>
      </c>
      <c r="C148" s="371" t="s">
        <v>587</v>
      </c>
      <c r="D148" s="371">
        <v>3</v>
      </c>
      <c r="E148" s="371">
        <v>0</v>
      </c>
      <c r="F148" s="371">
        <v>0</v>
      </c>
      <c r="G148" s="371">
        <v>0</v>
      </c>
      <c r="H148" s="371">
        <v>3</v>
      </c>
    </row>
    <row r="149" spans="1:8" x14ac:dyDescent="0.35">
      <c r="A149" s="596" t="s">
        <v>466</v>
      </c>
      <c r="B149" s="371" t="s">
        <v>600</v>
      </c>
      <c r="C149" s="371" t="s">
        <v>603</v>
      </c>
      <c r="D149" s="371">
        <v>31</v>
      </c>
      <c r="E149" s="371">
        <v>0</v>
      </c>
      <c r="F149" s="371">
        <v>0</v>
      </c>
      <c r="G149" s="371">
        <v>0</v>
      </c>
      <c r="H149" s="371">
        <v>4</v>
      </c>
    </row>
    <row r="150" spans="1:8" x14ac:dyDescent="0.35">
      <c r="A150" s="596" t="s">
        <v>466</v>
      </c>
      <c r="B150" s="371" t="s">
        <v>591</v>
      </c>
      <c r="C150" s="371" t="s">
        <v>592</v>
      </c>
      <c r="D150" s="371">
        <v>11</v>
      </c>
      <c r="E150" s="371">
        <v>0</v>
      </c>
      <c r="F150" s="371">
        <v>0</v>
      </c>
      <c r="G150" s="371">
        <v>0</v>
      </c>
      <c r="H150" s="371">
        <v>15.709999999999999</v>
      </c>
    </row>
    <row r="151" spans="1:8" hidden="1" x14ac:dyDescent="0.35">
      <c r="A151" s="596" t="s">
        <v>214</v>
      </c>
      <c r="C151" s="371" t="s">
        <v>562</v>
      </c>
      <c r="D151" s="371">
        <v>5</v>
      </c>
      <c r="H151" s="371">
        <v>178.47</v>
      </c>
    </row>
    <row r="152" spans="1:8" hidden="1" x14ac:dyDescent="0.35">
      <c r="A152" s="596" t="s">
        <v>214</v>
      </c>
      <c r="C152" s="371" t="s">
        <v>563</v>
      </c>
      <c r="D152" s="371">
        <v>2</v>
      </c>
      <c r="H152" s="371">
        <v>58.510000000000005</v>
      </c>
    </row>
    <row r="153" spans="1:8" hidden="1" x14ac:dyDescent="0.35">
      <c r="A153" s="596" t="s">
        <v>313</v>
      </c>
      <c r="C153" s="371" t="s">
        <v>575</v>
      </c>
      <c r="D153" s="371">
        <v>2</v>
      </c>
      <c r="H153" s="371">
        <v>16.86</v>
      </c>
    </row>
    <row r="154" spans="1:8" hidden="1" x14ac:dyDescent="0.35">
      <c r="A154" s="596" t="s">
        <v>313</v>
      </c>
      <c r="C154" s="371" t="s">
        <v>576</v>
      </c>
      <c r="D154" s="371">
        <v>2</v>
      </c>
      <c r="H154" s="371">
        <v>90.61999999999999</v>
      </c>
    </row>
    <row r="155" spans="1:8" hidden="1" x14ac:dyDescent="0.35">
      <c r="A155" s="596" t="s">
        <v>313</v>
      </c>
      <c r="C155" s="371" t="s">
        <v>569</v>
      </c>
      <c r="D155" s="371">
        <v>52</v>
      </c>
      <c r="G155" s="371">
        <v>181.83</v>
      </c>
      <c r="H155" s="371">
        <v>72.069999999999993</v>
      </c>
    </row>
    <row r="156" spans="1:8" hidden="1" x14ac:dyDescent="0.35">
      <c r="A156" s="596" t="s">
        <v>313</v>
      </c>
      <c r="C156" s="371" t="s">
        <v>532</v>
      </c>
      <c r="D156" s="371">
        <v>53</v>
      </c>
      <c r="G156" s="371">
        <v>2</v>
      </c>
      <c r="H156" s="371">
        <v>2</v>
      </c>
    </row>
    <row r="157" spans="1:8" hidden="1" x14ac:dyDescent="0.35">
      <c r="A157" s="596" t="s">
        <v>319</v>
      </c>
      <c r="B157" s="371" t="s">
        <v>578</v>
      </c>
      <c r="C157" s="371" t="s">
        <v>576</v>
      </c>
      <c r="D157" s="371">
        <v>1</v>
      </c>
      <c r="E157" s="371">
        <v>0</v>
      </c>
      <c r="F157" s="371">
        <v>0</v>
      </c>
      <c r="G157" s="371">
        <v>0</v>
      </c>
      <c r="H157" s="371">
        <v>100.32</v>
      </c>
    </row>
    <row r="158" spans="1:8" hidden="1" x14ac:dyDescent="0.35">
      <c r="A158" s="596" t="s">
        <v>321</v>
      </c>
      <c r="B158" s="371" t="s">
        <v>591</v>
      </c>
      <c r="C158" s="371" t="s">
        <v>582</v>
      </c>
      <c r="D158" s="371">
        <v>3</v>
      </c>
      <c r="E158" s="371">
        <v>0</v>
      </c>
      <c r="F158" s="371">
        <v>0</v>
      </c>
      <c r="G158" s="371">
        <v>6</v>
      </c>
      <c r="H158" s="371">
        <v>2</v>
      </c>
    </row>
    <row r="159" spans="1:8" hidden="1" x14ac:dyDescent="0.35">
      <c r="A159" s="596" t="s">
        <v>326</v>
      </c>
      <c r="B159" s="371" t="s">
        <v>571</v>
      </c>
      <c r="C159" s="371" t="s">
        <v>581</v>
      </c>
      <c r="D159" s="371">
        <v>40</v>
      </c>
      <c r="E159" s="371">
        <v>0</v>
      </c>
      <c r="F159" s="371">
        <v>0</v>
      </c>
      <c r="G159" s="371">
        <v>0</v>
      </c>
      <c r="H159" s="371">
        <v>21</v>
      </c>
    </row>
    <row r="160" spans="1:8" hidden="1" x14ac:dyDescent="0.35">
      <c r="A160" s="596" t="s">
        <v>326</v>
      </c>
      <c r="B160" s="371" t="s">
        <v>591</v>
      </c>
      <c r="C160" s="371" t="s">
        <v>582</v>
      </c>
      <c r="D160" s="371">
        <v>1</v>
      </c>
      <c r="E160" s="371">
        <v>0</v>
      </c>
      <c r="F160" s="371">
        <v>0</v>
      </c>
      <c r="G160" s="371">
        <v>0</v>
      </c>
      <c r="H160" s="371">
        <v>0</v>
      </c>
    </row>
    <row r="161" spans="1:8" hidden="1" x14ac:dyDescent="0.35">
      <c r="A161" s="596" t="s">
        <v>327</v>
      </c>
      <c r="B161" s="371" t="s">
        <v>594</v>
      </c>
      <c r="C161" s="371" t="s">
        <v>587</v>
      </c>
      <c r="D161" s="371">
        <v>2</v>
      </c>
      <c r="E161" s="371">
        <v>0</v>
      </c>
      <c r="F161" s="371">
        <v>0</v>
      </c>
      <c r="G161" s="371">
        <v>0</v>
      </c>
      <c r="H161" s="371">
        <v>70.19</v>
      </c>
    </row>
    <row r="162" spans="1:8" hidden="1" x14ac:dyDescent="0.35">
      <c r="A162" s="596" t="s">
        <v>327</v>
      </c>
      <c r="B162" s="371" t="s">
        <v>584</v>
      </c>
      <c r="C162" s="371" t="s">
        <v>473</v>
      </c>
      <c r="D162" s="371">
        <v>0</v>
      </c>
      <c r="E162" s="371">
        <v>0</v>
      </c>
      <c r="F162" s="371">
        <v>0</v>
      </c>
      <c r="G162" s="371">
        <v>0</v>
      </c>
      <c r="H162" s="371">
        <v>1</v>
      </c>
    </row>
    <row r="163" spans="1:8" x14ac:dyDescent="0.35">
      <c r="A163" s="596" t="s">
        <v>466</v>
      </c>
      <c r="B163" s="371" t="s">
        <v>593</v>
      </c>
      <c r="C163" s="371" t="s">
        <v>579</v>
      </c>
      <c r="D163" s="371">
        <v>3118.08</v>
      </c>
      <c r="E163" s="371">
        <v>2293.9199999999928</v>
      </c>
      <c r="F163" s="371">
        <v>53</v>
      </c>
      <c r="G163" s="371">
        <v>0</v>
      </c>
      <c r="H163" s="371">
        <v>97.760000000000019</v>
      </c>
    </row>
    <row r="164" spans="1:8" hidden="1" x14ac:dyDescent="0.35">
      <c r="A164" s="596" t="s">
        <v>214</v>
      </c>
      <c r="C164" s="371" t="s">
        <v>564</v>
      </c>
      <c r="H164" s="371">
        <v>63.55</v>
      </c>
    </row>
    <row r="165" spans="1:8" hidden="1" x14ac:dyDescent="0.35">
      <c r="A165" s="596" t="s">
        <v>319</v>
      </c>
      <c r="B165" s="371" t="s">
        <v>588</v>
      </c>
      <c r="C165" s="371" t="s">
        <v>590</v>
      </c>
      <c r="D165" s="371">
        <v>2</v>
      </c>
      <c r="E165" s="371">
        <v>0</v>
      </c>
      <c r="F165" s="371">
        <v>0</v>
      </c>
      <c r="G165" s="371">
        <v>0</v>
      </c>
      <c r="H165" s="371">
        <v>94.609999999999971</v>
      </c>
    </row>
    <row r="166" spans="1:8" hidden="1" x14ac:dyDescent="0.35">
      <c r="A166" s="596" t="s">
        <v>319</v>
      </c>
      <c r="B166" s="371" t="s">
        <v>591</v>
      </c>
      <c r="C166" s="371" t="s">
        <v>583</v>
      </c>
      <c r="D166" s="371">
        <v>103</v>
      </c>
      <c r="E166" s="371">
        <v>0</v>
      </c>
      <c r="F166" s="371">
        <v>0</v>
      </c>
      <c r="G166" s="371">
        <v>0</v>
      </c>
      <c r="H166" s="371">
        <v>49.809999999999995</v>
      </c>
    </row>
    <row r="167" spans="1:8" hidden="1" x14ac:dyDescent="0.35">
      <c r="A167" s="596" t="s">
        <v>321</v>
      </c>
      <c r="B167" s="371" t="s">
        <v>571</v>
      </c>
      <c r="C167" s="371" t="s">
        <v>581</v>
      </c>
      <c r="D167" s="371">
        <v>50</v>
      </c>
      <c r="E167" s="371">
        <v>0</v>
      </c>
      <c r="F167" s="371">
        <v>0</v>
      </c>
      <c r="G167" s="371">
        <v>0</v>
      </c>
      <c r="H167" s="371">
        <v>18</v>
      </c>
    </row>
    <row r="168" spans="1:8" hidden="1" x14ac:dyDescent="0.35">
      <c r="A168" s="596" t="s">
        <v>321</v>
      </c>
      <c r="B168" s="371" t="s">
        <v>571</v>
      </c>
      <c r="C168" s="371" t="s">
        <v>532</v>
      </c>
      <c r="D168" s="371">
        <v>65</v>
      </c>
      <c r="E168" s="371">
        <v>0</v>
      </c>
      <c r="F168" s="371">
        <v>0</v>
      </c>
      <c r="G168" s="371">
        <v>0</v>
      </c>
      <c r="H168" s="371">
        <v>0</v>
      </c>
    </row>
    <row r="169" spans="1:8" hidden="1" x14ac:dyDescent="0.35">
      <c r="A169" s="596" t="s">
        <v>321</v>
      </c>
      <c r="B169" s="371" t="s">
        <v>584</v>
      </c>
      <c r="C169" s="371" t="s">
        <v>473</v>
      </c>
      <c r="D169" s="371">
        <v>7</v>
      </c>
      <c r="E169" s="371">
        <v>0</v>
      </c>
      <c r="F169" s="371">
        <v>0</v>
      </c>
      <c r="G169" s="371">
        <v>0</v>
      </c>
      <c r="H169" s="371">
        <v>98.99</v>
      </c>
    </row>
    <row r="170" spans="1:8" hidden="1" x14ac:dyDescent="0.35">
      <c r="A170" s="596" t="s">
        <v>321</v>
      </c>
      <c r="B170" s="371" t="s">
        <v>586</v>
      </c>
      <c r="C170" s="371" t="s">
        <v>587</v>
      </c>
      <c r="D170" s="371">
        <v>5</v>
      </c>
      <c r="E170" s="371">
        <v>0</v>
      </c>
      <c r="F170" s="371">
        <v>0</v>
      </c>
      <c r="G170" s="371">
        <v>0</v>
      </c>
      <c r="H170" s="371">
        <v>4</v>
      </c>
    </row>
    <row r="171" spans="1:8" hidden="1" x14ac:dyDescent="0.35">
      <c r="A171" s="596" t="s">
        <v>321</v>
      </c>
      <c r="B171" s="371" t="s">
        <v>588</v>
      </c>
      <c r="C171" s="371" t="s">
        <v>590</v>
      </c>
      <c r="D171" s="371">
        <v>3</v>
      </c>
      <c r="E171" s="371">
        <v>0</v>
      </c>
      <c r="F171" s="371">
        <v>0</v>
      </c>
      <c r="G171" s="371">
        <v>0</v>
      </c>
      <c r="H171" s="371">
        <v>97.769999999999968</v>
      </c>
    </row>
    <row r="172" spans="1:8" hidden="1" x14ac:dyDescent="0.35">
      <c r="A172" s="596" t="s">
        <v>326</v>
      </c>
      <c r="B172" s="371" t="s">
        <v>571</v>
      </c>
      <c r="C172" s="371" t="s">
        <v>579</v>
      </c>
      <c r="D172" s="371">
        <v>3142.43</v>
      </c>
      <c r="E172" s="371">
        <v>2333.12</v>
      </c>
      <c r="F172" s="371">
        <v>54</v>
      </c>
      <c r="G172" s="371">
        <v>0</v>
      </c>
      <c r="H172" s="371">
        <v>107.48000000000002</v>
      </c>
    </row>
    <row r="173" spans="1:8" hidden="1" x14ac:dyDescent="0.35">
      <c r="A173" s="596" t="s">
        <v>327</v>
      </c>
      <c r="B173" s="371" t="s">
        <v>600</v>
      </c>
      <c r="C173" s="371" t="s">
        <v>603</v>
      </c>
      <c r="D173" s="371">
        <v>29</v>
      </c>
      <c r="E173" s="371">
        <v>0</v>
      </c>
      <c r="F173" s="371">
        <v>0</v>
      </c>
      <c r="G173" s="371">
        <v>0</v>
      </c>
      <c r="H173" s="371">
        <v>3.5</v>
      </c>
    </row>
    <row r="174" spans="1:8" hidden="1" x14ac:dyDescent="0.35">
      <c r="A174" s="596" t="s">
        <v>327</v>
      </c>
      <c r="B174" s="371" t="s">
        <v>588</v>
      </c>
      <c r="C174" s="371" t="s">
        <v>589</v>
      </c>
      <c r="D174" s="371">
        <v>0</v>
      </c>
      <c r="E174" s="371">
        <v>0</v>
      </c>
      <c r="F174" s="371">
        <v>0</v>
      </c>
      <c r="G174" s="371">
        <v>0</v>
      </c>
      <c r="H174" s="371">
        <v>26</v>
      </c>
    </row>
    <row r="175" spans="1:8" hidden="1" x14ac:dyDescent="0.35">
      <c r="A175" s="596" t="s">
        <v>327</v>
      </c>
      <c r="B175" s="371" t="s">
        <v>588</v>
      </c>
      <c r="C175" s="371" t="s">
        <v>590</v>
      </c>
      <c r="D175" s="371">
        <v>2</v>
      </c>
      <c r="E175" s="371">
        <v>0</v>
      </c>
      <c r="F175" s="371">
        <v>0</v>
      </c>
      <c r="G175" s="371">
        <v>0</v>
      </c>
      <c r="H175" s="371">
        <v>93.100000000000009</v>
      </c>
    </row>
    <row r="176" spans="1:8" hidden="1" x14ac:dyDescent="0.35">
      <c r="A176" s="596" t="s">
        <v>327</v>
      </c>
      <c r="B176" s="371" t="s">
        <v>591</v>
      </c>
      <c r="C176" s="371" t="s">
        <v>583</v>
      </c>
      <c r="D176" s="371">
        <v>138</v>
      </c>
      <c r="E176" s="371">
        <v>0</v>
      </c>
      <c r="F176" s="371">
        <v>2</v>
      </c>
      <c r="G176" s="371">
        <v>0</v>
      </c>
      <c r="H176" s="371">
        <v>27.300000000000004</v>
      </c>
    </row>
    <row r="177" spans="1:8" x14ac:dyDescent="0.35">
      <c r="A177" s="596" t="s">
        <v>466</v>
      </c>
      <c r="B177" s="371" t="s">
        <v>577</v>
      </c>
      <c r="C177" s="371" t="s">
        <v>562</v>
      </c>
      <c r="D177" s="371">
        <v>5</v>
      </c>
      <c r="E177" s="371">
        <v>0</v>
      </c>
      <c r="F177" s="371">
        <v>0</v>
      </c>
      <c r="G177" s="371">
        <v>0</v>
      </c>
      <c r="H177" s="371">
        <v>192.75</v>
      </c>
    </row>
    <row r="178" spans="1:8" x14ac:dyDescent="0.35">
      <c r="A178" s="596" t="s">
        <v>466</v>
      </c>
      <c r="B178" s="371" t="s">
        <v>577</v>
      </c>
      <c r="C178" s="371" t="s">
        <v>564</v>
      </c>
      <c r="D178" s="371">
        <v>0</v>
      </c>
      <c r="E178" s="371">
        <v>0</v>
      </c>
      <c r="F178" s="371">
        <v>0</v>
      </c>
      <c r="G178" s="371">
        <v>0</v>
      </c>
      <c r="H178" s="371">
        <v>61.400000000000006</v>
      </c>
    </row>
    <row r="179" spans="1:8" hidden="1" x14ac:dyDescent="0.35">
      <c r="A179" s="596" t="s">
        <v>313</v>
      </c>
      <c r="C179" s="371" t="s">
        <v>567</v>
      </c>
      <c r="H179" s="371">
        <v>71.489999999999995</v>
      </c>
    </row>
    <row r="180" spans="1:8" hidden="1" x14ac:dyDescent="0.35">
      <c r="A180" s="596" t="s">
        <v>313</v>
      </c>
      <c r="C180" s="371" t="s">
        <v>572</v>
      </c>
      <c r="D180" s="371">
        <v>5</v>
      </c>
      <c r="H180" s="371">
        <v>1</v>
      </c>
    </row>
    <row r="181" spans="1:8" hidden="1" x14ac:dyDescent="0.35">
      <c r="A181" s="596" t="s">
        <v>319</v>
      </c>
      <c r="B181" s="371" t="s">
        <v>571</v>
      </c>
      <c r="C181" s="371" t="s">
        <v>580</v>
      </c>
      <c r="D181" s="371">
        <v>40</v>
      </c>
      <c r="E181" s="371">
        <v>0</v>
      </c>
      <c r="F181" s="371">
        <v>0</v>
      </c>
      <c r="G181" s="371">
        <v>168.06</v>
      </c>
      <c r="H181" s="371">
        <v>69.86999999999999</v>
      </c>
    </row>
    <row r="182" spans="1:8" hidden="1" x14ac:dyDescent="0.35">
      <c r="A182" s="596" t="s">
        <v>321</v>
      </c>
      <c r="B182" s="371" t="s">
        <v>577</v>
      </c>
      <c r="C182" s="371" t="s">
        <v>562</v>
      </c>
      <c r="D182" s="371">
        <v>5</v>
      </c>
      <c r="E182" s="371">
        <v>0</v>
      </c>
      <c r="F182" s="371">
        <v>0</v>
      </c>
      <c r="G182" s="371">
        <v>0</v>
      </c>
      <c r="H182" s="371">
        <v>179.20999999999998</v>
      </c>
    </row>
    <row r="183" spans="1:8" hidden="1" x14ac:dyDescent="0.35">
      <c r="A183" s="596" t="s">
        <v>326</v>
      </c>
      <c r="B183" s="371" t="s">
        <v>571</v>
      </c>
      <c r="C183" s="371" t="s">
        <v>532</v>
      </c>
      <c r="D183" s="371">
        <v>103</v>
      </c>
      <c r="E183" s="371">
        <v>0</v>
      </c>
      <c r="F183" s="371">
        <v>0</v>
      </c>
      <c r="G183" s="371">
        <v>0</v>
      </c>
      <c r="H183" s="371">
        <v>0</v>
      </c>
    </row>
    <row r="184" spans="1:8" hidden="1" x14ac:dyDescent="0.35">
      <c r="A184" s="596" t="s">
        <v>326</v>
      </c>
      <c r="B184" s="371" t="s">
        <v>591</v>
      </c>
      <c r="C184" s="371" t="s">
        <v>583</v>
      </c>
      <c r="D184" s="371">
        <v>130</v>
      </c>
      <c r="E184" s="371">
        <v>0</v>
      </c>
      <c r="F184" s="371">
        <v>1</v>
      </c>
      <c r="G184" s="371">
        <v>0</v>
      </c>
      <c r="H184" s="371">
        <v>47.12</v>
      </c>
    </row>
    <row r="185" spans="1:8" hidden="1" x14ac:dyDescent="0.35">
      <c r="A185" s="596" t="s">
        <v>327</v>
      </c>
      <c r="B185" s="371" t="s">
        <v>577</v>
      </c>
      <c r="C185" s="371" t="s">
        <v>585</v>
      </c>
      <c r="D185" s="371">
        <v>1</v>
      </c>
      <c r="E185" s="371">
        <v>0</v>
      </c>
      <c r="F185" s="371">
        <v>0</v>
      </c>
      <c r="G185" s="371">
        <v>0</v>
      </c>
      <c r="H185" s="371">
        <v>76.489999999999995</v>
      </c>
    </row>
    <row r="186" spans="1:8" hidden="1" x14ac:dyDescent="0.35">
      <c r="A186" s="596" t="s">
        <v>327</v>
      </c>
      <c r="B186" s="371" t="s">
        <v>593</v>
      </c>
      <c r="C186" s="371" t="s">
        <v>580</v>
      </c>
      <c r="D186" s="371">
        <v>32</v>
      </c>
      <c r="E186" s="371">
        <v>0</v>
      </c>
      <c r="F186" s="371">
        <v>0</v>
      </c>
      <c r="G186" s="371">
        <v>162.21</v>
      </c>
      <c r="H186" s="371">
        <v>49.11</v>
      </c>
    </row>
    <row r="187" spans="1:8" hidden="1" x14ac:dyDescent="0.35">
      <c r="A187" s="596" t="s">
        <v>327</v>
      </c>
      <c r="B187" s="371" t="s">
        <v>600</v>
      </c>
      <c r="C187" s="371" t="s">
        <v>587</v>
      </c>
      <c r="D187" s="371">
        <v>6</v>
      </c>
      <c r="E187" s="371">
        <v>0</v>
      </c>
      <c r="F187" s="371">
        <v>0</v>
      </c>
      <c r="G187" s="371">
        <v>0</v>
      </c>
      <c r="H187" s="371">
        <v>3</v>
      </c>
    </row>
    <row r="188" spans="1:8" x14ac:dyDescent="0.35">
      <c r="A188" s="596" t="s">
        <v>466</v>
      </c>
      <c r="B188" s="371" t="s">
        <v>600</v>
      </c>
      <c r="C188" s="371" t="s">
        <v>601</v>
      </c>
      <c r="D188" s="371">
        <v>13</v>
      </c>
      <c r="E188" s="371">
        <v>0</v>
      </c>
      <c r="F188" s="371">
        <v>0</v>
      </c>
      <c r="G188" s="371">
        <v>0</v>
      </c>
      <c r="H188" s="371">
        <v>44.8</v>
      </c>
    </row>
    <row r="189" spans="1:8" x14ac:dyDescent="0.35">
      <c r="A189" s="596" t="s">
        <v>466</v>
      </c>
      <c r="B189" s="371" t="s">
        <v>600</v>
      </c>
      <c r="C189" s="371" t="s">
        <v>602</v>
      </c>
      <c r="D189" s="371">
        <v>8</v>
      </c>
      <c r="E189" s="371">
        <v>0</v>
      </c>
      <c r="F189" s="371">
        <v>0</v>
      </c>
      <c r="G189" s="371">
        <v>0</v>
      </c>
      <c r="H189" s="371">
        <v>16</v>
      </c>
    </row>
    <row r="190" spans="1:8" x14ac:dyDescent="0.35">
      <c r="A190" s="596" t="s">
        <v>466</v>
      </c>
      <c r="B190" s="371" t="s">
        <v>588</v>
      </c>
      <c r="C190" s="371" t="s">
        <v>589</v>
      </c>
      <c r="D190" s="371">
        <v>0</v>
      </c>
      <c r="E190" s="371">
        <v>0</v>
      </c>
      <c r="F190" s="371">
        <v>0</v>
      </c>
      <c r="G190" s="371">
        <v>0</v>
      </c>
      <c r="H190" s="371">
        <v>27.77</v>
      </c>
    </row>
    <row r="191" spans="1:8" x14ac:dyDescent="0.35">
      <c r="A191" s="596" t="s">
        <v>466</v>
      </c>
      <c r="B191" s="371" t="s">
        <v>591</v>
      </c>
      <c r="C191" s="371" t="s">
        <v>583</v>
      </c>
      <c r="D191" s="371">
        <v>189</v>
      </c>
      <c r="E191" s="371">
        <v>0</v>
      </c>
      <c r="F191" s="371">
        <v>4</v>
      </c>
      <c r="G191" s="371">
        <v>0</v>
      </c>
      <c r="H191" s="371">
        <v>31.300000000000008</v>
      </c>
    </row>
    <row r="192" spans="1:8" hidden="1" x14ac:dyDescent="0.35">
      <c r="A192" s="596" t="s">
        <v>214</v>
      </c>
      <c r="C192" s="371" t="s">
        <v>567</v>
      </c>
      <c r="H192" s="371">
        <v>76</v>
      </c>
    </row>
    <row r="193" spans="1:8" hidden="1" x14ac:dyDescent="0.35">
      <c r="A193" s="596" t="s">
        <v>214</v>
      </c>
      <c r="C193" s="371" t="s">
        <v>569</v>
      </c>
      <c r="D193" s="371">
        <v>45</v>
      </c>
      <c r="G193" s="371">
        <v>192.33</v>
      </c>
      <c r="H193" s="371">
        <v>68.5</v>
      </c>
    </row>
    <row r="194" spans="1:8" hidden="1" x14ac:dyDescent="0.35">
      <c r="A194" s="596" t="s">
        <v>214</v>
      </c>
      <c r="C194" s="371" t="s">
        <v>570</v>
      </c>
      <c r="D194" s="371">
        <v>4</v>
      </c>
      <c r="H194" s="371">
        <v>3</v>
      </c>
    </row>
    <row r="195" spans="1:8" hidden="1" x14ac:dyDescent="0.35">
      <c r="A195" s="596" t="s">
        <v>214</v>
      </c>
      <c r="C195" s="371" t="s">
        <v>571</v>
      </c>
      <c r="D195" s="371">
        <v>3101</v>
      </c>
      <c r="E195" s="371">
        <v>2583.98</v>
      </c>
      <c r="F195" s="371">
        <v>18</v>
      </c>
      <c r="H195" s="371">
        <v>15.34</v>
      </c>
    </row>
    <row r="196" spans="1:8" hidden="1" x14ac:dyDescent="0.35">
      <c r="A196" s="596" t="s">
        <v>214</v>
      </c>
      <c r="C196" s="371" t="s">
        <v>573</v>
      </c>
      <c r="D196" s="371">
        <v>2</v>
      </c>
      <c r="H196" s="371">
        <v>53.45</v>
      </c>
    </row>
    <row r="197" spans="1:8" hidden="1" x14ac:dyDescent="0.35">
      <c r="A197" s="596" t="s">
        <v>313</v>
      </c>
      <c r="C197" s="371" t="s">
        <v>563</v>
      </c>
      <c r="D197" s="371">
        <v>2</v>
      </c>
      <c r="H197" s="371">
        <v>63.31</v>
      </c>
    </row>
    <row r="198" spans="1:8" hidden="1" x14ac:dyDescent="0.35">
      <c r="A198" s="596" t="s">
        <v>319</v>
      </c>
      <c r="B198" s="371" t="s">
        <v>577</v>
      </c>
      <c r="C198" s="371" t="s">
        <v>564</v>
      </c>
      <c r="D198" s="371">
        <v>0</v>
      </c>
      <c r="E198" s="371">
        <v>0</v>
      </c>
      <c r="F198" s="371">
        <v>0</v>
      </c>
      <c r="G198" s="371">
        <v>0</v>
      </c>
      <c r="H198" s="371">
        <v>62.330000000000005</v>
      </c>
    </row>
    <row r="199" spans="1:8" hidden="1" x14ac:dyDescent="0.35">
      <c r="A199" s="596" t="s">
        <v>319</v>
      </c>
      <c r="B199" s="371" t="s">
        <v>571</v>
      </c>
      <c r="C199" s="371" t="s">
        <v>581</v>
      </c>
      <c r="D199" s="371">
        <v>52</v>
      </c>
      <c r="E199" s="371">
        <v>0</v>
      </c>
      <c r="F199" s="371">
        <v>0</v>
      </c>
      <c r="G199" s="371">
        <v>0</v>
      </c>
      <c r="H199" s="371">
        <v>17</v>
      </c>
    </row>
    <row r="200" spans="1:8" hidden="1" x14ac:dyDescent="0.35">
      <c r="A200" s="596" t="s">
        <v>319</v>
      </c>
      <c r="B200" s="371" t="s">
        <v>588</v>
      </c>
      <c r="C200" s="371" t="s">
        <v>589</v>
      </c>
      <c r="D200" s="371">
        <v>0</v>
      </c>
      <c r="E200" s="371">
        <v>0</v>
      </c>
      <c r="F200" s="371">
        <v>0</v>
      </c>
      <c r="G200" s="371">
        <v>0</v>
      </c>
      <c r="H200" s="371">
        <v>21.310000000000002</v>
      </c>
    </row>
    <row r="201" spans="1:8" hidden="1" x14ac:dyDescent="0.35">
      <c r="A201" s="596" t="s">
        <v>319</v>
      </c>
      <c r="B201" s="371" t="s">
        <v>591</v>
      </c>
      <c r="C201" s="371" t="s">
        <v>592</v>
      </c>
      <c r="D201" s="371">
        <v>9</v>
      </c>
      <c r="E201" s="371">
        <v>0</v>
      </c>
      <c r="F201" s="371">
        <v>0</v>
      </c>
      <c r="G201" s="371">
        <v>0</v>
      </c>
      <c r="H201" s="371">
        <v>17</v>
      </c>
    </row>
    <row r="202" spans="1:8" hidden="1" x14ac:dyDescent="0.35">
      <c r="A202" s="596" t="s">
        <v>326</v>
      </c>
      <c r="B202" s="371" t="s">
        <v>588</v>
      </c>
      <c r="C202" s="371" t="s">
        <v>590</v>
      </c>
      <c r="D202" s="371">
        <v>2</v>
      </c>
      <c r="E202" s="371">
        <v>0</v>
      </c>
      <c r="F202" s="371">
        <v>0</v>
      </c>
      <c r="G202" s="371">
        <v>0</v>
      </c>
      <c r="H202" s="371">
        <v>94.049999999999983</v>
      </c>
    </row>
    <row r="203" spans="1:8" hidden="1" x14ac:dyDescent="0.35">
      <c r="A203" s="596" t="s">
        <v>327</v>
      </c>
      <c r="B203" s="371" t="s">
        <v>593</v>
      </c>
      <c r="C203" s="371" t="s">
        <v>587</v>
      </c>
      <c r="D203" s="371">
        <v>1</v>
      </c>
      <c r="E203" s="371">
        <v>0</v>
      </c>
      <c r="F203" s="371">
        <v>0</v>
      </c>
      <c r="G203" s="371">
        <v>0</v>
      </c>
      <c r="H203" s="371">
        <v>0</v>
      </c>
    </row>
    <row r="204" spans="1:8" hidden="1" x14ac:dyDescent="0.35">
      <c r="A204" s="596" t="s">
        <v>327</v>
      </c>
      <c r="B204" s="371" t="s">
        <v>594</v>
      </c>
      <c r="C204" s="371" t="s">
        <v>596</v>
      </c>
      <c r="D204" s="371">
        <v>0</v>
      </c>
      <c r="E204" s="371">
        <v>0</v>
      </c>
      <c r="F204" s="371">
        <v>0</v>
      </c>
      <c r="G204" s="371">
        <v>0</v>
      </c>
      <c r="H204" s="371">
        <v>16.25</v>
      </c>
    </row>
    <row r="205" spans="1:8" hidden="1" x14ac:dyDescent="0.35">
      <c r="A205" s="596" t="s">
        <v>327</v>
      </c>
      <c r="B205" s="371" t="s">
        <v>597</v>
      </c>
      <c r="C205" s="371" t="s">
        <v>598</v>
      </c>
      <c r="D205" s="371">
        <v>0</v>
      </c>
      <c r="E205" s="371">
        <v>0</v>
      </c>
      <c r="F205" s="371">
        <v>0</v>
      </c>
      <c r="G205" s="371">
        <v>0</v>
      </c>
      <c r="H205" s="371">
        <v>3</v>
      </c>
    </row>
    <row r="206" spans="1:8" hidden="1" x14ac:dyDescent="0.35">
      <c r="A206" s="596" t="s">
        <v>327</v>
      </c>
      <c r="B206" s="371" t="s">
        <v>600</v>
      </c>
      <c r="C206" s="371" t="s">
        <v>601</v>
      </c>
      <c r="D206" s="371">
        <v>10</v>
      </c>
      <c r="E206" s="371">
        <v>0</v>
      </c>
      <c r="F206" s="371">
        <v>0</v>
      </c>
      <c r="G206" s="371">
        <v>0</v>
      </c>
      <c r="H206" s="371">
        <v>44.219999999999992</v>
      </c>
    </row>
    <row r="207" spans="1:8" x14ac:dyDescent="0.35">
      <c r="A207" s="596" t="s">
        <v>466</v>
      </c>
      <c r="B207" s="371" t="s">
        <v>593</v>
      </c>
      <c r="C207" s="371" t="s">
        <v>587</v>
      </c>
      <c r="D207" s="371">
        <v>1</v>
      </c>
      <c r="E207" s="371">
        <v>0</v>
      </c>
      <c r="F207" s="371">
        <v>0</v>
      </c>
      <c r="G207" s="371">
        <v>0</v>
      </c>
      <c r="H207" s="371">
        <v>0</v>
      </c>
    </row>
    <row r="208" spans="1:8" x14ac:dyDescent="0.35">
      <c r="A208" s="596" t="s">
        <v>466</v>
      </c>
      <c r="B208" s="371" t="s">
        <v>594</v>
      </c>
      <c r="C208" s="371" t="s">
        <v>595</v>
      </c>
      <c r="D208" s="371">
        <v>0</v>
      </c>
      <c r="E208" s="371">
        <v>0</v>
      </c>
      <c r="F208" s="371">
        <v>0</v>
      </c>
      <c r="G208" s="371">
        <v>0</v>
      </c>
      <c r="H208" s="371">
        <v>11.43</v>
      </c>
    </row>
    <row r="209" spans="1:8" hidden="1" x14ac:dyDescent="0.35">
      <c r="A209" s="596" t="s">
        <v>214</v>
      </c>
      <c r="C209" s="371" t="s">
        <v>572</v>
      </c>
      <c r="D209" s="371">
        <v>5</v>
      </c>
    </row>
    <row r="210" spans="1:8" hidden="1" x14ac:dyDescent="0.35">
      <c r="A210" s="596" t="s">
        <v>313</v>
      </c>
      <c r="C210" s="371" t="s">
        <v>573</v>
      </c>
      <c r="D210" s="371">
        <v>2</v>
      </c>
      <c r="H210" s="371">
        <v>58.519999999999996</v>
      </c>
    </row>
    <row r="211" spans="1:8" hidden="1" x14ac:dyDescent="0.35">
      <c r="A211" s="596" t="s">
        <v>319</v>
      </c>
      <c r="B211" s="371" t="s">
        <v>571</v>
      </c>
      <c r="C211" s="371" t="s">
        <v>532</v>
      </c>
      <c r="D211" s="371">
        <v>58</v>
      </c>
      <c r="E211" s="371">
        <v>0</v>
      </c>
      <c r="F211" s="371">
        <v>0</v>
      </c>
      <c r="G211" s="371">
        <v>0</v>
      </c>
      <c r="H211" s="371">
        <v>0</v>
      </c>
    </row>
    <row r="212" spans="1:8" hidden="1" x14ac:dyDescent="0.35">
      <c r="A212" s="596" t="s">
        <v>319</v>
      </c>
      <c r="B212" s="371" t="s">
        <v>584</v>
      </c>
      <c r="C212" s="371" t="s">
        <v>585</v>
      </c>
      <c r="D212" s="371">
        <v>0</v>
      </c>
      <c r="E212" s="371">
        <v>0</v>
      </c>
      <c r="F212" s="371">
        <v>0</v>
      </c>
      <c r="G212" s="371">
        <v>0</v>
      </c>
      <c r="H212" s="371">
        <v>1</v>
      </c>
    </row>
    <row r="213" spans="1:8" hidden="1" x14ac:dyDescent="0.35">
      <c r="A213" s="596" t="s">
        <v>321</v>
      </c>
      <c r="B213" s="371" t="s">
        <v>577</v>
      </c>
      <c r="C213" s="371" t="s">
        <v>564</v>
      </c>
      <c r="D213" s="371">
        <v>0</v>
      </c>
      <c r="E213" s="371">
        <v>0</v>
      </c>
      <c r="F213" s="371">
        <v>0</v>
      </c>
      <c r="G213" s="371">
        <v>0</v>
      </c>
      <c r="H213" s="371">
        <v>65.460000000000008</v>
      </c>
    </row>
    <row r="214" spans="1:8" hidden="1" x14ac:dyDescent="0.35">
      <c r="A214" s="596" t="s">
        <v>321</v>
      </c>
      <c r="B214" s="371" t="s">
        <v>584</v>
      </c>
      <c r="C214" s="371" t="s">
        <v>585</v>
      </c>
      <c r="D214" s="371">
        <v>0</v>
      </c>
      <c r="E214" s="371">
        <v>0</v>
      </c>
      <c r="F214" s="371">
        <v>0</v>
      </c>
      <c r="G214" s="371">
        <v>0</v>
      </c>
      <c r="H214" s="371">
        <v>1</v>
      </c>
    </row>
    <row r="215" spans="1:8" hidden="1" x14ac:dyDescent="0.35">
      <c r="A215" s="596" t="s">
        <v>321</v>
      </c>
      <c r="B215" s="371" t="s">
        <v>591</v>
      </c>
      <c r="C215" s="371" t="s">
        <v>583</v>
      </c>
      <c r="D215" s="371">
        <v>109</v>
      </c>
      <c r="E215" s="371">
        <v>0</v>
      </c>
      <c r="F215" s="371">
        <v>0</v>
      </c>
      <c r="G215" s="371">
        <v>0</v>
      </c>
      <c r="H215" s="371">
        <v>48.400000000000006</v>
      </c>
    </row>
    <row r="216" spans="1:8" hidden="1" x14ac:dyDescent="0.35">
      <c r="A216" s="596" t="s">
        <v>326</v>
      </c>
      <c r="B216" s="371" t="s">
        <v>577</v>
      </c>
      <c r="C216" s="371" t="s">
        <v>564</v>
      </c>
      <c r="D216" s="371">
        <v>0</v>
      </c>
      <c r="E216" s="371">
        <v>0</v>
      </c>
      <c r="F216" s="371">
        <v>0</v>
      </c>
      <c r="G216" s="371">
        <v>0</v>
      </c>
      <c r="H216" s="371">
        <v>62.059999999999988</v>
      </c>
    </row>
    <row r="217" spans="1:8" hidden="1" x14ac:dyDescent="0.35">
      <c r="A217" s="596" t="s">
        <v>326</v>
      </c>
      <c r="B217" s="371" t="s">
        <v>578</v>
      </c>
      <c r="C217" s="371" t="s">
        <v>576</v>
      </c>
      <c r="D217" s="371">
        <v>2</v>
      </c>
      <c r="E217" s="371">
        <v>0</v>
      </c>
      <c r="F217" s="371">
        <v>0</v>
      </c>
      <c r="G217" s="371">
        <v>0</v>
      </c>
      <c r="H217" s="371">
        <v>108.68999999999998</v>
      </c>
    </row>
    <row r="218" spans="1:8" hidden="1" x14ac:dyDescent="0.35">
      <c r="A218" s="596" t="s">
        <v>327</v>
      </c>
      <c r="B218" s="371" t="s">
        <v>577</v>
      </c>
      <c r="C218" s="371" t="s">
        <v>564</v>
      </c>
      <c r="D218" s="371">
        <v>0</v>
      </c>
      <c r="E218" s="371">
        <v>0</v>
      </c>
      <c r="F218" s="371">
        <v>0</v>
      </c>
      <c r="G218" s="371">
        <v>0</v>
      </c>
      <c r="H218" s="371">
        <v>58.870000000000005</v>
      </c>
    </row>
    <row r="219" spans="1:8" hidden="1" x14ac:dyDescent="0.35">
      <c r="A219" s="596" t="s">
        <v>327</v>
      </c>
      <c r="B219" s="371" t="s">
        <v>593</v>
      </c>
      <c r="C219" s="371" t="s">
        <v>579</v>
      </c>
      <c r="D219" s="371">
        <v>3166.08</v>
      </c>
      <c r="E219" s="371">
        <v>2289.77</v>
      </c>
      <c r="F219" s="371">
        <v>53</v>
      </c>
      <c r="G219" s="371">
        <v>0</v>
      </c>
      <c r="H219" s="371">
        <v>104.05000000000003</v>
      </c>
    </row>
    <row r="220" spans="1:8" hidden="1" x14ac:dyDescent="0.35">
      <c r="A220" s="596" t="s">
        <v>327</v>
      </c>
      <c r="B220" s="371" t="s">
        <v>594</v>
      </c>
      <c r="C220" s="371" t="s">
        <v>595</v>
      </c>
      <c r="D220" s="371">
        <v>0</v>
      </c>
      <c r="E220" s="371">
        <v>0</v>
      </c>
      <c r="F220" s="371">
        <v>0</v>
      </c>
      <c r="G220" s="371">
        <v>0</v>
      </c>
      <c r="H220" s="371">
        <v>12.43</v>
      </c>
    </row>
    <row r="221" spans="1:8" hidden="1" x14ac:dyDescent="0.35">
      <c r="A221" s="596" t="s">
        <v>327</v>
      </c>
      <c r="B221" s="371" t="s">
        <v>597</v>
      </c>
      <c r="C221" s="371" t="s">
        <v>599</v>
      </c>
      <c r="D221" s="371">
        <v>3</v>
      </c>
      <c r="E221" s="371">
        <v>0</v>
      </c>
      <c r="F221" s="371">
        <v>0</v>
      </c>
      <c r="G221" s="371">
        <v>4</v>
      </c>
      <c r="H221" s="371">
        <v>13.260000000000002</v>
      </c>
    </row>
    <row r="222" spans="1:8" x14ac:dyDescent="0.35">
      <c r="A222" s="596" t="s">
        <v>466</v>
      </c>
      <c r="B222" s="371" t="s">
        <v>593</v>
      </c>
      <c r="C222" s="371" t="s">
        <v>580</v>
      </c>
      <c r="D222" s="371">
        <v>34</v>
      </c>
      <c r="E222" s="371">
        <v>0</v>
      </c>
      <c r="F222" s="371">
        <v>0</v>
      </c>
      <c r="G222" s="371">
        <v>164.69</v>
      </c>
      <c r="H222" s="371">
        <v>47.069999999999993</v>
      </c>
    </row>
    <row r="223" spans="1:8" hidden="1" x14ac:dyDescent="0.35">
      <c r="A223" s="596" t="s">
        <v>214</v>
      </c>
      <c r="C223" s="371" t="s">
        <v>568</v>
      </c>
      <c r="D223" s="371">
        <v>198.93</v>
      </c>
      <c r="H223" s="371">
        <v>78.709999999999994</v>
      </c>
    </row>
    <row r="224" spans="1:8" hidden="1" x14ac:dyDescent="0.35">
      <c r="A224" s="596" t="s">
        <v>214</v>
      </c>
      <c r="C224" s="371" t="s">
        <v>532</v>
      </c>
      <c r="D224" s="371">
        <v>65</v>
      </c>
      <c r="G224" s="371">
        <v>10</v>
      </c>
      <c r="H224" s="371">
        <v>1</v>
      </c>
    </row>
    <row r="225" spans="1:8" hidden="1" x14ac:dyDescent="0.35">
      <c r="A225" s="596" t="s">
        <v>313</v>
      </c>
      <c r="C225" s="371" t="s">
        <v>564</v>
      </c>
      <c r="H225" s="371">
        <v>61.300000000000004</v>
      </c>
    </row>
    <row r="226" spans="1:8" hidden="1" x14ac:dyDescent="0.35">
      <c r="A226" s="596" t="s">
        <v>313</v>
      </c>
      <c r="C226" s="371" t="s">
        <v>571</v>
      </c>
      <c r="D226" s="371">
        <v>3355.93</v>
      </c>
      <c r="E226" s="371">
        <v>2551.73</v>
      </c>
      <c r="F226" s="371">
        <v>36</v>
      </c>
      <c r="H226" s="371">
        <v>78.53</v>
      </c>
    </row>
    <row r="227" spans="1:8" hidden="1" x14ac:dyDescent="0.35">
      <c r="A227" s="596" t="s">
        <v>319</v>
      </c>
      <c r="B227" s="371" t="s">
        <v>571</v>
      </c>
      <c r="C227" s="371" t="s">
        <v>579</v>
      </c>
      <c r="D227" s="371">
        <v>3282.43</v>
      </c>
      <c r="E227" s="371">
        <v>2482.48</v>
      </c>
      <c r="F227" s="371">
        <v>54</v>
      </c>
      <c r="G227" s="371">
        <v>0</v>
      </c>
      <c r="H227" s="371">
        <v>80.560000000000016</v>
      </c>
    </row>
    <row r="228" spans="1:8" hidden="1" x14ac:dyDescent="0.35">
      <c r="A228" s="596" t="s">
        <v>319</v>
      </c>
      <c r="B228" s="371" t="s">
        <v>571</v>
      </c>
      <c r="C228" s="371" t="s">
        <v>582</v>
      </c>
      <c r="D228" s="371">
        <v>13</v>
      </c>
      <c r="E228" s="371">
        <v>0</v>
      </c>
      <c r="F228" s="371">
        <v>0</v>
      </c>
      <c r="G228" s="371">
        <v>8</v>
      </c>
      <c r="H228" s="371">
        <v>4</v>
      </c>
    </row>
    <row r="229" spans="1:8" hidden="1" x14ac:dyDescent="0.35">
      <c r="A229" s="596" t="s">
        <v>321</v>
      </c>
      <c r="B229" s="371" t="s">
        <v>588</v>
      </c>
      <c r="C229" s="371" t="s">
        <v>589</v>
      </c>
      <c r="D229" s="371">
        <v>0</v>
      </c>
      <c r="E229" s="371">
        <v>0</v>
      </c>
      <c r="F229" s="371">
        <v>0</v>
      </c>
      <c r="G229" s="371">
        <v>0</v>
      </c>
      <c r="H229" s="371">
        <v>21.310000000000002</v>
      </c>
    </row>
    <row r="230" spans="1:8" hidden="1" x14ac:dyDescent="0.35">
      <c r="A230" s="596" t="s">
        <v>326</v>
      </c>
      <c r="B230" s="371" t="s">
        <v>571</v>
      </c>
      <c r="C230" s="371" t="s">
        <v>580</v>
      </c>
      <c r="D230" s="371">
        <v>39</v>
      </c>
      <c r="E230" s="371">
        <v>0</v>
      </c>
      <c r="F230" s="371">
        <v>0</v>
      </c>
      <c r="G230" s="371">
        <v>161.06</v>
      </c>
      <c r="H230" s="371">
        <v>71.949999999999989</v>
      </c>
    </row>
    <row r="231" spans="1:8" hidden="1" x14ac:dyDescent="0.35">
      <c r="A231" s="596" t="s">
        <v>326</v>
      </c>
      <c r="B231" s="371" t="s">
        <v>584</v>
      </c>
      <c r="C231" s="371" t="s">
        <v>585</v>
      </c>
      <c r="D231" s="371">
        <v>0</v>
      </c>
      <c r="E231" s="371">
        <v>0</v>
      </c>
      <c r="F231" s="371">
        <v>0</v>
      </c>
      <c r="G231" s="371">
        <v>0</v>
      </c>
      <c r="H231" s="371">
        <v>1</v>
      </c>
    </row>
    <row r="232" spans="1:8" hidden="1" x14ac:dyDescent="0.35">
      <c r="A232" s="596" t="s">
        <v>326</v>
      </c>
      <c r="B232" s="371" t="s">
        <v>584</v>
      </c>
      <c r="C232" s="371" t="s">
        <v>473</v>
      </c>
      <c r="D232" s="371">
        <v>9</v>
      </c>
      <c r="E232" s="371">
        <v>0</v>
      </c>
      <c r="F232" s="371">
        <v>0</v>
      </c>
      <c r="G232" s="371">
        <v>7</v>
      </c>
      <c r="H232" s="371">
        <v>109.41</v>
      </c>
    </row>
    <row r="233" spans="1:8" hidden="1" x14ac:dyDescent="0.35">
      <c r="A233" s="596" t="s">
        <v>326</v>
      </c>
      <c r="B233" s="371" t="s">
        <v>591</v>
      </c>
      <c r="C233" s="371" t="s">
        <v>592</v>
      </c>
      <c r="D233" s="371">
        <v>9</v>
      </c>
      <c r="E233" s="371">
        <v>0</v>
      </c>
      <c r="F233" s="371">
        <v>0</v>
      </c>
      <c r="G233" s="371">
        <v>0</v>
      </c>
      <c r="H233" s="371">
        <v>17.09</v>
      </c>
    </row>
    <row r="234" spans="1:8" hidden="1" x14ac:dyDescent="0.35">
      <c r="A234" s="596" t="s">
        <v>327</v>
      </c>
      <c r="B234" s="371" t="s">
        <v>586</v>
      </c>
      <c r="C234" s="371" t="s">
        <v>587</v>
      </c>
      <c r="D234" s="371">
        <v>5</v>
      </c>
      <c r="E234" s="371">
        <v>0</v>
      </c>
      <c r="F234" s="371">
        <v>0</v>
      </c>
      <c r="G234" s="371">
        <v>0</v>
      </c>
      <c r="H234" s="371">
        <v>4</v>
      </c>
    </row>
    <row r="235" spans="1:8" hidden="1" x14ac:dyDescent="0.35">
      <c r="A235" s="596" t="s">
        <v>327</v>
      </c>
      <c r="B235" s="371" t="s">
        <v>591</v>
      </c>
      <c r="C235" s="371" t="s">
        <v>592</v>
      </c>
      <c r="D235" s="371">
        <v>11</v>
      </c>
      <c r="E235" s="371">
        <v>0</v>
      </c>
      <c r="F235" s="371">
        <v>0</v>
      </c>
      <c r="G235" s="371">
        <v>0</v>
      </c>
      <c r="H235" s="371">
        <v>18.09</v>
      </c>
    </row>
    <row r="236" spans="1:8" x14ac:dyDescent="0.35">
      <c r="A236" s="596" t="s">
        <v>466</v>
      </c>
      <c r="B236" s="371" t="s">
        <v>594</v>
      </c>
      <c r="C236" s="371" t="s">
        <v>587</v>
      </c>
      <c r="D236" s="371">
        <v>2</v>
      </c>
      <c r="E236" s="371">
        <v>0</v>
      </c>
      <c r="F236" s="371">
        <v>0</v>
      </c>
      <c r="G236" s="371">
        <v>0</v>
      </c>
      <c r="H236" s="371">
        <v>64.97</v>
      </c>
    </row>
    <row r="237" spans="1:8" x14ac:dyDescent="0.35">
      <c r="A237" s="596" t="s">
        <v>466</v>
      </c>
      <c r="B237" s="371" t="s">
        <v>597</v>
      </c>
      <c r="C237" s="371" t="s">
        <v>587</v>
      </c>
      <c r="D237" s="371">
        <v>0</v>
      </c>
      <c r="E237" s="371">
        <v>0</v>
      </c>
      <c r="F237" s="371">
        <v>0</v>
      </c>
      <c r="G237" s="371">
        <v>0</v>
      </c>
      <c r="H237" s="371">
        <v>4.8</v>
      </c>
    </row>
    <row r="238" spans="1:8" x14ac:dyDescent="0.35">
      <c r="A238" s="596" t="s">
        <v>466</v>
      </c>
      <c r="B238" s="371" t="s">
        <v>597</v>
      </c>
      <c r="C238" s="371" t="s">
        <v>598</v>
      </c>
      <c r="D238" s="371">
        <v>0</v>
      </c>
      <c r="E238" s="371">
        <v>0</v>
      </c>
      <c r="F238" s="371">
        <v>0</v>
      </c>
      <c r="G238" s="371">
        <v>0</v>
      </c>
      <c r="H238" s="371">
        <v>3</v>
      </c>
    </row>
    <row r="239" spans="1:8" x14ac:dyDescent="0.35">
      <c r="A239" s="596" t="s">
        <v>466</v>
      </c>
      <c r="B239" s="371" t="s">
        <v>586</v>
      </c>
      <c r="C239" s="371" t="s">
        <v>587</v>
      </c>
      <c r="D239" s="371">
        <v>5</v>
      </c>
      <c r="E239" s="371">
        <v>0</v>
      </c>
      <c r="F239" s="371">
        <v>0</v>
      </c>
      <c r="G239" s="371">
        <v>0</v>
      </c>
      <c r="H239" s="371">
        <v>5</v>
      </c>
    </row>
    <row r="240" spans="1:8" x14ac:dyDescent="0.35">
      <c r="A240" s="596" t="s">
        <v>466</v>
      </c>
      <c r="B240" s="371" t="s">
        <v>588</v>
      </c>
      <c r="C240" s="371" t="s">
        <v>590</v>
      </c>
      <c r="D240" s="371">
        <v>2</v>
      </c>
      <c r="E240" s="371">
        <v>0</v>
      </c>
      <c r="F240" s="371">
        <v>0</v>
      </c>
      <c r="G240" s="371">
        <v>0</v>
      </c>
      <c r="H240" s="371">
        <v>97.71999999999997</v>
      </c>
    </row>
    <row r="241" spans="1:8" ht="15" hidden="1" thickBot="1" x14ac:dyDescent="0.4">
      <c r="A241" s="1001" t="s">
        <v>214</v>
      </c>
      <c r="B241" s="866"/>
      <c r="C241" s="866" t="s">
        <v>566</v>
      </c>
      <c r="D241" s="866">
        <v>2</v>
      </c>
      <c r="E241" s="866"/>
      <c r="F241" s="866"/>
      <c r="G241" s="866"/>
      <c r="H241" s="866">
        <v>52.919999999999995</v>
      </c>
    </row>
    <row r="242" spans="1:8" ht="15" hidden="1" thickBot="1" x14ac:dyDescent="0.4">
      <c r="A242" s="1001" t="s">
        <v>313</v>
      </c>
      <c r="B242" s="866"/>
      <c r="C242" s="866" t="s">
        <v>562</v>
      </c>
      <c r="D242" s="866">
        <v>5</v>
      </c>
      <c r="E242" s="866"/>
      <c r="F242" s="866"/>
      <c r="G242" s="866"/>
      <c r="H242" s="866">
        <v>182.2</v>
      </c>
    </row>
    <row r="243" spans="1:8" hidden="1" x14ac:dyDescent="0.35">
      <c r="A243" s="596" t="s">
        <v>319</v>
      </c>
      <c r="B243" s="371" t="s">
        <v>577</v>
      </c>
      <c r="C243" s="371" t="s">
        <v>562</v>
      </c>
      <c r="D243" s="371">
        <v>6</v>
      </c>
      <c r="E243" s="371">
        <v>0</v>
      </c>
      <c r="F243" s="371">
        <v>0</v>
      </c>
      <c r="G243" s="371">
        <v>0</v>
      </c>
      <c r="H243" s="371">
        <v>182.48999999999998</v>
      </c>
    </row>
    <row r="244" spans="1:8" hidden="1" x14ac:dyDescent="0.35">
      <c r="A244" s="596" t="s">
        <v>319</v>
      </c>
      <c r="B244" s="371" t="s">
        <v>571</v>
      </c>
      <c r="C244" s="371" t="s">
        <v>583</v>
      </c>
      <c r="D244" s="371">
        <v>1</v>
      </c>
      <c r="E244" s="371">
        <v>0</v>
      </c>
      <c r="F244" s="371">
        <v>0</v>
      </c>
      <c r="G244" s="371">
        <v>0</v>
      </c>
      <c r="H244" s="371">
        <v>0</v>
      </c>
    </row>
    <row r="245" spans="1:8" ht="15" hidden="1" thickBot="1" x14ac:dyDescent="0.4">
      <c r="A245" s="1001" t="s">
        <v>319</v>
      </c>
      <c r="B245" s="866" t="s">
        <v>586</v>
      </c>
      <c r="C245" s="866" t="s">
        <v>587</v>
      </c>
      <c r="D245" s="866">
        <v>5</v>
      </c>
      <c r="E245" s="866">
        <v>0</v>
      </c>
      <c r="F245" s="866">
        <v>0</v>
      </c>
      <c r="G245" s="866">
        <v>0</v>
      </c>
      <c r="H245" s="866">
        <v>3</v>
      </c>
    </row>
    <row r="246" spans="1:8" hidden="1" x14ac:dyDescent="0.35">
      <c r="A246" s="596" t="s">
        <v>321</v>
      </c>
      <c r="B246" s="371" t="s">
        <v>571</v>
      </c>
      <c r="C246" s="371" t="s">
        <v>580</v>
      </c>
      <c r="D246" s="371">
        <v>45</v>
      </c>
      <c r="E246" s="371">
        <v>0</v>
      </c>
      <c r="F246" s="371">
        <v>0</v>
      </c>
      <c r="G246" s="371">
        <v>164.46</v>
      </c>
      <c r="H246" s="371">
        <v>72.799999999999983</v>
      </c>
    </row>
    <row r="247" spans="1:8" ht="15" hidden="1" thickBot="1" x14ac:dyDescent="0.4">
      <c r="A247" s="1001" t="s">
        <v>321</v>
      </c>
      <c r="B247" s="866" t="s">
        <v>591</v>
      </c>
      <c r="C247" s="866" t="s">
        <v>592</v>
      </c>
      <c r="D247" s="866">
        <v>8</v>
      </c>
      <c r="E247" s="866">
        <v>0</v>
      </c>
      <c r="F247" s="866">
        <v>0</v>
      </c>
      <c r="G247" s="866">
        <v>0</v>
      </c>
      <c r="H247" s="866">
        <v>19.5</v>
      </c>
    </row>
    <row r="248" spans="1:8" hidden="1" x14ac:dyDescent="0.35">
      <c r="A248" s="596" t="s">
        <v>326</v>
      </c>
      <c r="B248" s="371" t="s">
        <v>577</v>
      </c>
      <c r="C248" s="371" t="s">
        <v>562</v>
      </c>
      <c r="D248" s="371">
        <v>5</v>
      </c>
      <c r="E248" s="371">
        <v>0</v>
      </c>
      <c r="F248" s="371">
        <v>0</v>
      </c>
      <c r="G248" s="371">
        <v>0</v>
      </c>
      <c r="H248" s="371">
        <v>182.81</v>
      </c>
    </row>
    <row r="249" spans="1:8" ht="15" hidden="1" thickBot="1" x14ac:dyDescent="0.4">
      <c r="A249" s="1001" t="s">
        <v>326</v>
      </c>
      <c r="B249" s="866" t="s">
        <v>588</v>
      </c>
      <c r="C249" s="866" t="s">
        <v>589</v>
      </c>
      <c r="D249" s="866">
        <v>0</v>
      </c>
      <c r="E249" s="866">
        <v>0</v>
      </c>
      <c r="F249" s="866">
        <v>0</v>
      </c>
      <c r="G249" s="866">
        <v>0</v>
      </c>
      <c r="H249" s="866">
        <v>23.689999999999998</v>
      </c>
    </row>
    <row r="250" spans="1:8" hidden="1" x14ac:dyDescent="0.35">
      <c r="A250" s="596" t="s">
        <v>327</v>
      </c>
      <c r="B250" s="371" t="s">
        <v>577</v>
      </c>
      <c r="C250" s="371" t="s">
        <v>562</v>
      </c>
      <c r="D250" s="371">
        <v>5</v>
      </c>
      <c r="E250" s="371">
        <v>0</v>
      </c>
      <c r="F250" s="371">
        <v>0</v>
      </c>
      <c r="G250" s="371">
        <v>0</v>
      </c>
      <c r="H250" s="371">
        <v>183.94</v>
      </c>
    </row>
    <row r="251" spans="1:8" hidden="1" x14ac:dyDescent="0.35">
      <c r="A251" s="596" t="s">
        <v>327</v>
      </c>
      <c r="B251" s="371" t="s">
        <v>597</v>
      </c>
      <c r="C251" s="371" t="s">
        <v>587</v>
      </c>
      <c r="D251" s="371">
        <v>0</v>
      </c>
      <c r="E251" s="371">
        <v>0</v>
      </c>
      <c r="F251" s="371">
        <v>0</v>
      </c>
      <c r="G251" s="371">
        <v>0</v>
      </c>
      <c r="H251" s="371">
        <v>5.8</v>
      </c>
    </row>
    <row r="252" spans="1:8" ht="15" hidden="1" thickBot="1" x14ac:dyDescent="0.4">
      <c r="A252" s="1001" t="s">
        <v>327</v>
      </c>
      <c r="B252" s="866" t="s">
        <v>600</v>
      </c>
      <c r="C252" s="866" t="s">
        <v>602</v>
      </c>
      <c r="D252" s="866">
        <v>8</v>
      </c>
      <c r="E252" s="866">
        <v>0</v>
      </c>
      <c r="F252" s="866">
        <v>0</v>
      </c>
      <c r="G252" s="866">
        <v>0</v>
      </c>
      <c r="H252" s="866">
        <v>15.8</v>
      </c>
    </row>
    <row r="253" spans="1:8" x14ac:dyDescent="0.35">
      <c r="A253" s="596" t="s">
        <v>466</v>
      </c>
      <c r="B253" s="371" t="s">
        <v>577</v>
      </c>
      <c r="C253" s="371" t="s">
        <v>585</v>
      </c>
      <c r="D253" s="371">
        <v>0</v>
      </c>
      <c r="E253" s="371">
        <v>0</v>
      </c>
      <c r="F253" s="371">
        <v>0</v>
      </c>
      <c r="G253" s="371">
        <v>0</v>
      </c>
      <c r="H253" s="371">
        <v>76.34</v>
      </c>
    </row>
    <row r="254" spans="1:8" x14ac:dyDescent="0.35">
      <c r="A254" s="596" t="s">
        <v>466</v>
      </c>
      <c r="B254" s="371" t="s">
        <v>594</v>
      </c>
      <c r="C254" s="371" t="s">
        <v>596</v>
      </c>
      <c r="D254" s="371">
        <v>0</v>
      </c>
      <c r="E254" s="371">
        <v>0</v>
      </c>
      <c r="F254" s="371">
        <v>0</v>
      </c>
      <c r="G254" s="371">
        <v>0</v>
      </c>
      <c r="H254" s="371">
        <v>22.11</v>
      </c>
    </row>
    <row r="255" spans="1:8" ht="15" thickBot="1" x14ac:dyDescent="0.4">
      <c r="A255" s="1001" t="s">
        <v>466</v>
      </c>
      <c r="B255" s="866" t="s">
        <v>597</v>
      </c>
      <c r="C255" s="866" t="s">
        <v>599</v>
      </c>
      <c r="D255" s="866">
        <v>5</v>
      </c>
      <c r="E255" s="866">
        <v>0</v>
      </c>
      <c r="F255" s="866">
        <v>0</v>
      </c>
      <c r="G255" s="866">
        <v>3</v>
      </c>
      <c r="H255" s="866">
        <v>26.66</v>
      </c>
    </row>
    <row r="258" spans="1:8" x14ac:dyDescent="0.35">
      <c r="A258" s="596" t="s">
        <v>329</v>
      </c>
    </row>
    <row r="259" spans="1:8" x14ac:dyDescent="0.35">
      <c r="A259" s="1023" t="s">
        <v>604</v>
      </c>
      <c r="B259" s="1023"/>
      <c r="C259" s="1023"/>
      <c r="D259" s="1023"/>
      <c r="E259" s="1023"/>
      <c r="F259" s="1023"/>
      <c r="G259" s="1023"/>
      <c r="H259" s="1023"/>
    </row>
    <row r="260" spans="1:8" x14ac:dyDescent="0.35">
      <c r="A260" s="1024" t="s">
        <v>522</v>
      </c>
      <c r="B260" s="1024"/>
      <c r="C260" s="1024"/>
      <c r="D260" s="1024"/>
      <c r="E260" s="1024"/>
      <c r="F260" s="1024"/>
      <c r="G260" s="1024"/>
      <c r="H260" s="1024"/>
    </row>
    <row r="261" spans="1:8" x14ac:dyDescent="0.35">
      <c r="A261" s="371" t="s">
        <v>523</v>
      </c>
      <c r="E261" s="795"/>
    </row>
    <row r="262" spans="1:8" x14ac:dyDescent="0.35">
      <c r="A262" s="795" t="s">
        <v>524</v>
      </c>
    </row>
  </sheetData>
  <sheetProtection algorithmName="SHA-512" hashValue="YWdlOThtPFDhschY52koyD0Zn41F1VFOvrHzVbBy1OJvqTv61XWDVd84a+tDbAt0rpgewv2mBE/4vZh9ZXGUng==" saltValue="U1Rwkhhrz5R+0Niwfyl8RQ==" spinCount="100000" sheet="1" scenarios="1" formatCells="0" sort="0" autoFilter="0" pivotTables="0"/>
  <mergeCells count="5">
    <mergeCell ref="A259:H259"/>
    <mergeCell ref="A260:H260"/>
    <mergeCell ref="A1:B1"/>
    <mergeCell ref="A4:B4"/>
    <mergeCell ref="A129:H129"/>
  </mergeCells>
  <hyperlinks>
    <hyperlink ref="A2" location="'Table of Contents'!A1" display="Back to Table of Contents" xr:uid="{D8A2377C-7140-433B-9CFE-EE3E5CFBDECC}"/>
  </hyperlinks>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G8"/>
  <sheetViews>
    <sheetView workbookViewId="0">
      <selection activeCell="C5" sqref="C5"/>
    </sheetView>
  </sheetViews>
  <sheetFormatPr defaultRowHeight="14.5" x14ac:dyDescent="0.35"/>
  <cols>
    <col min="1" max="1" width="12.6328125" bestFit="1" customWidth="1"/>
    <col min="2" max="2" width="27.90625" bestFit="1" customWidth="1"/>
    <col min="3" max="3" width="10.453125" bestFit="1" customWidth="1"/>
    <col min="4" max="4" width="13.6328125" bestFit="1" customWidth="1"/>
    <col min="5" max="5" width="14" bestFit="1" customWidth="1"/>
    <col min="6" max="6" width="15.90625" bestFit="1" customWidth="1"/>
    <col min="7" max="7" width="18.26953125" bestFit="1" customWidth="1"/>
  </cols>
  <sheetData>
    <row r="1" spans="1:7" x14ac:dyDescent="0.35">
      <c r="A1" s="387" t="s">
        <v>207</v>
      </c>
      <c r="B1" t="s">
        <v>466</v>
      </c>
    </row>
    <row r="3" spans="1:7" x14ac:dyDescent="0.35">
      <c r="A3" s="387" t="s">
        <v>350</v>
      </c>
      <c r="B3" t="s">
        <v>607</v>
      </c>
      <c r="C3" t="s">
        <v>608</v>
      </c>
      <c r="D3" t="s">
        <v>506</v>
      </c>
      <c r="E3" t="s">
        <v>507</v>
      </c>
      <c r="F3" t="s">
        <v>355</v>
      </c>
      <c r="G3" t="s">
        <v>505</v>
      </c>
    </row>
    <row r="4" spans="1:7" x14ac:dyDescent="0.35">
      <c r="A4" s="388" t="s">
        <v>536</v>
      </c>
      <c r="B4">
        <v>2792</v>
      </c>
      <c r="C4">
        <v>2705</v>
      </c>
      <c r="D4">
        <v>0</v>
      </c>
      <c r="E4">
        <v>0</v>
      </c>
      <c r="F4">
        <v>273</v>
      </c>
      <c r="G4">
        <v>0</v>
      </c>
    </row>
    <row r="5" spans="1:7" x14ac:dyDescent="0.35">
      <c r="A5" s="388" t="s">
        <v>539</v>
      </c>
      <c r="B5">
        <v>279</v>
      </c>
      <c r="C5">
        <v>0</v>
      </c>
      <c r="D5">
        <v>0</v>
      </c>
      <c r="E5">
        <v>0</v>
      </c>
      <c r="F5">
        <v>0</v>
      </c>
      <c r="G5">
        <v>60</v>
      </c>
    </row>
    <row r="6" spans="1:7" x14ac:dyDescent="0.35">
      <c r="A6" s="388" t="s">
        <v>541</v>
      </c>
      <c r="B6">
        <v>269</v>
      </c>
      <c r="C6">
        <v>0</v>
      </c>
      <c r="D6">
        <v>0</v>
      </c>
      <c r="E6">
        <v>0</v>
      </c>
      <c r="F6">
        <v>0</v>
      </c>
      <c r="G6">
        <v>0</v>
      </c>
    </row>
    <row r="7" spans="1:7" x14ac:dyDescent="0.35">
      <c r="A7" s="388" t="s">
        <v>543</v>
      </c>
      <c r="B7">
        <v>90</v>
      </c>
      <c r="C7">
        <v>0</v>
      </c>
      <c r="D7">
        <v>171</v>
      </c>
      <c r="E7">
        <v>917</v>
      </c>
      <c r="F7">
        <v>0</v>
      </c>
      <c r="G7">
        <v>0</v>
      </c>
    </row>
    <row r="8" spans="1:7" x14ac:dyDescent="0.35">
      <c r="A8" s="388" t="s">
        <v>357</v>
      </c>
      <c r="B8">
        <v>3430</v>
      </c>
      <c r="C8">
        <v>2705</v>
      </c>
      <c r="D8">
        <v>171</v>
      </c>
      <c r="E8">
        <v>917</v>
      </c>
      <c r="F8">
        <v>273</v>
      </c>
      <c r="G8">
        <v>60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H49"/>
  <sheetViews>
    <sheetView topLeftCell="A2" workbookViewId="0">
      <selection activeCell="C8" sqref="C8"/>
    </sheetView>
  </sheetViews>
  <sheetFormatPr defaultRowHeight="14.5" x14ac:dyDescent="0.35"/>
  <cols>
    <col min="1" max="1" width="7.453125" bestFit="1" customWidth="1"/>
    <col min="2" max="2" width="16.1796875" bestFit="1" customWidth="1"/>
    <col min="3" max="3" width="23.81640625" bestFit="1" customWidth="1"/>
    <col min="4" max="4" width="6.54296875" bestFit="1" customWidth="1"/>
    <col min="5" max="5" width="14" bestFit="1" customWidth="1"/>
    <col min="6" max="6" width="9.54296875" bestFit="1" customWidth="1"/>
    <col min="7" max="7" width="9.90625" bestFit="1" customWidth="1"/>
    <col min="8" max="8" width="11.81640625" bestFit="1" customWidth="1"/>
  </cols>
  <sheetData>
    <row r="1" spans="1:8" x14ac:dyDescent="0.35">
      <c r="A1" t="s">
        <v>207</v>
      </c>
      <c r="B1" t="s">
        <v>546</v>
      </c>
      <c r="C1" t="s">
        <v>515</v>
      </c>
      <c r="D1" t="s">
        <v>609</v>
      </c>
      <c r="E1" t="s">
        <v>510</v>
      </c>
      <c r="F1" t="s">
        <v>511</v>
      </c>
      <c r="G1" t="s">
        <v>512</v>
      </c>
      <c r="H1" t="s">
        <v>339</v>
      </c>
    </row>
    <row r="2" spans="1:8" x14ac:dyDescent="0.35">
      <c r="A2" t="s">
        <v>364</v>
      </c>
      <c r="B2" t="s">
        <v>539</v>
      </c>
      <c r="C2">
        <v>285</v>
      </c>
    </row>
    <row r="3" spans="1:8" x14ac:dyDescent="0.35">
      <c r="A3" t="s">
        <v>342</v>
      </c>
      <c r="B3" t="s">
        <v>536</v>
      </c>
      <c r="C3">
        <v>2868</v>
      </c>
      <c r="D3">
        <v>2863</v>
      </c>
      <c r="H3">
        <v>336</v>
      </c>
    </row>
    <row r="4" spans="1:8" x14ac:dyDescent="0.35">
      <c r="A4" t="s">
        <v>214</v>
      </c>
      <c r="B4" t="s">
        <v>543</v>
      </c>
      <c r="C4">
        <v>149</v>
      </c>
      <c r="D4">
        <v>0</v>
      </c>
      <c r="E4">
        <v>0</v>
      </c>
      <c r="F4">
        <v>207</v>
      </c>
      <c r="G4">
        <v>792</v>
      </c>
      <c r="H4">
        <v>0</v>
      </c>
    </row>
    <row r="5" spans="1:8" x14ac:dyDescent="0.35">
      <c r="A5" t="s">
        <v>319</v>
      </c>
      <c r="B5" t="s">
        <v>536</v>
      </c>
      <c r="C5">
        <v>2903</v>
      </c>
      <c r="D5">
        <v>2872</v>
      </c>
      <c r="E5">
        <v>0</v>
      </c>
      <c r="F5">
        <v>0</v>
      </c>
      <c r="G5">
        <v>0</v>
      </c>
      <c r="H5">
        <v>303</v>
      </c>
    </row>
    <row r="6" spans="1:8" x14ac:dyDescent="0.35">
      <c r="A6" t="s">
        <v>326</v>
      </c>
      <c r="B6" t="s">
        <v>543</v>
      </c>
      <c r="C6">
        <v>69</v>
      </c>
      <c r="D6">
        <v>0</v>
      </c>
      <c r="E6">
        <v>0</v>
      </c>
      <c r="F6">
        <v>172</v>
      </c>
      <c r="G6">
        <v>901</v>
      </c>
      <c r="H6">
        <v>0</v>
      </c>
    </row>
    <row r="7" spans="1:8" x14ac:dyDescent="0.35">
      <c r="A7" t="s">
        <v>466</v>
      </c>
      <c r="B7" t="s">
        <v>541</v>
      </c>
      <c r="C7">
        <v>269</v>
      </c>
      <c r="D7">
        <v>0</v>
      </c>
      <c r="E7">
        <v>0</v>
      </c>
      <c r="F7">
        <v>0</v>
      </c>
      <c r="G7">
        <v>0</v>
      </c>
      <c r="H7">
        <v>0</v>
      </c>
    </row>
    <row r="8" spans="1:8" x14ac:dyDescent="0.35">
      <c r="A8" t="s">
        <v>366</v>
      </c>
      <c r="B8" t="s">
        <v>539</v>
      </c>
      <c r="C8">
        <v>385</v>
      </c>
    </row>
    <row r="9" spans="1:8" x14ac:dyDescent="0.35">
      <c r="A9" t="s">
        <v>366</v>
      </c>
      <c r="B9" t="s">
        <v>543</v>
      </c>
      <c r="C9">
        <v>195</v>
      </c>
      <c r="F9">
        <v>203</v>
      </c>
      <c r="G9">
        <v>297</v>
      </c>
    </row>
    <row r="10" spans="1:8" x14ac:dyDescent="0.35">
      <c r="A10" t="s">
        <v>341</v>
      </c>
      <c r="B10" t="s">
        <v>536</v>
      </c>
      <c r="C10">
        <v>2923</v>
      </c>
      <c r="D10">
        <v>2870</v>
      </c>
      <c r="H10">
        <v>320</v>
      </c>
    </row>
    <row r="11" spans="1:8" x14ac:dyDescent="0.35">
      <c r="A11" t="s">
        <v>342</v>
      </c>
      <c r="B11" t="s">
        <v>541</v>
      </c>
      <c r="C11">
        <v>156</v>
      </c>
      <c r="G11">
        <v>569</v>
      </c>
    </row>
    <row r="12" spans="1:8" x14ac:dyDescent="0.35">
      <c r="A12" t="s">
        <v>342</v>
      </c>
      <c r="B12" t="s">
        <v>543</v>
      </c>
      <c r="C12">
        <v>143</v>
      </c>
      <c r="F12">
        <v>189</v>
      </c>
      <c r="G12">
        <v>277</v>
      </c>
    </row>
    <row r="13" spans="1:8" x14ac:dyDescent="0.35">
      <c r="A13" t="s">
        <v>319</v>
      </c>
      <c r="B13" t="s">
        <v>539</v>
      </c>
      <c r="C13">
        <v>376</v>
      </c>
      <c r="D13">
        <v>0</v>
      </c>
      <c r="E13">
        <v>54</v>
      </c>
      <c r="F13">
        <v>0</v>
      </c>
      <c r="G13">
        <v>0</v>
      </c>
      <c r="H13">
        <v>0</v>
      </c>
    </row>
    <row r="14" spans="1:8" x14ac:dyDescent="0.35">
      <c r="A14" t="s">
        <v>321</v>
      </c>
      <c r="B14" t="s">
        <v>539</v>
      </c>
      <c r="C14">
        <v>378</v>
      </c>
      <c r="D14">
        <v>0</v>
      </c>
      <c r="E14">
        <v>53</v>
      </c>
      <c r="F14">
        <v>0</v>
      </c>
      <c r="G14">
        <v>0</v>
      </c>
      <c r="H14">
        <v>0</v>
      </c>
    </row>
    <row r="15" spans="1:8" x14ac:dyDescent="0.35">
      <c r="A15" t="s">
        <v>326</v>
      </c>
      <c r="B15" t="s">
        <v>541</v>
      </c>
      <c r="C15">
        <v>256</v>
      </c>
      <c r="D15">
        <v>0</v>
      </c>
      <c r="E15">
        <v>0</v>
      </c>
      <c r="F15">
        <v>0</v>
      </c>
      <c r="G15">
        <v>0</v>
      </c>
      <c r="H15">
        <v>0</v>
      </c>
    </row>
    <row r="16" spans="1:8" x14ac:dyDescent="0.35">
      <c r="A16" t="s">
        <v>365</v>
      </c>
      <c r="B16" t="s">
        <v>539</v>
      </c>
      <c r="C16">
        <v>270</v>
      </c>
    </row>
    <row r="17" spans="1:8" x14ac:dyDescent="0.35">
      <c r="A17" t="s">
        <v>366</v>
      </c>
      <c r="B17" t="s">
        <v>536</v>
      </c>
      <c r="C17">
        <v>3025</v>
      </c>
      <c r="D17">
        <v>2870</v>
      </c>
      <c r="H17">
        <v>342</v>
      </c>
    </row>
    <row r="18" spans="1:8" x14ac:dyDescent="0.35">
      <c r="A18" t="s">
        <v>366</v>
      </c>
      <c r="B18" t="s">
        <v>541</v>
      </c>
      <c r="C18">
        <v>85</v>
      </c>
      <c r="G18">
        <v>531</v>
      </c>
    </row>
    <row r="19" spans="1:8" x14ac:dyDescent="0.35">
      <c r="A19" t="s">
        <v>341</v>
      </c>
      <c r="B19" t="s">
        <v>539</v>
      </c>
      <c r="C19">
        <v>389</v>
      </c>
    </row>
    <row r="20" spans="1:8" x14ac:dyDescent="0.35">
      <c r="A20" t="s">
        <v>341</v>
      </c>
      <c r="B20" t="s">
        <v>541</v>
      </c>
      <c r="C20">
        <v>151</v>
      </c>
      <c r="G20">
        <v>571</v>
      </c>
    </row>
    <row r="21" spans="1:8" x14ac:dyDescent="0.35">
      <c r="A21" t="s">
        <v>313</v>
      </c>
      <c r="B21" t="s">
        <v>543</v>
      </c>
      <c r="C21">
        <v>90</v>
      </c>
      <c r="D21">
        <v>0</v>
      </c>
      <c r="E21">
        <v>0</v>
      </c>
      <c r="F21">
        <v>188</v>
      </c>
      <c r="G21">
        <v>817</v>
      </c>
      <c r="H21">
        <v>0</v>
      </c>
    </row>
    <row r="22" spans="1:8" x14ac:dyDescent="0.35">
      <c r="A22" t="s">
        <v>321</v>
      </c>
      <c r="B22" t="s">
        <v>536</v>
      </c>
      <c r="C22">
        <v>2843</v>
      </c>
      <c r="D22">
        <v>2758</v>
      </c>
      <c r="E22">
        <v>0</v>
      </c>
      <c r="F22">
        <v>0</v>
      </c>
      <c r="G22">
        <v>0</v>
      </c>
      <c r="H22">
        <v>277</v>
      </c>
    </row>
    <row r="23" spans="1:8" x14ac:dyDescent="0.35">
      <c r="A23" t="s">
        <v>321</v>
      </c>
      <c r="B23" t="s">
        <v>541</v>
      </c>
      <c r="C23">
        <v>221</v>
      </c>
      <c r="D23">
        <v>0</v>
      </c>
      <c r="E23">
        <v>0</v>
      </c>
      <c r="F23">
        <v>0</v>
      </c>
      <c r="G23">
        <v>0</v>
      </c>
      <c r="H23">
        <v>0</v>
      </c>
    </row>
    <row r="24" spans="1:8" x14ac:dyDescent="0.35">
      <c r="A24" t="s">
        <v>364</v>
      </c>
      <c r="B24" t="s">
        <v>543</v>
      </c>
      <c r="C24">
        <v>56</v>
      </c>
      <c r="F24">
        <v>223</v>
      </c>
      <c r="G24">
        <v>237</v>
      </c>
    </row>
    <row r="25" spans="1:8" x14ac:dyDescent="0.35">
      <c r="A25" t="s">
        <v>214</v>
      </c>
      <c r="B25" t="s">
        <v>539</v>
      </c>
      <c r="C25">
        <v>387</v>
      </c>
      <c r="D25">
        <v>0</v>
      </c>
      <c r="E25">
        <v>18</v>
      </c>
      <c r="F25">
        <v>0</v>
      </c>
      <c r="G25">
        <v>0</v>
      </c>
      <c r="H25">
        <v>0</v>
      </c>
    </row>
    <row r="26" spans="1:8" x14ac:dyDescent="0.35">
      <c r="A26" t="s">
        <v>214</v>
      </c>
      <c r="B26" t="s">
        <v>541</v>
      </c>
      <c r="C26">
        <v>146</v>
      </c>
      <c r="D26">
        <v>0</v>
      </c>
      <c r="E26">
        <v>0</v>
      </c>
      <c r="F26">
        <v>0</v>
      </c>
      <c r="G26">
        <v>0</v>
      </c>
      <c r="H26">
        <v>0</v>
      </c>
    </row>
    <row r="27" spans="1:8" x14ac:dyDescent="0.35">
      <c r="A27" t="s">
        <v>321</v>
      </c>
      <c r="B27" t="s">
        <v>543</v>
      </c>
      <c r="C27">
        <v>88</v>
      </c>
      <c r="D27">
        <v>0</v>
      </c>
      <c r="E27">
        <v>0</v>
      </c>
      <c r="F27">
        <v>174</v>
      </c>
      <c r="G27">
        <v>920</v>
      </c>
      <c r="H27">
        <v>0</v>
      </c>
    </row>
    <row r="28" spans="1:8" x14ac:dyDescent="0.35">
      <c r="A28" t="s">
        <v>364</v>
      </c>
      <c r="B28" t="s">
        <v>541</v>
      </c>
      <c r="C28">
        <v>268</v>
      </c>
      <c r="G28">
        <v>724</v>
      </c>
    </row>
    <row r="29" spans="1:8" x14ac:dyDescent="0.35">
      <c r="A29" t="s">
        <v>365</v>
      </c>
      <c r="B29" t="s">
        <v>536</v>
      </c>
      <c r="C29">
        <v>3285</v>
      </c>
      <c r="D29">
        <v>2950</v>
      </c>
      <c r="H29">
        <v>378</v>
      </c>
    </row>
    <row r="30" spans="1:8" x14ac:dyDescent="0.35">
      <c r="A30" t="s">
        <v>214</v>
      </c>
      <c r="B30" t="s">
        <v>536</v>
      </c>
      <c r="C30">
        <v>2955</v>
      </c>
      <c r="D30">
        <v>2935</v>
      </c>
      <c r="E30">
        <v>0</v>
      </c>
      <c r="F30">
        <v>0</v>
      </c>
      <c r="G30">
        <v>0</v>
      </c>
      <c r="H30">
        <v>321</v>
      </c>
    </row>
    <row r="31" spans="1:8" x14ac:dyDescent="0.35">
      <c r="A31" t="s">
        <v>313</v>
      </c>
      <c r="B31" t="s">
        <v>536</v>
      </c>
      <c r="C31">
        <v>2966</v>
      </c>
      <c r="D31">
        <v>2937</v>
      </c>
      <c r="E31">
        <v>0</v>
      </c>
      <c r="F31">
        <v>0</v>
      </c>
      <c r="G31">
        <v>0</v>
      </c>
      <c r="H31">
        <v>315</v>
      </c>
    </row>
    <row r="32" spans="1:8" x14ac:dyDescent="0.35">
      <c r="A32" t="s">
        <v>313</v>
      </c>
      <c r="B32" t="s">
        <v>539</v>
      </c>
      <c r="C32">
        <v>383</v>
      </c>
      <c r="D32">
        <v>0</v>
      </c>
      <c r="E32">
        <v>36</v>
      </c>
      <c r="F32">
        <v>0</v>
      </c>
      <c r="G32">
        <v>0</v>
      </c>
      <c r="H32">
        <v>0</v>
      </c>
    </row>
    <row r="33" spans="1:8" x14ac:dyDescent="0.35">
      <c r="A33" t="s">
        <v>326</v>
      </c>
      <c r="B33" t="s">
        <v>539</v>
      </c>
      <c r="C33">
        <v>328</v>
      </c>
      <c r="D33">
        <v>0</v>
      </c>
      <c r="E33">
        <v>55</v>
      </c>
      <c r="F33">
        <v>0</v>
      </c>
      <c r="G33">
        <v>0</v>
      </c>
      <c r="H33">
        <v>0</v>
      </c>
    </row>
    <row r="34" spans="1:8" x14ac:dyDescent="0.35">
      <c r="A34" t="s">
        <v>327</v>
      </c>
      <c r="B34" t="s">
        <v>536</v>
      </c>
      <c r="C34">
        <v>2870</v>
      </c>
      <c r="D34">
        <v>2708</v>
      </c>
      <c r="E34">
        <v>0</v>
      </c>
      <c r="F34">
        <v>0</v>
      </c>
      <c r="G34">
        <v>0</v>
      </c>
      <c r="H34">
        <v>269</v>
      </c>
    </row>
    <row r="35" spans="1:8" x14ac:dyDescent="0.35">
      <c r="A35" t="s">
        <v>466</v>
      </c>
      <c r="B35" t="s">
        <v>539</v>
      </c>
      <c r="C35">
        <v>279</v>
      </c>
      <c r="D35">
        <v>0</v>
      </c>
      <c r="E35">
        <v>60</v>
      </c>
      <c r="F35">
        <v>0</v>
      </c>
      <c r="G35">
        <v>0</v>
      </c>
      <c r="H35">
        <v>0</v>
      </c>
    </row>
    <row r="36" spans="1:8" x14ac:dyDescent="0.35">
      <c r="A36" t="s">
        <v>365</v>
      </c>
      <c r="B36" t="s">
        <v>543</v>
      </c>
      <c r="C36">
        <v>50</v>
      </c>
      <c r="F36">
        <v>230</v>
      </c>
      <c r="G36">
        <v>238</v>
      </c>
    </row>
    <row r="37" spans="1:8" x14ac:dyDescent="0.35">
      <c r="A37" t="s">
        <v>341</v>
      </c>
      <c r="B37" t="s">
        <v>543</v>
      </c>
      <c r="C37">
        <v>182</v>
      </c>
      <c r="F37">
        <v>165</v>
      </c>
      <c r="G37">
        <v>267</v>
      </c>
    </row>
    <row r="38" spans="1:8" x14ac:dyDescent="0.35">
      <c r="A38" t="s">
        <v>342</v>
      </c>
      <c r="B38" t="s">
        <v>539</v>
      </c>
      <c r="C38">
        <v>379</v>
      </c>
    </row>
    <row r="39" spans="1:8" x14ac:dyDescent="0.35">
      <c r="A39" t="s">
        <v>327</v>
      </c>
      <c r="B39" t="s">
        <v>539</v>
      </c>
      <c r="C39">
        <v>327</v>
      </c>
      <c r="D39">
        <v>0</v>
      </c>
      <c r="E39">
        <v>55</v>
      </c>
      <c r="F39">
        <v>0</v>
      </c>
      <c r="G39">
        <v>0</v>
      </c>
      <c r="H39">
        <v>0</v>
      </c>
    </row>
    <row r="40" spans="1:8" x14ac:dyDescent="0.35">
      <c r="A40" t="s">
        <v>327</v>
      </c>
      <c r="B40" t="s">
        <v>543</v>
      </c>
      <c r="C40">
        <v>84</v>
      </c>
      <c r="D40">
        <v>0</v>
      </c>
      <c r="E40">
        <v>0</v>
      </c>
      <c r="F40">
        <v>171</v>
      </c>
      <c r="G40">
        <v>887</v>
      </c>
      <c r="H40">
        <v>0</v>
      </c>
    </row>
    <row r="41" spans="1:8" x14ac:dyDescent="0.35">
      <c r="A41" t="s">
        <v>466</v>
      </c>
      <c r="B41" t="s">
        <v>536</v>
      </c>
      <c r="C41">
        <v>2792</v>
      </c>
      <c r="D41">
        <v>2705</v>
      </c>
      <c r="E41">
        <v>0</v>
      </c>
      <c r="F41">
        <v>0</v>
      </c>
      <c r="G41">
        <v>0</v>
      </c>
      <c r="H41">
        <v>273</v>
      </c>
    </row>
    <row r="42" spans="1:8" x14ac:dyDescent="0.35">
      <c r="A42" t="s">
        <v>364</v>
      </c>
      <c r="B42" t="s">
        <v>536</v>
      </c>
      <c r="C42">
        <v>3392</v>
      </c>
      <c r="D42">
        <v>2940</v>
      </c>
      <c r="H42">
        <v>359</v>
      </c>
    </row>
    <row r="43" spans="1:8" x14ac:dyDescent="0.35">
      <c r="A43" t="s">
        <v>365</v>
      </c>
      <c r="B43" t="s">
        <v>541</v>
      </c>
      <c r="C43">
        <v>251</v>
      </c>
      <c r="G43">
        <v>629</v>
      </c>
    </row>
    <row r="44" spans="1:8" x14ac:dyDescent="0.35">
      <c r="A44" t="s">
        <v>313</v>
      </c>
      <c r="B44" t="s">
        <v>541</v>
      </c>
      <c r="C44">
        <v>197</v>
      </c>
      <c r="D44">
        <v>0</v>
      </c>
      <c r="E44">
        <v>0</v>
      </c>
      <c r="F44">
        <v>0</v>
      </c>
      <c r="G44">
        <v>0</v>
      </c>
      <c r="H44">
        <v>0</v>
      </c>
    </row>
    <row r="45" spans="1:8" x14ac:dyDescent="0.35">
      <c r="A45" t="s">
        <v>319</v>
      </c>
      <c r="B45" t="s">
        <v>541</v>
      </c>
      <c r="C45">
        <v>212</v>
      </c>
      <c r="D45">
        <v>0</v>
      </c>
      <c r="E45">
        <v>0</v>
      </c>
      <c r="F45">
        <v>0</v>
      </c>
      <c r="G45">
        <v>0</v>
      </c>
      <c r="H45">
        <v>0</v>
      </c>
    </row>
    <row r="46" spans="1:8" x14ac:dyDescent="0.35">
      <c r="A46" t="s">
        <v>319</v>
      </c>
      <c r="B46" t="s">
        <v>543</v>
      </c>
      <c r="C46">
        <v>90</v>
      </c>
      <c r="D46">
        <v>0</v>
      </c>
      <c r="E46">
        <v>0</v>
      </c>
      <c r="F46">
        <v>182</v>
      </c>
      <c r="G46">
        <v>835</v>
      </c>
      <c r="H46">
        <v>0</v>
      </c>
    </row>
    <row r="47" spans="1:8" x14ac:dyDescent="0.35">
      <c r="A47" t="s">
        <v>326</v>
      </c>
      <c r="B47" t="s">
        <v>536</v>
      </c>
      <c r="C47">
        <v>2837</v>
      </c>
      <c r="D47">
        <v>2735</v>
      </c>
      <c r="E47">
        <v>0</v>
      </c>
      <c r="F47">
        <v>0</v>
      </c>
      <c r="G47">
        <v>0</v>
      </c>
      <c r="H47">
        <v>266</v>
      </c>
    </row>
    <row r="48" spans="1:8" x14ac:dyDescent="0.35">
      <c r="A48" t="s">
        <v>327</v>
      </c>
      <c r="B48" t="s">
        <v>541</v>
      </c>
      <c r="C48">
        <v>141</v>
      </c>
      <c r="D48">
        <v>0</v>
      </c>
      <c r="E48">
        <v>0</v>
      </c>
      <c r="F48">
        <v>0</v>
      </c>
      <c r="G48">
        <v>0</v>
      </c>
      <c r="H48">
        <v>0</v>
      </c>
    </row>
    <row r="49" spans="1:8" x14ac:dyDescent="0.35">
      <c r="A49" t="s">
        <v>466</v>
      </c>
      <c r="B49" t="s">
        <v>543</v>
      </c>
      <c r="C49">
        <v>90</v>
      </c>
      <c r="D49">
        <v>0</v>
      </c>
      <c r="E49">
        <v>0</v>
      </c>
      <c r="F49">
        <v>171</v>
      </c>
      <c r="G49">
        <v>917</v>
      </c>
      <c r="H49">
        <v>0</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theme="9" tint="0.39997558519241921"/>
    <pageSetUpPr fitToPage="1"/>
  </sheetPr>
  <dimension ref="A1:K40"/>
  <sheetViews>
    <sheetView showGridLines="0" workbookViewId="0">
      <pane ySplit="2" topLeftCell="A3" activePane="bottomLeft" state="frozen"/>
      <selection pane="bottomLeft" sqref="A1:I1"/>
    </sheetView>
  </sheetViews>
  <sheetFormatPr defaultRowHeight="14.5" x14ac:dyDescent="0.35"/>
  <cols>
    <col min="1" max="1" width="27.453125" customWidth="1"/>
    <col min="2" max="2" width="12.453125" bestFit="1" customWidth="1"/>
    <col min="3" max="4" width="9.26953125" customWidth="1"/>
    <col min="5" max="6" width="9" bestFit="1" customWidth="1"/>
    <col min="7" max="7" width="10.54296875" customWidth="1"/>
    <col min="8" max="8" width="11.1796875" customWidth="1"/>
    <col min="9" max="9" width="10.7265625" customWidth="1"/>
    <col min="10" max="10" width="9.26953125" customWidth="1"/>
    <col min="11" max="11" width="11.453125" customWidth="1"/>
    <col min="12" max="12" width="12.453125" customWidth="1"/>
  </cols>
  <sheetData>
    <row r="1" spans="1:11" ht="15.5" x14ac:dyDescent="0.35">
      <c r="A1" s="1011" t="s">
        <v>513</v>
      </c>
      <c r="B1" s="1011"/>
      <c r="C1" s="1011"/>
      <c r="D1" s="1011"/>
      <c r="E1" s="1011"/>
      <c r="F1" s="1011"/>
      <c r="G1" s="1011"/>
      <c r="H1" s="1011"/>
      <c r="I1" s="1011"/>
    </row>
    <row r="2" spans="1:11" ht="17.5" x14ac:dyDescent="0.35">
      <c r="A2" s="499" t="s">
        <v>201</v>
      </c>
      <c r="B2" s="1"/>
      <c r="C2" s="1"/>
      <c r="D2" s="1"/>
      <c r="E2" s="1"/>
      <c r="F2" s="1"/>
      <c r="G2" s="1"/>
      <c r="H2" s="1"/>
      <c r="I2" s="1"/>
    </row>
    <row r="3" spans="1:11" ht="17.5" x14ac:dyDescent="0.35">
      <c r="A3" s="1"/>
      <c r="B3" s="1"/>
      <c r="C3" s="1"/>
      <c r="D3" s="1"/>
      <c r="E3" s="1"/>
      <c r="F3" s="1"/>
      <c r="G3" s="1"/>
      <c r="H3" s="1"/>
      <c r="I3" s="1"/>
      <c r="J3" s="25"/>
      <c r="K3" s="25"/>
    </row>
    <row r="4" spans="1:11" ht="37.5" customHeight="1" x14ac:dyDescent="0.35">
      <c r="A4" s="439" t="s">
        <v>610</v>
      </c>
      <c r="B4" s="439"/>
      <c r="C4" s="439"/>
      <c r="D4" s="439"/>
      <c r="E4" s="439"/>
      <c r="F4" s="439"/>
      <c r="G4" s="439"/>
      <c r="H4" s="439"/>
      <c r="I4" s="439"/>
      <c r="J4" s="439"/>
      <c r="K4" s="439"/>
    </row>
    <row r="5" spans="1:11" ht="15" customHeight="1" x14ac:dyDescent="0.35">
      <c r="A5" t="s">
        <v>202</v>
      </c>
      <c r="B5" t="s">
        <v>66</v>
      </c>
      <c r="C5" s="231"/>
      <c r="D5" s="231"/>
      <c r="E5" s="231"/>
      <c r="F5" s="231"/>
      <c r="G5" s="231"/>
      <c r="H5" s="231"/>
      <c r="I5" s="231"/>
      <c r="J5" s="231"/>
      <c r="K5" s="231"/>
    </row>
    <row r="6" spans="1:11" ht="15" customHeight="1" x14ac:dyDescent="0.35">
      <c r="A6" t="s">
        <v>203</v>
      </c>
      <c r="B6" t="s">
        <v>204</v>
      </c>
      <c r="C6" s="231"/>
      <c r="D6" s="231"/>
      <c r="E6" s="231"/>
      <c r="F6" s="231"/>
      <c r="G6" s="231"/>
      <c r="H6" s="231"/>
      <c r="I6" s="231"/>
      <c r="J6" s="231"/>
      <c r="K6" s="231"/>
    </row>
    <row r="7" spans="1:11" ht="15" customHeight="1" x14ac:dyDescent="0.35">
      <c r="A7" t="s">
        <v>205</v>
      </c>
      <c r="B7" t="s">
        <v>206</v>
      </c>
      <c r="C7" s="231"/>
      <c r="D7" s="231"/>
      <c r="E7" s="231"/>
      <c r="F7" s="231"/>
      <c r="G7" s="231"/>
      <c r="H7" s="231"/>
      <c r="I7" s="231"/>
      <c r="J7" s="231"/>
      <c r="K7" s="231"/>
    </row>
    <row r="8" spans="1:11" ht="17.25" customHeight="1" x14ac:dyDescent="0.35">
      <c r="A8" s="231"/>
      <c r="B8" s="26"/>
      <c r="C8" s="26"/>
      <c r="D8" s="26"/>
      <c r="E8" s="26"/>
      <c r="F8" s="26"/>
      <c r="G8" s="26"/>
      <c r="H8" s="442"/>
      <c r="I8" s="234" t="s">
        <v>346</v>
      </c>
      <c r="J8" s="234"/>
      <c r="K8" s="234" t="s">
        <v>92</v>
      </c>
    </row>
    <row r="9" spans="1:11" ht="40.5" customHeight="1" x14ac:dyDescent="0.35">
      <c r="A9" s="2" t="s">
        <v>550</v>
      </c>
      <c r="B9" s="3" t="s">
        <v>515</v>
      </c>
      <c r="C9" s="3" t="s">
        <v>609</v>
      </c>
      <c r="D9" s="3" t="s">
        <v>611</v>
      </c>
      <c r="E9" s="209" t="s">
        <v>511</v>
      </c>
      <c r="F9" s="209" t="s">
        <v>512</v>
      </c>
      <c r="G9" s="209" t="s">
        <v>339</v>
      </c>
      <c r="H9" s="444" t="s">
        <v>612</v>
      </c>
      <c r="I9" s="424" t="s">
        <v>613</v>
      </c>
      <c r="J9" s="444" t="s">
        <v>612</v>
      </c>
      <c r="K9" s="443" t="s">
        <v>614</v>
      </c>
    </row>
    <row r="10" spans="1:11" ht="22.5" customHeight="1" x14ac:dyDescent="0.35">
      <c r="A10" s="5" t="s">
        <v>615</v>
      </c>
      <c r="B10" s="602">
        <f>geographicpivot!B4</f>
        <v>2792</v>
      </c>
      <c r="C10" s="602">
        <f>geographicpivot!C4</f>
        <v>2705</v>
      </c>
      <c r="D10" s="602">
        <f>GETPIVOTDATA("Sum of RDS Fulltime",geographicpivot!$A$3,"ReportingLevel","1:LA")</f>
        <v>0</v>
      </c>
      <c r="E10" s="602">
        <f>geographicpivot!D4</f>
        <v>0</v>
      </c>
      <c r="F10" s="602">
        <f>geographicpivot!E4</f>
        <v>0</v>
      </c>
      <c r="G10" s="602">
        <f>geographicpivot!F4</f>
        <v>273</v>
      </c>
      <c r="H10" s="279">
        <f>SUM(B10:G10)</f>
        <v>5770</v>
      </c>
      <c r="I10" s="279">
        <f>SUM(B10:F10)</f>
        <v>5497</v>
      </c>
      <c r="J10" s="288">
        <f>H10/$H$14</f>
        <v>0.76363155108523029</v>
      </c>
      <c r="K10" s="287">
        <f>I10/$I$14</f>
        <v>0.75477138541809696</v>
      </c>
    </row>
    <row r="11" spans="1:11" ht="15" customHeight="1" x14ac:dyDescent="0.35">
      <c r="A11" s="5" t="s">
        <v>616</v>
      </c>
      <c r="B11" s="602">
        <f>geographicpivot!B5</f>
        <v>279</v>
      </c>
      <c r="C11" s="602">
        <f>geographicpivot!C5</f>
        <v>0</v>
      </c>
      <c r="D11" s="602">
        <f>GETPIVOTDATA("Sum of RDS Fulltime",geographicpivot!$A$3,"ReportingLevel","2:LSO")</f>
        <v>60</v>
      </c>
      <c r="E11" s="602">
        <f>geographicpivot!D5</f>
        <v>0</v>
      </c>
      <c r="F11" s="602">
        <f>geographicpivot!E5</f>
        <v>0</v>
      </c>
      <c r="G11" s="602">
        <f>geographicpivot!F5</f>
        <v>0</v>
      </c>
      <c r="H11" s="279">
        <f>SUM(B11:G11)</f>
        <v>339</v>
      </c>
      <c r="I11" s="279">
        <f>SUM(B11:F11)</f>
        <v>339</v>
      </c>
      <c r="J11" s="288">
        <f>H11/$H$14</f>
        <v>4.486500794070937E-2</v>
      </c>
      <c r="K11" s="288">
        <f>I11/$I$14</f>
        <v>4.6546752711794592E-2</v>
      </c>
    </row>
    <row r="12" spans="1:11" ht="15" customHeight="1" x14ac:dyDescent="0.35">
      <c r="A12" s="5" t="s">
        <v>213</v>
      </c>
      <c r="B12" s="602">
        <f>geographicpivot!B6</f>
        <v>269</v>
      </c>
      <c r="C12" s="602">
        <f>geographicpivot!C6</f>
        <v>0</v>
      </c>
      <c r="D12" s="602">
        <f>GETPIVOTDATA("Sum of RDS Fulltime",geographicpivot!$A$3,"ReportingLevel","3:SDA")</f>
        <v>0</v>
      </c>
      <c r="E12" s="602">
        <f>geographicpivot!D6</f>
        <v>0</v>
      </c>
      <c r="F12" s="602">
        <f>geographicpivot!E6</f>
        <v>0</v>
      </c>
      <c r="G12" s="602">
        <f>geographicpivot!F6</f>
        <v>0</v>
      </c>
      <c r="H12" s="279">
        <f>SUM(B12:G12)</f>
        <v>269</v>
      </c>
      <c r="I12" s="279">
        <f>SUM(B12:F12)</f>
        <v>269</v>
      </c>
      <c r="J12" s="288">
        <f>H12/$H$14</f>
        <v>3.5600847008999473E-2</v>
      </c>
      <c r="K12" s="288">
        <f>I12/$I$14</f>
        <v>3.69353288480022E-2</v>
      </c>
    </row>
    <row r="13" spans="1:11" ht="15" customHeight="1" x14ac:dyDescent="0.35">
      <c r="A13" s="16" t="s">
        <v>617</v>
      </c>
      <c r="B13" s="602">
        <f>geographicpivot!B7</f>
        <v>90</v>
      </c>
      <c r="C13" s="602">
        <f>geographicpivot!C7</f>
        <v>0</v>
      </c>
      <c r="D13" s="602">
        <f>GETPIVOTDATA("Sum of RDS Fulltime",geographicpivot!$A$3,"ReportingLevel","4:National")</f>
        <v>0</v>
      </c>
      <c r="E13" s="602">
        <f>geographicpivot!D7</f>
        <v>171</v>
      </c>
      <c r="F13" s="629">
        <f>geographicpivot!E7</f>
        <v>917</v>
      </c>
      <c r="G13" s="629">
        <f>geographicpivot!F7</f>
        <v>0</v>
      </c>
      <c r="H13" s="446">
        <f>SUM(B13:G13)</f>
        <v>1178</v>
      </c>
      <c r="I13" s="446">
        <f>SUM(B13:F13)</f>
        <v>1178</v>
      </c>
      <c r="J13" s="447">
        <f>H13/$H$14</f>
        <v>0.15590259396506087</v>
      </c>
      <c r="K13" s="288">
        <f>I13/$I$14</f>
        <v>0.16174653302210629</v>
      </c>
    </row>
    <row r="14" spans="1:11" ht="30" customHeight="1" thickBot="1" x14ac:dyDescent="0.4">
      <c r="A14" s="27" t="s">
        <v>618</v>
      </c>
      <c r="B14" s="283">
        <f t="shared" ref="B14:I14" si="0">SUM(B10:B13)</f>
        <v>3430</v>
      </c>
      <c r="C14" s="283">
        <f t="shared" si="0"/>
        <v>2705</v>
      </c>
      <c r="D14" s="283">
        <f t="shared" si="0"/>
        <v>60</v>
      </c>
      <c r="E14" s="283">
        <f t="shared" si="0"/>
        <v>171</v>
      </c>
      <c r="F14" s="289">
        <f t="shared" si="0"/>
        <v>917</v>
      </c>
      <c r="G14" s="289">
        <f t="shared" si="0"/>
        <v>273</v>
      </c>
      <c r="H14" s="289">
        <f>SUM(H10:H13)</f>
        <v>7556</v>
      </c>
      <c r="I14" s="289">
        <f t="shared" si="0"/>
        <v>7283</v>
      </c>
      <c r="J14" s="445">
        <f>H14/H14</f>
        <v>1</v>
      </c>
      <c r="K14" s="28">
        <f>I14/I14</f>
        <v>1</v>
      </c>
    </row>
    <row r="15" spans="1:11" ht="15" customHeight="1" x14ac:dyDescent="0.35">
      <c r="A15" s="336"/>
    </row>
    <row r="16" spans="1:11" ht="15" customHeight="1" x14ac:dyDescent="0.35">
      <c r="A16" s="348" t="s">
        <v>329</v>
      </c>
    </row>
    <row r="17" spans="1:11" ht="15" customHeight="1" x14ac:dyDescent="0.35">
      <c r="A17" s="562" t="s">
        <v>619</v>
      </c>
    </row>
    <row r="18" spans="1:11" ht="50.5" customHeight="1" x14ac:dyDescent="0.35">
      <c r="A18" s="1027" t="s">
        <v>620</v>
      </c>
      <c r="B18" s="1027"/>
      <c r="C18" s="1027"/>
      <c r="D18" s="1027"/>
      <c r="E18" s="1027"/>
      <c r="F18" s="1027"/>
      <c r="G18" s="1027"/>
      <c r="H18" s="1027"/>
      <c r="I18" s="1027"/>
      <c r="J18" s="1027"/>
      <c r="K18" s="1027"/>
    </row>
    <row r="19" spans="1:11" ht="15" customHeight="1" x14ac:dyDescent="0.35"/>
    <row r="20" spans="1:11" ht="15" customHeight="1" x14ac:dyDescent="0.35"/>
    <row r="21" spans="1:11" ht="15" customHeight="1" x14ac:dyDescent="0.35">
      <c r="B21" s="231"/>
    </row>
    <row r="22" spans="1:11" ht="15" customHeight="1" x14ac:dyDescent="0.35"/>
    <row r="23" spans="1:11" ht="15" customHeight="1" x14ac:dyDescent="0.35"/>
    <row r="24" spans="1:11" ht="15" customHeight="1" x14ac:dyDescent="0.35"/>
    <row r="25" spans="1:11" ht="15" customHeight="1" x14ac:dyDescent="0.35"/>
    <row r="26" spans="1:11" ht="15" customHeight="1" x14ac:dyDescent="0.35">
      <c r="A26" s="29"/>
      <c r="B26" s="290"/>
      <c r="C26" s="290"/>
      <c r="D26" s="290"/>
      <c r="E26" s="290"/>
      <c r="F26" s="290"/>
      <c r="G26" s="290"/>
      <c r="H26" s="290"/>
      <c r="I26" s="290"/>
      <c r="J26" s="30"/>
      <c r="K26" s="292"/>
    </row>
    <row r="27" spans="1:11" ht="15" customHeight="1" x14ac:dyDescent="0.35"/>
    <row r="28" spans="1:11" ht="15" customHeight="1" x14ac:dyDescent="0.35"/>
    <row r="29" spans="1:11" ht="33" customHeight="1" x14ac:dyDescent="0.35"/>
    <row r="30" spans="1:11" ht="15" customHeight="1" x14ac:dyDescent="0.35"/>
    <row r="31" spans="1:11" ht="15" customHeight="1" x14ac:dyDescent="0.35"/>
    <row r="32" spans="1:11" ht="15" customHeight="1" x14ac:dyDescent="0.35"/>
    <row r="33" ht="15" customHeight="1" x14ac:dyDescent="0.35"/>
    <row r="34" ht="15" customHeight="1" x14ac:dyDescent="0.35"/>
    <row r="35" ht="15" customHeight="1" x14ac:dyDescent="0.35"/>
    <row r="36" ht="15" customHeight="1" x14ac:dyDescent="0.35"/>
    <row r="37" ht="15" customHeight="1" x14ac:dyDescent="0.35"/>
    <row r="40" ht="30" customHeight="1" x14ac:dyDescent="0.35"/>
  </sheetData>
  <sheetProtection algorithmName="SHA-512" hashValue="150kcZ5yGeMFZbg3XYyA9JcMu7JYyPrzKg3kWLzerPpkTRN8QAwDRClSCr+1lRLCDSqpgaW0zh2ODvQkqNkvUg==" saltValue="fraOgJNRzzLeO9VwpQoaPg==" spinCount="100000" sheet="1" scenarios="1" formatCells="0" sort="0" autoFilter="0" pivotTables="0"/>
  <mergeCells count="2">
    <mergeCell ref="A18:K18"/>
    <mergeCell ref="A1:I1"/>
  </mergeCells>
  <hyperlinks>
    <hyperlink ref="A2" location="'Table of Contents'!A1" display="Back to Table of Contents" xr:uid="{00000000-0004-0000-2300-000000000000}"/>
  </hyperlinks>
  <pageMargins left="0.70866141732283472" right="0.70866141732283472" top="0.74803149606299213" bottom="0.74803149606299213" header="0.31496062992125984" footer="0.31496062992125984"/>
  <pageSetup paperSize="9" scale="59" orientation="portrait" r:id="rId1"/>
  <drawing r:id="rId2"/>
  <extLst>
    <ext xmlns:x14="http://schemas.microsoft.com/office/spreadsheetml/2009/9/main" uri="{A8765BA9-456A-4dab-B4F3-ACF838C121DE}">
      <x14:slicerList>
        <x14:slicer r:id="rId3"/>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G62"/>
  <sheetViews>
    <sheetView topLeftCell="A13" zoomScale="90" zoomScaleNormal="90" workbookViewId="0">
      <selection activeCell="B27" sqref="B27"/>
    </sheetView>
  </sheetViews>
  <sheetFormatPr defaultRowHeight="14.5" x14ac:dyDescent="0.35"/>
  <cols>
    <col min="1" max="1" width="59.36328125" bestFit="1" customWidth="1"/>
    <col min="2" max="2" width="13.453125" bestFit="1" customWidth="1"/>
    <col min="3" max="3" width="14" bestFit="1" customWidth="1"/>
    <col min="4" max="4" width="17.81640625" bestFit="1" customWidth="1"/>
    <col min="5" max="5" width="26" bestFit="1" customWidth="1"/>
    <col min="6" max="6" width="15.90625" bestFit="1" customWidth="1"/>
    <col min="7" max="7" width="27.54296875" bestFit="1" customWidth="1"/>
  </cols>
  <sheetData>
    <row r="1" spans="1:7" x14ac:dyDescent="0.35">
      <c r="A1" s="387" t="s">
        <v>207</v>
      </c>
      <c r="B1" t="s">
        <v>466</v>
      </c>
    </row>
    <row r="3" spans="1:7" x14ac:dyDescent="0.35">
      <c r="A3" s="387" t="s">
        <v>350</v>
      </c>
      <c r="B3" t="s">
        <v>506</v>
      </c>
      <c r="C3" t="s">
        <v>507</v>
      </c>
      <c r="D3" t="s">
        <v>505</v>
      </c>
      <c r="E3" t="s">
        <v>504</v>
      </c>
      <c r="F3" t="s">
        <v>355</v>
      </c>
      <c r="G3" t="s">
        <v>607</v>
      </c>
    </row>
    <row r="4" spans="1:7" x14ac:dyDescent="0.35">
      <c r="A4" s="388" t="s">
        <v>536</v>
      </c>
    </row>
    <row r="5" spans="1:7" x14ac:dyDescent="0.35">
      <c r="A5" s="389" t="s">
        <v>216</v>
      </c>
      <c r="B5">
        <v>0</v>
      </c>
      <c r="C5">
        <v>0</v>
      </c>
      <c r="D5">
        <v>0</v>
      </c>
      <c r="E5">
        <v>8</v>
      </c>
      <c r="F5">
        <v>0</v>
      </c>
      <c r="G5">
        <v>157</v>
      </c>
    </row>
    <row r="6" spans="1:7" x14ac:dyDescent="0.35">
      <c r="A6" s="389" t="s">
        <v>221</v>
      </c>
      <c r="B6">
        <v>0</v>
      </c>
      <c r="C6">
        <v>0</v>
      </c>
      <c r="D6">
        <v>0</v>
      </c>
      <c r="E6">
        <v>268</v>
      </c>
      <c r="F6">
        <v>0</v>
      </c>
      <c r="G6">
        <v>31</v>
      </c>
    </row>
    <row r="7" spans="1:7" x14ac:dyDescent="0.35">
      <c r="A7" s="389" t="s">
        <v>225</v>
      </c>
      <c r="B7">
        <v>0</v>
      </c>
      <c r="C7">
        <v>0</v>
      </c>
      <c r="D7">
        <v>0</v>
      </c>
      <c r="E7">
        <v>99</v>
      </c>
      <c r="F7">
        <v>0</v>
      </c>
      <c r="G7">
        <v>26</v>
      </c>
    </row>
    <row r="8" spans="1:7" x14ac:dyDescent="0.35">
      <c r="A8" s="389" t="s">
        <v>229</v>
      </c>
      <c r="B8">
        <v>0</v>
      </c>
      <c r="C8">
        <v>0</v>
      </c>
      <c r="D8">
        <v>0</v>
      </c>
      <c r="E8">
        <v>182</v>
      </c>
      <c r="F8">
        <v>181</v>
      </c>
      <c r="G8">
        <v>53</v>
      </c>
    </row>
    <row r="9" spans="1:7" x14ac:dyDescent="0.35">
      <c r="A9" s="389" t="s">
        <v>235</v>
      </c>
      <c r="B9">
        <v>0</v>
      </c>
      <c r="C9">
        <v>0</v>
      </c>
      <c r="D9">
        <v>0</v>
      </c>
      <c r="E9">
        <v>8</v>
      </c>
      <c r="F9">
        <v>0</v>
      </c>
      <c r="G9">
        <v>288</v>
      </c>
    </row>
    <row r="10" spans="1:7" x14ac:dyDescent="0.35">
      <c r="A10" s="389" t="s">
        <v>241</v>
      </c>
      <c r="B10">
        <v>0</v>
      </c>
      <c r="C10">
        <v>0</v>
      </c>
      <c r="D10">
        <v>0</v>
      </c>
      <c r="E10">
        <v>23</v>
      </c>
      <c r="F10">
        <v>0</v>
      </c>
      <c r="G10">
        <v>26</v>
      </c>
    </row>
    <row r="11" spans="1:7" x14ac:dyDescent="0.35">
      <c r="A11" s="389" t="s">
        <v>245</v>
      </c>
      <c r="B11">
        <v>0</v>
      </c>
      <c r="C11">
        <v>0</v>
      </c>
      <c r="D11">
        <v>0</v>
      </c>
      <c r="E11">
        <v>187</v>
      </c>
      <c r="F11">
        <v>6</v>
      </c>
      <c r="G11">
        <v>52</v>
      </c>
    </row>
    <row r="12" spans="1:7" x14ac:dyDescent="0.35">
      <c r="A12" s="389" t="s">
        <v>248</v>
      </c>
      <c r="B12">
        <v>0</v>
      </c>
      <c r="C12">
        <v>0</v>
      </c>
      <c r="D12">
        <v>0</v>
      </c>
      <c r="E12">
        <v>15</v>
      </c>
      <c r="F12">
        <v>0</v>
      </c>
      <c r="G12">
        <v>162</v>
      </c>
    </row>
    <row r="13" spans="1:7" x14ac:dyDescent="0.35">
      <c r="A13" s="389" t="s">
        <v>250</v>
      </c>
      <c r="B13">
        <v>0</v>
      </c>
      <c r="C13">
        <v>0</v>
      </c>
      <c r="D13">
        <v>0</v>
      </c>
      <c r="E13">
        <v>69</v>
      </c>
      <c r="F13">
        <v>0</v>
      </c>
      <c r="G13">
        <v>55</v>
      </c>
    </row>
    <row r="14" spans="1:7" x14ac:dyDescent="0.35">
      <c r="A14" s="389" t="s">
        <v>254</v>
      </c>
      <c r="B14">
        <v>0</v>
      </c>
      <c r="C14">
        <v>0</v>
      </c>
      <c r="D14">
        <v>0</v>
      </c>
      <c r="E14">
        <v>0</v>
      </c>
      <c r="F14">
        <v>0</v>
      </c>
      <c r="G14">
        <v>75</v>
      </c>
    </row>
    <row r="15" spans="1:7" x14ac:dyDescent="0.35">
      <c r="A15" s="389" t="s">
        <v>256</v>
      </c>
      <c r="B15">
        <v>0</v>
      </c>
      <c r="C15">
        <v>0</v>
      </c>
      <c r="D15">
        <v>0</v>
      </c>
      <c r="E15">
        <v>55</v>
      </c>
      <c r="F15">
        <v>0</v>
      </c>
      <c r="G15">
        <v>26</v>
      </c>
    </row>
    <row r="16" spans="1:7" x14ac:dyDescent="0.35">
      <c r="A16" s="389" t="s">
        <v>260</v>
      </c>
      <c r="B16">
        <v>0</v>
      </c>
      <c r="C16">
        <v>0</v>
      </c>
      <c r="D16">
        <v>0</v>
      </c>
      <c r="E16">
        <v>0</v>
      </c>
      <c r="F16">
        <v>0</v>
      </c>
      <c r="G16">
        <v>52</v>
      </c>
    </row>
    <row r="17" spans="1:7" x14ac:dyDescent="0.35">
      <c r="A17" s="389" t="s">
        <v>264</v>
      </c>
      <c r="B17">
        <v>0</v>
      </c>
      <c r="C17">
        <v>0</v>
      </c>
      <c r="D17">
        <v>0</v>
      </c>
      <c r="E17">
        <v>59</v>
      </c>
      <c r="F17">
        <v>0</v>
      </c>
      <c r="G17">
        <v>83</v>
      </c>
    </row>
    <row r="18" spans="1:7" x14ac:dyDescent="0.35">
      <c r="A18" s="389" t="s">
        <v>268</v>
      </c>
      <c r="B18">
        <v>0</v>
      </c>
      <c r="C18">
        <v>0</v>
      </c>
      <c r="D18">
        <v>0</v>
      </c>
      <c r="E18">
        <v>102</v>
      </c>
      <c r="F18">
        <v>0</v>
      </c>
      <c r="G18">
        <v>211</v>
      </c>
    </row>
    <row r="19" spans="1:7" x14ac:dyDescent="0.35">
      <c r="A19" s="389" t="s">
        <v>271</v>
      </c>
      <c r="B19">
        <v>0</v>
      </c>
      <c r="C19">
        <v>0</v>
      </c>
      <c r="D19">
        <v>0</v>
      </c>
      <c r="E19">
        <v>0</v>
      </c>
      <c r="F19">
        <v>0</v>
      </c>
      <c r="G19">
        <v>448</v>
      </c>
    </row>
    <row r="20" spans="1:7" x14ac:dyDescent="0.35">
      <c r="A20" s="389" t="s">
        <v>276</v>
      </c>
      <c r="B20">
        <v>0</v>
      </c>
      <c r="C20">
        <v>0</v>
      </c>
      <c r="D20">
        <v>0</v>
      </c>
      <c r="E20">
        <v>441</v>
      </c>
      <c r="F20">
        <v>43</v>
      </c>
      <c r="G20">
        <v>73</v>
      </c>
    </row>
    <row r="21" spans="1:7" x14ac:dyDescent="0.35">
      <c r="A21" s="389" t="s">
        <v>278</v>
      </c>
      <c r="B21">
        <v>0</v>
      </c>
      <c r="C21">
        <v>0</v>
      </c>
      <c r="D21">
        <v>0</v>
      </c>
      <c r="E21">
        <v>38</v>
      </c>
      <c r="F21">
        <v>0</v>
      </c>
      <c r="G21">
        <v>64</v>
      </c>
    </row>
    <row r="22" spans="1:7" x14ac:dyDescent="0.35">
      <c r="A22" s="389" t="s">
        <v>280</v>
      </c>
      <c r="B22">
        <v>0</v>
      </c>
      <c r="C22">
        <v>0</v>
      </c>
      <c r="D22">
        <v>0</v>
      </c>
      <c r="E22">
        <v>14</v>
      </c>
      <c r="F22">
        <v>0</v>
      </c>
      <c r="G22">
        <v>29</v>
      </c>
    </row>
    <row r="23" spans="1:7" x14ac:dyDescent="0.35">
      <c r="A23" s="389" t="s">
        <v>282</v>
      </c>
      <c r="B23">
        <v>0</v>
      </c>
      <c r="C23">
        <v>0</v>
      </c>
      <c r="D23">
        <v>0</v>
      </c>
      <c r="E23">
        <v>105</v>
      </c>
      <c r="F23">
        <v>3</v>
      </c>
      <c r="G23">
        <v>30</v>
      </c>
    </row>
    <row r="24" spans="1:7" x14ac:dyDescent="0.35">
      <c r="A24" s="389" t="s">
        <v>284</v>
      </c>
      <c r="B24">
        <v>0</v>
      </c>
      <c r="C24">
        <v>0</v>
      </c>
      <c r="D24">
        <v>0</v>
      </c>
      <c r="E24">
        <v>131</v>
      </c>
      <c r="F24">
        <v>0</v>
      </c>
      <c r="G24">
        <v>3</v>
      </c>
    </row>
    <row r="25" spans="1:7" x14ac:dyDescent="0.35">
      <c r="A25" s="389" t="s">
        <v>288</v>
      </c>
      <c r="B25">
        <v>0</v>
      </c>
      <c r="C25">
        <v>0</v>
      </c>
      <c r="D25">
        <v>0</v>
      </c>
      <c r="E25">
        <v>100</v>
      </c>
      <c r="F25">
        <v>19</v>
      </c>
      <c r="G25">
        <v>72</v>
      </c>
    </row>
    <row r="26" spans="1:7" x14ac:dyDescent="0.35">
      <c r="A26" s="389" t="s">
        <v>290</v>
      </c>
      <c r="B26">
        <v>0</v>
      </c>
      <c r="C26">
        <v>0</v>
      </c>
      <c r="D26">
        <v>0</v>
      </c>
      <c r="E26">
        <v>26</v>
      </c>
      <c r="F26">
        <v>0</v>
      </c>
      <c r="G26">
        <v>163</v>
      </c>
    </row>
    <row r="27" spans="1:7" x14ac:dyDescent="0.35">
      <c r="A27" s="389" t="s">
        <v>293</v>
      </c>
      <c r="B27">
        <v>0</v>
      </c>
      <c r="C27">
        <v>0</v>
      </c>
      <c r="D27">
        <v>0</v>
      </c>
      <c r="E27">
        <v>102</v>
      </c>
      <c r="F27">
        <v>0</v>
      </c>
      <c r="G27">
        <v>0</v>
      </c>
    </row>
    <row r="28" spans="1:7" x14ac:dyDescent="0.35">
      <c r="A28" s="389" t="s">
        <v>295</v>
      </c>
      <c r="B28">
        <v>0</v>
      </c>
      <c r="C28">
        <v>0</v>
      </c>
      <c r="D28">
        <v>0</v>
      </c>
      <c r="E28">
        <v>117</v>
      </c>
      <c r="F28">
        <v>21</v>
      </c>
      <c r="G28">
        <v>59</v>
      </c>
    </row>
    <row r="29" spans="1:7" x14ac:dyDescent="0.35">
      <c r="A29" s="389" t="s">
        <v>297</v>
      </c>
      <c r="B29">
        <v>0</v>
      </c>
      <c r="C29">
        <v>0</v>
      </c>
      <c r="D29">
        <v>0</v>
      </c>
      <c r="E29">
        <v>14</v>
      </c>
      <c r="F29">
        <v>0</v>
      </c>
      <c r="G29">
        <v>102</v>
      </c>
    </row>
    <row r="30" spans="1:7" x14ac:dyDescent="0.35">
      <c r="A30" s="389" t="s">
        <v>299</v>
      </c>
      <c r="B30">
        <v>0</v>
      </c>
      <c r="C30">
        <v>0</v>
      </c>
      <c r="D30">
        <v>0</v>
      </c>
      <c r="E30">
        <v>145</v>
      </c>
      <c r="F30">
        <v>0</v>
      </c>
      <c r="G30">
        <v>58</v>
      </c>
    </row>
    <row r="31" spans="1:7" x14ac:dyDescent="0.35">
      <c r="A31" s="389" t="s">
        <v>301</v>
      </c>
      <c r="B31">
        <v>0</v>
      </c>
      <c r="C31">
        <v>0</v>
      </c>
      <c r="D31">
        <v>0</v>
      </c>
      <c r="E31">
        <v>123</v>
      </c>
      <c r="F31">
        <v>0</v>
      </c>
      <c r="G31">
        <v>0</v>
      </c>
    </row>
    <row r="32" spans="1:7" x14ac:dyDescent="0.35">
      <c r="A32" s="389" t="s">
        <v>303</v>
      </c>
      <c r="B32">
        <v>0</v>
      </c>
      <c r="C32">
        <v>0</v>
      </c>
      <c r="D32">
        <v>0</v>
      </c>
      <c r="E32">
        <v>43</v>
      </c>
      <c r="F32">
        <v>0</v>
      </c>
      <c r="G32">
        <v>53</v>
      </c>
    </row>
    <row r="33" spans="1:7" x14ac:dyDescent="0.35">
      <c r="A33" s="389" t="s">
        <v>305</v>
      </c>
      <c r="B33">
        <v>0</v>
      </c>
      <c r="C33">
        <v>0</v>
      </c>
      <c r="D33">
        <v>0</v>
      </c>
      <c r="E33">
        <v>74</v>
      </c>
      <c r="F33">
        <v>0</v>
      </c>
      <c r="G33">
        <v>155</v>
      </c>
    </row>
    <row r="34" spans="1:7" x14ac:dyDescent="0.35">
      <c r="A34" s="389" t="s">
        <v>308</v>
      </c>
      <c r="B34">
        <v>0</v>
      </c>
      <c r="C34">
        <v>0</v>
      </c>
      <c r="D34">
        <v>0</v>
      </c>
      <c r="E34">
        <v>72</v>
      </c>
      <c r="F34">
        <v>0</v>
      </c>
      <c r="G34">
        <v>47</v>
      </c>
    </row>
    <row r="35" spans="1:7" x14ac:dyDescent="0.35">
      <c r="A35" s="389" t="s">
        <v>310</v>
      </c>
      <c r="B35">
        <v>0</v>
      </c>
      <c r="C35">
        <v>0</v>
      </c>
      <c r="D35">
        <v>0</v>
      </c>
      <c r="E35">
        <v>24</v>
      </c>
      <c r="F35">
        <v>0</v>
      </c>
      <c r="G35">
        <v>75</v>
      </c>
    </row>
    <row r="36" spans="1:7" x14ac:dyDescent="0.35">
      <c r="A36" s="389" t="s">
        <v>312</v>
      </c>
      <c r="B36">
        <v>0</v>
      </c>
      <c r="C36">
        <v>0</v>
      </c>
      <c r="D36">
        <v>0</v>
      </c>
      <c r="E36">
        <v>61</v>
      </c>
      <c r="F36">
        <v>0</v>
      </c>
      <c r="G36">
        <v>64</v>
      </c>
    </row>
    <row r="37" spans="1:7" x14ac:dyDescent="0.35">
      <c r="A37" s="388" t="s">
        <v>538</v>
      </c>
      <c r="B37">
        <v>0</v>
      </c>
      <c r="C37">
        <v>0</v>
      </c>
      <c r="D37">
        <v>0</v>
      </c>
      <c r="E37">
        <v>2705</v>
      </c>
      <c r="F37">
        <v>273</v>
      </c>
      <c r="G37">
        <v>2792</v>
      </c>
    </row>
    <row r="38" spans="1:7" x14ac:dyDescent="0.35">
      <c r="A38" s="388" t="s">
        <v>539</v>
      </c>
    </row>
    <row r="39" spans="1:7" x14ac:dyDescent="0.35">
      <c r="A39" s="389" t="s">
        <v>231</v>
      </c>
      <c r="B39">
        <v>0</v>
      </c>
      <c r="C39">
        <v>0</v>
      </c>
      <c r="D39">
        <v>6</v>
      </c>
      <c r="E39">
        <v>0</v>
      </c>
      <c r="F39">
        <v>0</v>
      </c>
      <c r="G39">
        <v>20</v>
      </c>
    </row>
    <row r="40" spans="1:7" x14ac:dyDescent="0.35">
      <c r="A40" s="389" t="s">
        <v>245</v>
      </c>
      <c r="B40">
        <v>0</v>
      </c>
      <c r="C40">
        <v>0</v>
      </c>
      <c r="D40">
        <v>4</v>
      </c>
      <c r="E40">
        <v>0</v>
      </c>
      <c r="F40">
        <v>0</v>
      </c>
      <c r="G40">
        <v>16</v>
      </c>
    </row>
    <row r="41" spans="1:7" x14ac:dyDescent="0.35">
      <c r="A41" s="389" t="s">
        <v>227</v>
      </c>
      <c r="B41">
        <v>0</v>
      </c>
      <c r="C41">
        <v>0</v>
      </c>
      <c r="D41">
        <v>3</v>
      </c>
      <c r="E41">
        <v>0</v>
      </c>
      <c r="F41">
        <v>0</v>
      </c>
      <c r="G41">
        <v>25</v>
      </c>
    </row>
    <row r="42" spans="1:7" x14ac:dyDescent="0.35">
      <c r="A42" s="389" t="s">
        <v>252</v>
      </c>
      <c r="B42">
        <v>0</v>
      </c>
      <c r="C42">
        <v>0</v>
      </c>
      <c r="D42">
        <v>4</v>
      </c>
      <c r="E42">
        <v>0</v>
      </c>
      <c r="F42">
        <v>0</v>
      </c>
      <c r="G42">
        <v>18</v>
      </c>
    </row>
    <row r="43" spans="1:7" x14ac:dyDescent="0.35">
      <c r="A43" s="389" t="s">
        <v>258</v>
      </c>
      <c r="B43">
        <v>0</v>
      </c>
      <c r="C43">
        <v>0</v>
      </c>
      <c r="D43">
        <v>4</v>
      </c>
      <c r="E43">
        <v>0</v>
      </c>
      <c r="F43">
        <v>0</v>
      </c>
      <c r="G43">
        <v>20</v>
      </c>
    </row>
    <row r="44" spans="1:7" x14ac:dyDescent="0.35">
      <c r="A44" s="389" t="s">
        <v>262</v>
      </c>
      <c r="B44">
        <v>0</v>
      </c>
      <c r="C44">
        <v>0</v>
      </c>
      <c r="D44">
        <v>0</v>
      </c>
      <c r="E44">
        <v>0</v>
      </c>
      <c r="F44">
        <v>0</v>
      </c>
      <c r="G44">
        <v>15</v>
      </c>
    </row>
    <row r="45" spans="1:7" x14ac:dyDescent="0.35">
      <c r="A45" s="389" t="s">
        <v>237</v>
      </c>
      <c r="B45">
        <v>0</v>
      </c>
      <c r="C45">
        <v>0</v>
      </c>
      <c r="D45">
        <v>0</v>
      </c>
      <c r="E45">
        <v>0</v>
      </c>
      <c r="F45">
        <v>0</v>
      </c>
      <c r="G45">
        <v>25</v>
      </c>
    </row>
    <row r="46" spans="1:7" x14ac:dyDescent="0.35">
      <c r="A46" s="389" t="s">
        <v>266</v>
      </c>
      <c r="B46">
        <v>0</v>
      </c>
      <c r="C46">
        <v>0</v>
      </c>
      <c r="D46">
        <v>2</v>
      </c>
      <c r="E46">
        <v>0</v>
      </c>
      <c r="F46">
        <v>0</v>
      </c>
      <c r="G46">
        <v>15</v>
      </c>
    </row>
    <row r="47" spans="1:7" x14ac:dyDescent="0.35">
      <c r="A47" s="389" t="s">
        <v>271</v>
      </c>
      <c r="B47">
        <v>0</v>
      </c>
      <c r="C47">
        <v>0</v>
      </c>
      <c r="D47">
        <v>0</v>
      </c>
      <c r="E47">
        <v>0</v>
      </c>
      <c r="F47">
        <v>0</v>
      </c>
      <c r="G47">
        <v>20</v>
      </c>
    </row>
    <row r="48" spans="1:7" x14ac:dyDescent="0.35">
      <c r="A48" s="389" t="s">
        <v>276</v>
      </c>
      <c r="B48">
        <v>0</v>
      </c>
      <c r="C48">
        <v>0</v>
      </c>
      <c r="D48">
        <v>14</v>
      </c>
      <c r="E48">
        <v>0</v>
      </c>
      <c r="F48">
        <v>0</v>
      </c>
      <c r="G48">
        <v>25</v>
      </c>
    </row>
    <row r="49" spans="1:7" x14ac:dyDescent="0.35">
      <c r="A49" s="389" t="s">
        <v>314</v>
      </c>
      <c r="B49">
        <v>0</v>
      </c>
      <c r="C49">
        <v>0</v>
      </c>
      <c r="D49">
        <v>3</v>
      </c>
      <c r="E49">
        <v>0</v>
      </c>
      <c r="F49">
        <v>0</v>
      </c>
      <c r="G49">
        <v>26</v>
      </c>
    </row>
    <row r="50" spans="1:7" x14ac:dyDescent="0.35">
      <c r="A50" s="389" t="s">
        <v>286</v>
      </c>
      <c r="B50">
        <v>0</v>
      </c>
      <c r="C50">
        <v>0</v>
      </c>
      <c r="D50">
        <v>9</v>
      </c>
      <c r="E50">
        <v>0</v>
      </c>
      <c r="F50">
        <v>0</v>
      </c>
      <c r="G50">
        <v>11</v>
      </c>
    </row>
    <row r="51" spans="1:7" x14ac:dyDescent="0.35">
      <c r="A51" s="389" t="s">
        <v>323</v>
      </c>
      <c r="B51">
        <v>0</v>
      </c>
      <c r="C51">
        <v>0</v>
      </c>
      <c r="D51">
        <v>9</v>
      </c>
      <c r="E51">
        <v>0</v>
      </c>
      <c r="F51">
        <v>0</v>
      </c>
      <c r="G51">
        <v>20</v>
      </c>
    </row>
    <row r="52" spans="1:7" x14ac:dyDescent="0.35">
      <c r="A52" s="389" t="s">
        <v>325</v>
      </c>
      <c r="B52">
        <v>0</v>
      </c>
      <c r="C52">
        <v>0</v>
      </c>
      <c r="D52">
        <v>2</v>
      </c>
      <c r="E52">
        <v>0</v>
      </c>
      <c r="F52">
        <v>0</v>
      </c>
      <c r="G52">
        <v>23</v>
      </c>
    </row>
    <row r="53" spans="1:7" x14ac:dyDescent="0.35">
      <c r="A53" s="388" t="s">
        <v>540</v>
      </c>
      <c r="B53">
        <v>0</v>
      </c>
      <c r="C53">
        <v>0</v>
      </c>
      <c r="D53">
        <v>60</v>
      </c>
      <c r="E53">
        <v>0</v>
      </c>
      <c r="F53">
        <v>0</v>
      </c>
      <c r="G53">
        <v>279</v>
      </c>
    </row>
    <row r="54" spans="1:7" x14ac:dyDescent="0.35">
      <c r="A54" s="388" t="s">
        <v>541</v>
      </c>
    </row>
    <row r="55" spans="1:7" x14ac:dyDescent="0.35">
      <c r="A55" s="389" t="s">
        <v>239</v>
      </c>
      <c r="B55">
        <v>0</v>
      </c>
      <c r="C55">
        <v>0</v>
      </c>
      <c r="D55">
        <v>0</v>
      </c>
      <c r="E55">
        <v>0</v>
      </c>
      <c r="F55">
        <v>0</v>
      </c>
      <c r="G55">
        <v>73</v>
      </c>
    </row>
    <row r="56" spans="1:7" x14ac:dyDescent="0.35">
      <c r="A56" s="389" t="s">
        <v>219</v>
      </c>
      <c r="B56">
        <v>0</v>
      </c>
      <c r="C56">
        <v>0</v>
      </c>
      <c r="D56">
        <v>0</v>
      </c>
      <c r="E56">
        <v>0</v>
      </c>
      <c r="F56">
        <v>0</v>
      </c>
      <c r="G56">
        <v>64</v>
      </c>
    </row>
    <row r="57" spans="1:7" x14ac:dyDescent="0.35">
      <c r="A57" s="389" t="s">
        <v>233</v>
      </c>
      <c r="B57">
        <v>0</v>
      </c>
      <c r="C57">
        <v>0</v>
      </c>
      <c r="D57">
        <v>0</v>
      </c>
      <c r="E57">
        <v>0</v>
      </c>
      <c r="F57">
        <v>0</v>
      </c>
      <c r="G57">
        <v>132</v>
      </c>
    </row>
    <row r="58" spans="1:7" x14ac:dyDescent="0.35">
      <c r="A58" s="388" t="s">
        <v>542</v>
      </c>
      <c r="B58">
        <v>0</v>
      </c>
      <c r="C58">
        <v>0</v>
      </c>
      <c r="D58">
        <v>0</v>
      </c>
      <c r="E58">
        <v>0</v>
      </c>
      <c r="F58">
        <v>0</v>
      </c>
      <c r="G58">
        <v>269</v>
      </c>
    </row>
    <row r="59" spans="1:7" x14ac:dyDescent="0.35">
      <c r="A59" s="388" t="s">
        <v>543</v>
      </c>
    </row>
    <row r="60" spans="1:7" x14ac:dyDescent="0.35">
      <c r="A60" s="389" t="s">
        <v>544</v>
      </c>
      <c r="B60">
        <v>171</v>
      </c>
      <c r="C60">
        <v>917</v>
      </c>
      <c r="D60">
        <v>0</v>
      </c>
      <c r="E60">
        <v>0</v>
      </c>
      <c r="F60">
        <v>0</v>
      </c>
      <c r="G60">
        <v>90</v>
      </c>
    </row>
    <row r="61" spans="1:7" x14ac:dyDescent="0.35">
      <c r="A61" s="388" t="s">
        <v>545</v>
      </c>
      <c r="B61">
        <v>171</v>
      </c>
      <c r="C61">
        <v>917</v>
      </c>
      <c r="D61">
        <v>0</v>
      </c>
      <c r="E61">
        <v>0</v>
      </c>
      <c r="F61">
        <v>0</v>
      </c>
      <c r="G61">
        <v>90</v>
      </c>
    </row>
    <row r="62" spans="1:7" x14ac:dyDescent="0.35">
      <c r="A62" s="388" t="s">
        <v>357</v>
      </c>
      <c r="B62">
        <v>171</v>
      </c>
      <c r="C62">
        <v>917</v>
      </c>
      <c r="D62">
        <v>60</v>
      </c>
      <c r="E62">
        <v>2705</v>
      </c>
      <c r="F62">
        <v>273</v>
      </c>
      <c r="G62">
        <v>3430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K631"/>
  <sheetViews>
    <sheetView zoomScale="60" zoomScaleNormal="60" workbookViewId="0">
      <selection activeCell="C632" sqref="C632"/>
    </sheetView>
  </sheetViews>
  <sheetFormatPr defaultRowHeight="14.5" x14ac:dyDescent="0.35"/>
  <cols>
    <col min="1" max="1" width="11" bestFit="1" customWidth="1"/>
    <col min="2" max="2" width="23.54296875" bestFit="1" customWidth="1"/>
    <col min="3" max="3" width="62.1796875" bestFit="1" customWidth="1"/>
    <col min="4" max="5" width="12" bestFit="1" customWidth="1"/>
    <col min="6" max="6" width="14.7265625" bestFit="1" customWidth="1"/>
    <col min="7" max="7" width="21.26953125" bestFit="1" customWidth="1"/>
    <col min="8" max="8" width="31.7265625" bestFit="1" customWidth="1"/>
    <col min="9" max="9" width="14.81640625" bestFit="1" customWidth="1"/>
    <col min="10" max="10" width="16.90625" bestFit="1" customWidth="1"/>
    <col min="11" max="11" width="32.54296875" bestFit="1" customWidth="1"/>
    <col min="12" max="12" width="12.81640625" bestFit="1" customWidth="1"/>
    <col min="13" max="13" width="9.81640625" bestFit="1" customWidth="1"/>
    <col min="14" max="15" width="5.81640625" bestFit="1" customWidth="1"/>
  </cols>
  <sheetData>
    <row r="1" spans="1:11" x14ac:dyDescent="0.35">
      <c r="A1" t="s">
        <v>207</v>
      </c>
      <c r="B1" t="s">
        <v>546</v>
      </c>
      <c r="C1" t="s">
        <v>547</v>
      </c>
      <c r="D1" t="s">
        <v>23</v>
      </c>
      <c r="E1" t="s">
        <v>340</v>
      </c>
      <c r="F1" t="s">
        <v>511</v>
      </c>
      <c r="G1" t="s">
        <v>510</v>
      </c>
      <c r="H1" t="s">
        <v>361</v>
      </c>
      <c r="I1" t="s">
        <v>512</v>
      </c>
      <c r="J1" t="s">
        <v>339</v>
      </c>
      <c r="K1" t="s">
        <v>515</v>
      </c>
    </row>
    <row r="2" spans="1:11" hidden="1" x14ac:dyDescent="0.35">
      <c r="A2" t="s">
        <v>326</v>
      </c>
      <c r="B2" t="s">
        <v>536</v>
      </c>
      <c r="C2" t="s">
        <v>221</v>
      </c>
      <c r="E2">
        <v>306</v>
      </c>
      <c r="F2">
        <v>0</v>
      </c>
      <c r="G2">
        <v>0</v>
      </c>
      <c r="H2">
        <v>278</v>
      </c>
      <c r="I2">
        <v>0</v>
      </c>
      <c r="J2">
        <v>0</v>
      </c>
      <c r="K2">
        <v>28</v>
      </c>
    </row>
    <row r="3" spans="1:11" hidden="1" x14ac:dyDescent="0.35">
      <c r="A3" t="s">
        <v>321</v>
      </c>
      <c r="B3" t="s">
        <v>536</v>
      </c>
      <c r="C3" t="s">
        <v>271</v>
      </c>
      <c r="E3">
        <v>493</v>
      </c>
      <c r="F3">
        <v>0</v>
      </c>
      <c r="G3">
        <v>0</v>
      </c>
      <c r="H3">
        <v>0</v>
      </c>
      <c r="I3">
        <v>0</v>
      </c>
      <c r="J3">
        <v>0</v>
      </c>
      <c r="K3">
        <v>493</v>
      </c>
    </row>
    <row r="4" spans="1:11" hidden="1" x14ac:dyDescent="0.35">
      <c r="A4" t="s">
        <v>327</v>
      </c>
      <c r="B4" t="s">
        <v>539</v>
      </c>
      <c r="C4" t="s">
        <v>266</v>
      </c>
      <c r="E4">
        <v>19</v>
      </c>
      <c r="F4">
        <v>0</v>
      </c>
      <c r="G4">
        <v>2</v>
      </c>
      <c r="H4">
        <v>0</v>
      </c>
      <c r="I4">
        <v>0</v>
      </c>
      <c r="J4">
        <v>0</v>
      </c>
      <c r="K4">
        <v>19</v>
      </c>
    </row>
    <row r="5" spans="1:11" hidden="1" x14ac:dyDescent="0.35">
      <c r="A5" t="s">
        <v>326</v>
      </c>
      <c r="B5" t="s">
        <v>536</v>
      </c>
      <c r="C5" t="s">
        <v>229</v>
      </c>
      <c r="E5">
        <v>389</v>
      </c>
      <c r="F5">
        <v>0</v>
      </c>
      <c r="G5">
        <v>0</v>
      </c>
      <c r="H5">
        <v>167</v>
      </c>
      <c r="I5">
        <v>0</v>
      </c>
      <c r="J5">
        <v>172</v>
      </c>
      <c r="K5">
        <v>50</v>
      </c>
    </row>
    <row r="6" spans="1:11" hidden="1" x14ac:dyDescent="0.35">
      <c r="A6" t="s">
        <v>466</v>
      </c>
      <c r="B6" t="s">
        <v>539</v>
      </c>
      <c r="C6" t="s">
        <v>325</v>
      </c>
      <c r="E6">
        <v>23</v>
      </c>
      <c r="F6">
        <v>0</v>
      </c>
      <c r="G6">
        <v>2</v>
      </c>
      <c r="H6">
        <v>0</v>
      </c>
      <c r="I6">
        <v>0</v>
      </c>
      <c r="J6">
        <v>0</v>
      </c>
      <c r="K6">
        <v>23</v>
      </c>
    </row>
    <row r="7" spans="1:11" hidden="1" x14ac:dyDescent="0.35">
      <c r="A7" t="s">
        <v>319</v>
      </c>
      <c r="B7" t="s">
        <v>536</v>
      </c>
      <c r="C7" t="s">
        <v>235</v>
      </c>
      <c r="D7" t="s">
        <v>238</v>
      </c>
      <c r="E7">
        <v>308</v>
      </c>
      <c r="F7">
        <v>0</v>
      </c>
      <c r="G7">
        <v>0</v>
      </c>
      <c r="H7">
        <v>8</v>
      </c>
      <c r="I7">
        <v>0</v>
      </c>
      <c r="J7">
        <v>0</v>
      </c>
      <c r="K7">
        <v>300</v>
      </c>
    </row>
    <row r="8" spans="1:11" hidden="1" x14ac:dyDescent="0.35">
      <c r="A8" t="s">
        <v>313</v>
      </c>
      <c r="B8" t="s">
        <v>536</v>
      </c>
      <c r="C8" t="s">
        <v>225</v>
      </c>
      <c r="D8" t="s">
        <v>218</v>
      </c>
      <c r="E8">
        <v>130</v>
      </c>
      <c r="F8">
        <v>0</v>
      </c>
      <c r="G8">
        <v>0</v>
      </c>
      <c r="H8">
        <v>103</v>
      </c>
      <c r="I8">
        <v>0</v>
      </c>
      <c r="J8">
        <v>0</v>
      </c>
      <c r="K8">
        <v>27</v>
      </c>
    </row>
    <row r="9" spans="1:11" hidden="1" x14ac:dyDescent="0.35">
      <c r="A9" t="s">
        <v>327</v>
      </c>
      <c r="B9" t="s">
        <v>543</v>
      </c>
      <c r="C9" t="s">
        <v>544</v>
      </c>
      <c r="D9" t="s">
        <v>548</v>
      </c>
      <c r="E9">
        <v>1142</v>
      </c>
      <c r="F9">
        <v>171</v>
      </c>
      <c r="G9">
        <v>0</v>
      </c>
      <c r="H9">
        <v>0</v>
      </c>
      <c r="I9">
        <v>887</v>
      </c>
      <c r="J9">
        <v>0</v>
      </c>
      <c r="K9">
        <v>84</v>
      </c>
    </row>
    <row r="10" spans="1:11" hidden="1" x14ac:dyDescent="0.35">
      <c r="A10" t="s">
        <v>466</v>
      </c>
      <c r="B10" t="s">
        <v>536</v>
      </c>
      <c r="C10" t="s">
        <v>297</v>
      </c>
      <c r="E10">
        <v>116</v>
      </c>
      <c r="F10">
        <v>0</v>
      </c>
      <c r="G10">
        <v>0</v>
      </c>
      <c r="H10">
        <v>14</v>
      </c>
      <c r="I10">
        <v>0</v>
      </c>
      <c r="J10">
        <v>0</v>
      </c>
      <c r="K10">
        <v>102</v>
      </c>
    </row>
    <row r="11" spans="1:11" hidden="1" x14ac:dyDescent="0.35">
      <c r="A11" t="s">
        <v>466</v>
      </c>
      <c r="B11" t="s">
        <v>536</v>
      </c>
      <c r="C11" t="s">
        <v>268</v>
      </c>
      <c r="E11">
        <v>313</v>
      </c>
      <c r="F11">
        <v>0</v>
      </c>
      <c r="G11">
        <v>0</v>
      </c>
      <c r="H11">
        <v>102</v>
      </c>
      <c r="I11">
        <v>0</v>
      </c>
      <c r="J11">
        <v>0</v>
      </c>
      <c r="K11">
        <v>211</v>
      </c>
    </row>
    <row r="12" spans="1:11" hidden="1" x14ac:dyDescent="0.35">
      <c r="A12" t="s">
        <v>214</v>
      </c>
      <c r="B12" t="s">
        <v>536</v>
      </c>
      <c r="C12" t="s">
        <v>216</v>
      </c>
      <c r="D12" t="s">
        <v>215</v>
      </c>
      <c r="E12">
        <v>163</v>
      </c>
      <c r="F12">
        <v>0</v>
      </c>
      <c r="G12">
        <v>0</v>
      </c>
      <c r="H12">
        <v>9</v>
      </c>
      <c r="I12">
        <v>0</v>
      </c>
      <c r="J12">
        <v>0</v>
      </c>
      <c r="K12">
        <v>154</v>
      </c>
    </row>
    <row r="13" spans="1:11" hidden="1" x14ac:dyDescent="0.35">
      <c r="A13" t="s">
        <v>321</v>
      </c>
      <c r="B13" t="s">
        <v>536</v>
      </c>
      <c r="C13" t="s">
        <v>308</v>
      </c>
      <c r="E13">
        <v>118</v>
      </c>
      <c r="F13">
        <v>0</v>
      </c>
      <c r="G13">
        <v>0</v>
      </c>
      <c r="H13">
        <v>69</v>
      </c>
      <c r="I13">
        <v>0</v>
      </c>
      <c r="J13">
        <v>0</v>
      </c>
      <c r="K13">
        <v>49</v>
      </c>
    </row>
    <row r="14" spans="1:11" hidden="1" x14ac:dyDescent="0.35">
      <c r="A14" t="s">
        <v>214</v>
      </c>
      <c r="B14" t="s">
        <v>536</v>
      </c>
      <c r="C14" t="s">
        <v>290</v>
      </c>
      <c r="D14" t="s">
        <v>289</v>
      </c>
      <c r="E14">
        <v>201</v>
      </c>
      <c r="F14">
        <v>0</v>
      </c>
      <c r="G14">
        <v>0</v>
      </c>
      <c r="H14">
        <v>35</v>
      </c>
      <c r="I14">
        <v>0</v>
      </c>
      <c r="J14">
        <v>0</v>
      </c>
      <c r="K14">
        <v>166</v>
      </c>
    </row>
    <row r="15" spans="1:11" hidden="1" x14ac:dyDescent="0.35">
      <c r="A15" t="s">
        <v>313</v>
      </c>
      <c r="B15" t="s">
        <v>536</v>
      </c>
      <c r="C15" t="s">
        <v>305</v>
      </c>
      <c r="D15" t="s">
        <v>232</v>
      </c>
      <c r="E15">
        <v>256</v>
      </c>
      <c r="F15">
        <v>0</v>
      </c>
      <c r="G15">
        <v>0</v>
      </c>
      <c r="H15">
        <v>86</v>
      </c>
      <c r="I15">
        <v>0</v>
      </c>
      <c r="J15">
        <v>2</v>
      </c>
      <c r="K15">
        <v>168</v>
      </c>
    </row>
    <row r="16" spans="1:11" hidden="1" x14ac:dyDescent="0.35">
      <c r="A16" t="s">
        <v>327</v>
      </c>
      <c r="B16" t="s">
        <v>539</v>
      </c>
      <c r="C16" t="s">
        <v>286</v>
      </c>
      <c r="E16">
        <v>1</v>
      </c>
      <c r="F16">
        <v>0</v>
      </c>
      <c r="G16">
        <v>7</v>
      </c>
      <c r="H16">
        <v>0</v>
      </c>
      <c r="I16">
        <v>0</v>
      </c>
      <c r="J16">
        <v>0</v>
      </c>
      <c r="K16">
        <v>1</v>
      </c>
    </row>
    <row r="17" spans="1:11" hidden="1" x14ac:dyDescent="0.35">
      <c r="A17" t="s">
        <v>319</v>
      </c>
      <c r="B17" t="s">
        <v>539</v>
      </c>
      <c r="C17" t="s">
        <v>271</v>
      </c>
      <c r="D17" t="s">
        <v>232</v>
      </c>
      <c r="E17">
        <v>26</v>
      </c>
      <c r="F17">
        <v>0</v>
      </c>
      <c r="G17">
        <v>0</v>
      </c>
      <c r="H17">
        <v>0</v>
      </c>
      <c r="I17">
        <v>0</v>
      </c>
      <c r="J17">
        <v>0</v>
      </c>
      <c r="K17">
        <v>26</v>
      </c>
    </row>
    <row r="18" spans="1:11" hidden="1" x14ac:dyDescent="0.35">
      <c r="A18" t="s">
        <v>319</v>
      </c>
      <c r="B18" t="s">
        <v>536</v>
      </c>
      <c r="C18" t="s">
        <v>276</v>
      </c>
      <c r="D18" t="s">
        <v>218</v>
      </c>
      <c r="E18">
        <v>622</v>
      </c>
      <c r="F18">
        <v>0</v>
      </c>
      <c r="G18">
        <v>0</v>
      </c>
      <c r="H18">
        <v>500</v>
      </c>
      <c r="I18">
        <v>0</v>
      </c>
      <c r="J18">
        <v>48</v>
      </c>
      <c r="K18">
        <v>74</v>
      </c>
    </row>
    <row r="19" spans="1:11" hidden="1" x14ac:dyDescent="0.35">
      <c r="A19" t="s">
        <v>466</v>
      </c>
      <c r="B19" t="s">
        <v>536</v>
      </c>
      <c r="C19" t="s">
        <v>216</v>
      </c>
      <c r="E19">
        <v>165</v>
      </c>
      <c r="F19">
        <v>0</v>
      </c>
      <c r="G19">
        <v>0</v>
      </c>
      <c r="H19">
        <v>8</v>
      </c>
      <c r="I19">
        <v>0</v>
      </c>
      <c r="J19">
        <v>0</v>
      </c>
      <c r="K19">
        <v>157</v>
      </c>
    </row>
    <row r="20" spans="1:11" hidden="1" x14ac:dyDescent="0.35">
      <c r="A20" t="s">
        <v>327</v>
      </c>
      <c r="B20" t="s">
        <v>536</v>
      </c>
      <c r="C20" t="s">
        <v>305</v>
      </c>
      <c r="E20">
        <v>234</v>
      </c>
      <c r="F20">
        <v>0</v>
      </c>
      <c r="G20">
        <v>0</v>
      </c>
      <c r="H20">
        <v>73</v>
      </c>
      <c r="I20">
        <v>0</v>
      </c>
      <c r="J20">
        <v>0</v>
      </c>
      <c r="K20">
        <v>161</v>
      </c>
    </row>
    <row r="21" spans="1:11" hidden="1" x14ac:dyDescent="0.35">
      <c r="A21" t="s">
        <v>327</v>
      </c>
      <c r="B21" t="s">
        <v>536</v>
      </c>
      <c r="C21" t="s">
        <v>229</v>
      </c>
      <c r="E21">
        <v>400</v>
      </c>
      <c r="F21">
        <v>0</v>
      </c>
      <c r="G21">
        <v>0</v>
      </c>
      <c r="H21">
        <v>173</v>
      </c>
      <c r="I21">
        <v>0</v>
      </c>
      <c r="J21">
        <v>172</v>
      </c>
      <c r="K21">
        <v>55</v>
      </c>
    </row>
    <row r="22" spans="1:11" hidden="1" x14ac:dyDescent="0.35">
      <c r="A22" t="s">
        <v>319</v>
      </c>
      <c r="B22" t="s">
        <v>536</v>
      </c>
      <c r="C22" t="s">
        <v>288</v>
      </c>
      <c r="D22" t="s">
        <v>232</v>
      </c>
      <c r="E22">
        <v>197</v>
      </c>
      <c r="F22">
        <v>0</v>
      </c>
      <c r="G22">
        <v>0</v>
      </c>
      <c r="H22">
        <v>100</v>
      </c>
      <c r="I22">
        <v>0</v>
      </c>
      <c r="J22">
        <v>22</v>
      </c>
      <c r="K22">
        <v>75</v>
      </c>
    </row>
    <row r="23" spans="1:11" x14ac:dyDescent="0.35">
      <c r="A23" t="s">
        <v>214</v>
      </c>
      <c r="B23" t="s">
        <v>539</v>
      </c>
      <c r="C23" t="s">
        <v>290</v>
      </c>
      <c r="D23" t="s">
        <v>291</v>
      </c>
      <c r="E23">
        <v>17</v>
      </c>
      <c r="F23">
        <v>0</v>
      </c>
      <c r="G23">
        <v>0</v>
      </c>
      <c r="H23">
        <v>0</v>
      </c>
      <c r="I23">
        <v>0</v>
      </c>
      <c r="J23">
        <v>0</v>
      </c>
      <c r="K23">
        <v>17</v>
      </c>
    </row>
    <row r="24" spans="1:11" hidden="1" x14ac:dyDescent="0.35">
      <c r="A24" t="s">
        <v>321</v>
      </c>
      <c r="B24" t="s">
        <v>536</v>
      </c>
      <c r="C24" t="s">
        <v>310</v>
      </c>
      <c r="E24">
        <v>90</v>
      </c>
      <c r="F24">
        <v>0</v>
      </c>
      <c r="G24">
        <v>0</v>
      </c>
      <c r="H24">
        <v>21</v>
      </c>
      <c r="I24">
        <v>0</v>
      </c>
      <c r="J24">
        <v>0</v>
      </c>
      <c r="K24">
        <v>69</v>
      </c>
    </row>
    <row r="25" spans="1:11" x14ac:dyDescent="0.35">
      <c r="A25" t="s">
        <v>214</v>
      </c>
      <c r="B25" t="s">
        <v>539</v>
      </c>
      <c r="C25" t="s">
        <v>237</v>
      </c>
      <c r="D25" t="s">
        <v>236</v>
      </c>
      <c r="E25">
        <v>30</v>
      </c>
      <c r="F25">
        <v>0</v>
      </c>
      <c r="G25">
        <v>0</v>
      </c>
      <c r="H25">
        <v>0</v>
      </c>
      <c r="I25">
        <v>0</v>
      </c>
      <c r="J25">
        <v>0</v>
      </c>
      <c r="K25">
        <v>30</v>
      </c>
    </row>
    <row r="26" spans="1:11" hidden="1" x14ac:dyDescent="0.35">
      <c r="A26" t="s">
        <v>319</v>
      </c>
      <c r="B26" t="s">
        <v>536</v>
      </c>
      <c r="C26" t="s">
        <v>254</v>
      </c>
      <c r="D26" t="s">
        <v>232</v>
      </c>
      <c r="E26">
        <v>76</v>
      </c>
      <c r="F26">
        <v>0</v>
      </c>
      <c r="G26">
        <v>0</v>
      </c>
      <c r="H26">
        <v>0</v>
      </c>
      <c r="I26">
        <v>0</v>
      </c>
      <c r="J26">
        <v>0</v>
      </c>
      <c r="K26">
        <v>76</v>
      </c>
    </row>
    <row r="27" spans="1:11" hidden="1" x14ac:dyDescent="0.35">
      <c r="A27" t="s">
        <v>327</v>
      </c>
      <c r="B27" t="s">
        <v>536</v>
      </c>
      <c r="C27" t="s">
        <v>280</v>
      </c>
      <c r="E27">
        <v>42</v>
      </c>
      <c r="F27">
        <v>0</v>
      </c>
      <c r="G27">
        <v>0</v>
      </c>
      <c r="H27">
        <v>13</v>
      </c>
      <c r="I27">
        <v>0</v>
      </c>
      <c r="J27">
        <v>0</v>
      </c>
      <c r="K27">
        <v>29</v>
      </c>
    </row>
    <row r="28" spans="1:11" hidden="1" x14ac:dyDescent="0.35">
      <c r="A28" t="s">
        <v>326</v>
      </c>
      <c r="B28" t="s">
        <v>536</v>
      </c>
      <c r="C28" t="s">
        <v>235</v>
      </c>
      <c r="E28">
        <v>292</v>
      </c>
      <c r="F28">
        <v>0</v>
      </c>
      <c r="G28">
        <v>0</v>
      </c>
      <c r="H28">
        <v>9</v>
      </c>
      <c r="I28">
        <v>0</v>
      </c>
      <c r="J28">
        <v>0</v>
      </c>
      <c r="K28">
        <v>283</v>
      </c>
    </row>
    <row r="29" spans="1:11" hidden="1" x14ac:dyDescent="0.35">
      <c r="A29" t="s">
        <v>327</v>
      </c>
      <c r="B29" t="s">
        <v>539</v>
      </c>
      <c r="C29" t="s">
        <v>258</v>
      </c>
      <c r="E29">
        <v>26</v>
      </c>
      <c r="F29">
        <v>0</v>
      </c>
      <c r="G29">
        <v>3</v>
      </c>
      <c r="H29">
        <v>0</v>
      </c>
      <c r="I29">
        <v>0</v>
      </c>
      <c r="J29">
        <v>0</v>
      </c>
      <c r="K29">
        <v>26</v>
      </c>
    </row>
    <row r="30" spans="1:11" hidden="1" x14ac:dyDescent="0.35">
      <c r="A30" t="s">
        <v>321</v>
      </c>
      <c r="B30" t="s">
        <v>536</v>
      </c>
      <c r="C30" t="s">
        <v>229</v>
      </c>
      <c r="E30">
        <v>401</v>
      </c>
      <c r="F30">
        <v>0</v>
      </c>
      <c r="G30">
        <v>0</v>
      </c>
      <c r="H30">
        <v>172</v>
      </c>
      <c r="I30">
        <v>0</v>
      </c>
      <c r="J30">
        <v>183</v>
      </c>
      <c r="K30">
        <v>46</v>
      </c>
    </row>
    <row r="31" spans="1:11" hidden="1" x14ac:dyDescent="0.35">
      <c r="A31" t="s">
        <v>466</v>
      </c>
      <c r="B31" t="s">
        <v>536</v>
      </c>
      <c r="C31" t="s">
        <v>229</v>
      </c>
      <c r="E31">
        <v>416</v>
      </c>
      <c r="F31">
        <v>0</v>
      </c>
      <c r="G31">
        <v>0</v>
      </c>
      <c r="H31">
        <v>182</v>
      </c>
      <c r="I31">
        <v>0</v>
      </c>
      <c r="J31">
        <v>181</v>
      </c>
      <c r="K31">
        <v>53</v>
      </c>
    </row>
    <row r="32" spans="1:11" hidden="1" x14ac:dyDescent="0.35">
      <c r="A32" t="s">
        <v>327</v>
      </c>
      <c r="B32" t="s">
        <v>536</v>
      </c>
      <c r="C32" t="s">
        <v>248</v>
      </c>
      <c r="E32">
        <v>182</v>
      </c>
      <c r="F32">
        <v>0</v>
      </c>
      <c r="G32">
        <v>0</v>
      </c>
      <c r="H32">
        <v>14</v>
      </c>
      <c r="I32">
        <v>0</v>
      </c>
      <c r="J32">
        <v>0</v>
      </c>
      <c r="K32">
        <v>168</v>
      </c>
    </row>
    <row r="33" spans="1:11" hidden="1" x14ac:dyDescent="0.35">
      <c r="A33" t="s">
        <v>321</v>
      </c>
      <c r="B33" t="s">
        <v>536</v>
      </c>
      <c r="C33" t="s">
        <v>248</v>
      </c>
      <c r="E33">
        <v>187</v>
      </c>
      <c r="F33">
        <v>0</v>
      </c>
      <c r="G33">
        <v>0</v>
      </c>
      <c r="H33">
        <v>13</v>
      </c>
      <c r="I33">
        <v>0</v>
      </c>
      <c r="J33">
        <v>0</v>
      </c>
      <c r="K33">
        <v>174</v>
      </c>
    </row>
    <row r="34" spans="1:11" hidden="1" x14ac:dyDescent="0.35">
      <c r="A34" t="s">
        <v>326</v>
      </c>
      <c r="B34" t="s">
        <v>536</v>
      </c>
      <c r="C34" t="s">
        <v>245</v>
      </c>
      <c r="E34">
        <v>251</v>
      </c>
      <c r="F34">
        <v>0</v>
      </c>
      <c r="G34">
        <v>0</v>
      </c>
      <c r="H34">
        <v>194</v>
      </c>
      <c r="I34">
        <v>0</v>
      </c>
      <c r="J34">
        <v>6</v>
      </c>
      <c r="K34">
        <v>51</v>
      </c>
    </row>
    <row r="35" spans="1:11" hidden="1" x14ac:dyDescent="0.35">
      <c r="A35" t="s">
        <v>327</v>
      </c>
      <c r="B35" t="s">
        <v>536</v>
      </c>
      <c r="C35" t="s">
        <v>254</v>
      </c>
      <c r="E35">
        <v>76</v>
      </c>
      <c r="F35">
        <v>0</v>
      </c>
      <c r="G35">
        <v>0</v>
      </c>
      <c r="H35">
        <v>0</v>
      </c>
      <c r="I35">
        <v>0</v>
      </c>
      <c r="J35">
        <v>0</v>
      </c>
      <c r="K35">
        <v>76</v>
      </c>
    </row>
    <row r="36" spans="1:11" hidden="1" x14ac:dyDescent="0.35">
      <c r="A36" t="s">
        <v>313</v>
      </c>
      <c r="B36" t="s">
        <v>539</v>
      </c>
      <c r="C36" t="s">
        <v>245</v>
      </c>
      <c r="D36" t="s">
        <v>232</v>
      </c>
      <c r="E36">
        <v>22</v>
      </c>
      <c r="F36">
        <v>0</v>
      </c>
      <c r="G36">
        <v>2</v>
      </c>
      <c r="H36">
        <v>0</v>
      </c>
      <c r="I36">
        <v>0</v>
      </c>
      <c r="J36">
        <v>0</v>
      </c>
      <c r="K36">
        <v>22</v>
      </c>
    </row>
    <row r="37" spans="1:11" hidden="1" x14ac:dyDescent="0.35">
      <c r="A37" t="s">
        <v>313</v>
      </c>
      <c r="B37" t="s">
        <v>539</v>
      </c>
      <c r="C37" t="s">
        <v>227</v>
      </c>
      <c r="D37" t="s">
        <v>218</v>
      </c>
      <c r="E37">
        <v>31</v>
      </c>
      <c r="F37">
        <v>0</v>
      </c>
      <c r="G37">
        <v>2</v>
      </c>
      <c r="H37">
        <v>0</v>
      </c>
      <c r="I37">
        <v>0</v>
      </c>
      <c r="J37">
        <v>0</v>
      </c>
      <c r="K37">
        <v>31</v>
      </c>
    </row>
    <row r="38" spans="1:11" hidden="1" x14ac:dyDescent="0.35">
      <c r="A38" t="s">
        <v>466</v>
      </c>
      <c r="B38" t="s">
        <v>536</v>
      </c>
      <c r="C38" t="s">
        <v>221</v>
      </c>
      <c r="E38">
        <v>299</v>
      </c>
      <c r="F38">
        <v>0</v>
      </c>
      <c r="G38">
        <v>0</v>
      </c>
      <c r="H38">
        <v>268</v>
      </c>
      <c r="I38">
        <v>0</v>
      </c>
      <c r="J38">
        <v>0</v>
      </c>
      <c r="K38">
        <v>31</v>
      </c>
    </row>
    <row r="39" spans="1:11" hidden="1" x14ac:dyDescent="0.35">
      <c r="A39" t="s">
        <v>319</v>
      </c>
      <c r="B39" t="s">
        <v>536</v>
      </c>
      <c r="C39" t="s">
        <v>282</v>
      </c>
      <c r="D39" t="s">
        <v>218</v>
      </c>
      <c r="E39">
        <v>147</v>
      </c>
      <c r="F39">
        <v>0</v>
      </c>
      <c r="G39">
        <v>0</v>
      </c>
      <c r="H39">
        <v>114</v>
      </c>
      <c r="I39">
        <v>0</v>
      </c>
      <c r="J39">
        <v>3</v>
      </c>
      <c r="K39">
        <v>30</v>
      </c>
    </row>
    <row r="40" spans="1:11" hidden="1" x14ac:dyDescent="0.35">
      <c r="A40" t="s">
        <v>466</v>
      </c>
      <c r="B40" t="s">
        <v>539</v>
      </c>
      <c r="C40" t="s">
        <v>266</v>
      </c>
      <c r="E40">
        <v>15</v>
      </c>
      <c r="F40">
        <v>0</v>
      </c>
      <c r="G40">
        <v>2</v>
      </c>
      <c r="H40">
        <v>0</v>
      </c>
      <c r="I40">
        <v>0</v>
      </c>
      <c r="J40">
        <v>0</v>
      </c>
      <c r="K40">
        <v>15</v>
      </c>
    </row>
    <row r="41" spans="1:11" hidden="1" x14ac:dyDescent="0.35">
      <c r="A41" t="s">
        <v>326</v>
      </c>
      <c r="B41" t="s">
        <v>536</v>
      </c>
      <c r="C41" t="s">
        <v>280</v>
      </c>
      <c r="E41">
        <v>36</v>
      </c>
      <c r="F41">
        <v>0</v>
      </c>
      <c r="G41">
        <v>0</v>
      </c>
      <c r="H41">
        <v>11</v>
      </c>
      <c r="I41">
        <v>0</v>
      </c>
      <c r="J41">
        <v>0</v>
      </c>
      <c r="K41">
        <v>25</v>
      </c>
    </row>
    <row r="42" spans="1:11" hidden="1" x14ac:dyDescent="0.35">
      <c r="A42" t="s">
        <v>321</v>
      </c>
      <c r="B42" t="s">
        <v>539</v>
      </c>
      <c r="C42" t="s">
        <v>325</v>
      </c>
      <c r="E42">
        <v>30</v>
      </c>
      <c r="F42">
        <v>0</v>
      </c>
      <c r="G42">
        <v>2</v>
      </c>
      <c r="H42">
        <v>0</v>
      </c>
      <c r="I42">
        <v>0</v>
      </c>
      <c r="J42">
        <v>0</v>
      </c>
      <c r="K42">
        <v>30</v>
      </c>
    </row>
    <row r="43" spans="1:11" hidden="1" x14ac:dyDescent="0.35">
      <c r="A43" t="s">
        <v>313</v>
      </c>
      <c r="B43" t="s">
        <v>536</v>
      </c>
      <c r="C43" t="s">
        <v>256</v>
      </c>
      <c r="D43" t="s">
        <v>238</v>
      </c>
      <c r="E43">
        <v>90</v>
      </c>
      <c r="F43">
        <v>0</v>
      </c>
      <c r="G43">
        <v>0</v>
      </c>
      <c r="H43">
        <v>65</v>
      </c>
      <c r="I43">
        <v>0</v>
      </c>
      <c r="J43">
        <v>0</v>
      </c>
      <c r="K43">
        <v>25</v>
      </c>
    </row>
    <row r="44" spans="1:11" hidden="1" x14ac:dyDescent="0.35">
      <c r="A44" t="s">
        <v>321</v>
      </c>
      <c r="B44" t="s">
        <v>539</v>
      </c>
      <c r="C44" t="s">
        <v>286</v>
      </c>
      <c r="E44">
        <v>17</v>
      </c>
      <c r="F44">
        <v>0</v>
      </c>
      <c r="G44">
        <v>7</v>
      </c>
      <c r="H44">
        <v>0</v>
      </c>
      <c r="I44">
        <v>0</v>
      </c>
      <c r="J44">
        <v>0</v>
      </c>
      <c r="K44">
        <v>17</v>
      </c>
    </row>
    <row r="45" spans="1:11" hidden="1" x14ac:dyDescent="0.35">
      <c r="A45" t="s">
        <v>313</v>
      </c>
      <c r="B45" t="s">
        <v>536</v>
      </c>
      <c r="C45" t="s">
        <v>241</v>
      </c>
      <c r="D45" t="s">
        <v>238</v>
      </c>
      <c r="E45">
        <v>50</v>
      </c>
      <c r="F45">
        <v>0</v>
      </c>
      <c r="G45">
        <v>0</v>
      </c>
      <c r="H45">
        <v>25</v>
      </c>
      <c r="I45">
        <v>0</v>
      </c>
      <c r="J45">
        <v>0</v>
      </c>
      <c r="K45">
        <v>25</v>
      </c>
    </row>
    <row r="46" spans="1:11" hidden="1" x14ac:dyDescent="0.35">
      <c r="A46" t="s">
        <v>313</v>
      </c>
      <c r="B46" t="s">
        <v>539</v>
      </c>
      <c r="C46" t="s">
        <v>271</v>
      </c>
      <c r="D46" t="s">
        <v>232</v>
      </c>
      <c r="E46">
        <v>25</v>
      </c>
      <c r="F46">
        <v>0</v>
      </c>
      <c r="G46">
        <v>0</v>
      </c>
      <c r="H46">
        <v>0</v>
      </c>
      <c r="I46">
        <v>0</v>
      </c>
      <c r="J46">
        <v>0</v>
      </c>
      <c r="K46">
        <v>25</v>
      </c>
    </row>
    <row r="47" spans="1:11" hidden="1" x14ac:dyDescent="0.35">
      <c r="A47" t="s">
        <v>319</v>
      </c>
      <c r="B47" t="s">
        <v>541</v>
      </c>
      <c r="C47" t="s">
        <v>233</v>
      </c>
      <c r="D47" t="s">
        <v>232</v>
      </c>
      <c r="E47">
        <v>91</v>
      </c>
      <c r="F47">
        <v>0</v>
      </c>
      <c r="G47">
        <v>0</v>
      </c>
      <c r="H47">
        <v>0</v>
      </c>
      <c r="I47">
        <v>0</v>
      </c>
      <c r="J47">
        <v>0</v>
      </c>
      <c r="K47">
        <v>91</v>
      </c>
    </row>
    <row r="48" spans="1:11" hidden="1" x14ac:dyDescent="0.35">
      <c r="A48" t="s">
        <v>326</v>
      </c>
      <c r="B48" t="s">
        <v>536</v>
      </c>
      <c r="C48" t="s">
        <v>271</v>
      </c>
      <c r="E48">
        <v>491</v>
      </c>
      <c r="F48">
        <v>0</v>
      </c>
      <c r="G48">
        <v>0</v>
      </c>
      <c r="H48">
        <v>0</v>
      </c>
      <c r="I48">
        <v>0</v>
      </c>
      <c r="J48">
        <v>0</v>
      </c>
      <c r="K48">
        <v>491</v>
      </c>
    </row>
    <row r="49" spans="1:11" hidden="1" x14ac:dyDescent="0.35">
      <c r="A49" t="s">
        <v>466</v>
      </c>
      <c r="B49" t="s">
        <v>536</v>
      </c>
      <c r="C49" t="s">
        <v>256</v>
      </c>
      <c r="E49">
        <v>81</v>
      </c>
      <c r="F49">
        <v>0</v>
      </c>
      <c r="G49">
        <v>0</v>
      </c>
      <c r="H49">
        <v>55</v>
      </c>
      <c r="I49">
        <v>0</v>
      </c>
      <c r="J49">
        <v>0</v>
      </c>
      <c r="K49">
        <v>26</v>
      </c>
    </row>
    <row r="50" spans="1:11" hidden="1" x14ac:dyDescent="0.35">
      <c r="A50" t="s">
        <v>326</v>
      </c>
      <c r="B50" t="s">
        <v>536</v>
      </c>
      <c r="C50" t="s">
        <v>288</v>
      </c>
      <c r="E50">
        <v>191</v>
      </c>
      <c r="F50">
        <v>0</v>
      </c>
      <c r="G50">
        <v>0</v>
      </c>
      <c r="H50">
        <v>96</v>
      </c>
      <c r="I50">
        <v>0</v>
      </c>
      <c r="J50">
        <v>20</v>
      </c>
      <c r="K50">
        <v>75</v>
      </c>
    </row>
    <row r="51" spans="1:11" hidden="1" x14ac:dyDescent="0.35">
      <c r="A51" t="s">
        <v>214</v>
      </c>
      <c r="B51" t="s">
        <v>536</v>
      </c>
      <c r="C51" t="s">
        <v>225</v>
      </c>
      <c r="D51" t="s">
        <v>224</v>
      </c>
      <c r="E51">
        <v>126</v>
      </c>
      <c r="F51">
        <v>0</v>
      </c>
      <c r="G51">
        <v>0</v>
      </c>
      <c r="H51">
        <v>98</v>
      </c>
      <c r="I51">
        <v>0</v>
      </c>
      <c r="J51">
        <v>0</v>
      </c>
      <c r="K51">
        <v>28</v>
      </c>
    </row>
    <row r="52" spans="1:11" hidden="1" x14ac:dyDescent="0.35">
      <c r="A52" t="s">
        <v>326</v>
      </c>
      <c r="B52" t="s">
        <v>539</v>
      </c>
      <c r="C52" t="s">
        <v>323</v>
      </c>
      <c r="E52">
        <v>24</v>
      </c>
      <c r="F52">
        <v>0</v>
      </c>
      <c r="G52">
        <v>8</v>
      </c>
      <c r="H52">
        <v>0</v>
      </c>
      <c r="I52">
        <v>0</v>
      </c>
      <c r="J52">
        <v>0</v>
      </c>
      <c r="K52">
        <v>24</v>
      </c>
    </row>
    <row r="53" spans="1:11" x14ac:dyDescent="0.35">
      <c r="A53" t="s">
        <v>214</v>
      </c>
      <c r="B53" t="s">
        <v>539</v>
      </c>
      <c r="C53" t="s">
        <v>258</v>
      </c>
      <c r="D53" t="s">
        <v>257</v>
      </c>
      <c r="E53">
        <v>25</v>
      </c>
      <c r="F53">
        <v>0</v>
      </c>
      <c r="G53">
        <v>2</v>
      </c>
      <c r="H53">
        <v>0</v>
      </c>
      <c r="I53">
        <v>0</v>
      </c>
      <c r="J53">
        <v>0</v>
      </c>
      <c r="K53">
        <v>25</v>
      </c>
    </row>
    <row r="54" spans="1:11" hidden="1" x14ac:dyDescent="0.35">
      <c r="A54" t="s">
        <v>466</v>
      </c>
      <c r="B54" t="s">
        <v>536</v>
      </c>
      <c r="C54" t="s">
        <v>264</v>
      </c>
      <c r="E54">
        <v>142</v>
      </c>
      <c r="F54">
        <v>0</v>
      </c>
      <c r="G54">
        <v>0</v>
      </c>
      <c r="H54">
        <v>59</v>
      </c>
      <c r="I54">
        <v>0</v>
      </c>
      <c r="J54">
        <v>0</v>
      </c>
      <c r="K54">
        <v>83</v>
      </c>
    </row>
    <row r="55" spans="1:11" hidden="1" x14ac:dyDescent="0.35">
      <c r="A55" t="s">
        <v>326</v>
      </c>
      <c r="B55" t="s">
        <v>539</v>
      </c>
      <c r="C55" t="s">
        <v>262</v>
      </c>
      <c r="E55">
        <v>19</v>
      </c>
      <c r="F55">
        <v>0</v>
      </c>
      <c r="G55">
        <v>0</v>
      </c>
      <c r="H55">
        <v>0</v>
      </c>
      <c r="I55">
        <v>0</v>
      </c>
      <c r="J55">
        <v>0</v>
      </c>
      <c r="K55">
        <v>19</v>
      </c>
    </row>
    <row r="56" spans="1:11" hidden="1" x14ac:dyDescent="0.35">
      <c r="A56" t="s">
        <v>313</v>
      </c>
      <c r="B56" t="s">
        <v>539</v>
      </c>
      <c r="C56" t="s">
        <v>305</v>
      </c>
      <c r="D56" t="s">
        <v>232</v>
      </c>
      <c r="E56">
        <v>16</v>
      </c>
      <c r="F56">
        <v>0</v>
      </c>
      <c r="G56">
        <v>2</v>
      </c>
      <c r="H56">
        <v>0</v>
      </c>
      <c r="I56">
        <v>0</v>
      </c>
      <c r="J56">
        <v>0</v>
      </c>
      <c r="K56">
        <v>16</v>
      </c>
    </row>
    <row r="57" spans="1:11" hidden="1" x14ac:dyDescent="0.35">
      <c r="A57" t="s">
        <v>326</v>
      </c>
      <c r="B57" t="s">
        <v>536</v>
      </c>
      <c r="C57" t="s">
        <v>264</v>
      </c>
      <c r="E57">
        <v>137</v>
      </c>
      <c r="F57">
        <v>0</v>
      </c>
      <c r="G57">
        <v>0</v>
      </c>
      <c r="H57">
        <v>53</v>
      </c>
      <c r="I57">
        <v>0</v>
      </c>
      <c r="J57">
        <v>0</v>
      </c>
      <c r="K57">
        <v>84</v>
      </c>
    </row>
    <row r="58" spans="1:11" hidden="1" x14ac:dyDescent="0.35">
      <c r="A58" t="s">
        <v>321</v>
      </c>
      <c r="B58" t="s">
        <v>536</v>
      </c>
      <c r="C58" t="s">
        <v>264</v>
      </c>
      <c r="E58">
        <v>137</v>
      </c>
      <c r="F58">
        <v>0</v>
      </c>
      <c r="G58">
        <v>0</v>
      </c>
      <c r="H58">
        <v>50</v>
      </c>
      <c r="I58">
        <v>0</v>
      </c>
      <c r="J58">
        <v>0</v>
      </c>
      <c r="K58">
        <v>87</v>
      </c>
    </row>
    <row r="59" spans="1:11" hidden="1" x14ac:dyDescent="0.35">
      <c r="A59" t="s">
        <v>321</v>
      </c>
      <c r="B59" t="s">
        <v>536</v>
      </c>
      <c r="C59" t="s">
        <v>299</v>
      </c>
      <c r="E59">
        <v>193</v>
      </c>
      <c r="F59">
        <v>0</v>
      </c>
      <c r="G59">
        <v>0</v>
      </c>
      <c r="H59">
        <v>140</v>
      </c>
      <c r="I59">
        <v>0</v>
      </c>
      <c r="J59">
        <v>0</v>
      </c>
      <c r="K59">
        <v>53</v>
      </c>
    </row>
    <row r="60" spans="1:11" hidden="1" x14ac:dyDescent="0.35">
      <c r="A60" t="s">
        <v>214</v>
      </c>
      <c r="B60" t="s">
        <v>536</v>
      </c>
      <c r="C60" t="s">
        <v>235</v>
      </c>
      <c r="D60" t="s">
        <v>234</v>
      </c>
      <c r="E60">
        <v>306</v>
      </c>
      <c r="F60">
        <v>0</v>
      </c>
      <c r="G60">
        <v>0</v>
      </c>
      <c r="H60">
        <v>9</v>
      </c>
      <c r="I60">
        <v>0</v>
      </c>
      <c r="J60">
        <v>0</v>
      </c>
      <c r="K60">
        <v>297</v>
      </c>
    </row>
    <row r="61" spans="1:11" hidden="1" x14ac:dyDescent="0.35">
      <c r="A61" t="s">
        <v>313</v>
      </c>
      <c r="B61" t="s">
        <v>536</v>
      </c>
      <c r="C61" t="s">
        <v>301</v>
      </c>
      <c r="D61" t="s">
        <v>218</v>
      </c>
      <c r="E61">
        <v>134</v>
      </c>
      <c r="F61">
        <v>0</v>
      </c>
      <c r="G61">
        <v>0</v>
      </c>
      <c r="H61">
        <v>134</v>
      </c>
      <c r="I61">
        <v>0</v>
      </c>
      <c r="J61">
        <v>0</v>
      </c>
      <c r="K61">
        <v>0</v>
      </c>
    </row>
    <row r="62" spans="1:11" hidden="1" x14ac:dyDescent="0.35">
      <c r="A62" t="s">
        <v>327</v>
      </c>
      <c r="B62" t="s">
        <v>536</v>
      </c>
      <c r="C62" t="s">
        <v>256</v>
      </c>
      <c r="E62">
        <v>81</v>
      </c>
      <c r="F62">
        <v>0</v>
      </c>
      <c r="G62">
        <v>0</v>
      </c>
      <c r="H62">
        <v>56</v>
      </c>
      <c r="I62">
        <v>0</v>
      </c>
      <c r="J62">
        <v>0</v>
      </c>
      <c r="K62">
        <v>25</v>
      </c>
    </row>
    <row r="63" spans="1:11" hidden="1" x14ac:dyDescent="0.35">
      <c r="A63" t="s">
        <v>319</v>
      </c>
      <c r="B63" t="s">
        <v>536</v>
      </c>
      <c r="C63" t="s">
        <v>256</v>
      </c>
      <c r="D63" t="s">
        <v>238</v>
      </c>
      <c r="E63">
        <v>90</v>
      </c>
      <c r="F63">
        <v>0</v>
      </c>
      <c r="G63">
        <v>0</v>
      </c>
      <c r="H63">
        <v>64</v>
      </c>
      <c r="I63">
        <v>0</v>
      </c>
      <c r="J63">
        <v>0</v>
      </c>
      <c r="K63">
        <v>26</v>
      </c>
    </row>
    <row r="64" spans="1:11" hidden="1" x14ac:dyDescent="0.35">
      <c r="A64" t="s">
        <v>319</v>
      </c>
      <c r="B64" t="s">
        <v>536</v>
      </c>
      <c r="C64" t="s">
        <v>290</v>
      </c>
      <c r="D64" t="s">
        <v>232</v>
      </c>
      <c r="E64">
        <v>198</v>
      </c>
      <c r="F64">
        <v>0</v>
      </c>
      <c r="G64">
        <v>0</v>
      </c>
      <c r="H64">
        <v>38</v>
      </c>
      <c r="I64">
        <v>0</v>
      </c>
      <c r="J64">
        <v>0</v>
      </c>
      <c r="K64">
        <v>160</v>
      </c>
    </row>
    <row r="65" spans="1:11" hidden="1" x14ac:dyDescent="0.35">
      <c r="A65" t="s">
        <v>319</v>
      </c>
      <c r="B65" t="s">
        <v>539</v>
      </c>
      <c r="C65" t="s">
        <v>245</v>
      </c>
      <c r="D65" t="s">
        <v>232</v>
      </c>
      <c r="E65">
        <v>21</v>
      </c>
      <c r="F65">
        <v>0</v>
      </c>
      <c r="G65">
        <v>4</v>
      </c>
      <c r="H65">
        <v>0</v>
      </c>
      <c r="I65">
        <v>0</v>
      </c>
      <c r="J65">
        <v>0</v>
      </c>
      <c r="K65">
        <v>21</v>
      </c>
    </row>
    <row r="66" spans="1:11" hidden="1" x14ac:dyDescent="0.35">
      <c r="A66" t="s">
        <v>466</v>
      </c>
      <c r="B66" t="s">
        <v>536</v>
      </c>
      <c r="C66" t="s">
        <v>305</v>
      </c>
      <c r="E66">
        <v>229</v>
      </c>
      <c r="F66">
        <v>0</v>
      </c>
      <c r="G66">
        <v>0</v>
      </c>
      <c r="H66">
        <v>74</v>
      </c>
      <c r="I66">
        <v>0</v>
      </c>
      <c r="J66">
        <v>0</v>
      </c>
      <c r="K66">
        <v>155</v>
      </c>
    </row>
    <row r="67" spans="1:11" hidden="1" x14ac:dyDescent="0.35">
      <c r="A67" t="s">
        <v>313</v>
      </c>
      <c r="B67" t="s">
        <v>536</v>
      </c>
      <c r="C67" t="s">
        <v>254</v>
      </c>
      <c r="D67" t="s">
        <v>232</v>
      </c>
      <c r="E67">
        <v>79</v>
      </c>
      <c r="F67">
        <v>0</v>
      </c>
      <c r="G67">
        <v>0</v>
      </c>
      <c r="H67">
        <v>0</v>
      </c>
      <c r="I67">
        <v>0</v>
      </c>
      <c r="J67">
        <v>0</v>
      </c>
      <c r="K67">
        <v>79</v>
      </c>
    </row>
    <row r="68" spans="1:11" hidden="1" x14ac:dyDescent="0.35">
      <c r="A68" t="s">
        <v>327</v>
      </c>
      <c r="B68" t="s">
        <v>536</v>
      </c>
      <c r="C68" t="s">
        <v>221</v>
      </c>
      <c r="E68">
        <v>294</v>
      </c>
      <c r="F68">
        <v>0</v>
      </c>
      <c r="G68">
        <v>0</v>
      </c>
      <c r="H68">
        <v>266</v>
      </c>
      <c r="I68">
        <v>0</v>
      </c>
      <c r="J68">
        <v>0</v>
      </c>
      <c r="K68">
        <v>28</v>
      </c>
    </row>
    <row r="69" spans="1:11" hidden="1" x14ac:dyDescent="0.35">
      <c r="A69" t="s">
        <v>327</v>
      </c>
      <c r="B69" t="s">
        <v>536</v>
      </c>
      <c r="C69" t="s">
        <v>282</v>
      </c>
      <c r="E69">
        <v>149</v>
      </c>
      <c r="F69">
        <v>0</v>
      </c>
      <c r="G69">
        <v>0</v>
      </c>
      <c r="H69">
        <v>116</v>
      </c>
      <c r="I69">
        <v>0</v>
      </c>
      <c r="J69">
        <v>3</v>
      </c>
      <c r="K69">
        <v>30</v>
      </c>
    </row>
    <row r="70" spans="1:11" hidden="1" x14ac:dyDescent="0.35">
      <c r="A70" t="s">
        <v>321</v>
      </c>
      <c r="B70" t="s">
        <v>536</v>
      </c>
      <c r="C70" t="s">
        <v>297</v>
      </c>
      <c r="E70">
        <v>112</v>
      </c>
      <c r="F70">
        <v>0</v>
      </c>
      <c r="G70">
        <v>0</v>
      </c>
      <c r="H70">
        <v>13</v>
      </c>
      <c r="I70">
        <v>0</v>
      </c>
      <c r="J70">
        <v>0</v>
      </c>
      <c r="K70">
        <v>99</v>
      </c>
    </row>
    <row r="71" spans="1:11" hidden="1" x14ac:dyDescent="0.35">
      <c r="A71" t="s">
        <v>326</v>
      </c>
      <c r="B71" t="s">
        <v>539</v>
      </c>
      <c r="C71" t="s">
        <v>258</v>
      </c>
      <c r="E71">
        <v>32</v>
      </c>
      <c r="F71">
        <v>0</v>
      </c>
      <c r="G71">
        <v>4</v>
      </c>
      <c r="H71">
        <v>0</v>
      </c>
      <c r="I71">
        <v>0</v>
      </c>
      <c r="J71">
        <v>0</v>
      </c>
      <c r="K71">
        <v>32</v>
      </c>
    </row>
    <row r="72" spans="1:11" hidden="1" x14ac:dyDescent="0.35">
      <c r="A72" t="s">
        <v>319</v>
      </c>
      <c r="B72" t="s">
        <v>536</v>
      </c>
      <c r="C72" t="s">
        <v>271</v>
      </c>
      <c r="D72" t="s">
        <v>232</v>
      </c>
      <c r="E72">
        <v>499</v>
      </c>
      <c r="F72">
        <v>0</v>
      </c>
      <c r="G72">
        <v>0</v>
      </c>
      <c r="H72">
        <v>0</v>
      </c>
      <c r="I72">
        <v>0</v>
      </c>
      <c r="J72">
        <v>0</v>
      </c>
      <c r="K72">
        <v>499</v>
      </c>
    </row>
    <row r="73" spans="1:11" hidden="1" x14ac:dyDescent="0.35">
      <c r="A73" t="s">
        <v>321</v>
      </c>
      <c r="B73" t="s">
        <v>539</v>
      </c>
      <c r="C73" t="s">
        <v>276</v>
      </c>
      <c r="E73">
        <v>33</v>
      </c>
      <c r="F73">
        <v>0</v>
      </c>
      <c r="G73">
        <v>10</v>
      </c>
      <c r="H73">
        <v>0</v>
      </c>
      <c r="I73">
        <v>0</v>
      </c>
      <c r="J73">
        <v>0</v>
      </c>
      <c r="K73">
        <v>33</v>
      </c>
    </row>
    <row r="74" spans="1:11" hidden="1" x14ac:dyDescent="0.35">
      <c r="A74" t="s">
        <v>327</v>
      </c>
      <c r="B74" t="s">
        <v>536</v>
      </c>
      <c r="C74" t="s">
        <v>303</v>
      </c>
      <c r="E74">
        <v>98</v>
      </c>
      <c r="F74">
        <v>0</v>
      </c>
      <c r="G74">
        <v>0</v>
      </c>
      <c r="H74">
        <v>46</v>
      </c>
      <c r="I74">
        <v>0</v>
      </c>
      <c r="J74">
        <v>0</v>
      </c>
      <c r="K74">
        <v>52</v>
      </c>
    </row>
    <row r="75" spans="1:11" hidden="1" x14ac:dyDescent="0.35">
      <c r="A75" t="s">
        <v>326</v>
      </c>
      <c r="B75" t="s">
        <v>536</v>
      </c>
      <c r="C75" t="s">
        <v>254</v>
      </c>
      <c r="E75">
        <v>71</v>
      </c>
      <c r="F75">
        <v>0</v>
      </c>
      <c r="G75">
        <v>0</v>
      </c>
      <c r="H75">
        <v>0</v>
      </c>
      <c r="I75">
        <v>0</v>
      </c>
      <c r="J75">
        <v>0</v>
      </c>
      <c r="K75">
        <v>71</v>
      </c>
    </row>
    <row r="76" spans="1:11" hidden="1" x14ac:dyDescent="0.35">
      <c r="A76" t="s">
        <v>321</v>
      </c>
      <c r="B76" t="s">
        <v>539</v>
      </c>
      <c r="C76" t="s">
        <v>231</v>
      </c>
      <c r="E76">
        <v>28</v>
      </c>
      <c r="F76">
        <v>0</v>
      </c>
      <c r="G76">
        <v>6</v>
      </c>
      <c r="H76">
        <v>0</v>
      </c>
      <c r="I76">
        <v>0</v>
      </c>
      <c r="J76">
        <v>0</v>
      </c>
      <c r="K76">
        <v>28</v>
      </c>
    </row>
    <row r="77" spans="1:11" hidden="1" x14ac:dyDescent="0.35">
      <c r="A77" t="s">
        <v>326</v>
      </c>
      <c r="B77" t="s">
        <v>536</v>
      </c>
      <c r="C77" t="s">
        <v>301</v>
      </c>
      <c r="E77">
        <v>123</v>
      </c>
      <c r="F77">
        <v>0</v>
      </c>
      <c r="G77">
        <v>0</v>
      </c>
      <c r="H77">
        <v>122</v>
      </c>
      <c r="I77">
        <v>0</v>
      </c>
      <c r="J77">
        <v>0</v>
      </c>
      <c r="K77">
        <v>1</v>
      </c>
    </row>
    <row r="78" spans="1:11" hidden="1" x14ac:dyDescent="0.35">
      <c r="A78" t="s">
        <v>321</v>
      </c>
      <c r="B78" t="s">
        <v>539</v>
      </c>
      <c r="C78" t="s">
        <v>266</v>
      </c>
      <c r="E78">
        <v>18</v>
      </c>
      <c r="F78">
        <v>0</v>
      </c>
      <c r="G78">
        <v>2</v>
      </c>
      <c r="H78">
        <v>0</v>
      </c>
      <c r="I78">
        <v>0</v>
      </c>
      <c r="J78">
        <v>0</v>
      </c>
      <c r="K78">
        <v>18</v>
      </c>
    </row>
    <row r="79" spans="1:11" hidden="1" x14ac:dyDescent="0.35">
      <c r="A79" t="s">
        <v>466</v>
      </c>
      <c r="B79" t="s">
        <v>536</v>
      </c>
      <c r="C79" t="s">
        <v>301</v>
      </c>
      <c r="E79">
        <v>123</v>
      </c>
      <c r="F79">
        <v>0</v>
      </c>
      <c r="G79">
        <v>0</v>
      </c>
      <c r="H79">
        <v>123</v>
      </c>
      <c r="I79">
        <v>0</v>
      </c>
      <c r="J79">
        <v>0</v>
      </c>
      <c r="K79">
        <v>0</v>
      </c>
    </row>
    <row r="80" spans="1:11" hidden="1" x14ac:dyDescent="0.35">
      <c r="A80" t="s">
        <v>327</v>
      </c>
      <c r="B80" t="s">
        <v>536</v>
      </c>
      <c r="C80" t="s">
        <v>295</v>
      </c>
      <c r="E80">
        <v>204</v>
      </c>
      <c r="F80">
        <v>0</v>
      </c>
      <c r="G80">
        <v>0</v>
      </c>
      <c r="H80">
        <v>117</v>
      </c>
      <c r="I80">
        <v>0</v>
      </c>
      <c r="J80">
        <v>21</v>
      </c>
      <c r="K80">
        <v>66</v>
      </c>
    </row>
    <row r="81" spans="1:11" hidden="1" x14ac:dyDescent="0.35">
      <c r="A81" t="s">
        <v>214</v>
      </c>
      <c r="B81" t="s">
        <v>536</v>
      </c>
      <c r="C81" t="s">
        <v>264</v>
      </c>
      <c r="D81" t="s">
        <v>263</v>
      </c>
      <c r="E81">
        <v>143</v>
      </c>
      <c r="F81">
        <v>0</v>
      </c>
      <c r="G81">
        <v>0</v>
      </c>
      <c r="H81">
        <v>55</v>
      </c>
      <c r="I81">
        <v>0</v>
      </c>
      <c r="J81">
        <v>0</v>
      </c>
      <c r="K81">
        <v>88</v>
      </c>
    </row>
    <row r="82" spans="1:11" hidden="1" x14ac:dyDescent="0.35">
      <c r="A82" t="s">
        <v>321</v>
      </c>
      <c r="B82" t="s">
        <v>536</v>
      </c>
      <c r="C82" t="s">
        <v>293</v>
      </c>
      <c r="E82">
        <v>115</v>
      </c>
      <c r="F82">
        <v>0</v>
      </c>
      <c r="G82">
        <v>0</v>
      </c>
      <c r="H82">
        <v>115</v>
      </c>
      <c r="I82">
        <v>0</v>
      </c>
      <c r="J82">
        <v>0</v>
      </c>
      <c r="K82">
        <v>0</v>
      </c>
    </row>
    <row r="83" spans="1:11" hidden="1" x14ac:dyDescent="0.35">
      <c r="A83" t="s">
        <v>313</v>
      </c>
      <c r="B83" t="s">
        <v>539</v>
      </c>
      <c r="C83" t="s">
        <v>286</v>
      </c>
      <c r="D83" t="s">
        <v>218</v>
      </c>
      <c r="E83">
        <v>14</v>
      </c>
      <c r="F83">
        <v>0</v>
      </c>
      <c r="G83">
        <v>5</v>
      </c>
      <c r="H83">
        <v>0</v>
      </c>
      <c r="I83">
        <v>0</v>
      </c>
      <c r="J83">
        <v>0</v>
      </c>
      <c r="K83">
        <v>14</v>
      </c>
    </row>
    <row r="84" spans="1:11" hidden="1" x14ac:dyDescent="0.35">
      <c r="A84" t="s">
        <v>327</v>
      </c>
      <c r="B84" t="s">
        <v>541</v>
      </c>
      <c r="C84" t="s">
        <v>233</v>
      </c>
      <c r="E84">
        <v>60</v>
      </c>
      <c r="F84">
        <v>0</v>
      </c>
      <c r="G84">
        <v>0</v>
      </c>
      <c r="H84">
        <v>0</v>
      </c>
      <c r="I84">
        <v>0</v>
      </c>
      <c r="J84">
        <v>0</v>
      </c>
      <c r="K84">
        <v>60</v>
      </c>
    </row>
    <row r="85" spans="1:11" hidden="1" x14ac:dyDescent="0.35">
      <c r="A85" t="s">
        <v>326</v>
      </c>
      <c r="B85" t="s">
        <v>536</v>
      </c>
      <c r="C85" t="s">
        <v>308</v>
      </c>
      <c r="E85">
        <v>115</v>
      </c>
      <c r="F85">
        <v>0</v>
      </c>
      <c r="G85">
        <v>0</v>
      </c>
      <c r="H85">
        <v>69</v>
      </c>
      <c r="I85">
        <v>0</v>
      </c>
      <c r="J85">
        <v>0</v>
      </c>
      <c r="K85">
        <v>46</v>
      </c>
    </row>
    <row r="86" spans="1:11" hidden="1" x14ac:dyDescent="0.35">
      <c r="A86" t="s">
        <v>319</v>
      </c>
      <c r="B86" t="s">
        <v>536</v>
      </c>
      <c r="C86" t="s">
        <v>260</v>
      </c>
      <c r="D86" t="s">
        <v>232</v>
      </c>
      <c r="E86">
        <v>48</v>
      </c>
      <c r="F86">
        <v>0</v>
      </c>
      <c r="G86">
        <v>0</v>
      </c>
      <c r="H86">
        <v>0</v>
      </c>
      <c r="I86">
        <v>0</v>
      </c>
      <c r="J86">
        <v>0</v>
      </c>
      <c r="K86">
        <v>48</v>
      </c>
    </row>
    <row r="87" spans="1:11" hidden="1" x14ac:dyDescent="0.35">
      <c r="A87" t="s">
        <v>313</v>
      </c>
      <c r="B87" t="s">
        <v>536</v>
      </c>
      <c r="C87" t="s">
        <v>276</v>
      </c>
      <c r="D87" t="s">
        <v>218</v>
      </c>
      <c r="E87">
        <v>645</v>
      </c>
      <c r="F87">
        <v>0</v>
      </c>
      <c r="G87">
        <v>0</v>
      </c>
      <c r="H87">
        <v>525</v>
      </c>
      <c r="I87">
        <v>0</v>
      </c>
      <c r="J87">
        <v>49</v>
      </c>
      <c r="K87">
        <v>71</v>
      </c>
    </row>
    <row r="88" spans="1:11" hidden="1" x14ac:dyDescent="0.35">
      <c r="A88" t="s">
        <v>321</v>
      </c>
      <c r="B88" t="s">
        <v>536</v>
      </c>
      <c r="C88" t="s">
        <v>225</v>
      </c>
      <c r="E88">
        <v>122</v>
      </c>
      <c r="F88">
        <v>0</v>
      </c>
      <c r="G88">
        <v>0</v>
      </c>
      <c r="H88">
        <v>96</v>
      </c>
      <c r="I88">
        <v>0</v>
      </c>
      <c r="J88">
        <v>0</v>
      </c>
      <c r="K88">
        <v>26</v>
      </c>
    </row>
    <row r="89" spans="1:11" hidden="1" x14ac:dyDescent="0.35">
      <c r="A89" t="s">
        <v>214</v>
      </c>
      <c r="B89" t="s">
        <v>536</v>
      </c>
      <c r="C89" t="s">
        <v>295</v>
      </c>
      <c r="D89" t="s">
        <v>494</v>
      </c>
      <c r="E89">
        <v>222</v>
      </c>
      <c r="F89">
        <v>0</v>
      </c>
      <c r="G89">
        <v>0</v>
      </c>
      <c r="H89">
        <v>131</v>
      </c>
      <c r="I89">
        <v>0</v>
      </c>
      <c r="J89">
        <v>22</v>
      </c>
      <c r="K89">
        <v>69</v>
      </c>
    </row>
    <row r="90" spans="1:11" hidden="1" x14ac:dyDescent="0.35">
      <c r="A90" t="s">
        <v>326</v>
      </c>
      <c r="B90" t="s">
        <v>539</v>
      </c>
      <c r="C90" t="s">
        <v>237</v>
      </c>
      <c r="E90">
        <v>26</v>
      </c>
      <c r="F90">
        <v>0</v>
      </c>
      <c r="G90">
        <v>0</v>
      </c>
      <c r="H90">
        <v>0</v>
      </c>
      <c r="I90">
        <v>0</v>
      </c>
      <c r="J90">
        <v>0</v>
      </c>
      <c r="K90">
        <v>26</v>
      </c>
    </row>
    <row r="91" spans="1:11" hidden="1" x14ac:dyDescent="0.35">
      <c r="A91" t="s">
        <v>319</v>
      </c>
      <c r="B91" t="s">
        <v>536</v>
      </c>
      <c r="C91" t="s">
        <v>308</v>
      </c>
      <c r="D91" t="s">
        <v>621</v>
      </c>
      <c r="E91">
        <v>127</v>
      </c>
      <c r="F91">
        <v>0</v>
      </c>
      <c r="G91">
        <v>0</v>
      </c>
      <c r="H91">
        <v>75</v>
      </c>
      <c r="I91">
        <v>0</v>
      </c>
      <c r="J91">
        <v>0</v>
      </c>
      <c r="K91">
        <v>52</v>
      </c>
    </row>
    <row r="92" spans="1:11" hidden="1" x14ac:dyDescent="0.35">
      <c r="A92" t="s">
        <v>313</v>
      </c>
      <c r="B92" t="s">
        <v>536</v>
      </c>
      <c r="C92" t="s">
        <v>271</v>
      </c>
      <c r="D92" t="s">
        <v>232</v>
      </c>
      <c r="E92">
        <v>517</v>
      </c>
      <c r="F92">
        <v>0</v>
      </c>
      <c r="G92">
        <v>0</v>
      </c>
      <c r="H92">
        <v>0</v>
      </c>
      <c r="I92">
        <v>0</v>
      </c>
      <c r="J92">
        <v>0</v>
      </c>
      <c r="K92">
        <v>517</v>
      </c>
    </row>
    <row r="93" spans="1:11" x14ac:dyDescent="0.35">
      <c r="A93" t="s">
        <v>214</v>
      </c>
      <c r="B93" t="s">
        <v>539</v>
      </c>
      <c r="C93" t="s">
        <v>223</v>
      </c>
      <c r="D93" t="s">
        <v>222</v>
      </c>
      <c r="E93">
        <v>25</v>
      </c>
      <c r="F93">
        <v>0</v>
      </c>
      <c r="G93">
        <v>2</v>
      </c>
      <c r="H93">
        <v>0</v>
      </c>
      <c r="I93">
        <v>0</v>
      </c>
      <c r="J93">
        <v>0</v>
      </c>
      <c r="K93">
        <v>25</v>
      </c>
    </row>
    <row r="94" spans="1:11" hidden="1" x14ac:dyDescent="0.35">
      <c r="A94" t="s">
        <v>321</v>
      </c>
      <c r="B94" t="s">
        <v>536</v>
      </c>
      <c r="C94" t="s">
        <v>290</v>
      </c>
      <c r="E94">
        <v>186</v>
      </c>
      <c r="F94">
        <v>0</v>
      </c>
      <c r="G94">
        <v>0</v>
      </c>
      <c r="H94">
        <v>30</v>
      </c>
      <c r="I94">
        <v>0</v>
      </c>
      <c r="J94">
        <v>0</v>
      </c>
      <c r="K94">
        <v>156</v>
      </c>
    </row>
    <row r="95" spans="1:11" hidden="1" x14ac:dyDescent="0.35">
      <c r="A95" t="s">
        <v>214</v>
      </c>
      <c r="B95" t="s">
        <v>536</v>
      </c>
      <c r="C95" t="s">
        <v>305</v>
      </c>
      <c r="D95" t="s">
        <v>304</v>
      </c>
      <c r="E95">
        <v>246</v>
      </c>
      <c r="F95">
        <v>0</v>
      </c>
      <c r="G95">
        <v>0</v>
      </c>
      <c r="H95">
        <v>77</v>
      </c>
      <c r="I95">
        <v>0</v>
      </c>
      <c r="J95">
        <v>2</v>
      </c>
      <c r="K95">
        <v>167</v>
      </c>
    </row>
    <row r="96" spans="1:11" hidden="1" x14ac:dyDescent="0.35">
      <c r="A96" t="s">
        <v>327</v>
      </c>
      <c r="B96" t="s">
        <v>539</v>
      </c>
      <c r="C96" t="s">
        <v>231</v>
      </c>
      <c r="E96">
        <v>28</v>
      </c>
      <c r="F96">
        <v>0</v>
      </c>
      <c r="G96">
        <v>6</v>
      </c>
      <c r="H96">
        <v>0</v>
      </c>
      <c r="I96">
        <v>0</v>
      </c>
      <c r="J96">
        <v>0</v>
      </c>
      <c r="K96">
        <v>28</v>
      </c>
    </row>
    <row r="97" spans="1:11" hidden="1" x14ac:dyDescent="0.35">
      <c r="A97" t="s">
        <v>321</v>
      </c>
      <c r="B97" t="s">
        <v>536</v>
      </c>
      <c r="C97" t="s">
        <v>278</v>
      </c>
      <c r="E97">
        <v>106</v>
      </c>
      <c r="F97">
        <v>0</v>
      </c>
      <c r="G97">
        <v>0</v>
      </c>
      <c r="H97">
        <v>38</v>
      </c>
      <c r="I97">
        <v>0</v>
      </c>
      <c r="J97">
        <v>0</v>
      </c>
      <c r="K97">
        <v>68</v>
      </c>
    </row>
    <row r="98" spans="1:11" hidden="1" x14ac:dyDescent="0.35">
      <c r="A98" t="s">
        <v>319</v>
      </c>
      <c r="B98" t="s">
        <v>539</v>
      </c>
      <c r="C98" t="s">
        <v>227</v>
      </c>
      <c r="D98" t="s">
        <v>218</v>
      </c>
      <c r="E98">
        <v>28</v>
      </c>
      <c r="F98">
        <v>0</v>
      </c>
      <c r="G98">
        <v>3</v>
      </c>
      <c r="H98">
        <v>0</v>
      </c>
      <c r="I98">
        <v>0</v>
      </c>
      <c r="J98">
        <v>0</v>
      </c>
      <c r="K98">
        <v>28</v>
      </c>
    </row>
    <row r="99" spans="1:11" hidden="1" x14ac:dyDescent="0.35">
      <c r="A99" t="s">
        <v>327</v>
      </c>
      <c r="B99" t="s">
        <v>536</v>
      </c>
      <c r="C99" t="s">
        <v>293</v>
      </c>
      <c r="E99">
        <v>112</v>
      </c>
      <c r="F99">
        <v>0</v>
      </c>
      <c r="G99">
        <v>0</v>
      </c>
      <c r="H99">
        <v>112</v>
      </c>
      <c r="I99">
        <v>0</v>
      </c>
      <c r="J99">
        <v>0</v>
      </c>
      <c r="K99">
        <v>0</v>
      </c>
    </row>
    <row r="100" spans="1:11" x14ac:dyDescent="0.35">
      <c r="A100" t="s">
        <v>214</v>
      </c>
      <c r="B100" t="s">
        <v>539</v>
      </c>
      <c r="C100" t="s">
        <v>276</v>
      </c>
      <c r="D100" t="s">
        <v>275</v>
      </c>
      <c r="E100">
        <v>45</v>
      </c>
      <c r="F100">
        <v>0</v>
      </c>
      <c r="G100">
        <v>4</v>
      </c>
      <c r="H100">
        <v>0</v>
      </c>
      <c r="I100">
        <v>0</v>
      </c>
      <c r="J100">
        <v>0</v>
      </c>
      <c r="K100">
        <v>45</v>
      </c>
    </row>
    <row r="101" spans="1:11" hidden="1" x14ac:dyDescent="0.35">
      <c r="A101" t="s">
        <v>326</v>
      </c>
      <c r="B101" t="s">
        <v>539</v>
      </c>
      <c r="C101" t="s">
        <v>286</v>
      </c>
      <c r="E101">
        <v>1</v>
      </c>
      <c r="F101">
        <v>0</v>
      </c>
      <c r="G101">
        <v>0</v>
      </c>
      <c r="H101">
        <v>0</v>
      </c>
      <c r="I101">
        <v>0</v>
      </c>
      <c r="J101">
        <v>0</v>
      </c>
      <c r="K101">
        <v>1</v>
      </c>
    </row>
    <row r="102" spans="1:11" hidden="1" x14ac:dyDescent="0.35">
      <c r="A102" t="s">
        <v>319</v>
      </c>
      <c r="B102" t="s">
        <v>536</v>
      </c>
      <c r="C102" t="s">
        <v>299</v>
      </c>
      <c r="D102" t="s">
        <v>238</v>
      </c>
      <c r="E102">
        <v>200</v>
      </c>
      <c r="F102">
        <v>0</v>
      </c>
      <c r="G102">
        <v>0</v>
      </c>
      <c r="H102">
        <v>149</v>
      </c>
      <c r="I102">
        <v>0</v>
      </c>
      <c r="J102">
        <v>0</v>
      </c>
      <c r="K102">
        <v>51</v>
      </c>
    </row>
    <row r="103" spans="1:11" hidden="1" x14ac:dyDescent="0.35">
      <c r="A103" t="s">
        <v>326</v>
      </c>
      <c r="B103" t="s">
        <v>536</v>
      </c>
      <c r="C103" t="s">
        <v>216</v>
      </c>
      <c r="E103">
        <v>165</v>
      </c>
      <c r="F103">
        <v>0</v>
      </c>
      <c r="G103">
        <v>0</v>
      </c>
      <c r="H103">
        <v>10</v>
      </c>
      <c r="I103">
        <v>0</v>
      </c>
      <c r="J103">
        <v>0</v>
      </c>
      <c r="K103">
        <v>155</v>
      </c>
    </row>
    <row r="104" spans="1:11" hidden="1" x14ac:dyDescent="0.35">
      <c r="A104" t="s">
        <v>466</v>
      </c>
      <c r="B104" t="s">
        <v>536</v>
      </c>
      <c r="C104" t="s">
        <v>280</v>
      </c>
      <c r="E104">
        <v>43</v>
      </c>
      <c r="F104">
        <v>0</v>
      </c>
      <c r="G104">
        <v>0</v>
      </c>
      <c r="H104">
        <v>14</v>
      </c>
      <c r="I104">
        <v>0</v>
      </c>
      <c r="J104">
        <v>0</v>
      </c>
      <c r="K104">
        <v>29</v>
      </c>
    </row>
    <row r="105" spans="1:11" hidden="1" x14ac:dyDescent="0.35">
      <c r="A105" t="s">
        <v>319</v>
      </c>
      <c r="B105" t="s">
        <v>539</v>
      </c>
      <c r="C105" t="s">
        <v>231</v>
      </c>
      <c r="D105" t="s">
        <v>232</v>
      </c>
      <c r="E105">
        <v>26</v>
      </c>
      <c r="F105">
        <v>0</v>
      </c>
      <c r="G105">
        <v>6</v>
      </c>
      <c r="H105">
        <v>0</v>
      </c>
      <c r="I105">
        <v>0</v>
      </c>
      <c r="J105">
        <v>0</v>
      </c>
      <c r="K105">
        <v>26</v>
      </c>
    </row>
    <row r="106" spans="1:11" hidden="1" x14ac:dyDescent="0.35">
      <c r="A106" t="s">
        <v>326</v>
      </c>
      <c r="B106" t="s">
        <v>536</v>
      </c>
      <c r="C106" t="s">
        <v>256</v>
      </c>
      <c r="E106">
        <v>75</v>
      </c>
      <c r="F106">
        <v>0</v>
      </c>
      <c r="G106">
        <v>0</v>
      </c>
      <c r="H106">
        <v>51</v>
      </c>
      <c r="I106">
        <v>0</v>
      </c>
      <c r="J106">
        <v>0</v>
      </c>
      <c r="K106">
        <v>24</v>
      </c>
    </row>
    <row r="107" spans="1:11" hidden="1" x14ac:dyDescent="0.35">
      <c r="A107" t="s">
        <v>319</v>
      </c>
      <c r="B107" t="s">
        <v>536</v>
      </c>
      <c r="C107" t="s">
        <v>305</v>
      </c>
      <c r="D107" t="s">
        <v>232</v>
      </c>
      <c r="E107">
        <v>254</v>
      </c>
      <c r="F107">
        <v>0</v>
      </c>
      <c r="G107">
        <v>0</v>
      </c>
      <c r="H107">
        <v>84</v>
      </c>
      <c r="I107">
        <v>0</v>
      </c>
      <c r="J107">
        <v>2</v>
      </c>
      <c r="K107">
        <v>168</v>
      </c>
    </row>
    <row r="108" spans="1:11" hidden="1" x14ac:dyDescent="0.35">
      <c r="A108" t="s">
        <v>326</v>
      </c>
      <c r="B108" t="s">
        <v>541</v>
      </c>
      <c r="C108" t="s">
        <v>239</v>
      </c>
      <c r="D108" t="s">
        <v>238</v>
      </c>
      <c r="E108">
        <v>67</v>
      </c>
      <c r="F108">
        <v>0</v>
      </c>
      <c r="G108">
        <v>0</v>
      </c>
      <c r="H108">
        <v>0</v>
      </c>
      <c r="I108">
        <v>0</v>
      </c>
      <c r="J108">
        <v>0</v>
      </c>
      <c r="K108">
        <v>67</v>
      </c>
    </row>
    <row r="109" spans="1:11" hidden="1" x14ac:dyDescent="0.35">
      <c r="A109" t="s">
        <v>313</v>
      </c>
      <c r="B109" t="s">
        <v>536</v>
      </c>
      <c r="C109" t="s">
        <v>293</v>
      </c>
      <c r="D109" t="s">
        <v>218</v>
      </c>
      <c r="E109">
        <v>109</v>
      </c>
      <c r="F109">
        <v>0</v>
      </c>
      <c r="G109">
        <v>0</v>
      </c>
      <c r="H109">
        <v>109</v>
      </c>
      <c r="I109">
        <v>0</v>
      </c>
      <c r="J109">
        <v>0</v>
      </c>
      <c r="K109">
        <v>0</v>
      </c>
    </row>
    <row r="110" spans="1:11" hidden="1" x14ac:dyDescent="0.35">
      <c r="A110" t="s">
        <v>313</v>
      </c>
      <c r="B110" t="s">
        <v>541</v>
      </c>
      <c r="C110" t="s">
        <v>239</v>
      </c>
      <c r="D110" t="s">
        <v>238</v>
      </c>
      <c r="E110">
        <v>52</v>
      </c>
      <c r="F110">
        <v>0</v>
      </c>
      <c r="G110">
        <v>0</v>
      </c>
      <c r="H110">
        <v>0</v>
      </c>
      <c r="I110">
        <v>0</v>
      </c>
      <c r="J110">
        <v>0</v>
      </c>
      <c r="K110">
        <v>52</v>
      </c>
    </row>
    <row r="111" spans="1:11" hidden="1" x14ac:dyDescent="0.35">
      <c r="A111" t="s">
        <v>319</v>
      </c>
      <c r="B111" t="s">
        <v>543</v>
      </c>
      <c r="C111" t="s">
        <v>544</v>
      </c>
      <c r="D111" t="s">
        <v>548</v>
      </c>
      <c r="E111">
        <v>1107</v>
      </c>
      <c r="F111">
        <v>182</v>
      </c>
      <c r="G111">
        <v>0</v>
      </c>
      <c r="H111">
        <v>0</v>
      </c>
      <c r="I111">
        <v>835</v>
      </c>
      <c r="J111">
        <v>0</v>
      </c>
      <c r="K111">
        <v>90</v>
      </c>
    </row>
    <row r="112" spans="1:11" hidden="1" x14ac:dyDescent="0.35">
      <c r="A112" t="s">
        <v>321</v>
      </c>
      <c r="B112" t="s">
        <v>539</v>
      </c>
      <c r="C112" t="s">
        <v>323</v>
      </c>
      <c r="E112">
        <v>36</v>
      </c>
      <c r="F112">
        <v>0</v>
      </c>
      <c r="G112">
        <v>7</v>
      </c>
      <c r="H112">
        <v>0</v>
      </c>
      <c r="I112">
        <v>0</v>
      </c>
      <c r="J112">
        <v>0</v>
      </c>
      <c r="K112">
        <v>36</v>
      </c>
    </row>
    <row r="113" spans="1:11" hidden="1" x14ac:dyDescent="0.35">
      <c r="A113" t="s">
        <v>319</v>
      </c>
      <c r="B113" t="s">
        <v>536</v>
      </c>
      <c r="C113" t="s">
        <v>310</v>
      </c>
      <c r="D113" t="s">
        <v>232</v>
      </c>
      <c r="E113">
        <v>95</v>
      </c>
      <c r="F113">
        <v>0</v>
      </c>
      <c r="G113">
        <v>0</v>
      </c>
      <c r="H113">
        <v>22</v>
      </c>
      <c r="I113">
        <v>0</v>
      </c>
      <c r="J113">
        <v>0</v>
      </c>
      <c r="K113">
        <v>73</v>
      </c>
    </row>
    <row r="114" spans="1:11" hidden="1" x14ac:dyDescent="0.35">
      <c r="A114" t="s">
        <v>327</v>
      </c>
      <c r="B114" t="s">
        <v>536</v>
      </c>
      <c r="C114" t="s">
        <v>308</v>
      </c>
      <c r="E114">
        <v>117</v>
      </c>
      <c r="F114">
        <v>0</v>
      </c>
      <c r="G114">
        <v>0</v>
      </c>
      <c r="H114">
        <v>68</v>
      </c>
      <c r="I114">
        <v>0</v>
      </c>
      <c r="J114">
        <v>0</v>
      </c>
      <c r="K114">
        <v>49</v>
      </c>
    </row>
    <row r="115" spans="1:11" hidden="1" x14ac:dyDescent="0.35">
      <c r="A115" t="s">
        <v>321</v>
      </c>
      <c r="B115" t="s">
        <v>543</v>
      </c>
      <c r="C115" t="s">
        <v>544</v>
      </c>
      <c r="D115" t="s">
        <v>548</v>
      </c>
      <c r="E115">
        <v>1182</v>
      </c>
      <c r="F115">
        <v>174</v>
      </c>
      <c r="G115">
        <v>0</v>
      </c>
      <c r="H115">
        <v>0</v>
      </c>
      <c r="I115">
        <v>920</v>
      </c>
      <c r="J115">
        <v>0</v>
      </c>
      <c r="K115">
        <v>88</v>
      </c>
    </row>
    <row r="116" spans="1:11" hidden="1" x14ac:dyDescent="0.35">
      <c r="A116" t="s">
        <v>214</v>
      </c>
      <c r="B116" t="s">
        <v>536</v>
      </c>
      <c r="C116" t="s">
        <v>245</v>
      </c>
      <c r="D116" t="s">
        <v>244</v>
      </c>
      <c r="E116">
        <v>257</v>
      </c>
      <c r="F116">
        <v>0</v>
      </c>
      <c r="G116">
        <v>0</v>
      </c>
      <c r="H116">
        <v>198</v>
      </c>
      <c r="I116">
        <v>0</v>
      </c>
      <c r="J116">
        <v>6</v>
      </c>
      <c r="K116">
        <v>53</v>
      </c>
    </row>
    <row r="117" spans="1:11" hidden="1" x14ac:dyDescent="0.35">
      <c r="A117" t="s">
        <v>214</v>
      </c>
      <c r="B117" t="s">
        <v>536</v>
      </c>
      <c r="C117" t="s">
        <v>268</v>
      </c>
      <c r="D117" t="s">
        <v>267</v>
      </c>
      <c r="E117">
        <v>390</v>
      </c>
      <c r="F117">
        <v>0</v>
      </c>
      <c r="G117">
        <v>0</v>
      </c>
      <c r="H117">
        <v>116</v>
      </c>
      <c r="I117">
        <v>0</v>
      </c>
      <c r="J117">
        <v>0</v>
      </c>
      <c r="K117">
        <v>274</v>
      </c>
    </row>
    <row r="118" spans="1:11" hidden="1" x14ac:dyDescent="0.35">
      <c r="A118" t="s">
        <v>313</v>
      </c>
      <c r="B118" t="s">
        <v>543</v>
      </c>
      <c r="C118" t="s">
        <v>544</v>
      </c>
      <c r="D118" t="s">
        <v>548</v>
      </c>
      <c r="E118">
        <v>1095</v>
      </c>
      <c r="F118">
        <v>188</v>
      </c>
      <c r="G118">
        <v>0</v>
      </c>
      <c r="H118">
        <v>0</v>
      </c>
      <c r="I118">
        <v>817</v>
      </c>
      <c r="J118">
        <v>0</v>
      </c>
      <c r="K118">
        <v>90</v>
      </c>
    </row>
    <row r="119" spans="1:11" hidden="1" x14ac:dyDescent="0.35">
      <c r="A119" t="s">
        <v>313</v>
      </c>
      <c r="B119" t="s">
        <v>536</v>
      </c>
      <c r="C119" t="s">
        <v>303</v>
      </c>
      <c r="D119" t="s">
        <v>232</v>
      </c>
      <c r="E119">
        <v>105</v>
      </c>
      <c r="F119">
        <v>0</v>
      </c>
      <c r="G119">
        <v>0</v>
      </c>
      <c r="H119">
        <v>55</v>
      </c>
      <c r="I119">
        <v>0</v>
      </c>
      <c r="J119">
        <v>0</v>
      </c>
      <c r="K119">
        <v>50</v>
      </c>
    </row>
    <row r="120" spans="1:11" hidden="1" x14ac:dyDescent="0.35">
      <c r="A120" t="s">
        <v>327</v>
      </c>
      <c r="B120" t="s">
        <v>539</v>
      </c>
      <c r="C120" t="s">
        <v>276</v>
      </c>
      <c r="E120">
        <v>23</v>
      </c>
      <c r="F120">
        <v>0</v>
      </c>
      <c r="G120">
        <v>11</v>
      </c>
      <c r="H120">
        <v>0</v>
      </c>
      <c r="I120">
        <v>0</v>
      </c>
      <c r="J120">
        <v>0</v>
      </c>
      <c r="K120">
        <v>23</v>
      </c>
    </row>
    <row r="121" spans="1:11" hidden="1" x14ac:dyDescent="0.35">
      <c r="A121" t="s">
        <v>319</v>
      </c>
      <c r="B121" t="s">
        <v>536</v>
      </c>
      <c r="C121" t="s">
        <v>216</v>
      </c>
      <c r="D121" t="s">
        <v>218</v>
      </c>
      <c r="E121">
        <v>159</v>
      </c>
      <c r="F121">
        <v>0</v>
      </c>
      <c r="G121">
        <v>0</v>
      </c>
      <c r="H121">
        <v>10</v>
      </c>
      <c r="I121">
        <v>0</v>
      </c>
      <c r="J121">
        <v>0</v>
      </c>
      <c r="K121">
        <v>149</v>
      </c>
    </row>
    <row r="122" spans="1:11" hidden="1" x14ac:dyDescent="0.35">
      <c r="A122" t="s">
        <v>327</v>
      </c>
      <c r="B122" t="s">
        <v>536</v>
      </c>
      <c r="C122" t="s">
        <v>297</v>
      </c>
      <c r="E122">
        <v>113</v>
      </c>
      <c r="F122">
        <v>0</v>
      </c>
      <c r="G122">
        <v>0</v>
      </c>
      <c r="H122">
        <v>11</v>
      </c>
      <c r="I122">
        <v>0</v>
      </c>
      <c r="J122">
        <v>0</v>
      </c>
      <c r="K122">
        <v>102</v>
      </c>
    </row>
    <row r="123" spans="1:11" hidden="1" x14ac:dyDescent="0.35">
      <c r="A123" t="s">
        <v>313</v>
      </c>
      <c r="B123" t="s">
        <v>536</v>
      </c>
      <c r="C123" t="s">
        <v>295</v>
      </c>
      <c r="D123" t="s">
        <v>218</v>
      </c>
      <c r="E123">
        <v>219</v>
      </c>
      <c r="F123">
        <v>0</v>
      </c>
      <c r="G123">
        <v>0</v>
      </c>
      <c r="H123">
        <v>131</v>
      </c>
      <c r="I123">
        <v>0</v>
      </c>
      <c r="J123">
        <v>21</v>
      </c>
      <c r="K123">
        <v>67</v>
      </c>
    </row>
    <row r="124" spans="1:11" hidden="1" x14ac:dyDescent="0.35">
      <c r="A124" t="s">
        <v>466</v>
      </c>
      <c r="B124" t="s">
        <v>539</v>
      </c>
      <c r="C124" t="s">
        <v>276</v>
      </c>
      <c r="E124">
        <v>25</v>
      </c>
      <c r="F124">
        <v>0</v>
      </c>
      <c r="G124">
        <v>14</v>
      </c>
      <c r="H124">
        <v>0</v>
      </c>
      <c r="I124">
        <v>0</v>
      </c>
      <c r="J124">
        <v>0</v>
      </c>
      <c r="K124">
        <v>25</v>
      </c>
    </row>
    <row r="125" spans="1:11" hidden="1" x14ac:dyDescent="0.35">
      <c r="A125" t="s">
        <v>321</v>
      </c>
      <c r="B125" t="s">
        <v>539</v>
      </c>
      <c r="C125" t="s">
        <v>252</v>
      </c>
      <c r="E125">
        <v>27</v>
      </c>
      <c r="F125">
        <v>0</v>
      </c>
      <c r="G125">
        <v>4</v>
      </c>
      <c r="H125">
        <v>0</v>
      </c>
      <c r="I125">
        <v>0</v>
      </c>
      <c r="J125">
        <v>0</v>
      </c>
      <c r="K125">
        <v>27</v>
      </c>
    </row>
    <row r="126" spans="1:11" hidden="1" x14ac:dyDescent="0.35">
      <c r="A126" t="s">
        <v>466</v>
      </c>
      <c r="B126" t="s">
        <v>536</v>
      </c>
      <c r="C126" t="s">
        <v>248</v>
      </c>
      <c r="E126">
        <v>177</v>
      </c>
      <c r="F126">
        <v>0</v>
      </c>
      <c r="G126">
        <v>0</v>
      </c>
      <c r="H126">
        <v>15</v>
      </c>
      <c r="I126">
        <v>0</v>
      </c>
      <c r="J126">
        <v>0</v>
      </c>
      <c r="K126">
        <v>162</v>
      </c>
    </row>
    <row r="127" spans="1:11" hidden="1" x14ac:dyDescent="0.35">
      <c r="A127" t="s">
        <v>466</v>
      </c>
      <c r="B127" t="s">
        <v>536</v>
      </c>
      <c r="C127" t="s">
        <v>245</v>
      </c>
      <c r="E127">
        <v>245</v>
      </c>
      <c r="F127">
        <v>0</v>
      </c>
      <c r="G127">
        <v>0</v>
      </c>
      <c r="H127">
        <v>187</v>
      </c>
      <c r="I127">
        <v>0</v>
      </c>
      <c r="J127">
        <v>6</v>
      </c>
      <c r="K127">
        <v>52</v>
      </c>
    </row>
    <row r="128" spans="1:11" hidden="1" x14ac:dyDescent="0.35">
      <c r="A128" t="s">
        <v>326</v>
      </c>
      <c r="B128" t="s">
        <v>536</v>
      </c>
      <c r="C128" t="s">
        <v>305</v>
      </c>
      <c r="E128">
        <v>234</v>
      </c>
      <c r="F128">
        <v>0</v>
      </c>
      <c r="G128">
        <v>0</v>
      </c>
      <c r="H128">
        <v>68</v>
      </c>
      <c r="I128">
        <v>0</v>
      </c>
      <c r="J128">
        <v>2</v>
      </c>
      <c r="K128">
        <v>164</v>
      </c>
    </row>
    <row r="129" spans="1:11" hidden="1" x14ac:dyDescent="0.35">
      <c r="A129" t="s">
        <v>326</v>
      </c>
      <c r="B129" t="s">
        <v>536</v>
      </c>
      <c r="C129" t="s">
        <v>241</v>
      </c>
      <c r="E129">
        <v>50</v>
      </c>
      <c r="F129">
        <v>0</v>
      </c>
      <c r="G129">
        <v>0</v>
      </c>
      <c r="H129">
        <v>25</v>
      </c>
      <c r="I129">
        <v>0</v>
      </c>
      <c r="J129">
        <v>0</v>
      </c>
      <c r="K129">
        <v>25</v>
      </c>
    </row>
    <row r="130" spans="1:11" hidden="1" x14ac:dyDescent="0.35">
      <c r="A130" t="s">
        <v>313</v>
      </c>
      <c r="B130" t="s">
        <v>539</v>
      </c>
      <c r="C130" t="s">
        <v>276</v>
      </c>
      <c r="D130" t="s">
        <v>218</v>
      </c>
      <c r="E130">
        <v>38</v>
      </c>
      <c r="F130">
        <v>0</v>
      </c>
      <c r="G130">
        <v>7</v>
      </c>
      <c r="H130">
        <v>0</v>
      </c>
      <c r="I130">
        <v>0</v>
      </c>
      <c r="J130">
        <v>0</v>
      </c>
      <c r="K130">
        <v>38</v>
      </c>
    </row>
    <row r="131" spans="1:11" hidden="1" x14ac:dyDescent="0.35">
      <c r="A131" t="s">
        <v>214</v>
      </c>
      <c r="B131" t="s">
        <v>536</v>
      </c>
      <c r="C131" t="s">
        <v>241</v>
      </c>
      <c r="D131" t="s">
        <v>240</v>
      </c>
      <c r="E131">
        <v>45</v>
      </c>
      <c r="F131">
        <v>0</v>
      </c>
      <c r="G131">
        <v>0</v>
      </c>
      <c r="H131">
        <v>20</v>
      </c>
      <c r="I131">
        <v>0</v>
      </c>
      <c r="J131">
        <v>0</v>
      </c>
      <c r="K131">
        <v>25</v>
      </c>
    </row>
    <row r="132" spans="1:11" hidden="1" x14ac:dyDescent="0.35">
      <c r="A132" t="s">
        <v>321</v>
      </c>
      <c r="B132" t="s">
        <v>536</v>
      </c>
      <c r="C132" t="s">
        <v>241</v>
      </c>
      <c r="E132">
        <v>49</v>
      </c>
      <c r="F132">
        <v>0</v>
      </c>
      <c r="G132">
        <v>0</v>
      </c>
      <c r="H132">
        <v>25</v>
      </c>
      <c r="I132">
        <v>0</v>
      </c>
      <c r="J132">
        <v>0</v>
      </c>
      <c r="K132">
        <v>24</v>
      </c>
    </row>
    <row r="133" spans="1:11" hidden="1" x14ac:dyDescent="0.35">
      <c r="A133" t="s">
        <v>326</v>
      </c>
      <c r="B133" t="s">
        <v>539</v>
      </c>
      <c r="C133" t="s">
        <v>245</v>
      </c>
      <c r="E133">
        <v>18</v>
      </c>
      <c r="F133">
        <v>0</v>
      </c>
      <c r="G133">
        <v>4</v>
      </c>
      <c r="H133">
        <v>0</v>
      </c>
      <c r="I133">
        <v>0</v>
      </c>
      <c r="J133">
        <v>0</v>
      </c>
      <c r="K133">
        <v>18</v>
      </c>
    </row>
    <row r="134" spans="1:11" hidden="1" x14ac:dyDescent="0.35">
      <c r="A134" t="s">
        <v>321</v>
      </c>
      <c r="B134" t="s">
        <v>541</v>
      </c>
      <c r="C134" t="s">
        <v>233</v>
      </c>
      <c r="E134">
        <v>107</v>
      </c>
      <c r="F134">
        <v>0</v>
      </c>
      <c r="G134">
        <v>0</v>
      </c>
      <c r="H134">
        <v>0</v>
      </c>
      <c r="I134">
        <v>0</v>
      </c>
      <c r="J134">
        <v>0</v>
      </c>
      <c r="K134">
        <v>107</v>
      </c>
    </row>
    <row r="135" spans="1:11" hidden="1" x14ac:dyDescent="0.35">
      <c r="A135" t="s">
        <v>321</v>
      </c>
      <c r="B135" t="s">
        <v>536</v>
      </c>
      <c r="C135" t="s">
        <v>221</v>
      </c>
      <c r="E135">
        <v>313</v>
      </c>
      <c r="F135">
        <v>0</v>
      </c>
      <c r="G135">
        <v>0</v>
      </c>
      <c r="H135">
        <v>285</v>
      </c>
      <c r="I135">
        <v>0</v>
      </c>
      <c r="J135">
        <v>0</v>
      </c>
      <c r="K135">
        <v>28</v>
      </c>
    </row>
    <row r="136" spans="1:11" hidden="1" x14ac:dyDescent="0.35">
      <c r="A136" t="s">
        <v>327</v>
      </c>
      <c r="B136" t="s">
        <v>536</v>
      </c>
      <c r="C136" t="s">
        <v>290</v>
      </c>
      <c r="E136">
        <v>198</v>
      </c>
      <c r="F136">
        <v>0</v>
      </c>
      <c r="G136">
        <v>0</v>
      </c>
      <c r="H136">
        <v>29</v>
      </c>
      <c r="I136">
        <v>0</v>
      </c>
      <c r="J136">
        <v>0</v>
      </c>
      <c r="K136">
        <v>169</v>
      </c>
    </row>
    <row r="137" spans="1:11" hidden="1" x14ac:dyDescent="0.35">
      <c r="A137" t="s">
        <v>321</v>
      </c>
      <c r="B137" t="s">
        <v>536</v>
      </c>
      <c r="C137" t="s">
        <v>254</v>
      </c>
      <c r="E137">
        <v>75</v>
      </c>
      <c r="F137">
        <v>0</v>
      </c>
      <c r="G137">
        <v>0</v>
      </c>
      <c r="H137">
        <v>0</v>
      </c>
      <c r="I137">
        <v>0</v>
      </c>
      <c r="J137">
        <v>0</v>
      </c>
      <c r="K137">
        <v>75</v>
      </c>
    </row>
    <row r="138" spans="1:11" hidden="1" x14ac:dyDescent="0.35">
      <c r="A138" t="s">
        <v>466</v>
      </c>
      <c r="B138" t="s">
        <v>539</v>
      </c>
      <c r="C138" t="s">
        <v>323</v>
      </c>
      <c r="E138">
        <v>20</v>
      </c>
      <c r="F138">
        <v>0</v>
      </c>
      <c r="G138">
        <v>9</v>
      </c>
      <c r="H138">
        <v>0</v>
      </c>
      <c r="I138">
        <v>0</v>
      </c>
      <c r="J138">
        <v>0</v>
      </c>
      <c r="K138">
        <v>20</v>
      </c>
    </row>
    <row r="139" spans="1:11" hidden="1" x14ac:dyDescent="0.35">
      <c r="A139" t="s">
        <v>321</v>
      </c>
      <c r="B139" t="s">
        <v>536</v>
      </c>
      <c r="C139" t="s">
        <v>268</v>
      </c>
      <c r="E139">
        <v>357</v>
      </c>
      <c r="F139">
        <v>0</v>
      </c>
      <c r="G139">
        <v>0</v>
      </c>
      <c r="H139">
        <v>103</v>
      </c>
      <c r="I139">
        <v>0</v>
      </c>
      <c r="J139">
        <v>0</v>
      </c>
      <c r="K139">
        <v>254</v>
      </c>
    </row>
    <row r="140" spans="1:11" hidden="1" x14ac:dyDescent="0.35">
      <c r="A140" t="s">
        <v>466</v>
      </c>
      <c r="B140" t="s">
        <v>541</v>
      </c>
      <c r="C140" t="s">
        <v>233</v>
      </c>
      <c r="E140">
        <v>132</v>
      </c>
      <c r="F140">
        <v>0</v>
      </c>
      <c r="G140">
        <v>0</v>
      </c>
      <c r="H140">
        <v>0</v>
      </c>
      <c r="I140">
        <v>0</v>
      </c>
      <c r="J140">
        <v>0</v>
      </c>
      <c r="K140">
        <v>132</v>
      </c>
    </row>
    <row r="141" spans="1:11" hidden="1" x14ac:dyDescent="0.35">
      <c r="A141" t="s">
        <v>313</v>
      </c>
      <c r="B141" t="s">
        <v>536</v>
      </c>
      <c r="C141" t="s">
        <v>288</v>
      </c>
      <c r="D141" t="s">
        <v>232</v>
      </c>
      <c r="E141">
        <v>201</v>
      </c>
      <c r="F141">
        <v>0</v>
      </c>
      <c r="G141">
        <v>0</v>
      </c>
      <c r="H141">
        <v>104</v>
      </c>
      <c r="I141">
        <v>0</v>
      </c>
      <c r="J141">
        <v>22</v>
      </c>
      <c r="K141">
        <v>75</v>
      </c>
    </row>
    <row r="142" spans="1:11" hidden="1" x14ac:dyDescent="0.35">
      <c r="A142" t="s">
        <v>466</v>
      </c>
      <c r="B142" t="s">
        <v>536</v>
      </c>
      <c r="C142" t="s">
        <v>271</v>
      </c>
      <c r="E142">
        <v>448</v>
      </c>
      <c r="F142">
        <v>0</v>
      </c>
      <c r="G142">
        <v>0</v>
      </c>
      <c r="H142">
        <v>0</v>
      </c>
      <c r="I142">
        <v>0</v>
      </c>
      <c r="J142">
        <v>0</v>
      </c>
      <c r="K142">
        <v>448</v>
      </c>
    </row>
    <row r="143" spans="1:11" hidden="1" x14ac:dyDescent="0.35">
      <c r="A143" t="s">
        <v>214</v>
      </c>
      <c r="B143" t="s">
        <v>536</v>
      </c>
      <c r="C143" t="s">
        <v>229</v>
      </c>
      <c r="D143" t="s">
        <v>228</v>
      </c>
      <c r="E143">
        <v>433</v>
      </c>
      <c r="F143">
        <v>0</v>
      </c>
      <c r="G143">
        <v>0</v>
      </c>
      <c r="H143">
        <v>176</v>
      </c>
      <c r="I143">
        <v>0</v>
      </c>
      <c r="J143">
        <v>203</v>
      </c>
      <c r="K143">
        <v>54</v>
      </c>
    </row>
    <row r="144" spans="1:11" hidden="1" x14ac:dyDescent="0.35">
      <c r="A144" t="s">
        <v>321</v>
      </c>
      <c r="B144" t="s">
        <v>536</v>
      </c>
      <c r="C144" t="s">
        <v>284</v>
      </c>
      <c r="E144">
        <v>121</v>
      </c>
      <c r="F144">
        <v>0</v>
      </c>
      <c r="G144">
        <v>0</v>
      </c>
      <c r="H144">
        <v>121</v>
      </c>
      <c r="I144">
        <v>0</v>
      </c>
      <c r="J144">
        <v>0</v>
      </c>
      <c r="K144">
        <v>0</v>
      </c>
    </row>
    <row r="145" spans="1:11" hidden="1" x14ac:dyDescent="0.35">
      <c r="A145" t="s">
        <v>327</v>
      </c>
      <c r="B145" t="s">
        <v>536</v>
      </c>
      <c r="C145" t="s">
        <v>278</v>
      </c>
      <c r="E145">
        <v>98</v>
      </c>
      <c r="F145">
        <v>0</v>
      </c>
      <c r="G145">
        <v>0</v>
      </c>
      <c r="H145">
        <v>35</v>
      </c>
      <c r="I145">
        <v>0</v>
      </c>
      <c r="J145">
        <v>0</v>
      </c>
      <c r="K145">
        <v>63</v>
      </c>
    </row>
    <row r="146" spans="1:11" hidden="1" x14ac:dyDescent="0.35">
      <c r="A146" t="s">
        <v>466</v>
      </c>
      <c r="B146" t="s">
        <v>539</v>
      </c>
      <c r="C146" t="s">
        <v>231</v>
      </c>
      <c r="E146">
        <v>20</v>
      </c>
      <c r="F146">
        <v>0</v>
      </c>
      <c r="G146">
        <v>6</v>
      </c>
      <c r="H146">
        <v>0</v>
      </c>
      <c r="I146">
        <v>0</v>
      </c>
      <c r="J146">
        <v>0</v>
      </c>
      <c r="K146">
        <v>20</v>
      </c>
    </row>
    <row r="147" spans="1:11" x14ac:dyDescent="0.35">
      <c r="A147" t="s">
        <v>214</v>
      </c>
      <c r="B147" t="s">
        <v>539</v>
      </c>
      <c r="C147" t="s">
        <v>227</v>
      </c>
      <c r="D147" t="s">
        <v>226</v>
      </c>
      <c r="E147">
        <v>29</v>
      </c>
      <c r="F147">
        <v>0</v>
      </c>
      <c r="G147">
        <v>1</v>
      </c>
      <c r="H147">
        <v>0</v>
      </c>
      <c r="I147">
        <v>0</v>
      </c>
      <c r="J147">
        <v>0</v>
      </c>
      <c r="K147">
        <v>29</v>
      </c>
    </row>
    <row r="148" spans="1:11" hidden="1" x14ac:dyDescent="0.35">
      <c r="A148" t="s">
        <v>319</v>
      </c>
      <c r="B148" t="s">
        <v>539</v>
      </c>
      <c r="C148" t="s">
        <v>223</v>
      </c>
      <c r="D148" t="s">
        <v>218</v>
      </c>
      <c r="E148">
        <v>26</v>
      </c>
      <c r="F148">
        <v>0</v>
      </c>
      <c r="G148">
        <v>7</v>
      </c>
      <c r="H148">
        <v>0</v>
      </c>
      <c r="I148">
        <v>0</v>
      </c>
      <c r="J148">
        <v>0</v>
      </c>
      <c r="K148">
        <v>26</v>
      </c>
    </row>
    <row r="149" spans="1:11" hidden="1" x14ac:dyDescent="0.35">
      <c r="A149" t="s">
        <v>313</v>
      </c>
      <c r="B149" t="s">
        <v>539</v>
      </c>
      <c r="C149" t="s">
        <v>231</v>
      </c>
      <c r="D149" t="s">
        <v>232</v>
      </c>
      <c r="E149">
        <v>28</v>
      </c>
      <c r="F149">
        <v>0</v>
      </c>
      <c r="G149">
        <v>3</v>
      </c>
      <c r="H149">
        <v>0</v>
      </c>
      <c r="I149">
        <v>0</v>
      </c>
      <c r="J149">
        <v>0</v>
      </c>
      <c r="K149">
        <v>28</v>
      </c>
    </row>
    <row r="150" spans="1:11" hidden="1" x14ac:dyDescent="0.35">
      <c r="A150" t="s">
        <v>466</v>
      </c>
      <c r="B150" t="s">
        <v>539</v>
      </c>
      <c r="C150" t="s">
        <v>286</v>
      </c>
      <c r="E150">
        <v>11</v>
      </c>
      <c r="F150">
        <v>0</v>
      </c>
      <c r="G150">
        <v>0</v>
      </c>
      <c r="H150">
        <v>0</v>
      </c>
      <c r="I150">
        <v>0</v>
      </c>
      <c r="J150">
        <v>0</v>
      </c>
      <c r="K150">
        <v>11</v>
      </c>
    </row>
    <row r="151" spans="1:11" hidden="1" x14ac:dyDescent="0.35">
      <c r="A151" t="s">
        <v>319</v>
      </c>
      <c r="B151" t="s">
        <v>539</v>
      </c>
      <c r="C151" t="s">
        <v>252</v>
      </c>
      <c r="D151" t="s">
        <v>232</v>
      </c>
      <c r="E151">
        <v>27</v>
      </c>
      <c r="F151">
        <v>0</v>
      </c>
      <c r="G151">
        <v>4</v>
      </c>
      <c r="H151">
        <v>0</v>
      </c>
      <c r="I151">
        <v>0</v>
      </c>
      <c r="J151">
        <v>0</v>
      </c>
      <c r="K151">
        <v>27</v>
      </c>
    </row>
    <row r="152" spans="1:11" hidden="1" x14ac:dyDescent="0.35">
      <c r="A152" t="s">
        <v>466</v>
      </c>
      <c r="B152" t="s">
        <v>539</v>
      </c>
      <c r="C152" t="s">
        <v>245</v>
      </c>
      <c r="E152">
        <v>1</v>
      </c>
      <c r="F152">
        <v>0</v>
      </c>
      <c r="G152">
        <v>4</v>
      </c>
      <c r="H152">
        <v>0</v>
      </c>
      <c r="I152">
        <v>0</v>
      </c>
      <c r="J152">
        <v>0</v>
      </c>
      <c r="K152">
        <v>1</v>
      </c>
    </row>
    <row r="153" spans="1:11" hidden="1" x14ac:dyDescent="0.35">
      <c r="A153" t="s">
        <v>319</v>
      </c>
      <c r="B153" t="s">
        <v>539</v>
      </c>
      <c r="C153" t="s">
        <v>266</v>
      </c>
      <c r="D153" t="s">
        <v>238</v>
      </c>
      <c r="E153">
        <v>19</v>
      </c>
      <c r="F153">
        <v>0</v>
      </c>
      <c r="G153">
        <v>2</v>
      </c>
      <c r="H153">
        <v>0</v>
      </c>
      <c r="I153">
        <v>0</v>
      </c>
      <c r="J153">
        <v>0</v>
      </c>
      <c r="K153">
        <v>19</v>
      </c>
    </row>
    <row r="154" spans="1:11" hidden="1" x14ac:dyDescent="0.35">
      <c r="A154" t="s">
        <v>321</v>
      </c>
      <c r="B154" t="s">
        <v>536</v>
      </c>
      <c r="C154" t="s">
        <v>235</v>
      </c>
      <c r="E154">
        <v>302</v>
      </c>
      <c r="F154">
        <v>0</v>
      </c>
      <c r="G154">
        <v>0</v>
      </c>
      <c r="H154">
        <v>7</v>
      </c>
      <c r="I154">
        <v>0</v>
      </c>
      <c r="J154">
        <v>0</v>
      </c>
      <c r="K154">
        <v>295</v>
      </c>
    </row>
    <row r="155" spans="1:11" hidden="1" x14ac:dyDescent="0.35">
      <c r="A155" t="s">
        <v>313</v>
      </c>
      <c r="B155" t="s">
        <v>536</v>
      </c>
      <c r="C155" t="s">
        <v>284</v>
      </c>
      <c r="D155" t="s">
        <v>218</v>
      </c>
      <c r="E155">
        <v>135</v>
      </c>
      <c r="F155">
        <v>0</v>
      </c>
      <c r="G155">
        <v>0</v>
      </c>
      <c r="H155">
        <v>135</v>
      </c>
      <c r="I155">
        <v>0</v>
      </c>
      <c r="J155">
        <v>0</v>
      </c>
      <c r="K155">
        <v>0</v>
      </c>
    </row>
    <row r="156" spans="1:11" hidden="1" x14ac:dyDescent="0.35">
      <c r="A156" t="s">
        <v>466</v>
      </c>
      <c r="B156" t="s">
        <v>536</v>
      </c>
      <c r="C156" t="s">
        <v>225</v>
      </c>
      <c r="E156">
        <v>125</v>
      </c>
      <c r="F156">
        <v>0</v>
      </c>
      <c r="G156">
        <v>0</v>
      </c>
      <c r="H156">
        <v>99</v>
      </c>
      <c r="I156">
        <v>0</v>
      </c>
      <c r="J156">
        <v>0</v>
      </c>
      <c r="K156">
        <v>26</v>
      </c>
    </row>
    <row r="157" spans="1:11" hidden="1" x14ac:dyDescent="0.35">
      <c r="A157" t="s">
        <v>327</v>
      </c>
      <c r="B157" t="s">
        <v>541</v>
      </c>
      <c r="C157" t="s">
        <v>219</v>
      </c>
      <c r="E157">
        <v>52</v>
      </c>
      <c r="F157">
        <v>0</v>
      </c>
      <c r="G157">
        <v>0</v>
      </c>
      <c r="H157">
        <v>0</v>
      </c>
      <c r="I157">
        <v>0</v>
      </c>
      <c r="J157">
        <v>0</v>
      </c>
      <c r="K157">
        <v>52</v>
      </c>
    </row>
    <row r="158" spans="1:11" hidden="1" x14ac:dyDescent="0.35">
      <c r="A158" t="s">
        <v>321</v>
      </c>
      <c r="B158" t="s">
        <v>539</v>
      </c>
      <c r="C158" t="s">
        <v>258</v>
      </c>
      <c r="E158">
        <v>29</v>
      </c>
      <c r="F158">
        <v>0</v>
      </c>
      <c r="G158">
        <v>4</v>
      </c>
      <c r="H158">
        <v>0</v>
      </c>
      <c r="I158">
        <v>0</v>
      </c>
      <c r="J158">
        <v>0</v>
      </c>
      <c r="K158">
        <v>29</v>
      </c>
    </row>
    <row r="159" spans="1:11" hidden="1" x14ac:dyDescent="0.35">
      <c r="A159" t="s">
        <v>313</v>
      </c>
      <c r="B159" t="s">
        <v>536</v>
      </c>
      <c r="C159" t="s">
        <v>235</v>
      </c>
      <c r="D159" t="s">
        <v>238</v>
      </c>
      <c r="E159">
        <v>314</v>
      </c>
      <c r="F159">
        <v>0</v>
      </c>
      <c r="G159">
        <v>0</v>
      </c>
      <c r="H159">
        <v>8</v>
      </c>
      <c r="I159">
        <v>0</v>
      </c>
      <c r="J159">
        <v>0</v>
      </c>
      <c r="K159">
        <v>306</v>
      </c>
    </row>
    <row r="160" spans="1:11" hidden="1" x14ac:dyDescent="0.35">
      <c r="A160" t="s">
        <v>327</v>
      </c>
      <c r="B160" t="s">
        <v>536</v>
      </c>
      <c r="C160" t="s">
        <v>260</v>
      </c>
      <c r="E160">
        <v>53</v>
      </c>
      <c r="F160">
        <v>0</v>
      </c>
      <c r="G160">
        <v>0</v>
      </c>
      <c r="H160">
        <v>0</v>
      </c>
      <c r="I160">
        <v>0</v>
      </c>
      <c r="J160">
        <v>0</v>
      </c>
      <c r="K160">
        <v>53</v>
      </c>
    </row>
    <row r="161" spans="1:11" hidden="1" x14ac:dyDescent="0.35">
      <c r="A161" t="s">
        <v>327</v>
      </c>
      <c r="B161" t="s">
        <v>536</v>
      </c>
      <c r="C161" t="s">
        <v>310</v>
      </c>
      <c r="E161">
        <v>96</v>
      </c>
      <c r="F161">
        <v>0</v>
      </c>
      <c r="G161">
        <v>0</v>
      </c>
      <c r="H161">
        <v>21</v>
      </c>
      <c r="I161">
        <v>0</v>
      </c>
      <c r="J161">
        <v>0</v>
      </c>
      <c r="K161">
        <v>75</v>
      </c>
    </row>
    <row r="162" spans="1:11" x14ac:dyDescent="0.35">
      <c r="A162" t="s">
        <v>214</v>
      </c>
      <c r="B162" t="s">
        <v>539</v>
      </c>
      <c r="C162" t="s">
        <v>266</v>
      </c>
      <c r="D162" t="s">
        <v>265</v>
      </c>
      <c r="E162">
        <v>20</v>
      </c>
      <c r="F162">
        <v>0</v>
      </c>
      <c r="G162">
        <v>0</v>
      </c>
      <c r="H162">
        <v>0</v>
      </c>
      <c r="I162">
        <v>0</v>
      </c>
      <c r="J162">
        <v>0</v>
      </c>
      <c r="K162">
        <v>20</v>
      </c>
    </row>
    <row r="163" spans="1:11" x14ac:dyDescent="0.35">
      <c r="A163" t="s">
        <v>214</v>
      </c>
      <c r="B163" t="s">
        <v>539</v>
      </c>
      <c r="C163" t="s">
        <v>243</v>
      </c>
      <c r="D163" t="s">
        <v>242</v>
      </c>
      <c r="E163">
        <v>18</v>
      </c>
      <c r="F163">
        <v>0</v>
      </c>
      <c r="G163">
        <v>1</v>
      </c>
      <c r="H163">
        <v>0</v>
      </c>
      <c r="I163">
        <v>0</v>
      </c>
      <c r="J163">
        <v>0</v>
      </c>
      <c r="K163">
        <v>18</v>
      </c>
    </row>
    <row r="164" spans="1:11" hidden="1" x14ac:dyDescent="0.35">
      <c r="A164" t="s">
        <v>327</v>
      </c>
      <c r="B164" t="s">
        <v>536</v>
      </c>
      <c r="C164" t="s">
        <v>284</v>
      </c>
      <c r="E164">
        <v>135</v>
      </c>
      <c r="F164">
        <v>0</v>
      </c>
      <c r="G164">
        <v>0</v>
      </c>
      <c r="H164">
        <v>132</v>
      </c>
      <c r="I164">
        <v>0</v>
      </c>
      <c r="J164">
        <v>0</v>
      </c>
      <c r="K164">
        <v>3</v>
      </c>
    </row>
    <row r="165" spans="1:11" hidden="1" x14ac:dyDescent="0.35">
      <c r="A165" t="s">
        <v>321</v>
      </c>
      <c r="B165" t="s">
        <v>536</v>
      </c>
      <c r="C165" t="s">
        <v>301</v>
      </c>
      <c r="E165">
        <v>133</v>
      </c>
      <c r="F165">
        <v>0</v>
      </c>
      <c r="G165">
        <v>0</v>
      </c>
      <c r="H165">
        <v>133</v>
      </c>
      <c r="I165">
        <v>0</v>
      </c>
      <c r="J165">
        <v>0</v>
      </c>
      <c r="K165">
        <v>0</v>
      </c>
    </row>
    <row r="166" spans="1:11" hidden="1" x14ac:dyDescent="0.35">
      <c r="A166" t="s">
        <v>321</v>
      </c>
      <c r="B166" t="s">
        <v>539</v>
      </c>
      <c r="C166" t="s">
        <v>227</v>
      </c>
      <c r="E166">
        <v>31</v>
      </c>
      <c r="F166">
        <v>0</v>
      </c>
      <c r="G166">
        <v>3</v>
      </c>
      <c r="H166">
        <v>0</v>
      </c>
      <c r="I166">
        <v>0</v>
      </c>
      <c r="J166">
        <v>0</v>
      </c>
      <c r="K166">
        <v>31</v>
      </c>
    </row>
    <row r="167" spans="1:11" hidden="1" x14ac:dyDescent="0.35">
      <c r="A167" t="s">
        <v>319</v>
      </c>
      <c r="B167" t="s">
        <v>536</v>
      </c>
      <c r="C167" t="s">
        <v>250</v>
      </c>
      <c r="D167" t="s">
        <v>232</v>
      </c>
      <c r="E167">
        <v>125</v>
      </c>
      <c r="F167">
        <v>0</v>
      </c>
      <c r="G167">
        <v>0</v>
      </c>
      <c r="H167">
        <v>78</v>
      </c>
      <c r="I167">
        <v>0</v>
      </c>
      <c r="J167">
        <v>0</v>
      </c>
      <c r="K167">
        <v>47</v>
      </c>
    </row>
    <row r="168" spans="1:11" hidden="1" x14ac:dyDescent="0.35">
      <c r="A168" t="s">
        <v>326</v>
      </c>
      <c r="B168" t="s">
        <v>536</v>
      </c>
      <c r="C168" t="s">
        <v>248</v>
      </c>
      <c r="E168">
        <v>181</v>
      </c>
      <c r="F168">
        <v>0</v>
      </c>
      <c r="G168">
        <v>0</v>
      </c>
      <c r="H168">
        <v>12</v>
      </c>
      <c r="I168">
        <v>0</v>
      </c>
      <c r="J168">
        <v>0</v>
      </c>
      <c r="K168">
        <v>169</v>
      </c>
    </row>
    <row r="169" spans="1:11" hidden="1" x14ac:dyDescent="0.35">
      <c r="A169" t="s">
        <v>326</v>
      </c>
      <c r="B169" t="s">
        <v>539</v>
      </c>
      <c r="C169" t="s">
        <v>286</v>
      </c>
      <c r="E169">
        <v>9</v>
      </c>
      <c r="F169">
        <v>0</v>
      </c>
      <c r="G169">
        <v>8</v>
      </c>
      <c r="H169">
        <v>0</v>
      </c>
      <c r="I169">
        <v>0</v>
      </c>
      <c r="J169">
        <v>0</v>
      </c>
      <c r="K169">
        <v>9</v>
      </c>
    </row>
    <row r="170" spans="1:11" hidden="1" x14ac:dyDescent="0.35">
      <c r="A170" t="s">
        <v>319</v>
      </c>
      <c r="B170" t="s">
        <v>539</v>
      </c>
      <c r="C170" t="s">
        <v>286</v>
      </c>
      <c r="D170" t="s">
        <v>218</v>
      </c>
      <c r="E170">
        <v>15</v>
      </c>
      <c r="F170">
        <v>0</v>
      </c>
      <c r="G170">
        <v>7</v>
      </c>
      <c r="H170">
        <v>0</v>
      </c>
      <c r="I170">
        <v>0</v>
      </c>
      <c r="J170">
        <v>0</v>
      </c>
      <c r="K170">
        <v>15</v>
      </c>
    </row>
    <row r="171" spans="1:11" hidden="1" x14ac:dyDescent="0.35">
      <c r="A171" t="s">
        <v>214</v>
      </c>
      <c r="B171" t="s">
        <v>536</v>
      </c>
      <c r="C171" t="s">
        <v>282</v>
      </c>
      <c r="D171" t="s">
        <v>281</v>
      </c>
      <c r="E171">
        <v>154</v>
      </c>
      <c r="F171">
        <v>0</v>
      </c>
      <c r="G171">
        <v>0</v>
      </c>
      <c r="H171">
        <v>120</v>
      </c>
      <c r="I171">
        <v>0</v>
      </c>
      <c r="J171">
        <v>4</v>
      </c>
      <c r="K171">
        <v>30</v>
      </c>
    </row>
    <row r="172" spans="1:11" hidden="1" x14ac:dyDescent="0.35">
      <c r="A172" t="s">
        <v>326</v>
      </c>
      <c r="B172" t="s">
        <v>539</v>
      </c>
      <c r="C172" t="s">
        <v>276</v>
      </c>
      <c r="E172">
        <v>20</v>
      </c>
      <c r="F172">
        <v>0</v>
      </c>
      <c r="G172">
        <v>11</v>
      </c>
      <c r="H172">
        <v>0</v>
      </c>
      <c r="I172">
        <v>0</v>
      </c>
      <c r="J172">
        <v>0</v>
      </c>
      <c r="K172">
        <v>20</v>
      </c>
    </row>
    <row r="173" spans="1:11" hidden="1" x14ac:dyDescent="0.35">
      <c r="A173" t="s">
        <v>313</v>
      </c>
      <c r="B173" t="s">
        <v>536</v>
      </c>
      <c r="C173" t="s">
        <v>308</v>
      </c>
      <c r="D173" t="s">
        <v>238</v>
      </c>
      <c r="E173">
        <v>126</v>
      </c>
      <c r="F173">
        <v>0</v>
      </c>
      <c r="G173">
        <v>0</v>
      </c>
      <c r="H173">
        <v>75</v>
      </c>
      <c r="I173">
        <v>0</v>
      </c>
      <c r="J173">
        <v>0</v>
      </c>
      <c r="K173">
        <v>51</v>
      </c>
    </row>
    <row r="174" spans="1:11" hidden="1" x14ac:dyDescent="0.35">
      <c r="A174" t="s">
        <v>321</v>
      </c>
      <c r="B174" t="s">
        <v>536</v>
      </c>
      <c r="C174" t="s">
        <v>250</v>
      </c>
      <c r="E174">
        <v>123</v>
      </c>
      <c r="F174">
        <v>0</v>
      </c>
      <c r="G174">
        <v>0</v>
      </c>
      <c r="H174">
        <v>77</v>
      </c>
      <c r="I174">
        <v>0</v>
      </c>
      <c r="J174">
        <v>0</v>
      </c>
      <c r="K174">
        <v>46</v>
      </c>
    </row>
    <row r="175" spans="1:11" hidden="1" x14ac:dyDescent="0.35">
      <c r="A175" t="s">
        <v>214</v>
      </c>
      <c r="B175" t="s">
        <v>536</v>
      </c>
      <c r="C175" t="s">
        <v>288</v>
      </c>
      <c r="D175" t="s">
        <v>287</v>
      </c>
      <c r="E175">
        <v>205</v>
      </c>
      <c r="F175">
        <v>0</v>
      </c>
      <c r="G175">
        <v>0</v>
      </c>
      <c r="H175">
        <v>107</v>
      </c>
      <c r="I175">
        <v>0</v>
      </c>
      <c r="J175">
        <v>22</v>
      </c>
      <c r="K175">
        <v>76</v>
      </c>
    </row>
    <row r="176" spans="1:11" hidden="1" x14ac:dyDescent="0.35">
      <c r="A176" t="s">
        <v>466</v>
      </c>
      <c r="B176" t="s">
        <v>536</v>
      </c>
      <c r="C176" t="s">
        <v>235</v>
      </c>
      <c r="E176">
        <v>296</v>
      </c>
      <c r="F176">
        <v>0</v>
      </c>
      <c r="G176">
        <v>0</v>
      </c>
      <c r="H176">
        <v>8</v>
      </c>
      <c r="I176">
        <v>0</v>
      </c>
      <c r="J176">
        <v>0</v>
      </c>
      <c r="K176">
        <v>288</v>
      </c>
    </row>
    <row r="177" spans="1:11" hidden="1" x14ac:dyDescent="0.35">
      <c r="A177" t="s">
        <v>321</v>
      </c>
      <c r="B177" t="s">
        <v>539</v>
      </c>
      <c r="C177" t="s">
        <v>314</v>
      </c>
      <c r="E177">
        <v>38</v>
      </c>
      <c r="F177">
        <v>0</v>
      </c>
      <c r="G177">
        <v>4</v>
      </c>
      <c r="H177">
        <v>0</v>
      </c>
      <c r="I177">
        <v>0</v>
      </c>
      <c r="J177">
        <v>0</v>
      </c>
      <c r="K177">
        <v>38</v>
      </c>
    </row>
    <row r="178" spans="1:11" hidden="1" x14ac:dyDescent="0.35">
      <c r="A178" t="s">
        <v>327</v>
      </c>
      <c r="B178" t="s">
        <v>539</v>
      </c>
      <c r="C178" t="s">
        <v>237</v>
      </c>
      <c r="E178">
        <v>27</v>
      </c>
      <c r="F178">
        <v>0</v>
      </c>
      <c r="G178">
        <v>0</v>
      </c>
      <c r="H178">
        <v>0</v>
      </c>
      <c r="I178">
        <v>0</v>
      </c>
      <c r="J178">
        <v>0</v>
      </c>
      <c r="K178">
        <v>27</v>
      </c>
    </row>
    <row r="179" spans="1:11" hidden="1" x14ac:dyDescent="0.35">
      <c r="A179" t="s">
        <v>319</v>
      </c>
      <c r="B179" t="s">
        <v>536</v>
      </c>
      <c r="C179" t="s">
        <v>241</v>
      </c>
      <c r="D179" t="s">
        <v>621</v>
      </c>
      <c r="E179">
        <v>51</v>
      </c>
      <c r="F179">
        <v>0</v>
      </c>
      <c r="G179">
        <v>0</v>
      </c>
      <c r="H179">
        <v>27</v>
      </c>
      <c r="I179">
        <v>0</v>
      </c>
      <c r="J179">
        <v>0</v>
      </c>
      <c r="K179">
        <v>24</v>
      </c>
    </row>
    <row r="180" spans="1:11" hidden="1" x14ac:dyDescent="0.35">
      <c r="A180" t="s">
        <v>466</v>
      </c>
      <c r="B180" t="s">
        <v>539</v>
      </c>
      <c r="C180" t="s">
        <v>237</v>
      </c>
      <c r="E180">
        <v>25</v>
      </c>
      <c r="F180">
        <v>0</v>
      </c>
      <c r="G180">
        <v>0</v>
      </c>
      <c r="H180">
        <v>0</v>
      </c>
      <c r="I180">
        <v>0</v>
      </c>
      <c r="J180">
        <v>0</v>
      </c>
      <c r="K180">
        <v>25</v>
      </c>
    </row>
    <row r="181" spans="1:11" x14ac:dyDescent="0.35">
      <c r="A181" t="s">
        <v>214</v>
      </c>
      <c r="B181" t="s">
        <v>539</v>
      </c>
      <c r="C181" t="s">
        <v>245</v>
      </c>
      <c r="D181" t="s">
        <v>246</v>
      </c>
      <c r="E181">
        <v>22</v>
      </c>
      <c r="F181">
        <v>0</v>
      </c>
      <c r="G181">
        <v>1</v>
      </c>
      <c r="H181">
        <v>0</v>
      </c>
      <c r="I181">
        <v>0</v>
      </c>
      <c r="J181">
        <v>0</v>
      </c>
      <c r="K181">
        <v>22</v>
      </c>
    </row>
    <row r="182" spans="1:11" hidden="1" x14ac:dyDescent="0.35">
      <c r="A182" t="s">
        <v>327</v>
      </c>
      <c r="B182" t="s">
        <v>536</v>
      </c>
      <c r="C182" t="s">
        <v>225</v>
      </c>
      <c r="E182">
        <v>127</v>
      </c>
      <c r="F182">
        <v>0</v>
      </c>
      <c r="G182">
        <v>0</v>
      </c>
      <c r="H182">
        <v>100</v>
      </c>
      <c r="I182">
        <v>0</v>
      </c>
      <c r="J182">
        <v>0</v>
      </c>
      <c r="K182">
        <v>27</v>
      </c>
    </row>
    <row r="183" spans="1:11" hidden="1" x14ac:dyDescent="0.35">
      <c r="A183" t="s">
        <v>313</v>
      </c>
      <c r="B183" t="s">
        <v>536</v>
      </c>
      <c r="C183" t="s">
        <v>297</v>
      </c>
      <c r="D183" t="s">
        <v>232</v>
      </c>
      <c r="E183">
        <v>117</v>
      </c>
      <c r="F183">
        <v>0</v>
      </c>
      <c r="G183">
        <v>0</v>
      </c>
      <c r="H183">
        <v>15</v>
      </c>
      <c r="I183">
        <v>0</v>
      </c>
      <c r="J183">
        <v>0</v>
      </c>
      <c r="K183">
        <v>102</v>
      </c>
    </row>
    <row r="184" spans="1:11" hidden="1" x14ac:dyDescent="0.35">
      <c r="A184" t="s">
        <v>321</v>
      </c>
      <c r="B184" t="s">
        <v>536</v>
      </c>
      <c r="C184" t="s">
        <v>216</v>
      </c>
      <c r="E184">
        <v>165</v>
      </c>
      <c r="F184">
        <v>0</v>
      </c>
      <c r="G184">
        <v>0</v>
      </c>
      <c r="H184">
        <v>11</v>
      </c>
      <c r="I184">
        <v>0</v>
      </c>
      <c r="J184">
        <v>0</v>
      </c>
      <c r="K184">
        <v>154</v>
      </c>
    </row>
    <row r="185" spans="1:11" hidden="1" x14ac:dyDescent="0.35">
      <c r="A185" t="s">
        <v>214</v>
      </c>
      <c r="B185" t="s">
        <v>536</v>
      </c>
      <c r="C185" t="s">
        <v>278</v>
      </c>
      <c r="D185" t="s">
        <v>277</v>
      </c>
      <c r="E185">
        <v>116</v>
      </c>
      <c r="F185">
        <v>0</v>
      </c>
      <c r="G185">
        <v>0</v>
      </c>
      <c r="H185">
        <v>44</v>
      </c>
      <c r="I185">
        <v>0</v>
      </c>
      <c r="J185">
        <v>0</v>
      </c>
      <c r="K185">
        <v>72</v>
      </c>
    </row>
    <row r="186" spans="1:11" hidden="1" x14ac:dyDescent="0.35">
      <c r="A186" t="s">
        <v>319</v>
      </c>
      <c r="B186" t="s">
        <v>536</v>
      </c>
      <c r="C186" t="s">
        <v>284</v>
      </c>
      <c r="D186" t="s">
        <v>218</v>
      </c>
      <c r="E186">
        <v>131</v>
      </c>
      <c r="F186">
        <v>0</v>
      </c>
      <c r="G186">
        <v>0</v>
      </c>
      <c r="H186">
        <v>131</v>
      </c>
      <c r="I186">
        <v>0</v>
      </c>
      <c r="J186">
        <v>0</v>
      </c>
      <c r="K186">
        <v>0</v>
      </c>
    </row>
    <row r="187" spans="1:11" hidden="1" x14ac:dyDescent="0.35">
      <c r="A187" t="s">
        <v>466</v>
      </c>
      <c r="B187" t="s">
        <v>536</v>
      </c>
      <c r="C187" t="s">
        <v>276</v>
      </c>
      <c r="E187">
        <v>557</v>
      </c>
      <c r="F187">
        <v>0</v>
      </c>
      <c r="G187">
        <v>0</v>
      </c>
      <c r="H187">
        <v>441</v>
      </c>
      <c r="I187">
        <v>0</v>
      </c>
      <c r="J187">
        <v>43</v>
      </c>
      <c r="K187">
        <v>73</v>
      </c>
    </row>
    <row r="188" spans="1:11" hidden="1" x14ac:dyDescent="0.35">
      <c r="A188" t="s">
        <v>319</v>
      </c>
      <c r="B188" t="s">
        <v>539</v>
      </c>
      <c r="C188" t="s">
        <v>258</v>
      </c>
      <c r="D188" t="s">
        <v>238</v>
      </c>
      <c r="E188">
        <v>28</v>
      </c>
      <c r="F188">
        <v>0</v>
      </c>
      <c r="G188">
        <v>4</v>
      </c>
      <c r="H188">
        <v>0</v>
      </c>
      <c r="I188">
        <v>0</v>
      </c>
      <c r="J188">
        <v>0</v>
      </c>
      <c r="K188">
        <v>28</v>
      </c>
    </row>
    <row r="189" spans="1:11" hidden="1" x14ac:dyDescent="0.35">
      <c r="A189" t="s">
        <v>214</v>
      </c>
      <c r="B189" t="s">
        <v>536</v>
      </c>
      <c r="C189" t="s">
        <v>293</v>
      </c>
      <c r="D189" t="s">
        <v>292</v>
      </c>
      <c r="E189">
        <v>109</v>
      </c>
      <c r="F189">
        <v>0</v>
      </c>
      <c r="G189">
        <v>0</v>
      </c>
      <c r="H189">
        <v>109</v>
      </c>
      <c r="I189">
        <v>0</v>
      </c>
      <c r="J189">
        <v>0</v>
      </c>
      <c r="K189">
        <v>0</v>
      </c>
    </row>
    <row r="190" spans="1:11" hidden="1" x14ac:dyDescent="0.35">
      <c r="A190" t="s">
        <v>313</v>
      </c>
      <c r="B190" t="s">
        <v>539</v>
      </c>
      <c r="C190" t="s">
        <v>314</v>
      </c>
      <c r="E190">
        <v>38</v>
      </c>
      <c r="F190">
        <v>0</v>
      </c>
      <c r="G190">
        <v>4</v>
      </c>
      <c r="H190">
        <v>0</v>
      </c>
      <c r="I190">
        <v>0</v>
      </c>
      <c r="J190">
        <v>0</v>
      </c>
      <c r="K190">
        <v>38</v>
      </c>
    </row>
    <row r="191" spans="1:11" hidden="1" x14ac:dyDescent="0.35">
      <c r="A191" t="s">
        <v>466</v>
      </c>
      <c r="B191" t="s">
        <v>536</v>
      </c>
      <c r="C191" t="s">
        <v>308</v>
      </c>
      <c r="E191">
        <v>119</v>
      </c>
      <c r="F191">
        <v>0</v>
      </c>
      <c r="G191">
        <v>0</v>
      </c>
      <c r="H191">
        <v>72</v>
      </c>
      <c r="I191">
        <v>0</v>
      </c>
      <c r="J191">
        <v>0</v>
      </c>
      <c r="K191">
        <v>47</v>
      </c>
    </row>
    <row r="192" spans="1:11" hidden="1" x14ac:dyDescent="0.35">
      <c r="A192" t="s">
        <v>326</v>
      </c>
      <c r="B192" t="s">
        <v>536</v>
      </c>
      <c r="C192" t="s">
        <v>290</v>
      </c>
      <c r="E192">
        <v>190</v>
      </c>
      <c r="F192">
        <v>0</v>
      </c>
      <c r="G192">
        <v>0</v>
      </c>
      <c r="H192">
        <v>31</v>
      </c>
      <c r="I192">
        <v>0</v>
      </c>
      <c r="J192">
        <v>0</v>
      </c>
      <c r="K192">
        <v>159</v>
      </c>
    </row>
    <row r="193" spans="1:11" hidden="1" x14ac:dyDescent="0.35">
      <c r="A193" t="s">
        <v>466</v>
      </c>
      <c r="B193" t="s">
        <v>543</v>
      </c>
      <c r="C193" t="s">
        <v>544</v>
      </c>
      <c r="D193" t="s">
        <v>548</v>
      </c>
      <c r="E193">
        <v>1178</v>
      </c>
      <c r="F193">
        <v>171</v>
      </c>
      <c r="G193">
        <v>0</v>
      </c>
      <c r="H193">
        <v>0</v>
      </c>
      <c r="I193">
        <v>917</v>
      </c>
      <c r="J193">
        <v>0</v>
      </c>
      <c r="K193">
        <v>90</v>
      </c>
    </row>
    <row r="194" spans="1:11" hidden="1" x14ac:dyDescent="0.35">
      <c r="A194" t="s">
        <v>466</v>
      </c>
      <c r="B194" t="s">
        <v>539</v>
      </c>
      <c r="C194" t="s">
        <v>252</v>
      </c>
      <c r="E194">
        <v>18</v>
      </c>
      <c r="F194">
        <v>0</v>
      </c>
      <c r="G194">
        <v>4</v>
      </c>
      <c r="H194">
        <v>0</v>
      </c>
      <c r="I194">
        <v>0</v>
      </c>
      <c r="J194">
        <v>0</v>
      </c>
      <c r="K194">
        <v>18</v>
      </c>
    </row>
    <row r="195" spans="1:11" hidden="1" x14ac:dyDescent="0.35">
      <c r="A195" t="s">
        <v>313</v>
      </c>
      <c r="B195" t="s">
        <v>539</v>
      </c>
      <c r="C195" t="s">
        <v>290</v>
      </c>
      <c r="D195" t="s">
        <v>232</v>
      </c>
      <c r="E195">
        <v>16</v>
      </c>
      <c r="F195">
        <v>0</v>
      </c>
      <c r="G195">
        <v>0</v>
      </c>
      <c r="H195">
        <v>0</v>
      </c>
      <c r="I195">
        <v>0</v>
      </c>
      <c r="J195">
        <v>0</v>
      </c>
      <c r="K195">
        <v>16</v>
      </c>
    </row>
    <row r="196" spans="1:11" hidden="1" x14ac:dyDescent="0.35">
      <c r="A196" t="s">
        <v>326</v>
      </c>
      <c r="B196" t="s">
        <v>539</v>
      </c>
      <c r="C196" t="s">
        <v>252</v>
      </c>
      <c r="E196">
        <v>26</v>
      </c>
      <c r="F196">
        <v>0</v>
      </c>
      <c r="G196">
        <v>4</v>
      </c>
      <c r="H196">
        <v>0</v>
      </c>
      <c r="I196">
        <v>0</v>
      </c>
      <c r="J196">
        <v>0</v>
      </c>
      <c r="K196">
        <v>26</v>
      </c>
    </row>
    <row r="197" spans="1:11" hidden="1" x14ac:dyDescent="0.35">
      <c r="A197" t="s">
        <v>466</v>
      </c>
      <c r="B197" t="s">
        <v>539</v>
      </c>
      <c r="C197" t="s">
        <v>262</v>
      </c>
      <c r="E197">
        <v>15</v>
      </c>
      <c r="F197">
        <v>0</v>
      </c>
      <c r="G197">
        <v>0</v>
      </c>
      <c r="H197">
        <v>0</v>
      </c>
      <c r="I197">
        <v>0</v>
      </c>
      <c r="J197">
        <v>0</v>
      </c>
      <c r="K197">
        <v>15</v>
      </c>
    </row>
    <row r="198" spans="1:11" hidden="1" x14ac:dyDescent="0.35">
      <c r="A198" t="s">
        <v>326</v>
      </c>
      <c r="B198" t="s">
        <v>536</v>
      </c>
      <c r="C198" t="s">
        <v>303</v>
      </c>
      <c r="E198">
        <v>96</v>
      </c>
      <c r="F198">
        <v>0</v>
      </c>
      <c r="G198">
        <v>0</v>
      </c>
      <c r="H198">
        <v>48</v>
      </c>
      <c r="I198">
        <v>0</v>
      </c>
      <c r="J198">
        <v>0</v>
      </c>
      <c r="K198">
        <v>48</v>
      </c>
    </row>
    <row r="199" spans="1:11" hidden="1" x14ac:dyDescent="0.35">
      <c r="A199" t="s">
        <v>326</v>
      </c>
      <c r="B199" t="s">
        <v>536</v>
      </c>
      <c r="C199" t="s">
        <v>260</v>
      </c>
      <c r="E199">
        <v>47</v>
      </c>
      <c r="F199">
        <v>0</v>
      </c>
      <c r="G199">
        <v>0</v>
      </c>
      <c r="H199">
        <v>0</v>
      </c>
      <c r="I199">
        <v>0</v>
      </c>
      <c r="J199">
        <v>0</v>
      </c>
      <c r="K199">
        <v>47</v>
      </c>
    </row>
    <row r="200" spans="1:11" hidden="1" x14ac:dyDescent="0.35">
      <c r="A200" t="s">
        <v>466</v>
      </c>
      <c r="B200" t="s">
        <v>541</v>
      </c>
      <c r="C200" t="s">
        <v>239</v>
      </c>
      <c r="D200" t="s">
        <v>238</v>
      </c>
      <c r="E200">
        <v>73</v>
      </c>
      <c r="F200">
        <v>0</v>
      </c>
      <c r="G200">
        <v>0</v>
      </c>
      <c r="H200">
        <v>0</v>
      </c>
      <c r="I200">
        <v>0</v>
      </c>
      <c r="J200">
        <v>0</v>
      </c>
      <c r="K200">
        <v>73</v>
      </c>
    </row>
    <row r="201" spans="1:11" hidden="1" x14ac:dyDescent="0.35">
      <c r="A201" t="s">
        <v>214</v>
      </c>
      <c r="B201" t="s">
        <v>536</v>
      </c>
      <c r="C201" t="s">
        <v>301</v>
      </c>
      <c r="D201" t="s">
        <v>300</v>
      </c>
      <c r="E201">
        <v>127</v>
      </c>
      <c r="F201">
        <v>0</v>
      </c>
      <c r="G201">
        <v>0</v>
      </c>
      <c r="H201">
        <v>127</v>
      </c>
      <c r="I201">
        <v>0</v>
      </c>
      <c r="J201">
        <v>0</v>
      </c>
      <c r="K201">
        <v>0</v>
      </c>
    </row>
    <row r="202" spans="1:11" hidden="1" x14ac:dyDescent="0.35">
      <c r="A202" t="s">
        <v>326</v>
      </c>
      <c r="B202" t="s">
        <v>539</v>
      </c>
      <c r="C202" t="s">
        <v>231</v>
      </c>
      <c r="E202">
        <v>30</v>
      </c>
      <c r="F202">
        <v>0</v>
      </c>
      <c r="G202">
        <v>0</v>
      </c>
      <c r="H202">
        <v>0</v>
      </c>
      <c r="I202">
        <v>0</v>
      </c>
      <c r="J202">
        <v>0</v>
      </c>
      <c r="K202">
        <v>30</v>
      </c>
    </row>
    <row r="203" spans="1:11" x14ac:dyDescent="0.35">
      <c r="A203" t="s">
        <v>214</v>
      </c>
      <c r="B203" t="s">
        <v>539</v>
      </c>
      <c r="C203" t="s">
        <v>305</v>
      </c>
      <c r="D203" t="s">
        <v>306</v>
      </c>
      <c r="E203">
        <v>16</v>
      </c>
      <c r="F203">
        <v>0</v>
      </c>
      <c r="G203">
        <v>1</v>
      </c>
      <c r="H203">
        <v>0</v>
      </c>
      <c r="I203">
        <v>0</v>
      </c>
      <c r="J203">
        <v>0</v>
      </c>
      <c r="K203">
        <v>16</v>
      </c>
    </row>
    <row r="204" spans="1:11" hidden="1" x14ac:dyDescent="0.35">
      <c r="A204" t="s">
        <v>326</v>
      </c>
      <c r="B204" t="s">
        <v>536</v>
      </c>
      <c r="C204" t="s">
        <v>310</v>
      </c>
      <c r="E204">
        <v>87</v>
      </c>
      <c r="F204">
        <v>0</v>
      </c>
      <c r="G204">
        <v>0</v>
      </c>
      <c r="H204">
        <v>19</v>
      </c>
      <c r="I204">
        <v>0</v>
      </c>
      <c r="J204">
        <v>0</v>
      </c>
      <c r="K204">
        <v>68</v>
      </c>
    </row>
    <row r="205" spans="1:11" hidden="1" x14ac:dyDescent="0.35">
      <c r="A205" t="s">
        <v>327</v>
      </c>
      <c r="B205" t="s">
        <v>536</v>
      </c>
      <c r="C205" t="s">
        <v>301</v>
      </c>
      <c r="E205">
        <v>115</v>
      </c>
      <c r="F205">
        <v>0</v>
      </c>
      <c r="G205">
        <v>0</v>
      </c>
      <c r="H205">
        <v>114</v>
      </c>
      <c r="I205">
        <v>0</v>
      </c>
      <c r="J205">
        <v>0</v>
      </c>
      <c r="K205">
        <v>1</v>
      </c>
    </row>
    <row r="206" spans="1:11" hidden="1" x14ac:dyDescent="0.35">
      <c r="A206" t="s">
        <v>214</v>
      </c>
      <c r="B206" t="s">
        <v>541</v>
      </c>
      <c r="C206" t="s">
        <v>219</v>
      </c>
      <c r="D206" t="s">
        <v>218</v>
      </c>
      <c r="E206">
        <v>30</v>
      </c>
      <c r="F206">
        <v>0</v>
      </c>
      <c r="G206">
        <v>0</v>
      </c>
      <c r="H206">
        <v>0</v>
      </c>
      <c r="I206">
        <v>0</v>
      </c>
      <c r="J206">
        <v>0</v>
      </c>
      <c r="K206">
        <v>30</v>
      </c>
    </row>
    <row r="207" spans="1:11" hidden="1" x14ac:dyDescent="0.35">
      <c r="A207" t="s">
        <v>326</v>
      </c>
      <c r="B207" t="s">
        <v>536</v>
      </c>
      <c r="C207" t="s">
        <v>299</v>
      </c>
      <c r="E207">
        <v>210</v>
      </c>
      <c r="F207">
        <v>0</v>
      </c>
      <c r="G207">
        <v>0</v>
      </c>
      <c r="H207">
        <v>154</v>
      </c>
      <c r="I207">
        <v>0</v>
      </c>
      <c r="J207">
        <v>0</v>
      </c>
      <c r="K207">
        <v>56</v>
      </c>
    </row>
    <row r="208" spans="1:11" hidden="1" x14ac:dyDescent="0.35">
      <c r="A208" t="s">
        <v>214</v>
      </c>
      <c r="B208" t="s">
        <v>536</v>
      </c>
      <c r="C208" t="s">
        <v>254</v>
      </c>
      <c r="D208" t="s">
        <v>253</v>
      </c>
      <c r="E208">
        <v>78</v>
      </c>
      <c r="F208">
        <v>0</v>
      </c>
      <c r="G208">
        <v>0</v>
      </c>
      <c r="H208">
        <v>0</v>
      </c>
      <c r="I208">
        <v>0</v>
      </c>
      <c r="J208">
        <v>0</v>
      </c>
      <c r="K208">
        <v>78</v>
      </c>
    </row>
    <row r="209" spans="1:11" hidden="1" x14ac:dyDescent="0.35">
      <c r="A209" t="s">
        <v>214</v>
      </c>
      <c r="B209" t="s">
        <v>541</v>
      </c>
      <c r="C209" t="s">
        <v>239</v>
      </c>
      <c r="D209" t="s">
        <v>238</v>
      </c>
      <c r="E209">
        <v>37</v>
      </c>
      <c r="F209">
        <v>0</v>
      </c>
      <c r="G209">
        <v>0</v>
      </c>
      <c r="H209">
        <v>0</v>
      </c>
      <c r="I209">
        <v>0</v>
      </c>
      <c r="J209">
        <v>0</v>
      </c>
      <c r="K209">
        <v>37</v>
      </c>
    </row>
    <row r="210" spans="1:11" x14ac:dyDescent="0.35">
      <c r="A210" t="s">
        <v>214</v>
      </c>
      <c r="B210" t="s">
        <v>539</v>
      </c>
      <c r="C210" t="s">
        <v>271</v>
      </c>
      <c r="D210" t="s">
        <v>272</v>
      </c>
      <c r="E210">
        <v>25</v>
      </c>
      <c r="F210">
        <v>0</v>
      </c>
      <c r="G210">
        <v>0</v>
      </c>
      <c r="H210">
        <v>0</v>
      </c>
      <c r="I210">
        <v>0</v>
      </c>
      <c r="J210">
        <v>0</v>
      </c>
      <c r="K210">
        <v>25</v>
      </c>
    </row>
    <row r="211" spans="1:11" hidden="1" x14ac:dyDescent="0.35">
      <c r="A211" t="s">
        <v>327</v>
      </c>
      <c r="B211" t="s">
        <v>536</v>
      </c>
      <c r="C211" t="s">
        <v>264</v>
      </c>
      <c r="E211">
        <v>152</v>
      </c>
      <c r="F211">
        <v>0</v>
      </c>
      <c r="G211">
        <v>0</v>
      </c>
      <c r="H211">
        <v>61</v>
      </c>
      <c r="I211">
        <v>0</v>
      </c>
      <c r="J211">
        <v>0</v>
      </c>
      <c r="K211">
        <v>91</v>
      </c>
    </row>
    <row r="212" spans="1:11" hidden="1" x14ac:dyDescent="0.35">
      <c r="A212" t="s">
        <v>466</v>
      </c>
      <c r="B212" t="s">
        <v>541</v>
      </c>
      <c r="C212" t="s">
        <v>219</v>
      </c>
      <c r="E212">
        <v>64</v>
      </c>
      <c r="F212">
        <v>0</v>
      </c>
      <c r="G212">
        <v>0</v>
      </c>
      <c r="H212">
        <v>0</v>
      </c>
      <c r="I212">
        <v>0</v>
      </c>
      <c r="J212">
        <v>0</v>
      </c>
      <c r="K212">
        <v>64</v>
      </c>
    </row>
    <row r="213" spans="1:11" hidden="1" x14ac:dyDescent="0.35">
      <c r="A213" t="s">
        <v>319</v>
      </c>
      <c r="B213" t="s">
        <v>536</v>
      </c>
      <c r="C213" t="s">
        <v>312</v>
      </c>
      <c r="D213" t="s">
        <v>238</v>
      </c>
      <c r="E213">
        <v>115</v>
      </c>
      <c r="F213">
        <v>0</v>
      </c>
      <c r="G213">
        <v>0</v>
      </c>
      <c r="H213">
        <v>58</v>
      </c>
      <c r="I213">
        <v>0</v>
      </c>
      <c r="J213">
        <v>0</v>
      </c>
      <c r="K213">
        <v>57</v>
      </c>
    </row>
    <row r="214" spans="1:11" hidden="1" x14ac:dyDescent="0.35">
      <c r="A214" t="s">
        <v>313</v>
      </c>
      <c r="B214" t="s">
        <v>539</v>
      </c>
      <c r="C214" t="s">
        <v>216</v>
      </c>
      <c r="D214" t="s">
        <v>218</v>
      </c>
      <c r="E214">
        <v>13</v>
      </c>
      <c r="F214">
        <v>0</v>
      </c>
      <c r="G214">
        <v>0</v>
      </c>
      <c r="H214">
        <v>0</v>
      </c>
      <c r="I214">
        <v>0</v>
      </c>
      <c r="J214">
        <v>0</v>
      </c>
      <c r="K214">
        <v>13</v>
      </c>
    </row>
    <row r="215" spans="1:11" x14ac:dyDescent="0.35">
      <c r="A215" t="s">
        <v>214</v>
      </c>
      <c r="B215" t="s">
        <v>539</v>
      </c>
      <c r="C215" t="s">
        <v>262</v>
      </c>
      <c r="D215" t="s">
        <v>261</v>
      </c>
      <c r="E215">
        <v>14</v>
      </c>
      <c r="F215">
        <v>0</v>
      </c>
      <c r="G215">
        <v>0</v>
      </c>
      <c r="H215">
        <v>0</v>
      </c>
      <c r="I215">
        <v>0</v>
      </c>
      <c r="J215">
        <v>0</v>
      </c>
      <c r="K215">
        <v>14</v>
      </c>
    </row>
    <row r="216" spans="1:11" hidden="1" x14ac:dyDescent="0.35">
      <c r="A216" t="s">
        <v>214</v>
      </c>
      <c r="B216" t="s">
        <v>541</v>
      </c>
      <c r="C216" t="s">
        <v>233</v>
      </c>
      <c r="D216" t="s">
        <v>232</v>
      </c>
      <c r="E216">
        <v>79</v>
      </c>
      <c r="F216">
        <v>0</v>
      </c>
      <c r="G216">
        <v>0</v>
      </c>
      <c r="H216">
        <v>0</v>
      </c>
      <c r="I216">
        <v>0</v>
      </c>
      <c r="J216">
        <v>0</v>
      </c>
      <c r="K216">
        <v>79</v>
      </c>
    </row>
    <row r="217" spans="1:11" hidden="1" x14ac:dyDescent="0.35">
      <c r="A217" t="s">
        <v>214</v>
      </c>
      <c r="B217" t="s">
        <v>536</v>
      </c>
      <c r="C217" t="s">
        <v>221</v>
      </c>
      <c r="D217" t="s">
        <v>220</v>
      </c>
      <c r="E217">
        <v>314</v>
      </c>
      <c r="F217">
        <v>0</v>
      </c>
      <c r="G217">
        <v>0</v>
      </c>
      <c r="H217">
        <v>284</v>
      </c>
      <c r="I217">
        <v>0</v>
      </c>
      <c r="J217">
        <v>0</v>
      </c>
      <c r="K217">
        <v>30</v>
      </c>
    </row>
    <row r="218" spans="1:11" hidden="1" x14ac:dyDescent="0.35">
      <c r="A218" t="s">
        <v>214</v>
      </c>
      <c r="B218" t="s">
        <v>536</v>
      </c>
      <c r="C218" t="s">
        <v>256</v>
      </c>
      <c r="D218" t="s">
        <v>255</v>
      </c>
      <c r="E218">
        <v>86</v>
      </c>
      <c r="F218">
        <v>0</v>
      </c>
      <c r="G218">
        <v>0</v>
      </c>
      <c r="H218">
        <v>62</v>
      </c>
      <c r="I218">
        <v>0</v>
      </c>
      <c r="J218">
        <v>0</v>
      </c>
      <c r="K218">
        <v>24</v>
      </c>
    </row>
    <row r="219" spans="1:11" hidden="1" x14ac:dyDescent="0.35">
      <c r="A219" t="s">
        <v>326</v>
      </c>
      <c r="B219" t="s">
        <v>536</v>
      </c>
      <c r="C219" t="s">
        <v>312</v>
      </c>
      <c r="E219">
        <v>113</v>
      </c>
      <c r="F219">
        <v>0</v>
      </c>
      <c r="G219">
        <v>0</v>
      </c>
      <c r="H219">
        <v>54</v>
      </c>
      <c r="I219">
        <v>0</v>
      </c>
      <c r="J219">
        <v>0</v>
      </c>
      <c r="K219">
        <v>59</v>
      </c>
    </row>
    <row r="220" spans="1:11" hidden="1" x14ac:dyDescent="0.35">
      <c r="A220" t="s">
        <v>327</v>
      </c>
      <c r="B220" t="s">
        <v>536</v>
      </c>
      <c r="C220" t="s">
        <v>312</v>
      </c>
      <c r="E220">
        <v>119</v>
      </c>
      <c r="F220">
        <v>0</v>
      </c>
      <c r="G220">
        <v>0</v>
      </c>
      <c r="H220">
        <v>56</v>
      </c>
      <c r="I220">
        <v>0</v>
      </c>
      <c r="J220">
        <v>0</v>
      </c>
      <c r="K220">
        <v>63</v>
      </c>
    </row>
    <row r="221" spans="1:11" hidden="1" x14ac:dyDescent="0.35">
      <c r="A221" t="s">
        <v>319</v>
      </c>
      <c r="B221" t="s">
        <v>536</v>
      </c>
      <c r="C221" t="s">
        <v>297</v>
      </c>
      <c r="D221" t="s">
        <v>232</v>
      </c>
      <c r="E221">
        <v>113</v>
      </c>
      <c r="F221">
        <v>0</v>
      </c>
      <c r="G221">
        <v>0</v>
      </c>
      <c r="H221">
        <v>13</v>
      </c>
      <c r="I221">
        <v>0</v>
      </c>
      <c r="J221">
        <v>0</v>
      </c>
      <c r="K221">
        <v>100</v>
      </c>
    </row>
    <row r="222" spans="1:11" hidden="1" x14ac:dyDescent="0.35">
      <c r="A222" t="s">
        <v>326</v>
      </c>
      <c r="B222" t="s">
        <v>536</v>
      </c>
      <c r="C222" t="s">
        <v>250</v>
      </c>
      <c r="E222">
        <v>118</v>
      </c>
      <c r="F222">
        <v>0</v>
      </c>
      <c r="G222">
        <v>0</v>
      </c>
      <c r="H222">
        <v>71</v>
      </c>
      <c r="I222">
        <v>0</v>
      </c>
      <c r="J222">
        <v>0</v>
      </c>
      <c r="K222">
        <v>47</v>
      </c>
    </row>
    <row r="223" spans="1:11" hidden="1" x14ac:dyDescent="0.35">
      <c r="A223" t="s">
        <v>326</v>
      </c>
      <c r="B223" t="s">
        <v>539</v>
      </c>
      <c r="C223" t="s">
        <v>271</v>
      </c>
      <c r="E223">
        <v>23</v>
      </c>
      <c r="F223">
        <v>0</v>
      </c>
      <c r="G223">
        <v>0</v>
      </c>
      <c r="H223">
        <v>0</v>
      </c>
      <c r="I223">
        <v>0</v>
      </c>
      <c r="J223">
        <v>0</v>
      </c>
      <c r="K223">
        <v>23</v>
      </c>
    </row>
    <row r="224" spans="1:11" hidden="1" x14ac:dyDescent="0.35">
      <c r="A224" t="s">
        <v>319</v>
      </c>
      <c r="B224" t="s">
        <v>536</v>
      </c>
      <c r="C224" t="s">
        <v>264</v>
      </c>
      <c r="D224" t="s">
        <v>238</v>
      </c>
      <c r="E224">
        <v>144</v>
      </c>
      <c r="F224">
        <v>0</v>
      </c>
      <c r="G224">
        <v>0</v>
      </c>
      <c r="H224">
        <v>56</v>
      </c>
      <c r="I224">
        <v>0</v>
      </c>
      <c r="J224">
        <v>0</v>
      </c>
      <c r="K224">
        <v>88</v>
      </c>
    </row>
    <row r="225" spans="1:11" hidden="1" x14ac:dyDescent="0.35">
      <c r="A225" t="s">
        <v>466</v>
      </c>
      <c r="B225" t="s">
        <v>539</v>
      </c>
      <c r="C225" t="s">
        <v>258</v>
      </c>
      <c r="E225">
        <v>20</v>
      </c>
      <c r="F225">
        <v>0</v>
      </c>
      <c r="G225">
        <v>4</v>
      </c>
      <c r="H225">
        <v>0</v>
      </c>
      <c r="I225">
        <v>0</v>
      </c>
      <c r="J225">
        <v>0</v>
      </c>
      <c r="K225">
        <v>20</v>
      </c>
    </row>
    <row r="226" spans="1:11" hidden="1" x14ac:dyDescent="0.35">
      <c r="A226" t="s">
        <v>466</v>
      </c>
      <c r="B226" t="s">
        <v>536</v>
      </c>
      <c r="C226" t="s">
        <v>290</v>
      </c>
      <c r="E226">
        <v>189</v>
      </c>
      <c r="F226">
        <v>0</v>
      </c>
      <c r="G226">
        <v>0</v>
      </c>
      <c r="H226">
        <v>26</v>
      </c>
      <c r="I226">
        <v>0</v>
      </c>
      <c r="J226">
        <v>0</v>
      </c>
      <c r="K226">
        <v>163</v>
      </c>
    </row>
    <row r="227" spans="1:11" hidden="1" x14ac:dyDescent="0.35">
      <c r="A227" t="s">
        <v>313</v>
      </c>
      <c r="B227" t="s">
        <v>539</v>
      </c>
      <c r="C227" t="s">
        <v>262</v>
      </c>
      <c r="D227" t="s">
        <v>232</v>
      </c>
      <c r="E227">
        <v>13</v>
      </c>
      <c r="F227">
        <v>0</v>
      </c>
      <c r="G227">
        <v>0</v>
      </c>
      <c r="H227">
        <v>0</v>
      </c>
      <c r="I227">
        <v>0</v>
      </c>
      <c r="J227">
        <v>0</v>
      </c>
      <c r="K227">
        <v>13</v>
      </c>
    </row>
    <row r="228" spans="1:11" hidden="1" x14ac:dyDescent="0.35">
      <c r="A228" t="s">
        <v>319</v>
      </c>
      <c r="B228" t="s">
        <v>536</v>
      </c>
      <c r="C228" t="s">
        <v>280</v>
      </c>
      <c r="D228" t="s">
        <v>238</v>
      </c>
      <c r="E228">
        <v>38</v>
      </c>
      <c r="F228">
        <v>0</v>
      </c>
      <c r="G228">
        <v>0</v>
      </c>
      <c r="H228">
        <v>11</v>
      </c>
      <c r="I228">
        <v>0</v>
      </c>
      <c r="J228">
        <v>0</v>
      </c>
      <c r="K228">
        <v>27</v>
      </c>
    </row>
    <row r="229" spans="1:11" hidden="1" x14ac:dyDescent="0.35">
      <c r="A229" t="s">
        <v>327</v>
      </c>
      <c r="B229" t="s">
        <v>536</v>
      </c>
      <c r="C229" t="s">
        <v>250</v>
      </c>
      <c r="E229">
        <v>119</v>
      </c>
      <c r="F229">
        <v>0</v>
      </c>
      <c r="G229">
        <v>0</v>
      </c>
      <c r="H229">
        <v>71</v>
      </c>
      <c r="I229">
        <v>0</v>
      </c>
      <c r="J229">
        <v>0</v>
      </c>
      <c r="K229">
        <v>48</v>
      </c>
    </row>
    <row r="230" spans="1:11" hidden="1" x14ac:dyDescent="0.35">
      <c r="A230" t="s">
        <v>313</v>
      </c>
      <c r="B230" t="s">
        <v>536</v>
      </c>
      <c r="C230" t="s">
        <v>278</v>
      </c>
      <c r="D230" t="s">
        <v>232</v>
      </c>
      <c r="E230">
        <v>112</v>
      </c>
      <c r="F230">
        <v>0</v>
      </c>
      <c r="G230">
        <v>0</v>
      </c>
      <c r="H230">
        <v>42</v>
      </c>
      <c r="I230">
        <v>0</v>
      </c>
      <c r="J230">
        <v>0</v>
      </c>
      <c r="K230">
        <v>70</v>
      </c>
    </row>
    <row r="231" spans="1:11" hidden="1" x14ac:dyDescent="0.35">
      <c r="A231" t="s">
        <v>319</v>
      </c>
      <c r="B231" t="s">
        <v>536</v>
      </c>
      <c r="C231" t="s">
        <v>301</v>
      </c>
      <c r="D231" t="s">
        <v>218</v>
      </c>
      <c r="E231">
        <v>132</v>
      </c>
      <c r="F231">
        <v>0</v>
      </c>
      <c r="G231">
        <v>0</v>
      </c>
      <c r="H231">
        <v>132</v>
      </c>
      <c r="I231">
        <v>0</v>
      </c>
      <c r="J231">
        <v>0</v>
      </c>
      <c r="K231">
        <v>0</v>
      </c>
    </row>
    <row r="232" spans="1:11" hidden="1" x14ac:dyDescent="0.35">
      <c r="A232" t="s">
        <v>313</v>
      </c>
      <c r="B232" t="s">
        <v>536</v>
      </c>
      <c r="C232" t="s">
        <v>310</v>
      </c>
      <c r="D232" t="s">
        <v>232</v>
      </c>
      <c r="E232">
        <v>93</v>
      </c>
      <c r="F232">
        <v>0</v>
      </c>
      <c r="G232">
        <v>0</v>
      </c>
      <c r="H232">
        <v>20</v>
      </c>
      <c r="I232">
        <v>0</v>
      </c>
      <c r="J232">
        <v>0</v>
      </c>
      <c r="K232">
        <v>73</v>
      </c>
    </row>
    <row r="233" spans="1:11" hidden="1" x14ac:dyDescent="0.35">
      <c r="A233" t="s">
        <v>466</v>
      </c>
      <c r="B233" t="s">
        <v>539</v>
      </c>
      <c r="C233" t="s">
        <v>271</v>
      </c>
      <c r="E233">
        <v>20</v>
      </c>
      <c r="F233">
        <v>0</v>
      </c>
      <c r="G233">
        <v>0</v>
      </c>
      <c r="H233">
        <v>0</v>
      </c>
      <c r="I233">
        <v>0</v>
      </c>
      <c r="J233">
        <v>0</v>
      </c>
      <c r="K233">
        <v>20</v>
      </c>
    </row>
    <row r="234" spans="1:11" hidden="1" x14ac:dyDescent="0.35">
      <c r="A234" t="s">
        <v>327</v>
      </c>
      <c r="B234" t="s">
        <v>536</v>
      </c>
      <c r="C234" t="s">
        <v>245</v>
      </c>
      <c r="E234">
        <v>239</v>
      </c>
      <c r="F234">
        <v>0</v>
      </c>
      <c r="G234">
        <v>0</v>
      </c>
      <c r="H234">
        <v>179</v>
      </c>
      <c r="I234">
        <v>0</v>
      </c>
      <c r="J234">
        <v>7</v>
      </c>
      <c r="K234">
        <v>53</v>
      </c>
    </row>
    <row r="235" spans="1:11" hidden="1" x14ac:dyDescent="0.35">
      <c r="A235" t="s">
        <v>327</v>
      </c>
      <c r="B235" t="s">
        <v>536</v>
      </c>
      <c r="C235" t="s">
        <v>288</v>
      </c>
      <c r="E235">
        <v>202</v>
      </c>
      <c r="F235">
        <v>0</v>
      </c>
      <c r="G235">
        <v>0</v>
      </c>
      <c r="H235">
        <v>98</v>
      </c>
      <c r="I235">
        <v>0</v>
      </c>
      <c r="J235">
        <v>19</v>
      </c>
      <c r="K235">
        <v>85</v>
      </c>
    </row>
    <row r="236" spans="1:11" hidden="1" x14ac:dyDescent="0.35">
      <c r="A236" t="s">
        <v>327</v>
      </c>
      <c r="B236" t="s">
        <v>536</v>
      </c>
      <c r="C236" t="s">
        <v>216</v>
      </c>
      <c r="E236">
        <v>172</v>
      </c>
      <c r="F236">
        <v>0</v>
      </c>
      <c r="G236">
        <v>0</v>
      </c>
      <c r="H236">
        <v>10</v>
      </c>
      <c r="I236">
        <v>0</v>
      </c>
      <c r="J236">
        <v>0</v>
      </c>
      <c r="K236">
        <v>162</v>
      </c>
    </row>
    <row r="237" spans="1:11" hidden="1" x14ac:dyDescent="0.35">
      <c r="A237" t="s">
        <v>313</v>
      </c>
      <c r="B237" t="s">
        <v>536</v>
      </c>
      <c r="C237" t="s">
        <v>280</v>
      </c>
      <c r="D237" t="s">
        <v>238</v>
      </c>
      <c r="E237">
        <v>39</v>
      </c>
      <c r="F237">
        <v>0</v>
      </c>
      <c r="G237">
        <v>0</v>
      </c>
      <c r="H237">
        <v>13</v>
      </c>
      <c r="I237">
        <v>0</v>
      </c>
      <c r="J237">
        <v>0</v>
      </c>
      <c r="K237">
        <v>26</v>
      </c>
    </row>
    <row r="238" spans="1:11" hidden="1" x14ac:dyDescent="0.35">
      <c r="A238" t="s">
        <v>321</v>
      </c>
      <c r="B238" t="s">
        <v>536</v>
      </c>
      <c r="C238" t="s">
        <v>303</v>
      </c>
      <c r="E238">
        <v>95</v>
      </c>
      <c r="F238">
        <v>0</v>
      </c>
      <c r="G238">
        <v>0</v>
      </c>
      <c r="H238">
        <v>48</v>
      </c>
      <c r="I238">
        <v>0</v>
      </c>
      <c r="J238">
        <v>0</v>
      </c>
      <c r="K238">
        <v>47</v>
      </c>
    </row>
    <row r="239" spans="1:11" hidden="1" x14ac:dyDescent="0.35">
      <c r="A239" t="s">
        <v>327</v>
      </c>
      <c r="B239" t="s">
        <v>539</v>
      </c>
      <c r="C239" t="s">
        <v>314</v>
      </c>
      <c r="E239">
        <v>33</v>
      </c>
      <c r="F239">
        <v>0</v>
      </c>
      <c r="G239">
        <v>4</v>
      </c>
      <c r="H239">
        <v>0</v>
      </c>
      <c r="I239">
        <v>0</v>
      </c>
      <c r="J239">
        <v>0</v>
      </c>
      <c r="K239">
        <v>33</v>
      </c>
    </row>
    <row r="240" spans="1:11" hidden="1" x14ac:dyDescent="0.35">
      <c r="A240" t="s">
        <v>321</v>
      </c>
      <c r="B240" t="s">
        <v>536</v>
      </c>
      <c r="C240" t="s">
        <v>276</v>
      </c>
      <c r="E240">
        <v>593</v>
      </c>
      <c r="F240">
        <v>0</v>
      </c>
      <c r="G240">
        <v>0</v>
      </c>
      <c r="H240">
        <v>478</v>
      </c>
      <c r="I240">
        <v>0</v>
      </c>
      <c r="J240">
        <v>45</v>
      </c>
      <c r="K240">
        <v>70</v>
      </c>
    </row>
    <row r="241" spans="1:11" hidden="1" x14ac:dyDescent="0.35">
      <c r="A241" t="s">
        <v>321</v>
      </c>
      <c r="B241" t="s">
        <v>539</v>
      </c>
      <c r="C241" t="s">
        <v>271</v>
      </c>
      <c r="E241">
        <v>23</v>
      </c>
      <c r="F241">
        <v>0</v>
      </c>
      <c r="G241">
        <v>0</v>
      </c>
      <c r="H241">
        <v>0</v>
      </c>
      <c r="I241">
        <v>0</v>
      </c>
      <c r="J241">
        <v>0</v>
      </c>
      <c r="K241">
        <v>23</v>
      </c>
    </row>
    <row r="242" spans="1:11" hidden="1" x14ac:dyDescent="0.35">
      <c r="A242" t="s">
        <v>313</v>
      </c>
      <c r="B242" t="s">
        <v>536</v>
      </c>
      <c r="C242" t="s">
        <v>245</v>
      </c>
      <c r="D242" t="s">
        <v>232</v>
      </c>
      <c r="E242">
        <v>249</v>
      </c>
      <c r="F242">
        <v>0</v>
      </c>
      <c r="G242">
        <v>0</v>
      </c>
      <c r="H242">
        <v>192</v>
      </c>
      <c r="I242">
        <v>0</v>
      </c>
      <c r="J242">
        <v>5</v>
      </c>
      <c r="K242">
        <v>52</v>
      </c>
    </row>
    <row r="243" spans="1:11" hidden="1" x14ac:dyDescent="0.35">
      <c r="A243" t="s">
        <v>466</v>
      </c>
      <c r="B243" t="s">
        <v>536</v>
      </c>
      <c r="C243" t="s">
        <v>241</v>
      </c>
      <c r="E243">
        <v>49</v>
      </c>
      <c r="F243">
        <v>0</v>
      </c>
      <c r="G243">
        <v>0</v>
      </c>
      <c r="H243">
        <v>23</v>
      </c>
      <c r="I243">
        <v>0</v>
      </c>
      <c r="J243">
        <v>0</v>
      </c>
      <c r="K243">
        <v>26</v>
      </c>
    </row>
    <row r="244" spans="1:11" hidden="1" x14ac:dyDescent="0.35">
      <c r="A244" t="s">
        <v>321</v>
      </c>
      <c r="B244" t="s">
        <v>536</v>
      </c>
      <c r="C244" t="s">
        <v>295</v>
      </c>
      <c r="E244">
        <v>204</v>
      </c>
      <c r="F244">
        <v>0</v>
      </c>
      <c r="G244">
        <v>0</v>
      </c>
      <c r="H244">
        <v>116</v>
      </c>
      <c r="I244">
        <v>0</v>
      </c>
      <c r="J244">
        <v>22</v>
      </c>
      <c r="K244">
        <v>66</v>
      </c>
    </row>
    <row r="245" spans="1:11" hidden="1" x14ac:dyDescent="0.35">
      <c r="A245" t="s">
        <v>326</v>
      </c>
      <c r="B245" t="s">
        <v>536</v>
      </c>
      <c r="C245" t="s">
        <v>295</v>
      </c>
      <c r="E245">
        <v>209</v>
      </c>
      <c r="F245">
        <v>0</v>
      </c>
      <c r="G245">
        <v>0</v>
      </c>
      <c r="H245">
        <v>119</v>
      </c>
      <c r="I245">
        <v>0</v>
      </c>
      <c r="J245">
        <v>21</v>
      </c>
      <c r="K245">
        <v>69</v>
      </c>
    </row>
    <row r="246" spans="1:11" hidden="1" x14ac:dyDescent="0.35">
      <c r="A246" t="s">
        <v>319</v>
      </c>
      <c r="B246" t="s">
        <v>536</v>
      </c>
      <c r="C246" t="s">
        <v>221</v>
      </c>
      <c r="D246" t="s">
        <v>218</v>
      </c>
      <c r="E246">
        <v>315</v>
      </c>
      <c r="F246">
        <v>0</v>
      </c>
      <c r="G246">
        <v>0</v>
      </c>
      <c r="H246">
        <v>286</v>
      </c>
      <c r="I246">
        <v>0</v>
      </c>
      <c r="J246">
        <v>0</v>
      </c>
      <c r="K246">
        <v>29</v>
      </c>
    </row>
    <row r="247" spans="1:11" hidden="1" x14ac:dyDescent="0.35">
      <c r="A247" t="s">
        <v>321</v>
      </c>
      <c r="B247" t="s">
        <v>536</v>
      </c>
      <c r="C247" t="s">
        <v>256</v>
      </c>
      <c r="E247">
        <v>80</v>
      </c>
      <c r="F247">
        <v>0</v>
      </c>
      <c r="G247">
        <v>0</v>
      </c>
      <c r="H247">
        <v>56</v>
      </c>
      <c r="I247">
        <v>0</v>
      </c>
      <c r="J247">
        <v>0</v>
      </c>
      <c r="K247">
        <v>24</v>
      </c>
    </row>
    <row r="248" spans="1:11" hidden="1" x14ac:dyDescent="0.35">
      <c r="A248" t="s">
        <v>319</v>
      </c>
      <c r="B248" t="s">
        <v>536</v>
      </c>
      <c r="C248" t="s">
        <v>295</v>
      </c>
      <c r="D248" t="s">
        <v>218</v>
      </c>
      <c r="E248">
        <v>214</v>
      </c>
      <c r="F248">
        <v>0</v>
      </c>
      <c r="G248">
        <v>0</v>
      </c>
      <c r="H248">
        <v>130</v>
      </c>
      <c r="I248">
        <v>0</v>
      </c>
      <c r="J248">
        <v>21</v>
      </c>
      <c r="K248">
        <v>63</v>
      </c>
    </row>
    <row r="249" spans="1:11" hidden="1" x14ac:dyDescent="0.35">
      <c r="A249" t="s">
        <v>321</v>
      </c>
      <c r="B249" t="s">
        <v>541</v>
      </c>
      <c r="C249" t="s">
        <v>239</v>
      </c>
      <c r="D249" t="s">
        <v>238</v>
      </c>
      <c r="E249">
        <v>66</v>
      </c>
      <c r="F249">
        <v>0</v>
      </c>
      <c r="G249">
        <v>0</v>
      </c>
      <c r="H249">
        <v>0</v>
      </c>
      <c r="I249">
        <v>0</v>
      </c>
      <c r="J249">
        <v>0</v>
      </c>
      <c r="K249">
        <v>66</v>
      </c>
    </row>
    <row r="250" spans="1:11" hidden="1" x14ac:dyDescent="0.35">
      <c r="A250" t="s">
        <v>326</v>
      </c>
      <c r="B250" t="s">
        <v>536</v>
      </c>
      <c r="C250" t="s">
        <v>276</v>
      </c>
      <c r="E250">
        <v>11</v>
      </c>
      <c r="F250">
        <v>0</v>
      </c>
      <c r="G250">
        <v>0</v>
      </c>
      <c r="H250">
        <v>0</v>
      </c>
      <c r="I250">
        <v>0</v>
      </c>
      <c r="J250">
        <v>0</v>
      </c>
      <c r="K250">
        <v>11</v>
      </c>
    </row>
    <row r="251" spans="1:11" hidden="1" x14ac:dyDescent="0.35">
      <c r="A251" t="s">
        <v>319</v>
      </c>
      <c r="B251" t="s">
        <v>536</v>
      </c>
      <c r="C251" t="s">
        <v>278</v>
      </c>
      <c r="D251" t="s">
        <v>232</v>
      </c>
      <c r="E251">
        <v>114</v>
      </c>
      <c r="F251">
        <v>0</v>
      </c>
      <c r="G251">
        <v>0</v>
      </c>
      <c r="H251">
        <v>44</v>
      </c>
      <c r="I251">
        <v>0</v>
      </c>
      <c r="J251">
        <v>0</v>
      </c>
      <c r="K251">
        <v>70</v>
      </c>
    </row>
    <row r="252" spans="1:11" hidden="1" x14ac:dyDescent="0.35">
      <c r="A252" t="s">
        <v>466</v>
      </c>
      <c r="B252" t="s">
        <v>536</v>
      </c>
      <c r="C252" t="s">
        <v>250</v>
      </c>
      <c r="E252">
        <v>124</v>
      </c>
      <c r="F252">
        <v>0</v>
      </c>
      <c r="G252">
        <v>0</v>
      </c>
      <c r="H252">
        <v>69</v>
      </c>
      <c r="I252">
        <v>0</v>
      </c>
      <c r="J252">
        <v>0</v>
      </c>
      <c r="K252">
        <v>55</v>
      </c>
    </row>
    <row r="253" spans="1:11" hidden="1" x14ac:dyDescent="0.35">
      <c r="A253" t="s">
        <v>313</v>
      </c>
      <c r="B253" t="s">
        <v>536</v>
      </c>
      <c r="C253" t="s">
        <v>250</v>
      </c>
      <c r="D253" t="s">
        <v>232</v>
      </c>
      <c r="E253">
        <v>129</v>
      </c>
      <c r="F253">
        <v>0</v>
      </c>
      <c r="G253">
        <v>0</v>
      </c>
      <c r="H253">
        <v>80</v>
      </c>
      <c r="I253">
        <v>0</v>
      </c>
      <c r="J253">
        <v>0</v>
      </c>
      <c r="K253">
        <v>49</v>
      </c>
    </row>
    <row r="254" spans="1:11" hidden="1" x14ac:dyDescent="0.35">
      <c r="A254" t="s">
        <v>319</v>
      </c>
      <c r="B254" t="s">
        <v>539</v>
      </c>
      <c r="C254" t="s">
        <v>237</v>
      </c>
      <c r="D254" t="s">
        <v>238</v>
      </c>
      <c r="E254">
        <v>28</v>
      </c>
      <c r="F254">
        <v>0</v>
      </c>
      <c r="G254">
        <v>0</v>
      </c>
      <c r="H254">
        <v>0</v>
      </c>
      <c r="I254">
        <v>0</v>
      </c>
      <c r="J254">
        <v>0</v>
      </c>
      <c r="K254">
        <v>28</v>
      </c>
    </row>
    <row r="255" spans="1:11" hidden="1" x14ac:dyDescent="0.35">
      <c r="A255" t="s">
        <v>466</v>
      </c>
      <c r="B255" t="s">
        <v>536</v>
      </c>
      <c r="C255" t="s">
        <v>299</v>
      </c>
      <c r="E255">
        <v>203</v>
      </c>
      <c r="F255">
        <v>0</v>
      </c>
      <c r="G255">
        <v>0</v>
      </c>
      <c r="H255">
        <v>145</v>
      </c>
      <c r="I255">
        <v>0</v>
      </c>
      <c r="J255">
        <v>0</v>
      </c>
      <c r="K255">
        <v>58</v>
      </c>
    </row>
    <row r="256" spans="1:11" hidden="1" x14ac:dyDescent="0.35">
      <c r="A256" t="s">
        <v>319</v>
      </c>
      <c r="B256" t="s">
        <v>536</v>
      </c>
      <c r="C256" t="s">
        <v>229</v>
      </c>
      <c r="D256" t="s">
        <v>232</v>
      </c>
      <c r="E256">
        <v>421</v>
      </c>
      <c r="F256">
        <v>0</v>
      </c>
      <c r="G256">
        <v>0</v>
      </c>
      <c r="H256">
        <v>168</v>
      </c>
      <c r="I256">
        <v>0</v>
      </c>
      <c r="J256">
        <v>201</v>
      </c>
      <c r="K256">
        <v>52</v>
      </c>
    </row>
    <row r="257" spans="1:11" hidden="1" x14ac:dyDescent="0.35">
      <c r="A257" t="s">
        <v>214</v>
      </c>
      <c r="B257" t="s">
        <v>536</v>
      </c>
      <c r="C257" t="s">
        <v>312</v>
      </c>
      <c r="D257" t="s">
        <v>311</v>
      </c>
      <c r="E257">
        <v>115</v>
      </c>
      <c r="F257">
        <v>0</v>
      </c>
      <c r="G257">
        <v>0</v>
      </c>
      <c r="H257">
        <v>59</v>
      </c>
      <c r="I257">
        <v>0</v>
      </c>
      <c r="J257">
        <v>0</v>
      </c>
      <c r="K257">
        <v>56</v>
      </c>
    </row>
    <row r="258" spans="1:11" hidden="1" x14ac:dyDescent="0.35">
      <c r="A258" t="s">
        <v>466</v>
      </c>
      <c r="B258" t="s">
        <v>536</v>
      </c>
      <c r="C258" t="s">
        <v>295</v>
      </c>
      <c r="E258">
        <v>197</v>
      </c>
      <c r="F258">
        <v>0</v>
      </c>
      <c r="G258">
        <v>0</v>
      </c>
      <c r="H258">
        <v>117</v>
      </c>
      <c r="I258">
        <v>0</v>
      </c>
      <c r="J258">
        <v>21</v>
      </c>
      <c r="K258">
        <v>59</v>
      </c>
    </row>
    <row r="259" spans="1:11" hidden="1" x14ac:dyDescent="0.35">
      <c r="A259" t="s">
        <v>326</v>
      </c>
      <c r="B259" t="s">
        <v>536</v>
      </c>
      <c r="C259" t="s">
        <v>284</v>
      </c>
      <c r="E259">
        <v>138</v>
      </c>
      <c r="F259">
        <v>0</v>
      </c>
      <c r="G259">
        <v>0</v>
      </c>
      <c r="H259">
        <v>135</v>
      </c>
      <c r="I259">
        <v>0</v>
      </c>
      <c r="J259">
        <v>0</v>
      </c>
      <c r="K259">
        <v>3</v>
      </c>
    </row>
    <row r="260" spans="1:11" hidden="1" x14ac:dyDescent="0.35">
      <c r="A260" t="s">
        <v>313</v>
      </c>
      <c r="B260" t="s">
        <v>541</v>
      </c>
      <c r="C260" t="s">
        <v>219</v>
      </c>
      <c r="D260" t="s">
        <v>218</v>
      </c>
      <c r="E260">
        <v>42</v>
      </c>
      <c r="F260">
        <v>0</v>
      </c>
      <c r="G260">
        <v>0</v>
      </c>
      <c r="H260">
        <v>0</v>
      </c>
      <c r="I260">
        <v>0</v>
      </c>
      <c r="J260">
        <v>0</v>
      </c>
      <c r="K260">
        <v>42</v>
      </c>
    </row>
    <row r="261" spans="1:11" hidden="1" x14ac:dyDescent="0.35">
      <c r="A261" t="s">
        <v>214</v>
      </c>
      <c r="B261" t="s">
        <v>536</v>
      </c>
      <c r="C261" t="s">
        <v>308</v>
      </c>
      <c r="D261" t="s">
        <v>307</v>
      </c>
      <c r="E261">
        <v>124</v>
      </c>
      <c r="F261">
        <v>0</v>
      </c>
      <c r="G261">
        <v>0</v>
      </c>
      <c r="H261">
        <v>75</v>
      </c>
      <c r="I261">
        <v>0</v>
      </c>
      <c r="J261">
        <v>0</v>
      </c>
      <c r="K261">
        <v>49</v>
      </c>
    </row>
    <row r="262" spans="1:11" hidden="1" x14ac:dyDescent="0.35">
      <c r="A262" t="s">
        <v>313</v>
      </c>
      <c r="B262" t="s">
        <v>536</v>
      </c>
      <c r="C262" t="s">
        <v>260</v>
      </c>
      <c r="D262" t="s">
        <v>232</v>
      </c>
      <c r="E262">
        <v>50</v>
      </c>
      <c r="F262">
        <v>0</v>
      </c>
      <c r="G262">
        <v>0</v>
      </c>
      <c r="H262">
        <v>0</v>
      </c>
      <c r="I262">
        <v>0</v>
      </c>
      <c r="J262">
        <v>0</v>
      </c>
      <c r="K262">
        <v>50</v>
      </c>
    </row>
    <row r="263" spans="1:11" hidden="1" x14ac:dyDescent="0.35">
      <c r="A263" t="s">
        <v>313</v>
      </c>
      <c r="B263" t="s">
        <v>536</v>
      </c>
      <c r="C263" t="s">
        <v>248</v>
      </c>
      <c r="D263" t="s">
        <v>218</v>
      </c>
      <c r="E263">
        <v>194</v>
      </c>
      <c r="F263">
        <v>0</v>
      </c>
      <c r="G263">
        <v>0</v>
      </c>
      <c r="H263">
        <v>12</v>
      </c>
      <c r="I263">
        <v>0</v>
      </c>
      <c r="J263">
        <v>0</v>
      </c>
      <c r="K263">
        <v>182</v>
      </c>
    </row>
    <row r="264" spans="1:11" hidden="1" x14ac:dyDescent="0.35">
      <c r="A264" t="s">
        <v>466</v>
      </c>
      <c r="B264" t="s">
        <v>536</v>
      </c>
      <c r="C264" t="s">
        <v>288</v>
      </c>
      <c r="E264">
        <v>191</v>
      </c>
      <c r="F264">
        <v>0</v>
      </c>
      <c r="G264">
        <v>0</v>
      </c>
      <c r="H264">
        <v>100</v>
      </c>
      <c r="I264">
        <v>0</v>
      </c>
      <c r="J264">
        <v>19</v>
      </c>
      <c r="K264">
        <v>72</v>
      </c>
    </row>
    <row r="265" spans="1:11" hidden="1" x14ac:dyDescent="0.35">
      <c r="A265" t="s">
        <v>327</v>
      </c>
      <c r="B265" t="s">
        <v>536</v>
      </c>
      <c r="C265" t="s">
        <v>241</v>
      </c>
      <c r="E265">
        <v>50</v>
      </c>
      <c r="F265">
        <v>0</v>
      </c>
      <c r="G265">
        <v>0</v>
      </c>
      <c r="H265">
        <v>23</v>
      </c>
      <c r="I265">
        <v>0</v>
      </c>
      <c r="J265">
        <v>0</v>
      </c>
      <c r="K265">
        <v>27</v>
      </c>
    </row>
    <row r="266" spans="1:11" hidden="1" x14ac:dyDescent="0.35">
      <c r="A266" t="s">
        <v>321</v>
      </c>
      <c r="B266" t="s">
        <v>536</v>
      </c>
      <c r="C266" t="s">
        <v>245</v>
      </c>
      <c r="E266">
        <v>248</v>
      </c>
      <c r="F266">
        <v>0</v>
      </c>
      <c r="G266">
        <v>0</v>
      </c>
      <c r="H266">
        <v>192</v>
      </c>
      <c r="I266">
        <v>0</v>
      </c>
      <c r="J266">
        <v>6</v>
      </c>
      <c r="K266">
        <v>50</v>
      </c>
    </row>
    <row r="267" spans="1:11" hidden="1" x14ac:dyDescent="0.35">
      <c r="A267" t="s">
        <v>327</v>
      </c>
      <c r="B267" t="s">
        <v>539</v>
      </c>
      <c r="C267" t="s">
        <v>245</v>
      </c>
      <c r="E267">
        <v>22</v>
      </c>
      <c r="F267">
        <v>0</v>
      </c>
      <c r="G267">
        <v>4</v>
      </c>
      <c r="H267">
        <v>0</v>
      </c>
      <c r="I267">
        <v>0</v>
      </c>
      <c r="J267">
        <v>0</v>
      </c>
      <c r="K267">
        <v>22</v>
      </c>
    </row>
    <row r="268" spans="1:11" hidden="1" x14ac:dyDescent="0.35">
      <c r="A268" t="s">
        <v>319</v>
      </c>
      <c r="B268" t="s">
        <v>539</v>
      </c>
      <c r="C268" t="s">
        <v>216</v>
      </c>
      <c r="D268" t="s">
        <v>218</v>
      </c>
      <c r="E268">
        <v>12</v>
      </c>
      <c r="F268">
        <v>0</v>
      </c>
      <c r="G268">
        <v>0</v>
      </c>
      <c r="H268">
        <v>0</v>
      </c>
      <c r="I268">
        <v>0</v>
      </c>
      <c r="J268">
        <v>0</v>
      </c>
      <c r="K268">
        <v>12</v>
      </c>
    </row>
    <row r="269" spans="1:11" hidden="1" x14ac:dyDescent="0.35">
      <c r="A269" t="s">
        <v>326</v>
      </c>
      <c r="B269" t="s">
        <v>539</v>
      </c>
      <c r="C269" t="s">
        <v>314</v>
      </c>
      <c r="E269">
        <v>31</v>
      </c>
      <c r="F269">
        <v>0</v>
      </c>
      <c r="G269">
        <v>4</v>
      </c>
      <c r="H269">
        <v>0</v>
      </c>
      <c r="I269">
        <v>0</v>
      </c>
      <c r="J269">
        <v>0</v>
      </c>
      <c r="K269">
        <v>31</v>
      </c>
    </row>
    <row r="270" spans="1:11" hidden="1" x14ac:dyDescent="0.35">
      <c r="A270" t="s">
        <v>214</v>
      </c>
      <c r="B270" t="s">
        <v>536</v>
      </c>
      <c r="C270" t="s">
        <v>310</v>
      </c>
      <c r="D270" t="s">
        <v>309</v>
      </c>
      <c r="E270">
        <v>93</v>
      </c>
      <c r="F270">
        <v>0</v>
      </c>
      <c r="G270">
        <v>0</v>
      </c>
      <c r="H270">
        <v>20</v>
      </c>
      <c r="I270">
        <v>0</v>
      </c>
      <c r="J270">
        <v>0</v>
      </c>
      <c r="K270">
        <v>73</v>
      </c>
    </row>
    <row r="271" spans="1:11" hidden="1" x14ac:dyDescent="0.35">
      <c r="A271" t="s">
        <v>313</v>
      </c>
      <c r="B271" t="s">
        <v>539</v>
      </c>
      <c r="C271" t="s">
        <v>237</v>
      </c>
      <c r="D271" t="s">
        <v>238</v>
      </c>
      <c r="E271">
        <v>28</v>
      </c>
      <c r="F271">
        <v>0</v>
      </c>
      <c r="G271">
        <v>0</v>
      </c>
      <c r="H271">
        <v>0</v>
      </c>
      <c r="I271">
        <v>0</v>
      </c>
      <c r="J271">
        <v>0</v>
      </c>
      <c r="K271">
        <v>28</v>
      </c>
    </row>
    <row r="272" spans="1:11" hidden="1" x14ac:dyDescent="0.35">
      <c r="A272" t="s">
        <v>466</v>
      </c>
      <c r="B272" t="s">
        <v>536</v>
      </c>
      <c r="C272" t="s">
        <v>312</v>
      </c>
      <c r="E272">
        <v>125</v>
      </c>
      <c r="F272">
        <v>0</v>
      </c>
      <c r="G272">
        <v>0</v>
      </c>
      <c r="H272">
        <v>61</v>
      </c>
      <c r="I272">
        <v>0</v>
      </c>
      <c r="J272">
        <v>0</v>
      </c>
      <c r="K272">
        <v>64</v>
      </c>
    </row>
    <row r="273" spans="1:11" hidden="1" x14ac:dyDescent="0.35">
      <c r="A273" t="s">
        <v>466</v>
      </c>
      <c r="B273" t="s">
        <v>539</v>
      </c>
      <c r="C273" t="s">
        <v>314</v>
      </c>
      <c r="E273">
        <v>26</v>
      </c>
      <c r="F273">
        <v>0</v>
      </c>
      <c r="G273">
        <v>3</v>
      </c>
      <c r="H273">
        <v>0</v>
      </c>
      <c r="I273">
        <v>0</v>
      </c>
      <c r="J273">
        <v>0</v>
      </c>
      <c r="K273">
        <v>26</v>
      </c>
    </row>
    <row r="274" spans="1:11" x14ac:dyDescent="0.35">
      <c r="A274" t="s">
        <v>214</v>
      </c>
      <c r="B274" t="s">
        <v>539</v>
      </c>
      <c r="C274" t="s">
        <v>286</v>
      </c>
      <c r="D274" t="s">
        <v>285</v>
      </c>
      <c r="E274">
        <v>16</v>
      </c>
      <c r="F274">
        <v>0</v>
      </c>
      <c r="G274">
        <v>3</v>
      </c>
      <c r="H274">
        <v>0</v>
      </c>
      <c r="I274">
        <v>0</v>
      </c>
      <c r="J274">
        <v>0</v>
      </c>
      <c r="K274">
        <v>16</v>
      </c>
    </row>
    <row r="275" spans="1:11" hidden="1" x14ac:dyDescent="0.35">
      <c r="A275" t="s">
        <v>319</v>
      </c>
      <c r="B275" t="s">
        <v>539</v>
      </c>
      <c r="C275" t="s">
        <v>276</v>
      </c>
      <c r="D275" t="s">
        <v>218</v>
      </c>
      <c r="E275">
        <v>35</v>
      </c>
      <c r="F275">
        <v>0</v>
      </c>
      <c r="G275">
        <v>11</v>
      </c>
      <c r="H275">
        <v>0</v>
      </c>
      <c r="I275">
        <v>0</v>
      </c>
      <c r="J275">
        <v>0</v>
      </c>
      <c r="K275">
        <v>35</v>
      </c>
    </row>
    <row r="276" spans="1:11" hidden="1" x14ac:dyDescent="0.35">
      <c r="A276" t="s">
        <v>466</v>
      </c>
      <c r="B276" t="s">
        <v>536</v>
      </c>
      <c r="C276" t="s">
        <v>303</v>
      </c>
      <c r="E276">
        <v>96</v>
      </c>
      <c r="F276">
        <v>0</v>
      </c>
      <c r="G276">
        <v>0</v>
      </c>
      <c r="H276">
        <v>43</v>
      </c>
      <c r="I276">
        <v>0</v>
      </c>
      <c r="J276">
        <v>0</v>
      </c>
      <c r="K276">
        <v>53</v>
      </c>
    </row>
    <row r="277" spans="1:11" hidden="1" x14ac:dyDescent="0.35">
      <c r="A277" t="s">
        <v>214</v>
      </c>
      <c r="B277" t="s">
        <v>536</v>
      </c>
      <c r="C277" t="s">
        <v>276</v>
      </c>
      <c r="D277" t="s">
        <v>273</v>
      </c>
      <c r="E277">
        <v>684</v>
      </c>
      <c r="F277">
        <v>0</v>
      </c>
      <c r="G277">
        <v>0</v>
      </c>
      <c r="H277">
        <v>552</v>
      </c>
      <c r="I277">
        <v>0</v>
      </c>
      <c r="J277">
        <v>62</v>
      </c>
      <c r="K277">
        <v>70</v>
      </c>
    </row>
    <row r="278" spans="1:11" hidden="1" x14ac:dyDescent="0.35">
      <c r="A278" t="s">
        <v>319</v>
      </c>
      <c r="B278" t="s">
        <v>536</v>
      </c>
      <c r="C278" t="s">
        <v>245</v>
      </c>
      <c r="D278" t="s">
        <v>232</v>
      </c>
      <c r="E278">
        <v>243</v>
      </c>
      <c r="F278">
        <v>0</v>
      </c>
      <c r="G278">
        <v>0</v>
      </c>
      <c r="H278">
        <v>186</v>
      </c>
      <c r="I278">
        <v>0</v>
      </c>
      <c r="J278">
        <v>6</v>
      </c>
      <c r="K278">
        <v>51</v>
      </c>
    </row>
    <row r="279" spans="1:11" hidden="1" x14ac:dyDescent="0.35">
      <c r="A279" t="s">
        <v>326</v>
      </c>
      <c r="B279" t="s">
        <v>539</v>
      </c>
      <c r="C279" t="s">
        <v>266</v>
      </c>
      <c r="E279">
        <v>19</v>
      </c>
      <c r="F279">
        <v>0</v>
      </c>
      <c r="G279">
        <v>2</v>
      </c>
      <c r="H279">
        <v>0</v>
      </c>
      <c r="I279">
        <v>0</v>
      </c>
      <c r="J279">
        <v>0</v>
      </c>
      <c r="K279">
        <v>19</v>
      </c>
    </row>
    <row r="280" spans="1:11" hidden="1" x14ac:dyDescent="0.35">
      <c r="A280" t="s">
        <v>214</v>
      </c>
      <c r="B280" t="s">
        <v>536</v>
      </c>
      <c r="C280" t="s">
        <v>303</v>
      </c>
      <c r="D280" t="s">
        <v>302</v>
      </c>
      <c r="E280">
        <v>108</v>
      </c>
      <c r="F280">
        <v>0</v>
      </c>
      <c r="G280">
        <v>0</v>
      </c>
      <c r="H280">
        <v>58</v>
      </c>
      <c r="I280">
        <v>0</v>
      </c>
      <c r="J280">
        <v>0</v>
      </c>
      <c r="K280">
        <v>50</v>
      </c>
    </row>
    <row r="281" spans="1:11" hidden="1" x14ac:dyDescent="0.35">
      <c r="A281" t="s">
        <v>313</v>
      </c>
      <c r="B281" t="s">
        <v>539</v>
      </c>
      <c r="C281" t="s">
        <v>252</v>
      </c>
      <c r="D281" t="s">
        <v>232</v>
      </c>
      <c r="E281">
        <v>28</v>
      </c>
      <c r="F281">
        <v>0</v>
      </c>
      <c r="G281">
        <v>2</v>
      </c>
      <c r="H281">
        <v>0</v>
      </c>
      <c r="I281">
        <v>0</v>
      </c>
      <c r="J281">
        <v>0</v>
      </c>
      <c r="K281">
        <v>28</v>
      </c>
    </row>
    <row r="282" spans="1:11" hidden="1" x14ac:dyDescent="0.35">
      <c r="A282" t="s">
        <v>313</v>
      </c>
      <c r="B282" t="s">
        <v>536</v>
      </c>
      <c r="C282" t="s">
        <v>229</v>
      </c>
      <c r="D282" t="s">
        <v>232</v>
      </c>
      <c r="E282">
        <v>439</v>
      </c>
      <c r="F282">
        <v>0</v>
      </c>
      <c r="G282">
        <v>0</v>
      </c>
      <c r="H282">
        <v>174</v>
      </c>
      <c r="I282">
        <v>0</v>
      </c>
      <c r="J282">
        <v>212</v>
      </c>
      <c r="K282">
        <v>53</v>
      </c>
    </row>
    <row r="283" spans="1:11" hidden="1" x14ac:dyDescent="0.35">
      <c r="A283" t="s">
        <v>321</v>
      </c>
      <c r="B283" t="s">
        <v>539</v>
      </c>
      <c r="C283" t="s">
        <v>262</v>
      </c>
      <c r="E283">
        <v>19</v>
      </c>
      <c r="F283">
        <v>0</v>
      </c>
      <c r="G283">
        <v>0</v>
      </c>
      <c r="H283">
        <v>0</v>
      </c>
      <c r="I283">
        <v>0</v>
      </c>
      <c r="J283">
        <v>0</v>
      </c>
      <c r="K283">
        <v>19</v>
      </c>
    </row>
    <row r="284" spans="1:11" hidden="1" x14ac:dyDescent="0.35">
      <c r="A284" t="s">
        <v>319</v>
      </c>
      <c r="B284" t="s">
        <v>541</v>
      </c>
      <c r="C284" t="s">
        <v>219</v>
      </c>
      <c r="D284" t="s">
        <v>218</v>
      </c>
      <c r="E284">
        <v>55</v>
      </c>
      <c r="F284">
        <v>0</v>
      </c>
      <c r="G284">
        <v>0</v>
      </c>
      <c r="H284">
        <v>0</v>
      </c>
      <c r="I284">
        <v>0</v>
      </c>
      <c r="J284">
        <v>0</v>
      </c>
      <c r="K284">
        <v>55</v>
      </c>
    </row>
    <row r="285" spans="1:11" hidden="1" x14ac:dyDescent="0.35">
      <c r="A285" t="s">
        <v>321</v>
      </c>
      <c r="B285" t="s">
        <v>539</v>
      </c>
      <c r="C285" t="s">
        <v>237</v>
      </c>
      <c r="E285">
        <v>27</v>
      </c>
      <c r="F285">
        <v>0</v>
      </c>
      <c r="G285">
        <v>0</v>
      </c>
      <c r="H285">
        <v>0</v>
      </c>
      <c r="I285">
        <v>0</v>
      </c>
      <c r="J285">
        <v>0</v>
      </c>
      <c r="K285">
        <v>27</v>
      </c>
    </row>
    <row r="286" spans="1:11" hidden="1" x14ac:dyDescent="0.35">
      <c r="A286" t="s">
        <v>321</v>
      </c>
      <c r="B286" t="s">
        <v>541</v>
      </c>
      <c r="C286" t="s">
        <v>219</v>
      </c>
      <c r="E286">
        <v>48</v>
      </c>
      <c r="F286">
        <v>0</v>
      </c>
      <c r="G286">
        <v>0</v>
      </c>
      <c r="H286">
        <v>0</v>
      </c>
      <c r="I286">
        <v>0</v>
      </c>
      <c r="J286">
        <v>0</v>
      </c>
      <c r="K286">
        <v>48</v>
      </c>
    </row>
    <row r="287" spans="1:11" hidden="1" x14ac:dyDescent="0.35">
      <c r="A287" t="s">
        <v>313</v>
      </c>
      <c r="B287" t="s">
        <v>539</v>
      </c>
      <c r="C287" t="s">
        <v>223</v>
      </c>
      <c r="D287" t="s">
        <v>218</v>
      </c>
      <c r="E287">
        <v>25</v>
      </c>
      <c r="F287">
        <v>0</v>
      </c>
      <c r="G287">
        <v>5</v>
      </c>
      <c r="H287">
        <v>0</v>
      </c>
      <c r="I287">
        <v>0</v>
      </c>
      <c r="J287">
        <v>0</v>
      </c>
      <c r="K287">
        <v>25</v>
      </c>
    </row>
    <row r="288" spans="1:11" hidden="1" x14ac:dyDescent="0.35">
      <c r="A288" t="s">
        <v>326</v>
      </c>
      <c r="B288" t="s">
        <v>539</v>
      </c>
      <c r="C288" t="s">
        <v>231</v>
      </c>
      <c r="E288">
        <v>0</v>
      </c>
      <c r="F288">
        <v>0</v>
      </c>
      <c r="G288">
        <v>5</v>
      </c>
      <c r="H288">
        <v>0</v>
      </c>
      <c r="I288">
        <v>0</v>
      </c>
      <c r="J288">
        <v>0</v>
      </c>
      <c r="K288">
        <v>0</v>
      </c>
    </row>
    <row r="289" spans="1:11" hidden="1" x14ac:dyDescent="0.35">
      <c r="A289" t="s">
        <v>327</v>
      </c>
      <c r="B289" t="s">
        <v>539</v>
      </c>
      <c r="C289" t="s">
        <v>286</v>
      </c>
      <c r="E289">
        <v>10</v>
      </c>
      <c r="F289">
        <v>0</v>
      </c>
      <c r="G289">
        <v>0</v>
      </c>
      <c r="H289">
        <v>0</v>
      </c>
      <c r="I289">
        <v>0</v>
      </c>
      <c r="J289">
        <v>0</v>
      </c>
      <c r="K289">
        <v>10</v>
      </c>
    </row>
    <row r="290" spans="1:11" hidden="1" x14ac:dyDescent="0.35">
      <c r="A290" t="s">
        <v>466</v>
      </c>
      <c r="B290" t="s">
        <v>536</v>
      </c>
      <c r="C290" t="s">
        <v>282</v>
      </c>
      <c r="E290">
        <v>138</v>
      </c>
      <c r="F290">
        <v>0</v>
      </c>
      <c r="G290">
        <v>0</v>
      </c>
      <c r="H290">
        <v>105</v>
      </c>
      <c r="I290">
        <v>0</v>
      </c>
      <c r="J290">
        <v>3</v>
      </c>
      <c r="K290">
        <v>30</v>
      </c>
    </row>
    <row r="291" spans="1:11" hidden="1" x14ac:dyDescent="0.35">
      <c r="A291" t="s">
        <v>327</v>
      </c>
      <c r="B291" t="s">
        <v>536</v>
      </c>
      <c r="C291" t="s">
        <v>268</v>
      </c>
      <c r="E291">
        <v>320</v>
      </c>
      <c r="F291">
        <v>0</v>
      </c>
      <c r="G291">
        <v>0</v>
      </c>
      <c r="H291">
        <v>104</v>
      </c>
      <c r="I291">
        <v>0</v>
      </c>
      <c r="J291">
        <v>0</v>
      </c>
      <c r="K291">
        <v>216</v>
      </c>
    </row>
    <row r="292" spans="1:11" hidden="1" x14ac:dyDescent="0.35">
      <c r="A292" t="s">
        <v>313</v>
      </c>
      <c r="B292" t="s">
        <v>536</v>
      </c>
      <c r="C292" t="s">
        <v>299</v>
      </c>
      <c r="D292" t="s">
        <v>238</v>
      </c>
      <c r="E292">
        <v>201</v>
      </c>
      <c r="F292">
        <v>0</v>
      </c>
      <c r="G292">
        <v>0</v>
      </c>
      <c r="H292">
        <v>148</v>
      </c>
      <c r="I292">
        <v>0</v>
      </c>
      <c r="J292">
        <v>0</v>
      </c>
      <c r="K292">
        <v>53</v>
      </c>
    </row>
    <row r="293" spans="1:11" hidden="1" x14ac:dyDescent="0.35">
      <c r="A293" t="s">
        <v>327</v>
      </c>
      <c r="B293" t="s">
        <v>541</v>
      </c>
      <c r="C293" t="s">
        <v>239</v>
      </c>
      <c r="D293" t="s">
        <v>238</v>
      </c>
      <c r="E293">
        <v>29</v>
      </c>
      <c r="F293">
        <v>0</v>
      </c>
      <c r="G293">
        <v>0</v>
      </c>
      <c r="H293">
        <v>0</v>
      </c>
      <c r="I293">
        <v>0</v>
      </c>
      <c r="J293">
        <v>0</v>
      </c>
      <c r="K293">
        <v>29</v>
      </c>
    </row>
    <row r="294" spans="1:11" hidden="1" x14ac:dyDescent="0.35">
      <c r="A294" t="s">
        <v>321</v>
      </c>
      <c r="B294" t="s">
        <v>536</v>
      </c>
      <c r="C294" t="s">
        <v>282</v>
      </c>
      <c r="E294">
        <v>144</v>
      </c>
      <c r="F294">
        <v>0</v>
      </c>
      <c r="G294">
        <v>0</v>
      </c>
      <c r="H294">
        <v>114</v>
      </c>
      <c r="I294">
        <v>0</v>
      </c>
      <c r="J294">
        <v>0</v>
      </c>
      <c r="K294">
        <v>30</v>
      </c>
    </row>
    <row r="295" spans="1:11" hidden="1" x14ac:dyDescent="0.35">
      <c r="A295" t="s">
        <v>466</v>
      </c>
      <c r="B295" t="s">
        <v>536</v>
      </c>
      <c r="C295" t="s">
        <v>310</v>
      </c>
      <c r="E295">
        <v>99</v>
      </c>
      <c r="F295">
        <v>0</v>
      </c>
      <c r="G295">
        <v>0</v>
      </c>
      <c r="H295">
        <v>24</v>
      </c>
      <c r="I295">
        <v>0</v>
      </c>
      <c r="J295">
        <v>0</v>
      </c>
      <c r="K295">
        <v>75</v>
      </c>
    </row>
    <row r="296" spans="1:11" hidden="1" x14ac:dyDescent="0.35">
      <c r="A296" t="s">
        <v>214</v>
      </c>
      <c r="B296" t="s">
        <v>536</v>
      </c>
      <c r="C296" t="s">
        <v>271</v>
      </c>
      <c r="D296" t="s">
        <v>270</v>
      </c>
      <c r="E296">
        <v>515</v>
      </c>
      <c r="F296">
        <v>0</v>
      </c>
      <c r="G296">
        <v>0</v>
      </c>
      <c r="H296">
        <v>0</v>
      </c>
      <c r="I296">
        <v>0</v>
      </c>
      <c r="J296">
        <v>0</v>
      </c>
      <c r="K296">
        <v>515</v>
      </c>
    </row>
    <row r="297" spans="1:11" hidden="1" x14ac:dyDescent="0.35">
      <c r="A297" t="s">
        <v>313</v>
      </c>
      <c r="B297" t="s">
        <v>536</v>
      </c>
      <c r="C297" t="s">
        <v>264</v>
      </c>
      <c r="D297" t="s">
        <v>238</v>
      </c>
      <c r="E297">
        <v>145</v>
      </c>
      <c r="F297">
        <v>0</v>
      </c>
      <c r="G297">
        <v>0</v>
      </c>
      <c r="H297">
        <v>57</v>
      </c>
      <c r="I297">
        <v>0</v>
      </c>
      <c r="J297">
        <v>0</v>
      </c>
      <c r="K297">
        <v>88</v>
      </c>
    </row>
    <row r="298" spans="1:11" hidden="1" x14ac:dyDescent="0.35">
      <c r="A298" t="s">
        <v>313</v>
      </c>
      <c r="B298" t="s">
        <v>536</v>
      </c>
      <c r="C298" t="s">
        <v>312</v>
      </c>
      <c r="D298" t="s">
        <v>238</v>
      </c>
      <c r="E298">
        <v>123</v>
      </c>
      <c r="F298">
        <v>0</v>
      </c>
      <c r="G298">
        <v>0</v>
      </c>
      <c r="H298">
        <v>65</v>
      </c>
      <c r="I298">
        <v>0</v>
      </c>
      <c r="J298">
        <v>0</v>
      </c>
      <c r="K298">
        <v>58</v>
      </c>
    </row>
    <row r="299" spans="1:11" hidden="1" x14ac:dyDescent="0.35">
      <c r="A299" t="s">
        <v>365</v>
      </c>
      <c r="B299" t="s">
        <v>536</v>
      </c>
      <c r="C299" t="s">
        <v>254</v>
      </c>
      <c r="D299" t="s">
        <v>253</v>
      </c>
      <c r="E299">
        <v>72</v>
      </c>
      <c r="H299">
        <v>0</v>
      </c>
      <c r="J299">
        <v>0</v>
      </c>
      <c r="K299">
        <v>72</v>
      </c>
    </row>
    <row r="300" spans="1:11" hidden="1" x14ac:dyDescent="0.35">
      <c r="A300" t="s">
        <v>365</v>
      </c>
      <c r="B300" t="s">
        <v>536</v>
      </c>
      <c r="C300" t="s">
        <v>303</v>
      </c>
      <c r="D300" t="s">
        <v>302</v>
      </c>
      <c r="E300">
        <v>114</v>
      </c>
      <c r="H300">
        <v>54</v>
      </c>
      <c r="J300">
        <v>0</v>
      </c>
      <c r="K300">
        <v>60</v>
      </c>
    </row>
    <row r="301" spans="1:11" hidden="1" x14ac:dyDescent="0.35">
      <c r="A301" t="s">
        <v>364</v>
      </c>
      <c r="B301" t="s">
        <v>536</v>
      </c>
      <c r="C301" t="s">
        <v>299</v>
      </c>
      <c r="D301" t="s">
        <v>298</v>
      </c>
      <c r="E301">
        <v>209</v>
      </c>
      <c r="H301">
        <v>134</v>
      </c>
      <c r="J301">
        <v>0</v>
      </c>
      <c r="K301">
        <v>75</v>
      </c>
    </row>
    <row r="302" spans="1:11" hidden="1" x14ac:dyDescent="0.35">
      <c r="A302" t="s">
        <v>364</v>
      </c>
      <c r="B302" t="s">
        <v>536</v>
      </c>
      <c r="C302" t="s">
        <v>260</v>
      </c>
      <c r="D302" t="s">
        <v>259</v>
      </c>
      <c r="E302">
        <v>59</v>
      </c>
      <c r="H302">
        <v>0</v>
      </c>
      <c r="J302">
        <v>0</v>
      </c>
      <c r="K302">
        <v>59</v>
      </c>
    </row>
    <row r="303" spans="1:11" hidden="1" x14ac:dyDescent="0.35">
      <c r="A303" t="s">
        <v>366</v>
      </c>
      <c r="B303" t="s">
        <v>536</v>
      </c>
      <c r="C303" t="s">
        <v>245</v>
      </c>
      <c r="D303" t="s">
        <v>244</v>
      </c>
      <c r="E303">
        <v>260</v>
      </c>
      <c r="H303">
        <v>190</v>
      </c>
      <c r="J303">
        <v>5</v>
      </c>
      <c r="K303">
        <v>65</v>
      </c>
    </row>
    <row r="304" spans="1:11" hidden="1" x14ac:dyDescent="0.35">
      <c r="A304" t="s">
        <v>366</v>
      </c>
      <c r="B304" t="s">
        <v>536</v>
      </c>
      <c r="C304" t="s">
        <v>235</v>
      </c>
      <c r="D304" t="s">
        <v>234</v>
      </c>
      <c r="E304">
        <v>327</v>
      </c>
      <c r="H304">
        <v>12</v>
      </c>
      <c r="J304">
        <v>0</v>
      </c>
      <c r="K304">
        <v>315</v>
      </c>
    </row>
    <row r="305" spans="1:11" hidden="1" x14ac:dyDescent="0.35">
      <c r="A305" t="s">
        <v>366</v>
      </c>
      <c r="B305" t="s">
        <v>536</v>
      </c>
      <c r="C305" t="s">
        <v>225</v>
      </c>
      <c r="D305" t="s">
        <v>224</v>
      </c>
      <c r="E305">
        <v>134</v>
      </c>
      <c r="H305">
        <v>98</v>
      </c>
      <c r="J305">
        <v>0</v>
      </c>
      <c r="K305">
        <v>36</v>
      </c>
    </row>
    <row r="306" spans="1:11" hidden="1" x14ac:dyDescent="0.35">
      <c r="A306" t="s">
        <v>365</v>
      </c>
      <c r="B306" t="s">
        <v>536</v>
      </c>
      <c r="C306" t="s">
        <v>245</v>
      </c>
      <c r="D306" t="s">
        <v>244</v>
      </c>
      <c r="E306">
        <v>278</v>
      </c>
      <c r="H306">
        <v>206</v>
      </c>
      <c r="J306">
        <v>3</v>
      </c>
      <c r="K306">
        <v>69</v>
      </c>
    </row>
    <row r="307" spans="1:11" hidden="1" x14ac:dyDescent="0.35">
      <c r="A307" t="s">
        <v>366</v>
      </c>
      <c r="B307" t="s">
        <v>536</v>
      </c>
      <c r="C307" t="s">
        <v>293</v>
      </c>
      <c r="D307" t="s">
        <v>292</v>
      </c>
      <c r="E307">
        <v>98</v>
      </c>
      <c r="H307">
        <v>98</v>
      </c>
      <c r="J307">
        <v>0</v>
      </c>
      <c r="K307">
        <v>0</v>
      </c>
    </row>
    <row r="308" spans="1:11" hidden="1" x14ac:dyDescent="0.35">
      <c r="A308" t="s">
        <v>365</v>
      </c>
      <c r="B308" t="s">
        <v>539</v>
      </c>
      <c r="C308" t="s">
        <v>245</v>
      </c>
      <c r="D308" t="s">
        <v>246</v>
      </c>
      <c r="E308">
        <v>18</v>
      </c>
      <c r="K308">
        <v>18</v>
      </c>
    </row>
    <row r="309" spans="1:11" hidden="1" x14ac:dyDescent="0.35">
      <c r="A309" t="s">
        <v>342</v>
      </c>
      <c r="B309" t="s">
        <v>536</v>
      </c>
      <c r="C309" t="s">
        <v>225</v>
      </c>
      <c r="D309" t="s">
        <v>224</v>
      </c>
      <c r="E309">
        <v>121</v>
      </c>
      <c r="H309">
        <v>93</v>
      </c>
      <c r="K309">
        <v>28</v>
      </c>
    </row>
    <row r="310" spans="1:11" hidden="1" x14ac:dyDescent="0.35"/>
    <row r="311" spans="1:11" hidden="1" x14ac:dyDescent="0.35">
      <c r="A311" t="s">
        <v>366</v>
      </c>
      <c r="B311" t="s">
        <v>536</v>
      </c>
      <c r="C311" t="s">
        <v>260</v>
      </c>
      <c r="D311" t="s">
        <v>259</v>
      </c>
      <c r="E311">
        <v>55</v>
      </c>
      <c r="H311">
        <v>2</v>
      </c>
      <c r="J311">
        <v>0</v>
      </c>
      <c r="K311">
        <v>53</v>
      </c>
    </row>
    <row r="312" spans="1:11" hidden="1" x14ac:dyDescent="0.35">
      <c r="A312" t="s">
        <v>342</v>
      </c>
      <c r="B312" t="s">
        <v>536</v>
      </c>
      <c r="C312" t="s">
        <v>308</v>
      </c>
      <c r="D312" t="s">
        <v>307</v>
      </c>
      <c r="E312">
        <v>122</v>
      </c>
      <c r="H312">
        <v>74</v>
      </c>
      <c r="K312">
        <v>48</v>
      </c>
    </row>
    <row r="313" spans="1:11" hidden="1" x14ac:dyDescent="0.35">
      <c r="A313" t="s">
        <v>341</v>
      </c>
      <c r="B313" t="s">
        <v>536</v>
      </c>
      <c r="C313" t="s">
        <v>225</v>
      </c>
      <c r="D313" t="s">
        <v>224</v>
      </c>
      <c r="E313">
        <v>119</v>
      </c>
      <c r="H313">
        <v>94</v>
      </c>
      <c r="J313">
        <v>0</v>
      </c>
      <c r="K313">
        <v>25</v>
      </c>
    </row>
    <row r="314" spans="1:11" hidden="1" x14ac:dyDescent="0.35">
      <c r="A314" t="s">
        <v>366</v>
      </c>
      <c r="B314" t="s">
        <v>536</v>
      </c>
      <c r="C314" t="s">
        <v>299</v>
      </c>
      <c r="D314" t="s">
        <v>298</v>
      </c>
      <c r="E314">
        <v>218</v>
      </c>
      <c r="H314">
        <v>147</v>
      </c>
      <c r="J314">
        <v>0</v>
      </c>
      <c r="K314">
        <v>71</v>
      </c>
    </row>
    <row r="315" spans="1:11" hidden="1" x14ac:dyDescent="0.35">
      <c r="A315" t="s">
        <v>365</v>
      </c>
      <c r="B315" t="s">
        <v>543</v>
      </c>
      <c r="C315" t="s">
        <v>544</v>
      </c>
      <c r="D315" t="s">
        <v>548</v>
      </c>
      <c r="E315">
        <v>518</v>
      </c>
      <c r="F315">
        <v>230</v>
      </c>
      <c r="I315">
        <v>238</v>
      </c>
      <c r="K315">
        <v>50</v>
      </c>
    </row>
    <row r="316" spans="1:11" hidden="1" x14ac:dyDescent="0.35">
      <c r="A316" t="s">
        <v>365</v>
      </c>
      <c r="B316" t="s">
        <v>536</v>
      </c>
      <c r="C316" t="s">
        <v>229</v>
      </c>
      <c r="D316" t="s">
        <v>228</v>
      </c>
      <c r="E316">
        <v>454</v>
      </c>
      <c r="H316">
        <v>175</v>
      </c>
      <c r="J316">
        <v>225</v>
      </c>
      <c r="K316">
        <v>54</v>
      </c>
    </row>
    <row r="317" spans="1:11" hidden="1" x14ac:dyDescent="0.35">
      <c r="A317" t="s">
        <v>364</v>
      </c>
      <c r="B317" t="s">
        <v>541</v>
      </c>
      <c r="C317" t="s">
        <v>219</v>
      </c>
      <c r="D317" t="s">
        <v>218</v>
      </c>
      <c r="E317">
        <v>210</v>
      </c>
      <c r="I317">
        <v>133</v>
      </c>
      <c r="K317">
        <v>77</v>
      </c>
    </row>
    <row r="318" spans="1:11" hidden="1" x14ac:dyDescent="0.35">
      <c r="A318" t="s">
        <v>366</v>
      </c>
      <c r="B318" t="s">
        <v>536</v>
      </c>
      <c r="C318" t="s">
        <v>229</v>
      </c>
      <c r="D318" t="s">
        <v>228</v>
      </c>
      <c r="E318">
        <v>438</v>
      </c>
      <c r="H318">
        <v>182</v>
      </c>
      <c r="J318">
        <v>201</v>
      </c>
      <c r="K318">
        <v>55</v>
      </c>
    </row>
    <row r="319" spans="1:11" hidden="1" x14ac:dyDescent="0.35">
      <c r="A319" t="s">
        <v>341</v>
      </c>
      <c r="B319" t="s">
        <v>536</v>
      </c>
      <c r="C319" t="s">
        <v>274</v>
      </c>
      <c r="D319" t="s">
        <v>273</v>
      </c>
      <c r="E319">
        <v>659</v>
      </c>
      <c r="H319">
        <v>525</v>
      </c>
      <c r="J319">
        <v>67</v>
      </c>
      <c r="K319">
        <v>67</v>
      </c>
    </row>
    <row r="320" spans="1:11" hidden="1" x14ac:dyDescent="0.35">
      <c r="A320" t="s">
        <v>366</v>
      </c>
      <c r="B320" t="s">
        <v>536</v>
      </c>
      <c r="C320" t="s">
        <v>280</v>
      </c>
      <c r="D320" t="s">
        <v>279</v>
      </c>
      <c r="E320">
        <v>34</v>
      </c>
      <c r="H320">
        <v>11</v>
      </c>
      <c r="J320">
        <v>0</v>
      </c>
      <c r="K320">
        <v>23</v>
      </c>
    </row>
    <row r="321" spans="1:11" hidden="1" x14ac:dyDescent="0.35">
      <c r="A321" t="s">
        <v>364</v>
      </c>
      <c r="B321" t="s">
        <v>539</v>
      </c>
      <c r="C321" t="s">
        <v>237</v>
      </c>
      <c r="D321" t="s">
        <v>236</v>
      </c>
      <c r="E321">
        <v>26</v>
      </c>
      <c r="K321">
        <v>26</v>
      </c>
    </row>
    <row r="322" spans="1:11" hidden="1" x14ac:dyDescent="0.35">
      <c r="A322" t="s">
        <v>364</v>
      </c>
      <c r="B322" t="s">
        <v>536</v>
      </c>
      <c r="C322" t="s">
        <v>274</v>
      </c>
      <c r="D322" t="s">
        <v>273</v>
      </c>
      <c r="E322">
        <v>717</v>
      </c>
      <c r="H322">
        <v>564</v>
      </c>
      <c r="J322">
        <v>72</v>
      </c>
      <c r="K322">
        <v>81</v>
      </c>
    </row>
    <row r="323" spans="1:11" hidden="1" x14ac:dyDescent="0.35">
      <c r="A323" t="s">
        <v>365</v>
      </c>
      <c r="B323" t="s">
        <v>536</v>
      </c>
      <c r="C323" t="s">
        <v>290</v>
      </c>
      <c r="D323" t="s">
        <v>289</v>
      </c>
      <c r="E323">
        <v>217</v>
      </c>
      <c r="H323">
        <v>30</v>
      </c>
      <c r="J323">
        <v>0</v>
      </c>
      <c r="K323">
        <v>187</v>
      </c>
    </row>
    <row r="324" spans="1:11" hidden="1" x14ac:dyDescent="0.35">
      <c r="A324" t="s">
        <v>366</v>
      </c>
      <c r="B324" t="s">
        <v>541</v>
      </c>
      <c r="C324" t="s">
        <v>219</v>
      </c>
      <c r="D324" t="s">
        <v>218</v>
      </c>
      <c r="E324">
        <v>165</v>
      </c>
      <c r="I324">
        <v>121</v>
      </c>
      <c r="K324">
        <v>44</v>
      </c>
    </row>
    <row r="325" spans="1:11" hidden="1" x14ac:dyDescent="0.35">
      <c r="A325" t="s">
        <v>366</v>
      </c>
      <c r="B325" t="s">
        <v>536</v>
      </c>
      <c r="C325" t="s">
        <v>284</v>
      </c>
      <c r="D325" t="s">
        <v>283</v>
      </c>
      <c r="E325">
        <v>140</v>
      </c>
      <c r="H325">
        <v>140</v>
      </c>
      <c r="J325">
        <v>0</v>
      </c>
      <c r="K325">
        <v>0</v>
      </c>
    </row>
    <row r="326" spans="1:11" hidden="1" x14ac:dyDescent="0.35">
      <c r="A326" t="s">
        <v>365</v>
      </c>
      <c r="B326" t="s">
        <v>539</v>
      </c>
      <c r="C326" t="s">
        <v>243</v>
      </c>
      <c r="D326" t="s">
        <v>242</v>
      </c>
      <c r="E326">
        <v>5</v>
      </c>
      <c r="K326">
        <v>5</v>
      </c>
    </row>
    <row r="327" spans="1:11" hidden="1" x14ac:dyDescent="0.35">
      <c r="A327" t="s">
        <v>342</v>
      </c>
      <c r="B327" t="s">
        <v>536</v>
      </c>
      <c r="C327" t="s">
        <v>271</v>
      </c>
      <c r="D327" t="s">
        <v>270</v>
      </c>
      <c r="E327">
        <v>489</v>
      </c>
      <c r="K327">
        <v>489</v>
      </c>
    </row>
    <row r="328" spans="1:11" hidden="1" x14ac:dyDescent="0.35">
      <c r="A328" t="s">
        <v>364</v>
      </c>
      <c r="B328" t="s">
        <v>539</v>
      </c>
      <c r="C328" t="s">
        <v>290</v>
      </c>
      <c r="D328" t="s">
        <v>291</v>
      </c>
      <c r="E328">
        <v>14</v>
      </c>
      <c r="K328">
        <v>14</v>
      </c>
    </row>
    <row r="329" spans="1:11" hidden="1" x14ac:dyDescent="0.35">
      <c r="A329" t="s">
        <v>342</v>
      </c>
      <c r="B329" t="s">
        <v>541</v>
      </c>
      <c r="C329" t="s">
        <v>219</v>
      </c>
      <c r="D329" t="s">
        <v>218</v>
      </c>
      <c r="E329">
        <v>187</v>
      </c>
      <c r="I329">
        <v>141</v>
      </c>
      <c r="K329">
        <v>46</v>
      </c>
    </row>
    <row r="330" spans="1:11" hidden="1" x14ac:dyDescent="0.35">
      <c r="A330" t="s">
        <v>365</v>
      </c>
      <c r="B330" t="s">
        <v>539</v>
      </c>
      <c r="C330" t="s">
        <v>252</v>
      </c>
      <c r="D330" t="s">
        <v>251</v>
      </c>
      <c r="E330">
        <v>20</v>
      </c>
      <c r="K330">
        <v>20</v>
      </c>
    </row>
    <row r="331" spans="1:11" hidden="1" x14ac:dyDescent="0.35">
      <c r="A331" t="s">
        <v>365</v>
      </c>
      <c r="B331" t="s">
        <v>536</v>
      </c>
      <c r="C331" t="s">
        <v>274</v>
      </c>
      <c r="D331" t="s">
        <v>273</v>
      </c>
      <c r="E331">
        <v>698</v>
      </c>
      <c r="H331">
        <v>548</v>
      </c>
      <c r="J331">
        <v>69</v>
      </c>
      <c r="K331">
        <v>81</v>
      </c>
    </row>
    <row r="332" spans="1:11" hidden="1" x14ac:dyDescent="0.35">
      <c r="A332" t="s">
        <v>341</v>
      </c>
      <c r="B332" t="s">
        <v>536</v>
      </c>
      <c r="C332" t="s">
        <v>254</v>
      </c>
      <c r="D332" t="s">
        <v>253</v>
      </c>
      <c r="E332">
        <v>68</v>
      </c>
      <c r="H332">
        <v>0</v>
      </c>
      <c r="J332">
        <v>0</v>
      </c>
      <c r="K332">
        <v>68</v>
      </c>
    </row>
    <row r="333" spans="1:11" hidden="1" x14ac:dyDescent="0.35">
      <c r="A333" t="s">
        <v>342</v>
      </c>
      <c r="B333" t="s">
        <v>536</v>
      </c>
      <c r="C333" t="s">
        <v>268</v>
      </c>
      <c r="D333" t="s">
        <v>267</v>
      </c>
      <c r="E333">
        <v>369</v>
      </c>
      <c r="H333">
        <v>115</v>
      </c>
      <c r="K333">
        <v>254</v>
      </c>
    </row>
    <row r="334" spans="1:11" hidden="1" x14ac:dyDescent="0.35">
      <c r="A334" t="s">
        <v>342</v>
      </c>
      <c r="B334" t="s">
        <v>539</v>
      </c>
      <c r="C334" t="s">
        <v>252</v>
      </c>
      <c r="D334" t="s">
        <v>251</v>
      </c>
      <c r="E334">
        <v>27</v>
      </c>
      <c r="K334">
        <v>27</v>
      </c>
    </row>
    <row r="335" spans="1:11" hidden="1" x14ac:dyDescent="0.35">
      <c r="A335" t="s">
        <v>366</v>
      </c>
      <c r="B335" t="s">
        <v>539</v>
      </c>
      <c r="C335" t="s">
        <v>243</v>
      </c>
      <c r="D335" t="s">
        <v>242</v>
      </c>
      <c r="E335">
        <v>13</v>
      </c>
      <c r="K335">
        <v>13</v>
      </c>
    </row>
    <row r="336" spans="1:11" hidden="1" x14ac:dyDescent="0.35">
      <c r="A336" t="s">
        <v>341</v>
      </c>
      <c r="B336" t="s">
        <v>536</v>
      </c>
      <c r="C336" t="s">
        <v>221</v>
      </c>
      <c r="D336" t="s">
        <v>220</v>
      </c>
      <c r="E336">
        <v>307</v>
      </c>
      <c r="H336">
        <v>282</v>
      </c>
      <c r="J336">
        <v>0</v>
      </c>
      <c r="K336">
        <v>25</v>
      </c>
    </row>
    <row r="337" spans="1:11" hidden="1" x14ac:dyDescent="0.35">
      <c r="A337" t="s">
        <v>341</v>
      </c>
      <c r="B337" t="s">
        <v>536</v>
      </c>
      <c r="C337" t="s">
        <v>256</v>
      </c>
      <c r="D337" t="s">
        <v>255</v>
      </c>
      <c r="E337">
        <v>82</v>
      </c>
      <c r="H337">
        <v>55</v>
      </c>
      <c r="J337">
        <v>0</v>
      </c>
      <c r="K337">
        <v>27</v>
      </c>
    </row>
    <row r="338" spans="1:11" hidden="1" x14ac:dyDescent="0.35">
      <c r="A338" t="s">
        <v>364</v>
      </c>
      <c r="B338" t="s">
        <v>536</v>
      </c>
      <c r="C338" t="s">
        <v>312</v>
      </c>
      <c r="D338" t="s">
        <v>311</v>
      </c>
      <c r="E338">
        <v>143</v>
      </c>
      <c r="H338">
        <v>58</v>
      </c>
      <c r="J338">
        <v>0</v>
      </c>
      <c r="K338">
        <v>85</v>
      </c>
    </row>
    <row r="339" spans="1:11" hidden="1" x14ac:dyDescent="0.35">
      <c r="A339" t="s">
        <v>341</v>
      </c>
      <c r="B339" t="s">
        <v>536</v>
      </c>
      <c r="C339" t="s">
        <v>229</v>
      </c>
      <c r="D339" t="s">
        <v>228</v>
      </c>
      <c r="E339">
        <v>428</v>
      </c>
      <c r="H339">
        <v>185</v>
      </c>
      <c r="J339">
        <v>200</v>
      </c>
      <c r="K339">
        <v>43</v>
      </c>
    </row>
    <row r="340" spans="1:11" hidden="1" x14ac:dyDescent="0.35">
      <c r="A340" t="s">
        <v>214</v>
      </c>
      <c r="B340" t="s">
        <v>536</v>
      </c>
      <c r="C340" t="s">
        <v>284</v>
      </c>
      <c r="D340" t="s">
        <v>283</v>
      </c>
      <c r="E340">
        <v>132</v>
      </c>
      <c r="F340">
        <v>0</v>
      </c>
      <c r="G340">
        <v>0</v>
      </c>
      <c r="H340">
        <v>132</v>
      </c>
      <c r="I340">
        <v>0</v>
      </c>
      <c r="J340">
        <v>0</v>
      </c>
      <c r="K340">
        <v>0</v>
      </c>
    </row>
    <row r="341" spans="1:11" hidden="1" x14ac:dyDescent="0.35">
      <c r="A341" t="s">
        <v>466</v>
      </c>
      <c r="B341" t="s">
        <v>536</v>
      </c>
      <c r="C341" t="s">
        <v>278</v>
      </c>
      <c r="E341">
        <v>102</v>
      </c>
      <c r="F341">
        <v>0</v>
      </c>
      <c r="G341">
        <v>0</v>
      </c>
      <c r="H341">
        <v>38</v>
      </c>
      <c r="I341">
        <v>0</v>
      </c>
      <c r="J341">
        <v>0</v>
      </c>
      <c r="K341">
        <v>64</v>
      </c>
    </row>
    <row r="342" spans="1:11" hidden="1" x14ac:dyDescent="0.35">
      <c r="A342" t="s">
        <v>326</v>
      </c>
      <c r="B342" t="s">
        <v>536</v>
      </c>
      <c r="C342" t="s">
        <v>276</v>
      </c>
      <c r="E342">
        <v>579</v>
      </c>
      <c r="F342">
        <v>0</v>
      </c>
      <c r="G342">
        <v>0</v>
      </c>
      <c r="H342">
        <v>464</v>
      </c>
      <c r="I342">
        <v>0</v>
      </c>
      <c r="J342">
        <v>42</v>
      </c>
      <c r="K342">
        <v>73</v>
      </c>
    </row>
    <row r="343" spans="1:11" hidden="1" x14ac:dyDescent="0.35">
      <c r="A343" t="s">
        <v>365</v>
      </c>
      <c r="B343" t="s">
        <v>539</v>
      </c>
      <c r="C343" t="s">
        <v>262</v>
      </c>
      <c r="D343" t="s">
        <v>261</v>
      </c>
      <c r="E343">
        <v>12</v>
      </c>
      <c r="K343">
        <v>12</v>
      </c>
    </row>
    <row r="344" spans="1:11" hidden="1" x14ac:dyDescent="0.35">
      <c r="A344" t="s">
        <v>342</v>
      </c>
      <c r="B344" t="s">
        <v>536</v>
      </c>
      <c r="C344" t="s">
        <v>229</v>
      </c>
      <c r="D344" t="s">
        <v>228</v>
      </c>
      <c r="E344">
        <v>438</v>
      </c>
      <c r="H344">
        <v>177</v>
      </c>
      <c r="J344">
        <v>211</v>
      </c>
      <c r="K344">
        <v>50</v>
      </c>
    </row>
    <row r="345" spans="1:11" hidden="1" x14ac:dyDescent="0.35">
      <c r="A345" t="s">
        <v>342</v>
      </c>
      <c r="B345" t="s">
        <v>539</v>
      </c>
      <c r="C345" t="s">
        <v>286</v>
      </c>
      <c r="D345" t="s">
        <v>285</v>
      </c>
      <c r="E345">
        <v>19</v>
      </c>
      <c r="K345">
        <v>19</v>
      </c>
    </row>
    <row r="346" spans="1:11" hidden="1" x14ac:dyDescent="0.35">
      <c r="A346" t="s">
        <v>342</v>
      </c>
      <c r="B346" t="s">
        <v>536</v>
      </c>
      <c r="C346" t="s">
        <v>264</v>
      </c>
      <c r="D346" t="s">
        <v>263</v>
      </c>
      <c r="E346">
        <v>141</v>
      </c>
      <c r="H346">
        <v>54</v>
      </c>
      <c r="K346">
        <v>87</v>
      </c>
    </row>
    <row r="347" spans="1:11" hidden="1" x14ac:dyDescent="0.35">
      <c r="A347" t="s">
        <v>341</v>
      </c>
      <c r="B347" t="s">
        <v>539</v>
      </c>
      <c r="C347" t="s">
        <v>243</v>
      </c>
      <c r="D347" t="s">
        <v>242</v>
      </c>
      <c r="E347">
        <v>15</v>
      </c>
      <c r="K347">
        <v>15</v>
      </c>
    </row>
    <row r="348" spans="1:11" hidden="1" x14ac:dyDescent="0.35">
      <c r="A348" t="s">
        <v>366</v>
      </c>
      <c r="B348" t="s">
        <v>536</v>
      </c>
      <c r="C348" t="s">
        <v>310</v>
      </c>
      <c r="D348" t="s">
        <v>309</v>
      </c>
      <c r="E348">
        <v>89</v>
      </c>
      <c r="H348">
        <v>19</v>
      </c>
      <c r="J348">
        <v>0</v>
      </c>
      <c r="K348">
        <v>70</v>
      </c>
    </row>
    <row r="349" spans="1:11" hidden="1" x14ac:dyDescent="0.35">
      <c r="A349" t="s">
        <v>364</v>
      </c>
      <c r="B349" t="s">
        <v>539</v>
      </c>
      <c r="C349" t="s">
        <v>252</v>
      </c>
      <c r="D349" t="s">
        <v>251</v>
      </c>
      <c r="E349">
        <v>23</v>
      </c>
      <c r="K349">
        <v>23</v>
      </c>
    </row>
    <row r="350" spans="1:11" hidden="1" x14ac:dyDescent="0.35">
      <c r="A350" t="s">
        <v>364</v>
      </c>
      <c r="B350" t="s">
        <v>536</v>
      </c>
      <c r="C350" t="s">
        <v>303</v>
      </c>
      <c r="D350" t="s">
        <v>302</v>
      </c>
      <c r="E350">
        <v>119</v>
      </c>
      <c r="H350">
        <v>54</v>
      </c>
      <c r="J350">
        <v>0</v>
      </c>
      <c r="K350">
        <v>65</v>
      </c>
    </row>
    <row r="351" spans="1:11" hidden="1" x14ac:dyDescent="0.35">
      <c r="A351" t="s">
        <v>364</v>
      </c>
      <c r="B351" t="s">
        <v>539</v>
      </c>
      <c r="C351" t="s">
        <v>227</v>
      </c>
      <c r="D351" t="s">
        <v>226</v>
      </c>
      <c r="E351">
        <v>11</v>
      </c>
      <c r="K351">
        <v>11</v>
      </c>
    </row>
    <row r="352" spans="1:11" hidden="1" x14ac:dyDescent="0.35">
      <c r="A352" t="s">
        <v>366</v>
      </c>
      <c r="B352" t="s">
        <v>543</v>
      </c>
      <c r="C352" t="s">
        <v>544</v>
      </c>
      <c r="D352" t="s">
        <v>548</v>
      </c>
      <c r="E352">
        <v>695</v>
      </c>
      <c r="F352">
        <v>203</v>
      </c>
      <c r="I352">
        <v>297</v>
      </c>
      <c r="K352">
        <v>195</v>
      </c>
    </row>
    <row r="353" spans="1:11" hidden="1" x14ac:dyDescent="0.35">
      <c r="A353" t="s">
        <v>341</v>
      </c>
      <c r="B353" t="s">
        <v>536</v>
      </c>
      <c r="C353" t="s">
        <v>293</v>
      </c>
      <c r="D353" t="s">
        <v>292</v>
      </c>
      <c r="E353">
        <v>95</v>
      </c>
      <c r="H353">
        <v>95</v>
      </c>
      <c r="J353">
        <v>0</v>
      </c>
      <c r="K353">
        <v>0</v>
      </c>
    </row>
    <row r="354" spans="1:11" hidden="1" x14ac:dyDescent="0.35">
      <c r="A354" t="s">
        <v>366</v>
      </c>
      <c r="B354" t="s">
        <v>536</v>
      </c>
      <c r="C354" t="s">
        <v>312</v>
      </c>
      <c r="D354" t="s">
        <v>311</v>
      </c>
      <c r="E354">
        <v>116</v>
      </c>
      <c r="H354">
        <v>55</v>
      </c>
      <c r="J354">
        <v>0</v>
      </c>
      <c r="K354">
        <v>61</v>
      </c>
    </row>
    <row r="355" spans="1:11" hidden="1" x14ac:dyDescent="0.35">
      <c r="A355" t="s">
        <v>366</v>
      </c>
      <c r="B355" t="s">
        <v>536</v>
      </c>
      <c r="C355" t="s">
        <v>264</v>
      </c>
      <c r="D355" t="s">
        <v>263</v>
      </c>
      <c r="E355">
        <v>148</v>
      </c>
      <c r="H355">
        <v>53</v>
      </c>
      <c r="J355">
        <v>0</v>
      </c>
      <c r="K355">
        <v>95</v>
      </c>
    </row>
    <row r="356" spans="1:11" hidden="1" x14ac:dyDescent="0.35">
      <c r="A356" t="s">
        <v>366</v>
      </c>
      <c r="B356" t="s">
        <v>536</v>
      </c>
      <c r="C356" t="s">
        <v>297</v>
      </c>
      <c r="D356" t="s">
        <v>296</v>
      </c>
      <c r="E356">
        <v>105</v>
      </c>
      <c r="H356">
        <v>13</v>
      </c>
      <c r="J356">
        <v>0</v>
      </c>
      <c r="K356">
        <v>92</v>
      </c>
    </row>
    <row r="357" spans="1:11" hidden="1" x14ac:dyDescent="0.35">
      <c r="A357" t="s">
        <v>341</v>
      </c>
      <c r="B357" t="s">
        <v>536</v>
      </c>
      <c r="C357" t="s">
        <v>312</v>
      </c>
      <c r="D357" t="s">
        <v>311</v>
      </c>
      <c r="E357">
        <v>124</v>
      </c>
      <c r="H357">
        <v>64</v>
      </c>
      <c r="J357">
        <v>0</v>
      </c>
      <c r="K357">
        <v>60</v>
      </c>
    </row>
    <row r="358" spans="1:11" hidden="1" x14ac:dyDescent="0.35">
      <c r="A358" t="s">
        <v>364</v>
      </c>
      <c r="B358" t="s">
        <v>539</v>
      </c>
      <c r="C358" t="s">
        <v>286</v>
      </c>
      <c r="D358" t="s">
        <v>285</v>
      </c>
      <c r="E358">
        <v>9</v>
      </c>
      <c r="K358">
        <v>9</v>
      </c>
    </row>
    <row r="359" spans="1:11" hidden="1" x14ac:dyDescent="0.35">
      <c r="A359" t="s">
        <v>342</v>
      </c>
      <c r="B359" t="s">
        <v>539</v>
      </c>
      <c r="C359" t="s">
        <v>245</v>
      </c>
      <c r="D359" t="s">
        <v>246</v>
      </c>
      <c r="E359">
        <v>22</v>
      </c>
      <c r="K359">
        <v>22</v>
      </c>
    </row>
    <row r="360" spans="1:11" hidden="1" x14ac:dyDescent="0.35">
      <c r="A360" t="s">
        <v>365</v>
      </c>
      <c r="B360" t="s">
        <v>536</v>
      </c>
      <c r="C360" t="s">
        <v>297</v>
      </c>
      <c r="D360" t="s">
        <v>296</v>
      </c>
      <c r="E360">
        <v>129</v>
      </c>
      <c r="H360">
        <v>14</v>
      </c>
      <c r="J360">
        <v>0</v>
      </c>
      <c r="K360">
        <v>115</v>
      </c>
    </row>
    <row r="361" spans="1:11" hidden="1" x14ac:dyDescent="0.35">
      <c r="A361" t="s">
        <v>366</v>
      </c>
      <c r="B361" t="s">
        <v>536</v>
      </c>
      <c r="C361" t="s">
        <v>282</v>
      </c>
      <c r="D361" t="s">
        <v>281</v>
      </c>
      <c r="E361">
        <v>161</v>
      </c>
      <c r="H361">
        <v>110</v>
      </c>
      <c r="J361">
        <v>20</v>
      </c>
      <c r="K361">
        <v>31</v>
      </c>
    </row>
    <row r="362" spans="1:11" hidden="1" x14ac:dyDescent="0.35">
      <c r="A362" t="s">
        <v>364</v>
      </c>
      <c r="B362" t="s">
        <v>536</v>
      </c>
      <c r="C362" t="s">
        <v>241</v>
      </c>
      <c r="D362" t="s">
        <v>240</v>
      </c>
      <c r="E362">
        <v>64</v>
      </c>
      <c r="H362">
        <v>21</v>
      </c>
      <c r="J362">
        <v>0</v>
      </c>
      <c r="K362">
        <v>43</v>
      </c>
    </row>
    <row r="363" spans="1:11" hidden="1" x14ac:dyDescent="0.35">
      <c r="A363" t="s">
        <v>366</v>
      </c>
      <c r="B363" t="s">
        <v>536</v>
      </c>
      <c r="C363" t="s">
        <v>290</v>
      </c>
      <c r="D363" t="s">
        <v>289</v>
      </c>
      <c r="E363">
        <v>214</v>
      </c>
      <c r="H363">
        <v>34</v>
      </c>
      <c r="J363">
        <v>0</v>
      </c>
      <c r="K363">
        <v>180</v>
      </c>
    </row>
    <row r="364" spans="1:11" hidden="1" x14ac:dyDescent="0.35">
      <c r="A364" t="s">
        <v>365</v>
      </c>
      <c r="B364" t="s">
        <v>539</v>
      </c>
      <c r="C364" t="s">
        <v>271</v>
      </c>
      <c r="D364" t="s">
        <v>272</v>
      </c>
      <c r="E364">
        <v>25</v>
      </c>
      <c r="K364">
        <v>25</v>
      </c>
    </row>
    <row r="365" spans="1:11" hidden="1" x14ac:dyDescent="0.35">
      <c r="A365" t="s">
        <v>341</v>
      </c>
      <c r="B365" t="s">
        <v>539</v>
      </c>
      <c r="C365" t="s">
        <v>262</v>
      </c>
      <c r="D365" t="s">
        <v>261</v>
      </c>
      <c r="E365">
        <v>18</v>
      </c>
      <c r="K365">
        <v>18</v>
      </c>
    </row>
    <row r="366" spans="1:11" hidden="1" x14ac:dyDescent="0.35">
      <c r="A366" t="s">
        <v>365</v>
      </c>
      <c r="B366" t="s">
        <v>539</v>
      </c>
      <c r="C366" t="s">
        <v>227</v>
      </c>
      <c r="D366" t="s">
        <v>226</v>
      </c>
      <c r="E366">
        <v>12</v>
      </c>
      <c r="K366">
        <v>12</v>
      </c>
    </row>
    <row r="367" spans="1:11" hidden="1" x14ac:dyDescent="0.35">
      <c r="A367" t="s">
        <v>366</v>
      </c>
      <c r="B367" t="s">
        <v>536</v>
      </c>
      <c r="C367" t="s">
        <v>216</v>
      </c>
      <c r="D367" t="s">
        <v>215</v>
      </c>
      <c r="E367">
        <v>167</v>
      </c>
      <c r="H367">
        <v>23</v>
      </c>
      <c r="J367">
        <v>0</v>
      </c>
      <c r="K367">
        <v>144</v>
      </c>
    </row>
    <row r="368" spans="1:11" hidden="1" x14ac:dyDescent="0.35">
      <c r="A368" t="s">
        <v>341</v>
      </c>
      <c r="B368" t="s">
        <v>536</v>
      </c>
      <c r="C368" t="s">
        <v>216</v>
      </c>
      <c r="D368" t="s">
        <v>215</v>
      </c>
      <c r="E368">
        <v>163</v>
      </c>
      <c r="H368">
        <v>8</v>
      </c>
      <c r="J368">
        <v>0</v>
      </c>
      <c r="K368">
        <v>155</v>
      </c>
    </row>
    <row r="369" spans="1:11" hidden="1" x14ac:dyDescent="0.35">
      <c r="A369" t="s">
        <v>365</v>
      </c>
      <c r="B369" t="s">
        <v>536</v>
      </c>
      <c r="C369" t="s">
        <v>260</v>
      </c>
      <c r="D369" t="s">
        <v>259</v>
      </c>
      <c r="E369">
        <v>57</v>
      </c>
      <c r="H369">
        <v>0</v>
      </c>
      <c r="J369">
        <v>0</v>
      </c>
      <c r="K369">
        <v>57</v>
      </c>
    </row>
    <row r="370" spans="1:11" hidden="1" x14ac:dyDescent="0.35">
      <c r="A370" t="s">
        <v>342</v>
      </c>
      <c r="B370" t="s">
        <v>536</v>
      </c>
      <c r="C370" t="s">
        <v>290</v>
      </c>
      <c r="D370" t="s">
        <v>289</v>
      </c>
      <c r="E370">
        <v>200</v>
      </c>
      <c r="H370">
        <v>37</v>
      </c>
      <c r="K370">
        <v>163</v>
      </c>
    </row>
    <row r="371" spans="1:11" hidden="1" x14ac:dyDescent="0.35">
      <c r="A371" t="s">
        <v>364</v>
      </c>
      <c r="B371" t="s">
        <v>539</v>
      </c>
      <c r="C371" t="s">
        <v>258</v>
      </c>
      <c r="D371" t="s">
        <v>257</v>
      </c>
      <c r="E371">
        <v>21</v>
      </c>
      <c r="K371">
        <v>21</v>
      </c>
    </row>
    <row r="372" spans="1:11" hidden="1" x14ac:dyDescent="0.35">
      <c r="A372" t="s">
        <v>365</v>
      </c>
      <c r="B372" t="s">
        <v>536</v>
      </c>
      <c r="C372" t="s">
        <v>248</v>
      </c>
      <c r="D372" t="s">
        <v>247</v>
      </c>
      <c r="E372">
        <v>221</v>
      </c>
      <c r="H372">
        <v>14</v>
      </c>
      <c r="J372">
        <v>0</v>
      </c>
      <c r="K372">
        <v>207</v>
      </c>
    </row>
    <row r="373" spans="1:11" hidden="1" x14ac:dyDescent="0.35">
      <c r="A373" t="s">
        <v>341</v>
      </c>
      <c r="B373" t="s">
        <v>536</v>
      </c>
      <c r="C373" t="s">
        <v>295</v>
      </c>
      <c r="D373" t="s">
        <v>294</v>
      </c>
      <c r="E373">
        <v>213</v>
      </c>
      <c r="H373">
        <v>122</v>
      </c>
      <c r="J373">
        <v>23</v>
      </c>
      <c r="K373">
        <v>68</v>
      </c>
    </row>
    <row r="374" spans="1:11" hidden="1" x14ac:dyDescent="0.35">
      <c r="A374" t="s">
        <v>342</v>
      </c>
      <c r="B374" t="s">
        <v>539</v>
      </c>
      <c r="C374" t="s">
        <v>271</v>
      </c>
      <c r="D374" t="s">
        <v>272</v>
      </c>
      <c r="E374">
        <v>22</v>
      </c>
      <c r="K374">
        <v>22</v>
      </c>
    </row>
    <row r="375" spans="1:11" hidden="1" x14ac:dyDescent="0.35">
      <c r="A375" t="s">
        <v>364</v>
      </c>
      <c r="B375" t="s">
        <v>539</v>
      </c>
      <c r="C375" t="s">
        <v>305</v>
      </c>
      <c r="D375" t="s">
        <v>306</v>
      </c>
      <c r="E375">
        <v>10</v>
      </c>
      <c r="K375">
        <v>10</v>
      </c>
    </row>
    <row r="376" spans="1:11" hidden="1" x14ac:dyDescent="0.35">
      <c r="A376" t="s">
        <v>341</v>
      </c>
      <c r="B376" t="s">
        <v>539</v>
      </c>
      <c r="C376" t="s">
        <v>268</v>
      </c>
      <c r="D376" t="s">
        <v>269</v>
      </c>
      <c r="E376">
        <v>24</v>
      </c>
      <c r="K376">
        <v>24</v>
      </c>
    </row>
    <row r="377" spans="1:11" hidden="1" x14ac:dyDescent="0.35">
      <c r="A377" t="s">
        <v>364</v>
      </c>
      <c r="B377" t="s">
        <v>536</v>
      </c>
      <c r="C377" t="s">
        <v>282</v>
      </c>
      <c r="D377" t="s">
        <v>281</v>
      </c>
      <c r="E377">
        <v>156</v>
      </c>
      <c r="H377">
        <v>104</v>
      </c>
      <c r="J377">
        <v>32</v>
      </c>
      <c r="K377">
        <v>20</v>
      </c>
    </row>
    <row r="378" spans="1:11" hidden="1" x14ac:dyDescent="0.35">
      <c r="A378" t="s">
        <v>326</v>
      </c>
      <c r="B378" t="s">
        <v>536</v>
      </c>
      <c r="C378" t="s">
        <v>278</v>
      </c>
      <c r="E378">
        <v>103</v>
      </c>
      <c r="F378">
        <v>0</v>
      </c>
      <c r="G378">
        <v>0</v>
      </c>
      <c r="H378">
        <v>36</v>
      </c>
      <c r="I378">
        <v>0</v>
      </c>
      <c r="J378">
        <v>0</v>
      </c>
      <c r="K378">
        <v>67</v>
      </c>
    </row>
    <row r="379" spans="1:11" hidden="1" x14ac:dyDescent="0.35">
      <c r="A379" t="s">
        <v>321</v>
      </c>
      <c r="B379" t="s">
        <v>536</v>
      </c>
      <c r="C379" t="s">
        <v>288</v>
      </c>
      <c r="E379">
        <v>188</v>
      </c>
      <c r="F379">
        <v>0</v>
      </c>
      <c r="G379">
        <v>0</v>
      </c>
      <c r="H379">
        <v>95</v>
      </c>
      <c r="I379">
        <v>0</v>
      </c>
      <c r="J379">
        <v>19</v>
      </c>
      <c r="K379">
        <v>74</v>
      </c>
    </row>
    <row r="380" spans="1:11" hidden="1" x14ac:dyDescent="0.35">
      <c r="A380" t="s">
        <v>214</v>
      </c>
      <c r="B380" t="s">
        <v>536</v>
      </c>
      <c r="C380" t="s">
        <v>299</v>
      </c>
      <c r="D380" t="s">
        <v>298</v>
      </c>
      <c r="E380">
        <v>199</v>
      </c>
      <c r="F380">
        <v>0</v>
      </c>
      <c r="G380">
        <v>0</v>
      </c>
      <c r="H380">
        <v>143</v>
      </c>
      <c r="I380">
        <v>0</v>
      </c>
      <c r="J380">
        <v>0</v>
      </c>
      <c r="K380">
        <v>56</v>
      </c>
    </row>
    <row r="381" spans="1:11" hidden="1" x14ac:dyDescent="0.35">
      <c r="A381" t="s">
        <v>327</v>
      </c>
      <c r="B381" t="s">
        <v>539</v>
      </c>
      <c r="C381" t="s">
        <v>252</v>
      </c>
      <c r="E381">
        <v>25</v>
      </c>
      <c r="F381">
        <v>0</v>
      </c>
      <c r="G381">
        <v>4</v>
      </c>
      <c r="H381">
        <v>0</v>
      </c>
      <c r="I381">
        <v>0</v>
      </c>
      <c r="J381">
        <v>0</v>
      </c>
      <c r="K381">
        <v>25</v>
      </c>
    </row>
    <row r="382" spans="1:11" hidden="1" x14ac:dyDescent="0.35">
      <c r="A382" t="s">
        <v>319</v>
      </c>
      <c r="B382" t="s">
        <v>536</v>
      </c>
      <c r="C382" t="s">
        <v>268</v>
      </c>
      <c r="D382" t="s">
        <v>621</v>
      </c>
      <c r="E382">
        <v>363</v>
      </c>
      <c r="F382">
        <v>0</v>
      </c>
      <c r="G382">
        <v>0</v>
      </c>
      <c r="H382">
        <v>109</v>
      </c>
      <c r="I382">
        <v>0</v>
      </c>
      <c r="J382">
        <v>0</v>
      </c>
      <c r="K382">
        <v>254</v>
      </c>
    </row>
    <row r="383" spans="1:11" hidden="1" x14ac:dyDescent="0.35">
      <c r="A383" t="s">
        <v>313</v>
      </c>
      <c r="B383" t="s">
        <v>539</v>
      </c>
      <c r="C383" t="s">
        <v>266</v>
      </c>
      <c r="D383" t="s">
        <v>238</v>
      </c>
      <c r="E383">
        <v>19</v>
      </c>
      <c r="F383">
        <v>0</v>
      </c>
      <c r="G383">
        <v>1</v>
      </c>
      <c r="H383">
        <v>0</v>
      </c>
      <c r="I383">
        <v>0</v>
      </c>
      <c r="J383">
        <v>0</v>
      </c>
      <c r="K383">
        <v>19</v>
      </c>
    </row>
    <row r="384" spans="1:11" hidden="1" x14ac:dyDescent="0.35">
      <c r="A384" t="s">
        <v>321</v>
      </c>
      <c r="B384" t="s">
        <v>539</v>
      </c>
      <c r="C384" t="s">
        <v>245</v>
      </c>
      <c r="E384">
        <v>22</v>
      </c>
      <c r="F384">
        <v>0</v>
      </c>
      <c r="G384">
        <v>4</v>
      </c>
      <c r="H384">
        <v>0</v>
      </c>
      <c r="I384">
        <v>0</v>
      </c>
      <c r="J384">
        <v>0</v>
      </c>
      <c r="K384">
        <v>22</v>
      </c>
    </row>
    <row r="385" spans="1:11" hidden="1" x14ac:dyDescent="0.35">
      <c r="A385" t="s">
        <v>214</v>
      </c>
      <c r="B385" t="s">
        <v>536</v>
      </c>
      <c r="C385" t="s">
        <v>297</v>
      </c>
      <c r="D385" t="s">
        <v>296</v>
      </c>
      <c r="E385">
        <v>116</v>
      </c>
      <c r="F385">
        <v>0</v>
      </c>
      <c r="G385">
        <v>0</v>
      </c>
      <c r="H385">
        <v>17</v>
      </c>
      <c r="I385">
        <v>0</v>
      </c>
      <c r="J385">
        <v>0</v>
      </c>
      <c r="K385">
        <v>99</v>
      </c>
    </row>
    <row r="386" spans="1:11" hidden="1" x14ac:dyDescent="0.35">
      <c r="A386" t="s">
        <v>365</v>
      </c>
      <c r="B386" t="s">
        <v>536</v>
      </c>
      <c r="C386" t="s">
        <v>216</v>
      </c>
      <c r="D386" t="s">
        <v>215</v>
      </c>
      <c r="E386">
        <v>181</v>
      </c>
      <c r="H386">
        <v>8</v>
      </c>
      <c r="J386">
        <v>0</v>
      </c>
      <c r="K386">
        <v>173</v>
      </c>
    </row>
    <row r="387" spans="1:11" hidden="1" x14ac:dyDescent="0.35">
      <c r="A387" t="s">
        <v>341</v>
      </c>
      <c r="B387" t="s">
        <v>536</v>
      </c>
      <c r="C387" t="s">
        <v>308</v>
      </c>
      <c r="D387" t="s">
        <v>307</v>
      </c>
      <c r="E387">
        <v>126</v>
      </c>
      <c r="H387">
        <v>73</v>
      </c>
      <c r="J387">
        <v>0</v>
      </c>
      <c r="K387">
        <v>53</v>
      </c>
    </row>
    <row r="388" spans="1:11" hidden="1" x14ac:dyDescent="0.35">
      <c r="A388" t="s">
        <v>341</v>
      </c>
      <c r="B388" t="s">
        <v>536</v>
      </c>
      <c r="C388" t="s">
        <v>299</v>
      </c>
      <c r="D388" t="s">
        <v>298</v>
      </c>
      <c r="E388">
        <v>199</v>
      </c>
      <c r="H388">
        <v>143</v>
      </c>
      <c r="J388">
        <v>0</v>
      </c>
      <c r="K388">
        <v>56</v>
      </c>
    </row>
    <row r="389" spans="1:11" hidden="1" x14ac:dyDescent="0.35">
      <c r="A389" t="s">
        <v>341</v>
      </c>
      <c r="B389" t="s">
        <v>536</v>
      </c>
      <c r="C389" t="s">
        <v>241</v>
      </c>
      <c r="D389" t="s">
        <v>240</v>
      </c>
      <c r="E389">
        <v>46</v>
      </c>
      <c r="H389">
        <v>24</v>
      </c>
      <c r="J389">
        <v>0</v>
      </c>
      <c r="K389">
        <v>22</v>
      </c>
    </row>
    <row r="390" spans="1:11" hidden="1" x14ac:dyDescent="0.35">
      <c r="A390" t="s">
        <v>364</v>
      </c>
      <c r="B390" t="s">
        <v>536</v>
      </c>
      <c r="C390" t="s">
        <v>271</v>
      </c>
      <c r="D390" t="s">
        <v>270</v>
      </c>
      <c r="E390">
        <v>562</v>
      </c>
      <c r="H390">
        <v>2</v>
      </c>
      <c r="J390">
        <v>0</v>
      </c>
      <c r="K390">
        <v>560</v>
      </c>
    </row>
    <row r="391" spans="1:11" hidden="1" x14ac:dyDescent="0.35">
      <c r="A391" t="s">
        <v>366</v>
      </c>
      <c r="B391" t="s">
        <v>536</v>
      </c>
      <c r="C391" t="s">
        <v>241</v>
      </c>
      <c r="D391" t="s">
        <v>240</v>
      </c>
      <c r="E391">
        <v>47</v>
      </c>
      <c r="H391">
        <v>21</v>
      </c>
      <c r="J391">
        <v>0</v>
      </c>
      <c r="K391">
        <v>26</v>
      </c>
    </row>
    <row r="392" spans="1:11" hidden="1" x14ac:dyDescent="0.35">
      <c r="A392" t="s">
        <v>365</v>
      </c>
      <c r="B392" t="s">
        <v>536</v>
      </c>
      <c r="C392" t="s">
        <v>225</v>
      </c>
      <c r="D392" t="s">
        <v>224</v>
      </c>
      <c r="E392">
        <v>122</v>
      </c>
      <c r="H392">
        <v>95</v>
      </c>
      <c r="J392">
        <v>0</v>
      </c>
      <c r="K392">
        <v>27</v>
      </c>
    </row>
    <row r="393" spans="1:11" hidden="1" x14ac:dyDescent="0.35">
      <c r="A393" t="s">
        <v>342</v>
      </c>
      <c r="B393" t="s">
        <v>539</v>
      </c>
      <c r="C393" t="s">
        <v>216</v>
      </c>
      <c r="D393" t="s">
        <v>217</v>
      </c>
      <c r="E393">
        <v>15</v>
      </c>
      <c r="K393">
        <v>15</v>
      </c>
    </row>
    <row r="394" spans="1:11" hidden="1" x14ac:dyDescent="0.35">
      <c r="A394" t="s">
        <v>364</v>
      </c>
      <c r="B394" t="s">
        <v>536</v>
      </c>
      <c r="C394" t="s">
        <v>297</v>
      </c>
      <c r="D394" t="s">
        <v>296</v>
      </c>
      <c r="E394">
        <v>130</v>
      </c>
      <c r="H394">
        <v>14</v>
      </c>
      <c r="J394">
        <v>0</v>
      </c>
      <c r="K394">
        <v>116</v>
      </c>
    </row>
    <row r="395" spans="1:11" hidden="1" x14ac:dyDescent="0.35">
      <c r="A395" t="s">
        <v>366</v>
      </c>
      <c r="B395" t="s">
        <v>539</v>
      </c>
      <c r="C395" t="s">
        <v>276</v>
      </c>
      <c r="D395" t="s">
        <v>275</v>
      </c>
      <c r="E395">
        <v>29</v>
      </c>
      <c r="K395">
        <v>29</v>
      </c>
    </row>
    <row r="396" spans="1:11" hidden="1" x14ac:dyDescent="0.35">
      <c r="A396" t="s">
        <v>341</v>
      </c>
      <c r="B396" t="s">
        <v>536</v>
      </c>
      <c r="C396" t="s">
        <v>297</v>
      </c>
      <c r="D396" t="s">
        <v>296</v>
      </c>
      <c r="E396">
        <v>110</v>
      </c>
      <c r="H396">
        <v>13</v>
      </c>
      <c r="J396">
        <v>0</v>
      </c>
      <c r="K396">
        <v>97</v>
      </c>
    </row>
    <row r="397" spans="1:11" hidden="1" x14ac:dyDescent="0.35">
      <c r="A397" t="s">
        <v>364</v>
      </c>
      <c r="B397" t="s">
        <v>541</v>
      </c>
      <c r="C397" t="s">
        <v>239</v>
      </c>
      <c r="D397" t="s">
        <v>238</v>
      </c>
      <c r="E397">
        <v>255</v>
      </c>
      <c r="I397">
        <v>175</v>
      </c>
      <c r="K397">
        <v>80</v>
      </c>
    </row>
    <row r="398" spans="1:11" hidden="1" x14ac:dyDescent="0.35">
      <c r="A398" t="s">
        <v>364</v>
      </c>
      <c r="B398" t="s">
        <v>536</v>
      </c>
      <c r="C398" t="s">
        <v>250</v>
      </c>
      <c r="D398" t="s">
        <v>249</v>
      </c>
      <c r="E398">
        <v>136</v>
      </c>
      <c r="H398">
        <v>77</v>
      </c>
      <c r="J398">
        <v>0</v>
      </c>
      <c r="K398">
        <v>59</v>
      </c>
    </row>
    <row r="399" spans="1:11" hidden="1" x14ac:dyDescent="0.35">
      <c r="A399" t="s">
        <v>342</v>
      </c>
      <c r="B399" t="s">
        <v>536</v>
      </c>
      <c r="C399" t="s">
        <v>216</v>
      </c>
      <c r="D399" t="s">
        <v>215</v>
      </c>
      <c r="E399">
        <v>153</v>
      </c>
      <c r="H399">
        <v>8</v>
      </c>
      <c r="K399">
        <v>145</v>
      </c>
    </row>
    <row r="400" spans="1:11" hidden="1" x14ac:dyDescent="0.35">
      <c r="A400" t="s">
        <v>364</v>
      </c>
      <c r="B400" t="s">
        <v>536</v>
      </c>
      <c r="C400" t="s">
        <v>229</v>
      </c>
      <c r="D400" t="s">
        <v>228</v>
      </c>
      <c r="E400">
        <v>448</v>
      </c>
      <c r="H400">
        <v>187</v>
      </c>
      <c r="J400">
        <v>203</v>
      </c>
      <c r="K400">
        <v>58</v>
      </c>
    </row>
    <row r="401" spans="1:11" hidden="1" x14ac:dyDescent="0.35">
      <c r="A401" t="s">
        <v>341</v>
      </c>
      <c r="B401" t="s">
        <v>536</v>
      </c>
      <c r="C401" t="s">
        <v>310</v>
      </c>
      <c r="D401" t="s">
        <v>309</v>
      </c>
      <c r="E401">
        <v>86</v>
      </c>
      <c r="H401">
        <v>17</v>
      </c>
      <c r="J401">
        <v>0</v>
      </c>
      <c r="K401">
        <v>69</v>
      </c>
    </row>
    <row r="402" spans="1:11" hidden="1" x14ac:dyDescent="0.35">
      <c r="A402" t="s">
        <v>341</v>
      </c>
      <c r="B402" t="s">
        <v>536</v>
      </c>
      <c r="C402" t="s">
        <v>278</v>
      </c>
      <c r="D402" t="s">
        <v>277</v>
      </c>
      <c r="E402">
        <v>107</v>
      </c>
      <c r="H402">
        <v>39</v>
      </c>
      <c r="J402">
        <v>0</v>
      </c>
      <c r="K402">
        <v>68</v>
      </c>
    </row>
    <row r="403" spans="1:11" hidden="1" x14ac:dyDescent="0.35">
      <c r="A403" t="s">
        <v>365</v>
      </c>
      <c r="B403" t="s">
        <v>541</v>
      </c>
      <c r="C403" t="s">
        <v>233</v>
      </c>
      <c r="D403" t="s">
        <v>232</v>
      </c>
      <c r="E403">
        <v>445</v>
      </c>
      <c r="I403">
        <v>340</v>
      </c>
      <c r="K403">
        <v>105</v>
      </c>
    </row>
    <row r="404" spans="1:11" hidden="1" x14ac:dyDescent="0.35">
      <c r="A404" t="s">
        <v>366</v>
      </c>
      <c r="B404" t="s">
        <v>536</v>
      </c>
      <c r="C404" t="s">
        <v>271</v>
      </c>
      <c r="D404" t="s">
        <v>270</v>
      </c>
      <c r="E404">
        <v>505</v>
      </c>
      <c r="H404">
        <v>6</v>
      </c>
      <c r="J404">
        <v>0</v>
      </c>
      <c r="K404">
        <v>499</v>
      </c>
    </row>
    <row r="405" spans="1:11" hidden="1" x14ac:dyDescent="0.35">
      <c r="A405" t="s">
        <v>341</v>
      </c>
      <c r="B405" t="s">
        <v>536</v>
      </c>
      <c r="C405" t="s">
        <v>282</v>
      </c>
      <c r="D405" t="s">
        <v>281</v>
      </c>
      <c r="E405">
        <v>156</v>
      </c>
      <c r="H405">
        <v>125</v>
      </c>
      <c r="J405">
        <v>4</v>
      </c>
      <c r="K405">
        <v>27</v>
      </c>
    </row>
    <row r="406" spans="1:11" hidden="1" x14ac:dyDescent="0.35">
      <c r="A406" t="s">
        <v>366</v>
      </c>
      <c r="B406" t="s">
        <v>536</v>
      </c>
      <c r="C406" t="s">
        <v>221</v>
      </c>
      <c r="D406" t="s">
        <v>220</v>
      </c>
      <c r="E406">
        <v>303</v>
      </c>
      <c r="H406">
        <v>271</v>
      </c>
      <c r="J406">
        <v>0</v>
      </c>
      <c r="K406">
        <v>32</v>
      </c>
    </row>
    <row r="407" spans="1:11" hidden="1" x14ac:dyDescent="0.35">
      <c r="A407" t="s">
        <v>342</v>
      </c>
      <c r="B407" t="s">
        <v>536</v>
      </c>
      <c r="C407" t="s">
        <v>260</v>
      </c>
      <c r="D407" t="s">
        <v>259</v>
      </c>
      <c r="E407">
        <v>51</v>
      </c>
      <c r="K407">
        <v>51</v>
      </c>
    </row>
    <row r="408" spans="1:11" hidden="1" x14ac:dyDescent="0.35">
      <c r="A408" t="s">
        <v>366</v>
      </c>
      <c r="B408" t="s">
        <v>536</v>
      </c>
      <c r="C408" t="s">
        <v>256</v>
      </c>
      <c r="D408" t="s">
        <v>255</v>
      </c>
      <c r="E408">
        <v>82</v>
      </c>
      <c r="H408">
        <v>55</v>
      </c>
      <c r="J408">
        <v>0</v>
      </c>
      <c r="K408">
        <v>27</v>
      </c>
    </row>
    <row r="409" spans="1:11" hidden="1" x14ac:dyDescent="0.35">
      <c r="A409" t="s">
        <v>342</v>
      </c>
      <c r="B409" t="s">
        <v>536</v>
      </c>
      <c r="C409" t="s">
        <v>305</v>
      </c>
      <c r="D409" t="s">
        <v>304</v>
      </c>
      <c r="E409">
        <v>241</v>
      </c>
      <c r="H409">
        <v>73</v>
      </c>
      <c r="J409">
        <v>2</v>
      </c>
      <c r="K409">
        <v>166</v>
      </c>
    </row>
    <row r="410" spans="1:11" hidden="1" x14ac:dyDescent="0.35">
      <c r="A410" t="s">
        <v>364</v>
      </c>
      <c r="B410" t="s">
        <v>539</v>
      </c>
      <c r="C410" t="s">
        <v>243</v>
      </c>
      <c r="D410" t="s">
        <v>242</v>
      </c>
      <c r="E410">
        <v>8</v>
      </c>
      <c r="K410">
        <v>8</v>
      </c>
    </row>
    <row r="411" spans="1:11" hidden="1" x14ac:dyDescent="0.35">
      <c r="A411" t="s">
        <v>365</v>
      </c>
      <c r="B411" t="s">
        <v>536</v>
      </c>
      <c r="C411" t="s">
        <v>308</v>
      </c>
      <c r="D411" t="s">
        <v>307</v>
      </c>
      <c r="E411">
        <v>130</v>
      </c>
      <c r="H411">
        <v>75</v>
      </c>
      <c r="J411">
        <v>0</v>
      </c>
      <c r="K411">
        <v>55</v>
      </c>
    </row>
    <row r="412" spans="1:11" hidden="1" x14ac:dyDescent="0.35">
      <c r="A412" t="s">
        <v>342</v>
      </c>
      <c r="B412" t="s">
        <v>536</v>
      </c>
      <c r="C412" t="s">
        <v>256</v>
      </c>
      <c r="D412" t="s">
        <v>255</v>
      </c>
      <c r="E412">
        <v>79</v>
      </c>
      <c r="H412">
        <v>56</v>
      </c>
      <c r="K412">
        <v>23</v>
      </c>
    </row>
    <row r="413" spans="1:11" hidden="1" x14ac:dyDescent="0.35">
      <c r="A413" t="s">
        <v>365</v>
      </c>
      <c r="B413" t="s">
        <v>539</v>
      </c>
      <c r="C413" t="s">
        <v>286</v>
      </c>
      <c r="D413" t="s">
        <v>285</v>
      </c>
      <c r="E413">
        <v>7</v>
      </c>
      <c r="K413">
        <v>7</v>
      </c>
    </row>
    <row r="414" spans="1:11" hidden="1" x14ac:dyDescent="0.35">
      <c r="A414" t="s">
        <v>341</v>
      </c>
      <c r="B414" t="s">
        <v>536</v>
      </c>
      <c r="C414" t="s">
        <v>301</v>
      </c>
      <c r="D414" t="s">
        <v>300</v>
      </c>
      <c r="E414">
        <v>122</v>
      </c>
      <c r="H414">
        <v>122</v>
      </c>
      <c r="J414">
        <v>0</v>
      </c>
      <c r="K414">
        <v>0</v>
      </c>
    </row>
    <row r="415" spans="1:11" hidden="1" x14ac:dyDescent="0.35">
      <c r="A415" t="s">
        <v>342</v>
      </c>
      <c r="B415" t="s">
        <v>539</v>
      </c>
      <c r="C415" t="s">
        <v>276</v>
      </c>
      <c r="D415" t="s">
        <v>275</v>
      </c>
      <c r="E415">
        <v>32</v>
      </c>
      <c r="K415">
        <v>32</v>
      </c>
    </row>
    <row r="416" spans="1:11" hidden="1" x14ac:dyDescent="0.35">
      <c r="A416" t="s">
        <v>366</v>
      </c>
      <c r="B416" t="s">
        <v>539</v>
      </c>
      <c r="C416" t="s">
        <v>286</v>
      </c>
      <c r="D416" t="s">
        <v>285</v>
      </c>
      <c r="E416">
        <v>11</v>
      </c>
      <c r="K416">
        <v>11</v>
      </c>
    </row>
    <row r="417" spans="1:11" hidden="1" x14ac:dyDescent="0.35">
      <c r="A417" t="s">
        <v>342</v>
      </c>
      <c r="B417" t="s">
        <v>536</v>
      </c>
      <c r="C417" t="s">
        <v>221</v>
      </c>
      <c r="D417" t="s">
        <v>220</v>
      </c>
      <c r="E417">
        <v>299</v>
      </c>
      <c r="H417">
        <v>275</v>
      </c>
      <c r="K417">
        <v>24</v>
      </c>
    </row>
    <row r="418" spans="1:11" hidden="1" x14ac:dyDescent="0.35">
      <c r="A418" t="s">
        <v>326</v>
      </c>
      <c r="B418" t="s">
        <v>536</v>
      </c>
      <c r="C418" t="s">
        <v>225</v>
      </c>
      <c r="E418">
        <v>120</v>
      </c>
      <c r="F418">
        <v>0</v>
      </c>
      <c r="G418">
        <v>0</v>
      </c>
      <c r="H418">
        <v>96</v>
      </c>
      <c r="I418">
        <v>0</v>
      </c>
      <c r="J418">
        <v>0</v>
      </c>
      <c r="K418">
        <v>24</v>
      </c>
    </row>
    <row r="419" spans="1:11" hidden="1" x14ac:dyDescent="0.35">
      <c r="A419" t="s">
        <v>326</v>
      </c>
      <c r="B419" t="s">
        <v>536</v>
      </c>
      <c r="C419" t="s">
        <v>282</v>
      </c>
      <c r="E419">
        <v>141</v>
      </c>
      <c r="F419">
        <v>0</v>
      </c>
      <c r="G419">
        <v>0</v>
      </c>
      <c r="H419">
        <v>109</v>
      </c>
      <c r="I419">
        <v>0</v>
      </c>
      <c r="J419">
        <v>3</v>
      </c>
      <c r="K419">
        <v>29</v>
      </c>
    </row>
    <row r="420" spans="1:11" hidden="1" x14ac:dyDescent="0.35">
      <c r="A420" t="s">
        <v>321</v>
      </c>
      <c r="B420" t="s">
        <v>536</v>
      </c>
      <c r="C420" t="s">
        <v>280</v>
      </c>
      <c r="E420">
        <v>37</v>
      </c>
      <c r="F420">
        <v>0</v>
      </c>
      <c r="G420">
        <v>0</v>
      </c>
      <c r="H420">
        <v>11</v>
      </c>
      <c r="I420">
        <v>0</v>
      </c>
      <c r="J420">
        <v>0</v>
      </c>
      <c r="K420">
        <v>26</v>
      </c>
    </row>
    <row r="421" spans="1:11" hidden="1" x14ac:dyDescent="0.35">
      <c r="A421" t="s">
        <v>466</v>
      </c>
      <c r="B421" t="s">
        <v>539</v>
      </c>
      <c r="C421" t="s">
        <v>286</v>
      </c>
      <c r="E421">
        <v>0</v>
      </c>
      <c r="F421">
        <v>0</v>
      </c>
      <c r="G421">
        <v>9</v>
      </c>
      <c r="H421">
        <v>0</v>
      </c>
      <c r="I421">
        <v>0</v>
      </c>
      <c r="J421">
        <v>0</v>
      </c>
      <c r="K421">
        <v>0</v>
      </c>
    </row>
    <row r="422" spans="1:11" hidden="1" x14ac:dyDescent="0.35">
      <c r="A422" t="s">
        <v>326</v>
      </c>
      <c r="B422" t="s">
        <v>536</v>
      </c>
      <c r="C422" t="s">
        <v>268</v>
      </c>
      <c r="E422">
        <v>344</v>
      </c>
      <c r="F422">
        <v>0</v>
      </c>
      <c r="G422">
        <v>0</v>
      </c>
      <c r="H422">
        <v>105</v>
      </c>
      <c r="I422">
        <v>0</v>
      </c>
      <c r="J422">
        <v>0</v>
      </c>
      <c r="K422">
        <v>239</v>
      </c>
    </row>
    <row r="423" spans="1:11" hidden="1" x14ac:dyDescent="0.35">
      <c r="A423" t="s">
        <v>321</v>
      </c>
      <c r="B423" t="s">
        <v>536</v>
      </c>
      <c r="C423" t="s">
        <v>260</v>
      </c>
      <c r="E423">
        <v>47</v>
      </c>
      <c r="F423">
        <v>0</v>
      </c>
      <c r="G423">
        <v>0</v>
      </c>
      <c r="H423">
        <v>0</v>
      </c>
      <c r="I423">
        <v>0</v>
      </c>
      <c r="J423">
        <v>0</v>
      </c>
      <c r="K423">
        <v>47</v>
      </c>
    </row>
    <row r="424" spans="1:11" hidden="1" x14ac:dyDescent="0.35">
      <c r="A424" t="s">
        <v>214</v>
      </c>
      <c r="B424" t="s">
        <v>536</v>
      </c>
      <c r="C424" t="s">
        <v>280</v>
      </c>
      <c r="D424" t="s">
        <v>279</v>
      </c>
      <c r="E424">
        <v>39</v>
      </c>
      <c r="F424">
        <v>0</v>
      </c>
      <c r="G424">
        <v>0</v>
      </c>
      <c r="H424">
        <v>13</v>
      </c>
      <c r="I424">
        <v>0</v>
      </c>
      <c r="J424">
        <v>0</v>
      </c>
      <c r="K424">
        <v>26</v>
      </c>
    </row>
    <row r="425" spans="1:11" x14ac:dyDescent="0.35">
      <c r="A425" t="s">
        <v>214</v>
      </c>
      <c r="B425" t="s">
        <v>539</v>
      </c>
      <c r="C425" t="s">
        <v>216</v>
      </c>
      <c r="D425" t="s">
        <v>217</v>
      </c>
      <c r="E425">
        <v>16</v>
      </c>
      <c r="F425">
        <v>0</v>
      </c>
      <c r="G425">
        <v>0</v>
      </c>
      <c r="H425">
        <v>0</v>
      </c>
      <c r="I425">
        <v>0</v>
      </c>
      <c r="J425">
        <v>0</v>
      </c>
      <c r="K425">
        <v>16</v>
      </c>
    </row>
    <row r="426" spans="1:11" hidden="1" x14ac:dyDescent="0.35">
      <c r="A426" t="s">
        <v>327</v>
      </c>
      <c r="B426" t="s">
        <v>539</v>
      </c>
      <c r="C426" t="s">
        <v>271</v>
      </c>
      <c r="E426">
        <v>23</v>
      </c>
      <c r="F426">
        <v>0</v>
      </c>
      <c r="G426">
        <v>0</v>
      </c>
      <c r="H426">
        <v>0</v>
      </c>
      <c r="I426">
        <v>0</v>
      </c>
      <c r="J426">
        <v>0</v>
      </c>
      <c r="K426">
        <v>23</v>
      </c>
    </row>
    <row r="427" spans="1:11" hidden="1" x14ac:dyDescent="0.35">
      <c r="A427" t="s">
        <v>214</v>
      </c>
      <c r="B427" t="s">
        <v>536</v>
      </c>
      <c r="C427" t="s">
        <v>248</v>
      </c>
      <c r="D427" t="s">
        <v>247</v>
      </c>
      <c r="E427">
        <v>189</v>
      </c>
      <c r="F427">
        <v>0</v>
      </c>
      <c r="G427">
        <v>0</v>
      </c>
      <c r="H427">
        <v>12</v>
      </c>
      <c r="I427">
        <v>0</v>
      </c>
      <c r="J427">
        <v>0</v>
      </c>
      <c r="K427">
        <v>177</v>
      </c>
    </row>
    <row r="428" spans="1:11" hidden="1" x14ac:dyDescent="0.35">
      <c r="A428" t="s">
        <v>214</v>
      </c>
      <c r="B428" t="s">
        <v>543</v>
      </c>
      <c r="C428" t="s">
        <v>544</v>
      </c>
      <c r="D428" t="s">
        <v>548</v>
      </c>
      <c r="E428">
        <v>1148</v>
      </c>
      <c r="F428">
        <v>207</v>
      </c>
      <c r="G428">
        <v>0</v>
      </c>
      <c r="H428">
        <v>0</v>
      </c>
      <c r="I428">
        <v>792</v>
      </c>
      <c r="J428">
        <v>0</v>
      </c>
      <c r="K428">
        <v>149</v>
      </c>
    </row>
    <row r="429" spans="1:11" hidden="1" x14ac:dyDescent="0.35">
      <c r="A429" t="s">
        <v>326</v>
      </c>
      <c r="B429" t="s">
        <v>536</v>
      </c>
      <c r="C429" t="s">
        <v>297</v>
      </c>
      <c r="E429">
        <v>109</v>
      </c>
      <c r="F429">
        <v>0</v>
      </c>
      <c r="G429">
        <v>0</v>
      </c>
      <c r="H429">
        <v>14</v>
      </c>
      <c r="I429">
        <v>0</v>
      </c>
      <c r="J429">
        <v>0</v>
      </c>
      <c r="K429">
        <v>95</v>
      </c>
    </row>
    <row r="430" spans="1:11" hidden="1" x14ac:dyDescent="0.35">
      <c r="A430" t="s">
        <v>466</v>
      </c>
      <c r="B430" t="s">
        <v>539</v>
      </c>
      <c r="C430" t="s">
        <v>227</v>
      </c>
      <c r="E430">
        <v>25</v>
      </c>
      <c r="F430">
        <v>0</v>
      </c>
      <c r="G430">
        <v>3</v>
      </c>
      <c r="H430">
        <v>0</v>
      </c>
      <c r="I430">
        <v>0</v>
      </c>
      <c r="J430">
        <v>0</v>
      </c>
      <c r="K430">
        <v>25</v>
      </c>
    </row>
    <row r="431" spans="1:11" hidden="1" x14ac:dyDescent="0.35">
      <c r="A431" t="s">
        <v>326</v>
      </c>
      <c r="B431" t="s">
        <v>539</v>
      </c>
      <c r="C431" t="s">
        <v>227</v>
      </c>
      <c r="E431">
        <v>0</v>
      </c>
      <c r="F431">
        <v>0</v>
      </c>
      <c r="G431">
        <v>1</v>
      </c>
      <c r="H431">
        <v>0</v>
      </c>
      <c r="I431">
        <v>0</v>
      </c>
      <c r="J431">
        <v>0</v>
      </c>
      <c r="K431">
        <v>0</v>
      </c>
    </row>
    <row r="432" spans="1:11" hidden="1" x14ac:dyDescent="0.35">
      <c r="A432" t="s">
        <v>319</v>
      </c>
      <c r="B432" t="s">
        <v>536</v>
      </c>
      <c r="C432" t="s">
        <v>225</v>
      </c>
      <c r="D432" t="s">
        <v>218</v>
      </c>
      <c r="E432">
        <v>131</v>
      </c>
      <c r="F432">
        <v>0</v>
      </c>
      <c r="G432">
        <v>0</v>
      </c>
      <c r="H432">
        <v>104</v>
      </c>
      <c r="I432">
        <v>0</v>
      </c>
      <c r="J432">
        <v>0</v>
      </c>
      <c r="K432">
        <v>27</v>
      </c>
    </row>
    <row r="433" spans="1:11" hidden="1" x14ac:dyDescent="0.35">
      <c r="A433" t="s">
        <v>466</v>
      </c>
      <c r="B433" t="s">
        <v>536</v>
      </c>
      <c r="C433" t="s">
        <v>284</v>
      </c>
      <c r="E433">
        <v>134</v>
      </c>
      <c r="F433">
        <v>0</v>
      </c>
      <c r="G433">
        <v>0</v>
      </c>
      <c r="H433">
        <v>131</v>
      </c>
      <c r="I433">
        <v>0</v>
      </c>
      <c r="J433">
        <v>0</v>
      </c>
      <c r="K433">
        <v>3</v>
      </c>
    </row>
    <row r="434" spans="1:11" hidden="1" x14ac:dyDescent="0.35">
      <c r="A434" t="s">
        <v>327</v>
      </c>
      <c r="B434" t="s">
        <v>539</v>
      </c>
      <c r="C434" t="s">
        <v>262</v>
      </c>
      <c r="E434">
        <v>18</v>
      </c>
      <c r="F434">
        <v>0</v>
      </c>
      <c r="G434">
        <v>0</v>
      </c>
      <c r="H434">
        <v>0</v>
      </c>
      <c r="I434">
        <v>0</v>
      </c>
      <c r="J434">
        <v>0</v>
      </c>
      <c r="K434">
        <v>18</v>
      </c>
    </row>
    <row r="435" spans="1:11" hidden="1" x14ac:dyDescent="0.35">
      <c r="A435" t="s">
        <v>342</v>
      </c>
      <c r="B435" t="s">
        <v>536</v>
      </c>
      <c r="C435" t="s">
        <v>293</v>
      </c>
      <c r="D435" t="s">
        <v>292</v>
      </c>
      <c r="E435">
        <v>100</v>
      </c>
      <c r="H435">
        <v>100</v>
      </c>
    </row>
    <row r="436" spans="1:11" hidden="1" x14ac:dyDescent="0.35">
      <c r="A436" t="s">
        <v>365</v>
      </c>
      <c r="B436" t="s">
        <v>536</v>
      </c>
      <c r="C436" t="s">
        <v>221</v>
      </c>
      <c r="D436" t="s">
        <v>220</v>
      </c>
      <c r="E436">
        <v>303</v>
      </c>
      <c r="H436">
        <v>280</v>
      </c>
      <c r="J436">
        <v>0</v>
      </c>
      <c r="K436">
        <v>23</v>
      </c>
    </row>
    <row r="437" spans="1:11" hidden="1" x14ac:dyDescent="0.35">
      <c r="A437" t="s">
        <v>365</v>
      </c>
      <c r="B437" t="s">
        <v>541</v>
      </c>
      <c r="C437" t="s">
        <v>239</v>
      </c>
      <c r="D437" t="s">
        <v>238</v>
      </c>
      <c r="E437">
        <v>242</v>
      </c>
      <c r="I437">
        <v>163</v>
      </c>
      <c r="K437">
        <v>79</v>
      </c>
    </row>
    <row r="438" spans="1:11" hidden="1" x14ac:dyDescent="0.35">
      <c r="A438" t="s">
        <v>366</v>
      </c>
      <c r="B438" t="s">
        <v>539</v>
      </c>
      <c r="C438" t="s">
        <v>231</v>
      </c>
      <c r="D438" t="s">
        <v>230</v>
      </c>
      <c r="E438">
        <v>25</v>
      </c>
      <c r="K438">
        <v>25</v>
      </c>
    </row>
    <row r="439" spans="1:11" hidden="1" x14ac:dyDescent="0.35">
      <c r="A439" t="s">
        <v>341</v>
      </c>
      <c r="B439" t="s">
        <v>539</v>
      </c>
      <c r="C439" t="s">
        <v>223</v>
      </c>
      <c r="D439" t="s">
        <v>222</v>
      </c>
      <c r="E439">
        <v>25</v>
      </c>
      <c r="K439">
        <v>25</v>
      </c>
    </row>
    <row r="440" spans="1:11" hidden="1" x14ac:dyDescent="0.35">
      <c r="A440" t="s">
        <v>342</v>
      </c>
      <c r="B440" t="s">
        <v>536</v>
      </c>
      <c r="C440" t="s">
        <v>250</v>
      </c>
      <c r="D440" t="s">
        <v>249</v>
      </c>
      <c r="E440">
        <v>131</v>
      </c>
      <c r="H440">
        <v>82</v>
      </c>
      <c r="K440">
        <v>49</v>
      </c>
    </row>
    <row r="441" spans="1:11" hidden="1" x14ac:dyDescent="0.35">
      <c r="A441" t="s">
        <v>364</v>
      </c>
      <c r="B441" t="s">
        <v>536</v>
      </c>
      <c r="C441" t="s">
        <v>293</v>
      </c>
      <c r="D441" t="s">
        <v>292</v>
      </c>
      <c r="E441">
        <v>113</v>
      </c>
      <c r="H441">
        <v>113</v>
      </c>
      <c r="J441">
        <v>0</v>
      </c>
      <c r="K441">
        <v>0</v>
      </c>
    </row>
    <row r="442" spans="1:11" hidden="1" x14ac:dyDescent="0.35">
      <c r="A442" t="s">
        <v>365</v>
      </c>
      <c r="B442" t="s">
        <v>536</v>
      </c>
      <c r="C442" t="s">
        <v>312</v>
      </c>
      <c r="D442" t="s">
        <v>311</v>
      </c>
      <c r="E442">
        <v>144</v>
      </c>
      <c r="H442">
        <v>65</v>
      </c>
      <c r="J442">
        <v>0</v>
      </c>
      <c r="K442">
        <v>79</v>
      </c>
    </row>
    <row r="443" spans="1:11" hidden="1" x14ac:dyDescent="0.35">
      <c r="A443" t="s">
        <v>364</v>
      </c>
      <c r="B443" t="s">
        <v>539</v>
      </c>
      <c r="C443" t="s">
        <v>266</v>
      </c>
      <c r="D443" t="s">
        <v>265</v>
      </c>
      <c r="E443">
        <v>13</v>
      </c>
      <c r="K443">
        <v>13</v>
      </c>
    </row>
    <row r="444" spans="1:11" hidden="1" x14ac:dyDescent="0.35">
      <c r="A444" t="s">
        <v>341</v>
      </c>
      <c r="B444" t="s">
        <v>536</v>
      </c>
      <c r="C444" t="s">
        <v>288</v>
      </c>
      <c r="D444" t="s">
        <v>287</v>
      </c>
      <c r="E444">
        <v>202</v>
      </c>
      <c r="H444">
        <v>106</v>
      </c>
      <c r="J444">
        <v>18</v>
      </c>
      <c r="K444">
        <v>78</v>
      </c>
    </row>
    <row r="445" spans="1:11" hidden="1" x14ac:dyDescent="0.35">
      <c r="A445" t="s">
        <v>342</v>
      </c>
      <c r="B445" t="s">
        <v>536</v>
      </c>
      <c r="C445" t="s">
        <v>312</v>
      </c>
      <c r="D445" t="s">
        <v>311</v>
      </c>
      <c r="E445">
        <v>123</v>
      </c>
      <c r="H445">
        <v>65</v>
      </c>
      <c r="K445">
        <v>58</v>
      </c>
    </row>
    <row r="446" spans="1:11" hidden="1" x14ac:dyDescent="0.35">
      <c r="A446" t="s">
        <v>364</v>
      </c>
      <c r="B446" t="s">
        <v>536</v>
      </c>
      <c r="C446" t="s">
        <v>290</v>
      </c>
      <c r="D446" t="s">
        <v>289</v>
      </c>
      <c r="E446">
        <v>216</v>
      </c>
      <c r="H446">
        <v>28</v>
      </c>
      <c r="J446">
        <v>0</v>
      </c>
      <c r="K446">
        <v>188</v>
      </c>
    </row>
    <row r="447" spans="1:11" hidden="1" x14ac:dyDescent="0.35">
      <c r="A447" t="s">
        <v>342</v>
      </c>
      <c r="B447" t="s">
        <v>539</v>
      </c>
      <c r="C447" t="s">
        <v>262</v>
      </c>
      <c r="D447" t="s">
        <v>261</v>
      </c>
      <c r="E447">
        <v>16</v>
      </c>
      <c r="K447">
        <v>16</v>
      </c>
    </row>
    <row r="448" spans="1:11" hidden="1" x14ac:dyDescent="0.35">
      <c r="A448" t="s">
        <v>365</v>
      </c>
      <c r="B448" t="s">
        <v>541</v>
      </c>
      <c r="C448" t="s">
        <v>219</v>
      </c>
      <c r="D448" t="s">
        <v>218</v>
      </c>
      <c r="E448">
        <v>193</v>
      </c>
      <c r="I448">
        <v>126</v>
      </c>
      <c r="K448">
        <v>67</v>
      </c>
    </row>
    <row r="449" spans="1:11" hidden="1" x14ac:dyDescent="0.35">
      <c r="A449" t="s">
        <v>364</v>
      </c>
      <c r="B449" t="s">
        <v>536</v>
      </c>
      <c r="C449" t="s">
        <v>288</v>
      </c>
      <c r="D449" t="s">
        <v>287</v>
      </c>
      <c r="E449">
        <v>191</v>
      </c>
      <c r="H449">
        <v>94</v>
      </c>
      <c r="J449">
        <v>21</v>
      </c>
      <c r="K449">
        <v>76</v>
      </c>
    </row>
    <row r="450" spans="1:11" hidden="1" x14ac:dyDescent="0.35">
      <c r="A450" t="s">
        <v>365</v>
      </c>
      <c r="B450" t="s">
        <v>536</v>
      </c>
      <c r="C450" t="s">
        <v>284</v>
      </c>
      <c r="D450" t="s">
        <v>283</v>
      </c>
      <c r="E450">
        <v>147</v>
      </c>
      <c r="H450">
        <v>147</v>
      </c>
      <c r="J450">
        <v>0</v>
      </c>
      <c r="K450">
        <v>0</v>
      </c>
    </row>
    <row r="451" spans="1:11" hidden="1" x14ac:dyDescent="0.35">
      <c r="A451" t="s">
        <v>365</v>
      </c>
      <c r="B451" t="s">
        <v>539</v>
      </c>
      <c r="C451" t="s">
        <v>268</v>
      </c>
      <c r="D451" t="s">
        <v>269</v>
      </c>
      <c r="E451">
        <v>21</v>
      </c>
      <c r="K451">
        <v>21</v>
      </c>
    </row>
    <row r="452" spans="1:11" hidden="1" x14ac:dyDescent="0.35">
      <c r="A452" t="s">
        <v>342</v>
      </c>
      <c r="B452" t="s">
        <v>536</v>
      </c>
      <c r="C452" t="s">
        <v>278</v>
      </c>
      <c r="D452" t="s">
        <v>277</v>
      </c>
      <c r="E452">
        <v>114</v>
      </c>
      <c r="H452">
        <v>42</v>
      </c>
      <c r="K452">
        <v>72</v>
      </c>
    </row>
    <row r="453" spans="1:11" hidden="1" x14ac:dyDescent="0.35">
      <c r="A453" t="s">
        <v>364</v>
      </c>
      <c r="B453" t="s">
        <v>536</v>
      </c>
      <c r="C453" t="s">
        <v>264</v>
      </c>
      <c r="D453" t="s">
        <v>263</v>
      </c>
      <c r="E453">
        <v>161</v>
      </c>
      <c r="H453">
        <v>65</v>
      </c>
      <c r="J453">
        <v>0</v>
      </c>
      <c r="K453">
        <v>96</v>
      </c>
    </row>
    <row r="454" spans="1:11" hidden="1" x14ac:dyDescent="0.35">
      <c r="A454" t="s">
        <v>364</v>
      </c>
      <c r="B454" t="s">
        <v>536</v>
      </c>
      <c r="C454" t="s">
        <v>245</v>
      </c>
      <c r="D454" t="s">
        <v>244</v>
      </c>
      <c r="E454">
        <v>271</v>
      </c>
      <c r="H454">
        <v>198</v>
      </c>
      <c r="J454">
        <v>4</v>
      </c>
      <c r="K454">
        <v>69</v>
      </c>
    </row>
    <row r="455" spans="1:11" hidden="1" x14ac:dyDescent="0.35">
      <c r="A455" t="s">
        <v>341</v>
      </c>
      <c r="B455" t="s">
        <v>539</v>
      </c>
      <c r="C455" t="s">
        <v>216</v>
      </c>
      <c r="D455" t="s">
        <v>217</v>
      </c>
      <c r="E455">
        <v>14</v>
      </c>
      <c r="K455">
        <v>14</v>
      </c>
    </row>
    <row r="456" spans="1:11" hidden="1" x14ac:dyDescent="0.35">
      <c r="A456" t="s">
        <v>364</v>
      </c>
      <c r="B456" t="s">
        <v>539</v>
      </c>
      <c r="C456" t="s">
        <v>271</v>
      </c>
      <c r="D456" t="s">
        <v>272</v>
      </c>
      <c r="E456">
        <v>28</v>
      </c>
      <c r="K456">
        <v>28</v>
      </c>
    </row>
    <row r="457" spans="1:11" hidden="1" x14ac:dyDescent="0.35">
      <c r="A457" t="s">
        <v>319</v>
      </c>
      <c r="B457" t="s">
        <v>541</v>
      </c>
      <c r="C457" t="s">
        <v>239</v>
      </c>
      <c r="D457" t="s">
        <v>238</v>
      </c>
      <c r="E457">
        <v>66</v>
      </c>
      <c r="F457">
        <v>0</v>
      </c>
      <c r="G457">
        <v>0</v>
      </c>
      <c r="H457">
        <v>0</v>
      </c>
      <c r="I457">
        <v>0</v>
      </c>
      <c r="J457">
        <v>0</v>
      </c>
      <c r="K457">
        <v>66</v>
      </c>
    </row>
    <row r="458" spans="1:11" hidden="1" x14ac:dyDescent="0.35">
      <c r="A458" t="s">
        <v>326</v>
      </c>
      <c r="B458" t="s">
        <v>539</v>
      </c>
      <c r="C458" t="s">
        <v>325</v>
      </c>
      <c r="E458">
        <v>27</v>
      </c>
      <c r="F458">
        <v>0</v>
      </c>
      <c r="G458">
        <v>2</v>
      </c>
      <c r="H458">
        <v>0</v>
      </c>
      <c r="I458">
        <v>0</v>
      </c>
      <c r="J458">
        <v>0</v>
      </c>
      <c r="K458">
        <v>27</v>
      </c>
    </row>
    <row r="459" spans="1:11" hidden="1" x14ac:dyDescent="0.35">
      <c r="A459" t="s">
        <v>466</v>
      </c>
      <c r="B459" t="s">
        <v>536</v>
      </c>
      <c r="C459" t="s">
        <v>254</v>
      </c>
      <c r="E459">
        <v>75</v>
      </c>
      <c r="F459">
        <v>0</v>
      </c>
      <c r="G459">
        <v>0</v>
      </c>
      <c r="H459">
        <v>0</v>
      </c>
      <c r="I459">
        <v>0</v>
      </c>
      <c r="J459">
        <v>0</v>
      </c>
      <c r="K459">
        <v>75</v>
      </c>
    </row>
    <row r="460" spans="1:11" hidden="1" x14ac:dyDescent="0.35">
      <c r="A460" t="s">
        <v>319</v>
      </c>
      <c r="B460" t="s">
        <v>536</v>
      </c>
      <c r="C460" t="s">
        <v>248</v>
      </c>
      <c r="D460" t="s">
        <v>218</v>
      </c>
      <c r="E460">
        <v>193</v>
      </c>
      <c r="F460">
        <v>0</v>
      </c>
      <c r="G460">
        <v>0</v>
      </c>
      <c r="H460">
        <v>11</v>
      </c>
      <c r="I460">
        <v>0</v>
      </c>
      <c r="J460">
        <v>0</v>
      </c>
      <c r="K460">
        <v>182</v>
      </c>
    </row>
    <row r="461" spans="1:11" hidden="1" x14ac:dyDescent="0.35">
      <c r="A461" t="s">
        <v>313</v>
      </c>
      <c r="B461" t="s">
        <v>541</v>
      </c>
      <c r="C461" t="s">
        <v>233</v>
      </c>
      <c r="D461" t="s">
        <v>232</v>
      </c>
      <c r="E461">
        <v>103</v>
      </c>
      <c r="F461">
        <v>0</v>
      </c>
      <c r="G461">
        <v>0</v>
      </c>
      <c r="H461">
        <v>0</v>
      </c>
      <c r="I461">
        <v>0</v>
      </c>
      <c r="J461">
        <v>0</v>
      </c>
      <c r="K461">
        <v>103</v>
      </c>
    </row>
    <row r="462" spans="1:11" hidden="1" x14ac:dyDescent="0.35">
      <c r="A462" t="s">
        <v>319</v>
      </c>
      <c r="B462" t="s">
        <v>536</v>
      </c>
      <c r="C462" t="s">
        <v>303</v>
      </c>
      <c r="D462" t="s">
        <v>232</v>
      </c>
      <c r="E462">
        <v>103</v>
      </c>
      <c r="F462">
        <v>0</v>
      </c>
      <c r="G462">
        <v>0</v>
      </c>
      <c r="H462">
        <v>52</v>
      </c>
      <c r="I462">
        <v>0</v>
      </c>
      <c r="J462">
        <v>0</v>
      </c>
      <c r="K462">
        <v>51</v>
      </c>
    </row>
    <row r="463" spans="1:11" hidden="1" x14ac:dyDescent="0.35">
      <c r="A463" t="s">
        <v>319</v>
      </c>
      <c r="B463" t="s">
        <v>539</v>
      </c>
      <c r="C463" t="s">
        <v>290</v>
      </c>
      <c r="D463" t="s">
        <v>232</v>
      </c>
      <c r="E463">
        <v>15</v>
      </c>
      <c r="F463">
        <v>0</v>
      </c>
      <c r="G463">
        <v>0</v>
      </c>
      <c r="H463">
        <v>0</v>
      </c>
      <c r="I463">
        <v>0</v>
      </c>
      <c r="J463">
        <v>0</v>
      </c>
      <c r="K463">
        <v>15</v>
      </c>
    </row>
    <row r="464" spans="1:11" hidden="1" x14ac:dyDescent="0.35">
      <c r="A464" t="s">
        <v>319</v>
      </c>
      <c r="B464" t="s">
        <v>539</v>
      </c>
      <c r="C464" t="s">
        <v>262</v>
      </c>
      <c r="D464" t="s">
        <v>232</v>
      </c>
      <c r="E464">
        <v>17</v>
      </c>
      <c r="F464">
        <v>0</v>
      </c>
      <c r="G464">
        <v>0</v>
      </c>
      <c r="H464">
        <v>0</v>
      </c>
      <c r="I464">
        <v>0</v>
      </c>
      <c r="J464">
        <v>0</v>
      </c>
      <c r="K464">
        <v>17</v>
      </c>
    </row>
    <row r="465" spans="1:11" hidden="1" x14ac:dyDescent="0.35">
      <c r="A465" t="s">
        <v>319</v>
      </c>
      <c r="B465" t="s">
        <v>536</v>
      </c>
      <c r="C465" t="s">
        <v>293</v>
      </c>
      <c r="D465" t="s">
        <v>218</v>
      </c>
      <c r="E465">
        <v>112</v>
      </c>
      <c r="F465">
        <v>0</v>
      </c>
      <c r="G465">
        <v>0</v>
      </c>
      <c r="H465">
        <v>112</v>
      </c>
      <c r="I465">
        <v>0</v>
      </c>
      <c r="J465">
        <v>0</v>
      </c>
      <c r="K465">
        <v>0</v>
      </c>
    </row>
    <row r="466" spans="1:11" hidden="1" x14ac:dyDescent="0.35">
      <c r="A466" t="s">
        <v>326</v>
      </c>
      <c r="B466" t="s">
        <v>539</v>
      </c>
      <c r="C466" t="s">
        <v>227</v>
      </c>
      <c r="E466">
        <v>23</v>
      </c>
      <c r="F466">
        <v>0</v>
      </c>
      <c r="G466">
        <v>2</v>
      </c>
      <c r="H466">
        <v>0</v>
      </c>
      <c r="I466">
        <v>0</v>
      </c>
      <c r="J466">
        <v>0</v>
      </c>
      <c r="K466">
        <v>23</v>
      </c>
    </row>
    <row r="467" spans="1:11" hidden="1" x14ac:dyDescent="0.35">
      <c r="A467" t="s">
        <v>214</v>
      </c>
      <c r="B467" t="s">
        <v>536</v>
      </c>
      <c r="C467" t="s">
        <v>260</v>
      </c>
      <c r="D467" t="s">
        <v>259</v>
      </c>
      <c r="E467">
        <v>52</v>
      </c>
      <c r="F467">
        <v>0</v>
      </c>
      <c r="G467">
        <v>0</v>
      </c>
      <c r="H467">
        <v>0</v>
      </c>
      <c r="I467">
        <v>0</v>
      </c>
      <c r="J467">
        <v>0</v>
      </c>
      <c r="K467">
        <v>52</v>
      </c>
    </row>
    <row r="468" spans="1:11" hidden="1" x14ac:dyDescent="0.35">
      <c r="A468" t="s">
        <v>466</v>
      </c>
      <c r="B468" t="s">
        <v>539</v>
      </c>
      <c r="C468" t="s">
        <v>245</v>
      </c>
      <c r="E468">
        <v>15</v>
      </c>
      <c r="F468">
        <v>0</v>
      </c>
      <c r="G468">
        <v>0</v>
      </c>
      <c r="H468">
        <v>0</v>
      </c>
      <c r="I468">
        <v>0</v>
      </c>
      <c r="J468">
        <v>0</v>
      </c>
      <c r="K468">
        <v>15</v>
      </c>
    </row>
    <row r="469" spans="1:11" hidden="1" x14ac:dyDescent="0.35">
      <c r="A469" t="s">
        <v>466</v>
      </c>
      <c r="B469" t="s">
        <v>536</v>
      </c>
      <c r="C469" t="s">
        <v>293</v>
      </c>
      <c r="E469">
        <v>102</v>
      </c>
      <c r="F469">
        <v>0</v>
      </c>
      <c r="G469">
        <v>0</v>
      </c>
      <c r="H469">
        <v>102</v>
      </c>
      <c r="I469">
        <v>0</v>
      </c>
      <c r="J469">
        <v>0</v>
      </c>
      <c r="K469">
        <v>0</v>
      </c>
    </row>
    <row r="470" spans="1:11" hidden="1" x14ac:dyDescent="0.35">
      <c r="A470" t="s">
        <v>327</v>
      </c>
      <c r="B470" t="s">
        <v>536</v>
      </c>
      <c r="C470" t="s">
        <v>235</v>
      </c>
      <c r="E470">
        <v>302</v>
      </c>
      <c r="F470">
        <v>0</v>
      </c>
      <c r="G470">
        <v>0</v>
      </c>
      <c r="H470">
        <v>9</v>
      </c>
      <c r="I470">
        <v>0</v>
      </c>
      <c r="J470">
        <v>0</v>
      </c>
      <c r="K470">
        <v>293</v>
      </c>
    </row>
    <row r="471" spans="1:11" hidden="1" x14ac:dyDescent="0.35">
      <c r="A471" t="s">
        <v>313</v>
      </c>
      <c r="B471" t="s">
        <v>536</v>
      </c>
      <c r="C471" t="s">
        <v>282</v>
      </c>
      <c r="D471" t="s">
        <v>218</v>
      </c>
      <c r="E471">
        <v>155</v>
      </c>
      <c r="F471">
        <v>0</v>
      </c>
      <c r="G471">
        <v>0</v>
      </c>
      <c r="H471">
        <v>121</v>
      </c>
      <c r="I471">
        <v>0</v>
      </c>
      <c r="J471">
        <v>4</v>
      </c>
      <c r="K471">
        <v>30</v>
      </c>
    </row>
    <row r="472" spans="1:11" x14ac:dyDescent="0.35">
      <c r="A472" t="s">
        <v>214</v>
      </c>
      <c r="B472" t="s">
        <v>539</v>
      </c>
      <c r="C472" t="s">
        <v>231</v>
      </c>
      <c r="D472" t="s">
        <v>230</v>
      </c>
      <c r="E472">
        <v>26</v>
      </c>
      <c r="F472">
        <v>0</v>
      </c>
      <c r="G472">
        <v>1</v>
      </c>
      <c r="H472">
        <v>0</v>
      </c>
      <c r="I472">
        <v>0</v>
      </c>
      <c r="J472">
        <v>0</v>
      </c>
      <c r="K472">
        <v>26</v>
      </c>
    </row>
    <row r="473" spans="1:11" hidden="1" x14ac:dyDescent="0.35">
      <c r="A473" t="s">
        <v>321</v>
      </c>
      <c r="B473" t="s">
        <v>536</v>
      </c>
      <c r="C473" t="s">
        <v>312</v>
      </c>
      <c r="E473">
        <v>116</v>
      </c>
      <c r="F473">
        <v>0</v>
      </c>
      <c r="G473">
        <v>0</v>
      </c>
      <c r="H473">
        <v>58</v>
      </c>
      <c r="I473">
        <v>0</v>
      </c>
      <c r="J473">
        <v>0</v>
      </c>
      <c r="K473">
        <v>58</v>
      </c>
    </row>
    <row r="474" spans="1:11" hidden="1" x14ac:dyDescent="0.35">
      <c r="A474" t="s">
        <v>326</v>
      </c>
      <c r="B474" t="s">
        <v>543</v>
      </c>
      <c r="C474" t="s">
        <v>544</v>
      </c>
      <c r="D474" t="s">
        <v>548</v>
      </c>
      <c r="E474">
        <v>1142</v>
      </c>
      <c r="F474">
        <v>172</v>
      </c>
      <c r="G474">
        <v>0</v>
      </c>
      <c r="H474">
        <v>0</v>
      </c>
      <c r="I474">
        <v>901</v>
      </c>
      <c r="J474">
        <v>0</v>
      </c>
      <c r="K474">
        <v>69</v>
      </c>
    </row>
    <row r="475" spans="1:11" hidden="1" x14ac:dyDescent="0.35">
      <c r="A475" t="s">
        <v>319</v>
      </c>
      <c r="B475" t="s">
        <v>539</v>
      </c>
      <c r="C475" t="s">
        <v>314</v>
      </c>
      <c r="E475">
        <v>37</v>
      </c>
      <c r="F475">
        <v>0</v>
      </c>
      <c r="G475">
        <v>4</v>
      </c>
      <c r="H475">
        <v>0</v>
      </c>
      <c r="I475">
        <v>0</v>
      </c>
      <c r="J475">
        <v>0</v>
      </c>
      <c r="K475">
        <v>37</v>
      </c>
    </row>
    <row r="476" spans="1:11" hidden="1" x14ac:dyDescent="0.35">
      <c r="A476" t="s">
        <v>364</v>
      </c>
      <c r="B476" t="s">
        <v>543</v>
      </c>
      <c r="C476" t="s">
        <v>544</v>
      </c>
      <c r="D476" t="s">
        <v>548</v>
      </c>
      <c r="E476">
        <v>516</v>
      </c>
      <c r="F476">
        <v>223</v>
      </c>
      <c r="I476">
        <v>237</v>
      </c>
      <c r="K476">
        <v>56</v>
      </c>
    </row>
    <row r="477" spans="1:11" hidden="1" x14ac:dyDescent="0.35">
      <c r="A477" t="s">
        <v>342</v>
      </c>
      <c r="B477" t="s">
        <v>536</v>
      </c>
      <c r="C477" t="s">
        <v>303</v>
      </c>
      <c r="D477" t="s">
        <v>302</v>
      </c>
      <c r="E477">
        <v>99</v>
      </c>
      <c r="H477">
        <v>49</v>
      </c>
      <c r="K477">
        <v>50</v>
      </c>
    </row>
    <row r="478" spans="1:11" hidden="1" x14ac:dyDescent="0.35">
      <c r="A478" t="s">
        <v>341</v>
      </c>
      <c r="B478" t="s">
        <v>539</v>
      </c>
      <c r="C478" t="s">
        <v>245</v>
      </c>
      <c r="D478" t="s">
        <v>246</v>
      </c>
      <c r="E478">
        <v>22</v>
      </c>
      <c r="K478">
        <v>22</v>
      </c>
    </row>
    <row r="479" spans="1:11" hidden="1" x14ac:dyDescent="0.35">
      <c r="A479" t="s">
        <v>365</v>
      </c>
      <c r="B479" t="s">
        <v>536</v>
      </c>
      <c r="C479" t="s">
        <v>264</v>
      </c>
      <c r="D479" t="s">
        <v>263</v>
      </c>
      <c r="E479">
        <v>162</v>
      </c>
      <c r="H479">
        <v>68</v>
      </c>
      <c r="J479">
        <v>0</v>
      </c>
      <c r="K479">
        <v>94</v>
      </c>
    </row>
    <row r="480" spans="1:11" hidden="1" x14ac:dyDescent="0.35">
      <c r="A480" t="s">
        <v>342</v>
      </c>
      <c r="B480" t="s">
        <v>536</v>
      </c>
      <c r="C480" t="s">
        <v>299</v>
      </c>
      <c r="D480" t="s">
        <v>298</v>
      </c>
      <c r="E480">
        <v>194</v>
      </c>
      <c r="H480">
        <v>143</v>
      </c>
      <c r="K480">
        <v>51</v>
      </c>
    </row>
    <row r="481" spans="1:11" hidden="1" x14ac:dyDescent="0.35">
      <c r="A481" t="s">
        <v>341</v>
      </c>
      <c r="B481" t="s">
        <v>536</v>
      </c>
      <c r="C481" t="s">
        <v>264</v>
      </c>
      <c r="D481" t="s">
        <v>263</v>
      </c>
      <c r="E481">
        <v>142</v>
      </c>
      <c r="H481">
        <v>56</v>
      </c>
      <c r="J481">
        <v>0</v>
      </c>
      <c r="K481">
        <v>86</v>
      </c>
    </row>
    <row r="482" spans="1:11" hidden="1" x14ac:dyDescent="0.35">
      <c r="A482" t="s">
        <v>366</v>
      </c>
      <c r="B482" t="s">
        <v>536</v>
      </c>
      <c r="C482" t="s">
        <v>248</v>
      </c>
      <c r="D482" t="s">
        <v>247</v>
      </c>
      <c r="E482">
        <v>187</v>
      </c>
      <c r="H482">
        <v>11</v>
      </c>
      <c r="J482">
        <v>0</v>
      </c>
      <c r="K482">
        <v>176</v>
      </c>
    </row>
    <row r="483" spans="1:11" hidden="1" x14ac:dyDescent="0.35">
      <c r="A483" t="s">
        <v>341</v>
      </c>
      <c r="B483" t="s">
        <v>539</v>
      </c>
      <c r="C483" t="s">
        <v>266</v>
      </c>
      <c r="D483" t="s">
        <v>265</v>
      </c>
      <c r="E483">
        <v>21</v>
      </c>
      <c r="K483">
        <v>21</v>
      </c>
    </row>
    <row r="484" spans="1:11" hidden="1" x14ac:dyDescent="0.35">
      <c r="A484" t="s">
        <v>342</v>
      </c>
      <c r="B484" t="s">
        <v>536</v>
      </c>
      <c r="C484" t="s">
        <v>280</v>
      </c>
      <c r="D484" t="s">
        <v>279</v>
      </c>
      <c r="E484">
        <v>40</v>
      </c>
      <c r="H484">
        <v>12</v>
      </c>
      <c r="K484">
        <v>28</v>
      </c>
    </row>
    <row r="485" spans="1:11" hidden="1" x14ac:dyDescent="0.35">
      <c r="A485" t="s">
        <v>364</v>
      </c>
      <c r="B485" t="s">
        <v>536</v>
      </c>
      <c r="C485" t="s">
        <v>305</v>
      </c>
      <c r="D485" t="s">
        <v>304</v>
      </c>
      <c r="E485">
        <v>276</v>
      </c>
      <c r="H485">
        <v>84</v>
      </c>
      <c r="J485">
        <v>2</v>
      </c>
      <c r="K485">
        <v>190</v>
      </c>
    </row>
    <row r="486" spans="1:11" hidden="1" x14ac:dyDescent="0.35">
      <c r="A486" t="s">
        <v>365</v>
      </c>
      <c r="B486" t="s">
        <v>536</v>
      </c>
      <c r="C486" t="s">
        <v>268</v>
      </c>
      <c r="D486" t="s">
        <v>267</v>
      </c>
      <c r="E486">
        <v>400</v>
      </c>
      <c r="H486">
        <v>112</v>
      </c>
      <c r="J486">
        <v>0</v>
      </c>
      <c r="K486">
        <v>288</v>
      </c>
    </row>
    <row r="487" spans="1:11" hidden="1" x14ac:dyDescent="0.35">
      <c r="A487" t="s">
        <v>364</v>
      </c>
      <c r="B487" t="s">
        <v>536</v>
      </c>
      <c r="C487" t="s">
        <v>235</v>
      </c>
      <c r="D487" t="s">
        <v>234</v>
      </c>
      <c r="E487">
        <v>382</v>
      </c>
      <c r="H487">
        <v>12</v>
      </c>
      <c r="J487">
        <v>0</v>
      </c>
      <c r="K487">
        <v>370</v>
      </c>
    </row>
    <row r="488" spans="1:11" hidden="1" x14ac:dyDescent="0.35">
      <c r="A488" t="s">
        <v>341</v>
      </c>
      <c r="B488" t="s">
        <v>536</v>
      </c>
      <c r="C488" t="s">
        <v>235</v>
      </c>
      <c r="D488" t="s">
        <v>234</v>
      </c>
      <c r="E488">
        <v>325</v>
      </c>
      <c r="H488">
        <v>12</v>
      </c>
      <c r="J488">
        <v>0</v>
      </c>
      <c r="K488">
        <v>313</v>
      </c>
    </row>
    <row r="489" spans="1:11" hidden="1" x14ac:dyDescent="0.35">
      <c r="A489" t="s">
        <v>366</v>
      </c>
      <c r="B489" t="s">
        <v>539</v>
      </c>
      <c r="C489" t="s">
        <v>258</v>
      </c>
      <c r="D489" t="s">
        <v>257</v>
      </c>
      <c r="E489">
        <v>38</v>
      </c>
      <c r="K489">
        <v>38</v>
      </c>
    </row>
    <row r="490" spans="1:11" hidden="1" x14ac:dyDescent="0.35">
      <c r="A490" t="s">
        <v>365</v>
      </c>
      <c r="B490" t="s">
        <v>536</v>
      </c>
      <c r="C490" t="s">
        <v>282</v>
      </c>
      <c r="D490" t="s">
        <v>281</v>
      </c>
      <c r="E490">
        <v>167</v>
      </c>
      <c r="H490">
        <v>121</v>
      </c>
      <c r="J490">
        <v>25</v>
      </c>
      <c r="K490">
        <v>21</v>
      </c>
    </row>
    <row r="491" spans="1:11" hidden="1" x14ac:dyDescent="0.35">
      <c r="A491" t="s">
        <v>365</v>
      </c>
      <c r="B491" t="s">
        <v>536</v>
      </c>
      <c r="C491" t="s">
        <v>293</v>
      </c>
      <c r="D491" t="s">
        <v>292</v>
      </c>
      <c r="E491">
        <v>110</v>
      </c>
      <c r="H491">
        <v>109</v>
      </c>
      <c r="J491">
        <v>1</v>
      </c>
      <c r="K491">
        <v>0</v>
      </c>
    </row>
    <row r="492" spans="1:11" hidden="1" x14ac:dyDescent="0.35">
      <c r="A492" t="s">
        <v>366</v>
      </c>
      <c r="B492" t="s">
        <v>536</v>
      </c>
      <c r="C492" t="s">
        <v>301</v>
      </c>
      <c r="D492" t="s">
        <v>300</v>
      </c>
      <c r="E492">
        <v>126</v>
      </c>
      <c r="H492">
        <v>126</v>
      </c>
      <c r="J492">
        <v>0</v>
      </c>
      <c r="K492">
        <v>0</v>
      </c>
    </row>
    <row r="493" spans="1:11" hidden="1" x14ac:dyDescent="0.35">
      <c r="A493" t="s">
        <v>341</v>
      </c>
      <c r="B493" t="s">
        <v>536</v>
      </c>
      <c r="C493" t="s">
        <v>260</v>
      </c>
      <c r="D493" t="s">
        <v>259</v>
      </c>
      <c r="E493">
        <v>50</v>
      </c>
      <c r="H493">
        <v>0</v>
      </c>
      <c r="J493">
        <v>0</v>
      </c>
      <c r="K493">
        <v>50</v>
      </c>
    </row>
    <row r="494" spans="1:11" hidden="1" x14ac:dyDescent="0.35">
      <c r="A494" t="s">
        <v>364</v>
      </c>
      <c r="B494" t="s">
        <v>536</v>
      </c>
      <c r="C494" t="s">
        <v>301</v>
      </c>
      <c r="D494" t="s">
        <v>300</v>
      </c>
      <c r="E494">
        <v>134</v>
      </c>
      <c r="H494">
        <v>134</v>
      </c>
      <c r="J494">
        <v>0</v>
      </c>
      <c r="K494">
        <v>0</v>
      </c>
    </row>
    <row r="495" spans="1:11" hidden="1" x14ac:dyDescent="0.35">
      <c r="A495" t="s">
        <v>366</v>
      </c>
      <c r="B495" t="s">
        <v>539</v>
      </c>
      <c r="C495" t="s">
        <v>290</v>
      </c>
      <c r="D495" t="s">
        <v>291</v>
      </c>
      <c r="E495">
        <v>20</v>
      </c>
      <c r="K495">
        <v>20</v>
      </c>
    </row>
    <row r="496" spans="1:11" hidden="1" x14ac:dyDescent="0.35">
      <c r="A496" t="s">
        <v>214</v>
      </c>
      <c r="B496" t="s">
        <v>536</v>
      </c>
      <c r="C496" t="s">
        <v>250</v>
      </c>
      <c r="D496" t="s">
        <v>249</v>
      </c>
      <c r="E496">
        <v>124</v>
      </c>
      <c r="F496">
        <v>0</v>
      </c>
      <c r="G496">
        <v>0</v>
      </c>
      <c r="H496">
        <v>77</v>
      </c>
      <c r="I496">
        <v>0</v>
      </c>
      <c r="J496">
        <v>0</v>
      </c>
      <c r="K496">
        <v>47</v>
      </c>
    </row>
    <row r="497" spans="1:11" x14ac:dyDescent="0.35">
      <c r="A497" t="s">
        <v>214</v>
      </c>
      <c r="B497" t="s">
        <v>539</v>
      </c>
      <c r="C497" t="s">
        <v>252</v>
      </c>
      <c r="D497" t="s">
        <v>251</v>
      </c>
      <c r="E497">
        <v>25</v>
      </c>
      <c r="F497">
        <v>0</v>
      </c>
      <c r="G497">
        <v>1</v>
      </c>
      <c r="H497">
        <v>0</v>
      </c>
      <c r="I497">
        <v>0</v>
      </c>
      <c r="J497">
        <v>0</v>
      </c>
      <c r="K497">
        <v>25</v>
      </c>
    </row>
    <row r="498" spans="1:11" hidden="1" x14ac:dyDescent="0.35">
      <c r="A498" t="s">
        <v>313</v>
      </c>
      <c r="B498" t="s">
        <v>536</v>
      </c>
      <c r="C498" t="s">
        <v>221</v>
      </c>
      <c r="D498" t="s">
        <v>218</v>
      </c>
      <c r="E498">
        <v>317</v>
      </c>
      <c r="F498">
        <v>0</v>
      </c>
      <c r="G498">
        <v>0</v>
      </c>
      <c r="H498">
        <v>285</v>
      </c>
      <c r="I498">
        <v>0</v>
      </c>
      <c r="J498">
        <v>0</v>
      </c>
      <c r="K498">
        <v>32</v>
      </c>
    </row>
    <row r="499" spans="1:11" hidden="1" x14ac:dyDescent="0.35">
      <c r="A499" t="s">
        <v>321</v>
      </c>
      <c r="B499" t="s">
        <v>536</v>
      </c>
      <c r="C499" t="s">
        <v>305</v>
      </c>
      <c r="E499">
        <v>228</v>
      </c>
      <c r="F499">
        <v>0</v>
      </c>
      <c r="G499">
        <v>0</v>
      </c>
      <c r="H499">
        <v>71</v>
      </c>
      <c r="I499">
        <v>0</v>
      </c>
      <c r="J499">
        <v>2</v>
      </c>
      <c r="K499">
        <v>155</v>
      </c>
    </row>
    <row r="500" spans="1:11" hidden="1" x14ac:dyDescent="0.35">
      <c r="A500" t="s">
        <v>326</v>
      </c>
      <c r="B500" t="s">
        <v>536</v>
      </c>
      <c r="C500" t="s">
        <v>293</v>
      </c>
      <c r="E500">
        <v>116</v>
      </c>
      <c r="F500">
        <v>0</v>
      </c>
      <c r="G500">
        <v>0</v>
      </c>
      <c r="H500">
        <v>115</v>
      </c>
      <c r="I500">
        <v>0</v>
      </c>
      <c r="J500">
        <v>0</v>
      </c>
      <c r="K500">
        <v>1</v>
      </c>
    </row>
    <row r="501" spans="1:11" hidden="1" x14ac:dyDescent="0.35">
      <c r="A501" t="s">
        <v>319</v>
      </c>
      <c r="B501" t="s">
        <v>539</v>
      </c>
      <c r="C501" t="s">
        <v>305</v>
      </c>
      <c r="D501" t="s">
        <v>232</v>
      </c>
      <c r="E501">
        <v>16</v>
      </c>
      <c r="F501">
        <v>0</v>
      </c>
      <c r="G501">
        <v>2</v>
      </c>
      <c r="H501">
        <v>0</v>
      </c>
      <c r="I501">
        <v>0</v>
      </c>
      <c r="J501">
        <v>0</v>
      </c>
      <c r="K501">
        <v>16</v>
      </c>
    </row>
    <row r="502" spans="1:11" hidden="1" x14ac:dyDescent="0.35">
      <c r="A502" t="s">
        <v>313</v>
      </c>
      <c r="B502" t="s">
        <v>536</v>
      </c>
      <c r="C502" t="s">
        <v>216</v>
      </c>
      <c r="D502" t="s">
        <v>218</v>
      </c>
      <c r="E502">
        <v>163</v>
      </c>
      <c r="F502">
        <v>0</v>
      </c>
      <c r="G502">
        <v>0</v>
      </c>
      <c r="H502">
        <v>8</v>
      </c>
      <c r="I502">
        <v>0</v>
      </c>
      <c r="J502">
        <v>0</v>
      </c>
      <c r="K502">
        <v>155</v>
      </c>
    </row>
    <row r="503" spans="1:11" hidden="1" x14ac:dyDescent="0.35">
      <c r="A503" t="s">
        <v>342</v>
      </c>
      <c r="B503" t="s">
        <v>539</v>
      </c>
      <c r="C503" t="s">
        <v>243</v>
      </c>
      <c r="D503" t="s">
        <v>242</v>
      </c>
      <c r="E503">
        <v>18</v>
      </c>
      <c r="K503">
        <v>18</v>
      </c>
    </row>
    <row r="504" spans="1:11" hidden="1" x14ac:dyDescent="0.35">
      <c r="A504" t="s">
        <v>365</v>
      </c>
      <c r="B504" t="s">
        <v>536</v>
      </c>
      <c r="C504" t="s">
        <v>256</v>
      </c>
      <c r="D504" t="s">
        <v>255</v>
      </c>
      <c r="E504">
        <v>88</v>
      </c>
      <c r="H504">
        <v>60</v>
      </c>
      <c r="J504">
        <v>0</v>
      </c>
      <c r="K504">
        <v>28</v>
      </c>
    </row>
    <row r="505" spans="1:11" hidden="1" x14ac:dyDescent="0.35">
      <c r="A505" t="s">
        <v>341</v>
      </c>
      <c r="B505" t="s">
        <v>539</v>
      </c>
      <c r="C505" t="s">
        <v>227</v>
      </c>
      <c r="D505" t="s">
        <v>226</v>
      </c>
      <c r="E505">
        <v>28</v>
      </c>
      <c r="K505">
        <v>28</v>
      </c>
    </row>
    <row r="506" spans="1:11" hidden="1" x14ac:dyDescent="0.35">
      <c r="A506" t="s">
        <v>366</v>
      </c>
      <c r="B506" t="s">
        <v>536</v>
      </c>
      <c r="C506" t="s">
        <v>303</v>
      </c>
      <c r="D506" t="s">
        <v>302</v>
      </c>
      <c r="E506">
        <v>108</v>
      </c>
      <c r="H506">
        <v>53</v>
      </c>
      <c r="J506">
        <v>0</v>
      </c>
      <c r="K506">
        <v>55</v>
      </c>
    </row>
    <row r="507" spans="1:11" hidden="1" x14ac:dyDescent="0.35">
      <c r="A507" t="s">
        <v>342</v>
      </c>
      <c r="B507" t="s">
        <v>536</v>
      </c>
      <c r="C507" t="s">
        <v>274</v>
      </c>
      <c r="D507" t="s">
        <v>273</v>
      </c>
      <c r="E507">
        <v>670</v>
      </c>
      <c r="H507">
        <v>538</v>
      </c>
      <c r="J507">
        <v>64</v>
      </c>
      <c r="K507">
        <v>68</v>
      </c>
    </row>
    <row r="508" spans="1:11" hidden="1" x14ac:dyDescent="0.35">
      <c r="A508" t="s">
        <v>364</v>
      </c>
      <c r="B508" t="s">
        <v>539</v>
      </c>
      <c r="C508" t="s">
        <v>223</v>
      </c>
      <c r="D508" t="s">
        <v>222</v>
      </c>
      <c r="E508">
        <v>22</v>
      </c>
      <c r="K508">
        <v>22</v>
      </c>
    </row>
    <row r="509" spans="1:11" hidden="1" x14ac:dyDescent="0.35">
      <c r="A509" t="s">
        <v>342</v>
      </c>
      <c r="B509" t="s">
        <v>536</v>
      </c>
      <c r="C509" t="s">
        <v>288</v>
      </c>
      <c r="D509" t="s">
        <v>287</v>
      </c>
      <c r="E509">
        <v>205</v>
      </c>
      <c r="H509">
        <v>106</v>
      </c>
      <c r="J509">
        <v>23</v>
      </c>
      <c r="K509">
        <v>76</v>
      </c>
    </row>
    <row r="510" spans="1:11" hidden="1" x14ac:dyDescent="0.35">
      <c r="A510" t="s">
        <v>364</v>
      </c>
      <c r="B510" t="s">
        <v>536</v>
      </c>
      <c r="C510" t="s">
        <v>284</v>
      </c>
      <c r="D510" t="s">
        <v>283</v>
      </c>
      <c r="E510">
        <v>132</v>
      </c>
      <c r="H510">
        <v>132</v>
      </c>
      <c r="J510">
        <v>0</v>
      </c>
      <c r="K510">
        <v>0</v>
      </c>
    </row>
    <row r="511" spans="1:11" hidden="1" x14ac:dyDescent="0.35">
      <c r="A511" t="s">
        <v>342</v>
      </c>
      <c r="B511" t="s">
        <v>536</v>
      </c>
      <c r="C511" t="s">
        <v>245</v>
      </c>
      <c r="D511" t="s">
        <v>244</v>
      </c>
      <c r="E511">
        <v>247</v>
      </c>
      <c r="H511">
        <v>189</v>
      </c>
      <c r="J511">
        <v>4</v>
      </c>
      <c r="K511">
        <v>54</v>
      </c>
    </row>
    <row r="512" spans="1:11" hidden="1" x14ac:dyDescent="0.35">
      <c r="A512" t="s">
        <v>364</v>
      </c>
      <c r="B512" t="s">
        <v>536</v>
      </c>
      <c r="C512" t="s">
        <v>308</v>
      </c>
      <c r="D512" t="s">
        <v>307</v>
      </c>
      <c r="E512">
        <v>136</v>
      </c>
      <c r="H512">
        <v>74</v>
      </c>
      <c r="J512">
        <v>0</v>
      </c>
      <c r="K512">
        <v>62</v>
      </c>
    </row>
    <row r="513" spans="1:11" hidden="1" x14ac:dyDescent="0.35">
      <c r="A513" t="s">
        <v>364</v>
      </c>
      <c r="B513" t="s">
        <v>536</v>
      </c>
      <c r="C513" t="s">
        <v>216</v>
      </c>
      <c r="D513" t="s">
        <v>215</v>
      </c>
      <c r="E513">
        <v>182</v>
      </c>
      <c r="H513">
        <v>8</v>
      </c>
      <c r="J513">
        <v>0</v>
      </c>
      <c r="K513">
        <v>174</v>
      </c>
    </row>
    <row r="514" spans="1:11" hidden="1" x14ac:dyDescent="0.35">
      <c r="A514" t="s">
        <v>364</v>
      </c>
      <c r="B514" t="s">
        <v>536</v>
      </c>
      <c r="C514" t="s">
        <v>268</v>
      </c>
      <c r="D514" t="s">
        <v>267</v>
      </c>
      <c r="E514">
        <v>400</v>
      </c>
      <c r="H514">
        <v>111</v>
      </c>
      <c r="J514">
        <v>0</v>
      </c>
      <c r="K514">
        <v>289</v>
      </c>
    </row>
    <row r="515" spans="1:11" hidden="1" x14ac:dyDescent="0.35">
      <c r="A515" t="s">
        <v>342</v>
      </c>
      <c r="B515" t="s">
        <v>539</v>
      </c>
      <c r="C515" t="s">
        <v>266</v>
      </c>
      <c r="D515" t="s">
        <v>265</v>
      </c>
      <c r="E515">
        <v>19</v>
      </c>
      <c r="K515">
        <v>19</v>
      </c>
    </row>
    <row r="516" spans="1:11" hidden="1" x14ac:dyDescent="0.35">
      <c r="A516" t="s">
        <v>366</v>
      </c>
      <c r="B516" t="s">
        <v>539</v>
      </c>
      <c r="C516" t="s">
        <v>266</v>
      </c>
      <c r="D516" t="s">
        <v>265</v>
      </c>
      <c r="E516">
        <v>16</v>
      </c>
      <c r="K516">
        <v>16</v>
      </c>
    </row>
    <row r="517" spans="1:11" hidden="1" x14ac:dyDescent="0.35">
      <c r="A517" t="s">
        <v>341</v>
      </c>
      <c r="B517" t="s">
        <v>539</v>
      </c>
      <c r="C517" t="s">
        <v>231</v>
      </c>
      <c r="D517" t="s">
        <v>230</v>
      </c>
      <c r="E517">
        <v>26</v>
      </c>
      <c r="K517">
        <v>26</v>
      </c>
    </row>
    <row r="518" spans="1:11" hidden="1" x14ac:dyDescent="0.35">
      <c r="A518" t="s">
        <v>341</v>
      </c>
      <c r="B518" t="s">
        <v>541</v>
      </c>
      <c r="C518" t="s">
        <v>219</v>
      </c>
      <c r="D518" t="s">
        <v>218</v>
      </c>
      <c r="E518">
        <v>180</v>
      </c>
      <c r="I518">
        <v>135</v>
      </c>
      <c r="K518">
        <v>45</v>
      </c>
    </row>
    <row r="519" spans="1:11" hidden="1" x14ac:dyDescent="0.35">
      <c r="A519" t="s">
        <v>366</v>
      </c>
      <c r="B519" t="s">
        <v>536</v>
      </c>
      <c r="C519" t="s">
        <v>268</v>
      </c>
      <c r="D519" t="s">
        <v>267</v>
      </c>
      <c r="E519">
        <v>390</v>
      </c>
      <c r="H519">
        <v>112</v>
      </c>
      <c r="J519">
        <v>0</v>
      </c>
      <c r="K519">
        <v>278</v>
      </c>
    </row>
    <row r="520" spans="1:11" hidden="1" x14ac:dyDescent="0.35">
      <c r="A520" t="s">
        <v>365</v>
      </c>
      <c r="B520" t="s">
        <v>539</v>
      </c>
      <c r="C520" t="s">
        <v>216</v>
      </c>
      <c r="D520" t="s">
        <v>217</v>
      </c>
      <c r="E520">
        <v>18</v>
      </c>
      <c r="K520">
        <v>18</v>
      </c>
    </row>
    <row r="521" spans="1:11" hidden="1" x14ac:dyDescent="0.35">
      <c r="A521" t="s">
        <v>365</v>
      </c>
      <c r="B521" t="s">
        <v>539</v>
      </c>
      <c r="C521" t="s">
        <v>237</v>
      </c>
      <c r="D521" t="s">
        <v>236</v>
      </c>
      <c r="E521">
        <v>24</v>
      </c>
      <c r="K521">
        <v>24</v>
      </c>
    </row>
    <row r="522" spans="1:11" hidden="1" x14ac:dyDescent="0.35">
      <c r="A522" t="s">
        <v>342</v>
      </c>
      <c r="B522" t="s">
        <v>539</v>
      </c>
      <c r="C522" t="s">
        <v>223</v>
      </c>
      <c r="D522" t="s">
        <v>222</v>
      </c>
      <c r="E522">
        <v>25</v>
      </c>
      <c r="K522">
        <v>25</v>
      </c>
    </row>
    <row r="523" spans="1:11" hidden="1" x14ac:dyDescent="0.35">
      <c r="A523" t="s">
        <v>342</v>
      </c>
      <c r="B523" t="s">
        <v>539</v>
      </c>
      <c r="C523" t="s">
        <v>227</v>
      </c>
      <c r="D523" t="s">
        <v>226</v>
      </c>
      <c r="E523">
        <v>28</v>
      </c>
      <c r="K523">
        <v>28</v>
      </c>
    </row>
    <row r="524" spans="1:11" hidden="1" x14ac:dyDescent="0.35">
      <c r="A524" t="s">
        <v>342</v>
      </c>
      <c r="B524" t="s">
        <v>536</v>
      </c>
      <c r="C524" t="s">
        <v>301</v>
      </c>
      <c r="D524" t="s">
        <v>300</v>
      </c>
      <c r="E524">
        <v>118</v>
      </c>
      <c r="H524">
        <v>118</v>
      </c>
    </row>
    <row r="525" spans="1:11" hidden="1" x14ac:dyDescent="0.35">
      <c r="A525" t="s">
        <v>342</v>
      </c>
      <c r="B525" t="s">
        <v>539</v>
      </c>
      <c r="C525" t="s">
        <v>231</v>
      </c>
      <c r="D525" t="s">
        <v>230</v>
      </c>
      <c r="E525">
        <v>26</v>
      </c>
      <c r="K525">
        <v>26</v>
      </c>
    </row>
    <row r="526" spans="1:11" hidden="1" x14ac:dyDescent="0.35">
      <c r="A526" t="s">
        <v>342</v>
      </c>
      <c r="B526" t="s">
        <v>536</v>
      </c>
      <c r="C526" t="s">
        <v>284</v>
      </c>
      <c r="D526" t="s">
        <v>283</v>
      </c>
      <c r="E526">
        <v>131</v>
      </c>
      <c r="H526">
        <v>131</v>
      </c>
    </row>
    <row r="527" spans="1:11" hidden="1" x14ac:dyDescent="0.35">
      <c r="A527" t="s">
        <v>341</v>
      </c>
      <c r="B527" t="s">
        <v>541</v>
      </c>
      <c r="C527" t="s">
        <v>239</v>
      </c>
      <c r="D527" t="s">
        <v>238</v>
      </c>
      <c r="E527">
        <v>202</v>
      </c>
      <c r="I527">
        <v>164</v>
      </c>
      <c r="K527">
        <v>38</v>
      </c>
    </row>
    <row r="528" spans="1:11" hidden="1" x14ac:dyDescent="0.35">
      <c r="A528" t="s">
        <v>365</v>
      </c>
      <c r="B528" t="s">
        <v>536</v>
      </c>
      <c r="C528" t="s">
        <v>280</v>
      </c>
      <c r="D528" t="s">
        <v>279</v>
      </c>
      <c r="E528">
        <v>49</v>
      </c>
      <c r="H528">
        <v>14</v>
      </c>
      <c r="J528">
        <v>0</v>
      </c>
      <c r="K528">
        <v>35</v>
      </c>
    </row>
    <row r="529" spans="1:11" hidden="1" x14ac:dyDescent="0.35">
      <c r="A529" t="s">
        <v>341</v>
      </c>
      <c r="B529" t="s">
        <v>543</v>
      </c>
      <c r="C529" t="s">
        <v>544</v>
      </c>
      <c r="D529" t="s">
        <v>548</v>
      </c>
      <c r="E529">
        <v>614</v>
      </c>
      <c r="F529">
        <v>165</v>
      </c>
      <c r="I529">
        <v>267</v>
      </c>
      <c r="K529">
        <v>182</v>
      </c>
    </row>
    <row r="530" spans="1:11" hidden="1" x14ac:dyDescent="0.35">
      <c r="A530" t="s">
        <v>365</v>
      </c>
      <c r="B530" t="s">
        <v>536</v>
      </c>
      <c r="C530" t="s">
        <v>301</v>
      </c>
      <c r="D530" t="s">
        <v>300</v>
      </c>
      <c r="E530">
        <v>128</v>
      </c>
      <c r="H530">
        <v>127</v>
      </c>
      <c r="J530">
        <v>1</v>
      </c>
      <c r="K530">
        <v>0</v>
      </c>
    </row>
    <row r="531" spans="1:11" hidden="1" x14ac:dyDescent="0.35">
      <c r="A531" t="s">
        <v>364</v>
      </c>
      <c r="B531" t="s">
        <v>539</v>
      </c>
      <c r="C531" t="s">
        <v>216</v>
      </c>
      <c r="D531" t="s">
        <v>217</v>
      </c>
      <c r="E531">
        <v>15</v>
      </c>
      <c r="K531">
        <v>15</v>
      </c>
    </row>
    <row r="532" spans="1:11" hidden="1" x14ac:dyDescent="0.35">
      <c r="A532" t="s">
        <v>364</v>
      </c>
      <c r="B532" t="s">
        <v>536</v>
      </c>
      <c r="C532" t="s">
        <v>225</v>
      </c>
      <c r="D532" t="s">
        <v>224</v>
      </c>
      <c r="E532">
        <v>134</v>
      </c>
      <c r="H532">
        <v>99</v>
      </c>
      <c r="J532">
        <v>0</v>
      </c>
      <c r="K532">
        <v>35</v>
      </c>
    </row>
    <row r="533" spans="1:11" hidden="1" x14ac:dyDescent="0.35">
      <c r="A533" t="s">
        <v>342</v>
      </c>
      <c r="B533" t="s">
        <v>536</v>
      </c>
      <c r="C533" t="s">
        <v>310</v>
      </c>
      <c r="D533" t="s">
        <v>309</v>
      </c>
      <c r="E533">
        <v>86</v>
      </c>
      <c r="H533">
        <v>18</v>
      </c>
      <c r="K533">
        <v>68</v>
      </c>
    </row>
    <row r="534" spans="1:11" hidden="1" x14ac:dyDescent="0.35">
      <c r="A534" t="s">
        <v>366</v>
      </c>
      <c r="B534" t="s">
        <v>539</v>
      </c>
      <c r="C534" t="s">
        <v>305</v>
      </c>
      <c r="D534" t="s">
        <v>306</v>
      </c>
      <c r="E534">
        <v>16</v>
      </c>
      <c r="K534">
        <v>16</v>
      </c>
    </row>
    <row r="535" spans="1:11" hidden="1" x14ac:dyDescent="0.35">
      <c r="A535" t="s">
        <v>364</v>
      </c>
      <c r="B535" t="s">
        <v>539</v>
      </c>
      <c r="C535" t="s">
        <v>262</v>
      </c>
      <c r="D535" t="s">
        <v>261</v>
      </c>
      <c r="E535">
        <v>12</v>
      </c>
      <c r="K535">
        <v>12</v>
      </c>
    </row>
    <row r="536" spans="1:11" hidden="1" x14ac:dyDescent="0.35">
      <c r="A536" t="s">
        <v>327</v>
      </c>
      <c r="B536" t="s">
        <v>536</v>
      </c>
      <c r="C536" t="s">
        <v>299</v>
      </c>
      <c r="E536">
        <v>194</v>
      </c>
      <c r="F536">
        <v>0</v>
      </c>
      <c r="G536">
        <v>0</v>
      </c>
      <c r="H536">
        <v>137</v>
      </c>
      <c r="I536">
        <v>0</v>
      </c>
      <c r="J536">
        <v>0</v>
      </c>
      <c r="K536">
        <v>57</v>
      </c>
    </row>
    <row r="537" spans="1:11" hidden="1" x14ac:dyDescent="0.35">
      <c r="A537" t="s">
        <v>327</v>
      </c>
      <c r="B537" t="s">
        <v>536</v>
      </c>
      <c r="C537" t="s">
        <v>271</v>
      </c>
      <c r="E537">
        <v>463</v>
      </c>
      <c r="F537">
        <v>0</v>
      </c>
      <c r="G537">
        <v>0</v>
      </c>
      <c r="H537">
        <v>0</v>
      </c>
      <c r="I537">
        <v>0</v>
      </c>
      <c r="J537">
        <v>0</v>
      </c>
      <c r="K537">
        <v>463</v>
      </c>
    </row>
    <row r="538" spans="1:11" hidden="1" x14ac:dyDescent="0.35">
      <c r="A538" t="s">
        <v>327</v>
      </c>
      <c r="B538" t="s">
        <v>539</v>
      </c>
      <c r="C538" t="s">
        <v>227</v>
      </c>
      <c r="E538">
        <v>23</v>
      </c>
      <c r="F538">
        <v>0</v>
      </c>
      <c r="G538">
        <v>3</v>
      </c>
      <c r="H538">
        <v>0</v>
      </c>
      <c r="I538">
        <v>0</v>
      </c>
      <c r="J538">
        <v>0</v>
      </c>
      <c r="K538">
        <v>23</v>
      </c>
    </row>
    <row r="539" spans="1:11" hidden="1" x14ac:dyDescent="0.35">
      <c r="A539" t="s">
        <v>326</v>
      </c>
      <c r="B539" t="s">
        <v>541</v>
      </c>
      <c r="C539" t="s">
        <v>233</v>
      </c>
      <c r="E539">
        <v>119</v>
      </c>
      <c r="F539">
        <v>0</v>
      </c>
      <c r="G539">
        <v>0</v>
      </c>
      <c r="H539">
        <v>0</v>
      </c>
      <c r="I539">
        <v>0</v>
      </c>
      <c r="J539">
        <v>0</v>
      </c>
      <c r="K539">
        <v>119</v>
      </c>
    </row>
    <row r="540" spans="1:11" hidden="1" x14ac:dyDescent="0.35">
      <c r="A540" t="s">
        <v>327</v>
      </c>
      <c r="B540" t="s">
        <v>536</v>
      </c>
      <c r="C540" t="s">
        <v>276</v>
      </c>
      <c r="E540">
        <v>591</v>
      </c>
      <c r="F540">
        <v>0</v>
      </c>
      <c r="G540">
        <v>0</v>
      </c>
      <c r="H540">
        <v>464</v>
      </c>
      <c r="I540">
        <v>0</v>
      </c>
      <c r="J540">
        <v>47</v>
      </c>
      <c r="K540">
        <v>80</v>
      </c>
    </row>
    <row r="541" spans="1:11" hidden="1" x14ac:dyDescent="0.35">
      <c r="A541" t="s">
        <v>342</v>
      </c>
      <c r="B541" t="s">
        <v>543</v>
      </c>
      <c r="C541" t="s">
        <v>544</v>
      </c>
      <c r="D541" t="s">
        <v>548</v>
      </c>
      <c r="E541">
        <v>609</v>
      </c>
      <c r="F541">
        <v>189</v>
      </c>
      <c r="I541">
        <v>277</v>
      </c>
      <c r="K541">
        <v>143</v>
      </c>
    </row>
    <row r="542" spans="1:11" hidden="1" x14ac:dyDescent="0.35">
      <c r="A542" t="s">
        <v>341</v>
      </c>
      <c r="B542" t="s">
        <v>539</v>
      </c>
      <c r="C542" t="s">
        <v>237</v>
      </c>
      <c r="D542" t="s">
        <v>236</v>
      </c>
      <c r="E542">
        <v>27</v>
      </c>
      <c r="K542">
        <v>27</v>
      </c>
    </row>
    <row r="543" spans="1:11" hidden="1" x14ac:dyDescent="0.35">
      <c r="A543" t="s">
        <v>342</v>
      </c>
      <c r="B543" t="s">
        <v>541</v>
      </c>
      <c r="C543" t="s">
        <v>239</v>
      </c>
      <c r="D543" t="s">
        <v>238</v>
      </c>
      <c r="E543">
        <v>165</v>
      </c>
      <c r="I543">
        <v>128</v>
      </c>
      <c r="K543">
        <v>37</v>
      </c>
    </row>
    <row r="544" spans="1:11" hidden="1" x14ac:dyDescent="0.35">
      <c r="A544" t="s">
        <v>341</v>
      </c>
      <c r="B544" t="s">
        <v>536</v>
      </c>
      <c r="C544" t="s">
        <v>303</v>
      </c>
      <c r="D544" t="s">
        <v>302</v>
      </c>
      <c r="E544">
        <v>102</v>
      </c>
      <c r="H544">
        <v>48</v>
      </c>
      <c r="J544">
        <v>0</v>
      </c>
      <c r="K544">
        <v>54</v>
      </c>
    </row>
    <row r="545" spans="1:11" hidden="1" x14ac:dyDescent="0.35">
      <c r="A545" t="s">
        <v>364</v>
      </c>
      <c r="B545" t="s">
        <v>536</v>
      </c>
      <c r="C545" t="s">
        <v>295</v>
      </c>
      <c r="D545" t="s">
        <v>294</v>
      </c>
      <c r="E545">
        <v>253</v>
      </c>
      <c r="H545">
        <v>140</v>
      </c>
      <c r="J545">
        <v>25</v>
      </c>
      <c r="K545">
        <v>88</v>
      </c>
    </row>
    <row r="546" spans="1:11" hidden="1" x14ac:dyDescent="0.35">
      <c r="A546" t="s">
        <v>341</v>
      </c>
      <c r="B546" t="s">
        <v>539</v>
      </c>
      <c r="C546" t="s">
        <v>290</v>
      </c>
      <c r="D546" t="s">
        <v>291</v>
      </c>
      <c r="E546">
        <v>15</v>
      </c>
      <c r="K546">
        <v>15</v>
      </c>
    </row>
    <row r="547" spans="1:11" hidden="1" x14ac:dyDescent="0.35">
      <c r="A547" t="s">
        <v>342</v>
      </c>
      <c r="B547" t="s">
        <v>536</v>
      </c>
      <c r="C547" t="s">
        <v>254</v>
      </c>
      <c r="D547" t="s">
        <v>253</v>
      </c>
      <c r="E547">
        <v>78</v>
      </c>
      <c r="K547">
        <v>78</v>
      </c>
    </row>
    <row r="548" spans="1:11" hidden="1" x14ac:dyDescent="0.35">
      <c r="A548" t="s">
        <v>364</v>
      </c>
      <c r="B548" t="s">
        <v>539</v>
      </c>
      <c r="C548" t="s">
        <v>276</v>
      </c>
      <c r="D548" t="s">
        <v>275</v>
      </c>
      <c r="E548">
        <v>13</v>
      </c>
      <c r="K548">
        <v>13</v>
      </c>
    </row>
    <row r="549" spans="1:11" hidden="1" x14ac:dyDescent="0.35">
      <c r="A549" t="s">
        <v>365</v>
      </c>
      <c r="B549" t="s">
        <v>536</v>
      </c>
      <c r="C549" t="s">
        <v>295</v>
      </c>
      <c r="D549" t="s">
        <v>294</v>
      </c>
      <c r="E549">
        <v>238</v>
      </c>
      <c r="H549">
        <v>128</v>
      </c>
      <c r="J549">
        <v>24</v>
      </c>
      <c r="K549">
        <v>86</v>
      </c>
    </row>
    <row r="550" spans="1:11" hidden="1" x14ac:dyDescent="0.35">
      <c r="A550" t="s">
        <v>342</v>
      </c>
      <c r="B550" t="s">
        <v>536</v>
      </c>
      <c r="C550" t="s">
        <v>295</v>
      </c>
      <c r="D550" t="s">
        <v>294</v>
      </c>
      <c r="E550">
        <v>223</v>
      </c>
      <c r="H550">
        <v>126</v>
      </c>
      <c r="J550">
        <v>28</v>
      </c>
      <c r="K550">
        <v>69</v>
      </c>
    </row>
    <row r="551" spans="1:11" hidden="1" x14ac:dyDescent="0.35">
      <c r="A551" t="s">
        <v>342</v>
      </c>
      <c r="B551" t="s">
        <v>536</v>
      </c>
      <c r="C551" t="s">
        <v>235</v>
      </c>
      <c r="D551" t="s">
        <v>234</v>
      </c>
      <c r="E551">
        <v>304</v>
      </c>
      <c r="H551">
        <v>11</v>
      </c>
      <c r="K551">
        <v>293</v>
      </c>
    </row>
    <row r="552" spans="1:11" hidden="1" x14ac:dyDescent="0.35">
      <c r="A552" t="s">
        <v>365</v>
      </c>
      <c r="B552" t="s">
        <v>536</v>
      </c>
      <c r="C552" t="s">
        <v>288</v>
      </c>
      <c r="D552" t="s">
        <v>287</v>
      </c>
      <c r="E552">
        <v>194</v>
      </c>
      <c r="H552">
        <v>90</v>
      </c>
      <c r="J552">
        <v>26</v>
      </c>
      <c r="K552">
        <v>78</v>
      </c>
    </row>
    <row r="553" spans="1:11" hidden="1" x14ac:dyDescent="0.35">
      <c r="A553" t="s">
        <v>341</v>
      </c>
      <c r="B553" t="s">
        <v>539</v>
      </c>
      <c r="C553" t="s">
        <v>286</v>
      </c>
      <c r="D553" t="s">
        <v>285</v>
      </c>
      <c r="E553">
        <v>16</v>
      </c>
      <c r="K553">
        <v>16</v>
      </c>
    </row>
    <row r="554" spans="1:11" hidden="1" x14ac:dyDescent="0.35">
      <c r="A554" t="s">
        <v>364</v>
      </c>
      <c r="B554" t="s">
        <v>539</v>
      </c>
      <c r="C554" t="s">
        <v>231</v>
      </c>
      <c r="D554" t="s">
        <v>230</v>
      </c>
      <c r="E554">
        <v>23</v>
      </c>
      <c r="K554">
        <v>23</v>
      </c>
    </row>
    <row r="555" spans="1:11" hidden="1" x14ac:dyDescent="0.35">
      <c r="A555" t="s">
        <v>366</v>
      </c>
      <c r="B555" t="s">
        <v>539</v>
      </c>
      <c r="C555" t="s">
        <v>252</v>
      </c>
      <c r="D555" t="s">
        <v>251</v>
      </c>
      <c r="E555">
        <v>29</v>
      </c>
      <c r="K555">
        <v>29</v>
      </c>
    </row>
    <row r="556" spans="1:11" hidden="1" x14ac:dyDescent="0.35">
      <c r="A556" t="s">
        <v>365</v>
      </c>
      <c r="B556" t="s">
        <v>539</v>
      </c>
      <c r="C556" t="s">
        <v>276</v>
      </c>
      <c r="D556" t="s">
        <v>275</v>
      </c>
      <c r="E556">
        <v>13</v>
      </c>
      <c r="K556">
        <v>13</v>
      </c>
    </row>
    <row r="557" spans="1:11" hidden="1" x14ac:dyDescent="0.35">
      <c r="A557" t="s">
        <v>365</v>
      </c>
      <c r="B557" t="s">
        <v>539</v>
      </c>
      <c r="C557" t="s">
        <v>231</v>
      </c>
      <c r="D557" t="s">
        <v>230</v>
      </c>
      <c r="E557">
        <v>21</v>
      </c>
      <c r="K557">
        <v>21</v>
      </c>
    </row>
    <row r="558" spans="1:11" hidden="1" x14ac:dyDescent="0.35">
      <c r="A558" t="s">
        <v>365</v>
      </c>
      <c r="B558" t="s">
        <v>539</v>
      </c>
      <c r="C558" t="s">
        <v>223</v>
      </c>
      <c r="D558" t="s">
        <v>222</v>
      </c>
      <c r="E558">
        <v>18</v>
      </c>
      <c r="K558">
        <v>18</v>
      </c>
    </row>
    <row r="559" spans="1:11" hidden="1" x14ac:dyDescent="0.35">
      <c r="A559" t="s">
        <v>341</v>
      </c>
      <c r="B559" t="s">
        <v>536</v>
      </c>
      <c r="C559" t="s">
        <v>290</v>
      </c>
      <c r="D559" t="s">
        <v>289</v>
      </c>
      <c r="E559">
        <v>208</v>
      </c>
      <c r="H559">
        <v>35</v>
      </c>
      <c r="J559">
        <v>0</v>
      </c>
      <c r="K559">
        <v>173</v>
      </c>
    </row>
    <row r="560" spans="1:11" hidden="1" x14ac:dyDescent="0.35">
      <c r="A560" t="s">
        <v>364</v>
      </c>
      <c r="B560" t="s">
        <v>541</v>
      </c>
      <c r="C560" t="s">
        <v>233</v>
      </c>
      <c r="D560" t="s">
        <v>232</v>
      </c>
      <c r="E560">
        <v>527</v>
      </c>
      <c r="I560">
        <v>416</v>
      </c>
      <c r="K560">
        <v>111</v>
      </c>
    </row>
    <row r="561" spans="1:11" hidden="1" x14ac:dyDescent="0.35">
      <c r="A561" t="s">
        <v>364</v>
      </c>
      <c r="B561" t="s">
        <v>536</v>
      </c>
      <c r="C561" t="s">
        <v>278</v>
      </c>
      <c r="D561" t="s">
        <v>277</v>
      </c>
      <c r="E561">
        <v>120</v>
      </c>
      <c r="H561">
        <v>42</v>
      </c>
      <c r="J561">
        <v>0</v>
      </c>
      <c r="K561">
        <v>78</v>
      </c>
    </row>
    <row r="562" spans="1:11" hidden="1" x14ac:dyDescent="0.35">
      <c r="A562" t="s">
        <v>342</v>
      </c>
      <c r="B562" t="s">
        <v>539</v>
      </c>
      <c r="C562" t="s">
        <v>237</v>
      </c>
      <c r="D562" t="s">
        <v>236</v>
      </c>
      <c r="E562">
        <v>31</v>
      </c>
      <c r="K562">
        <v>31</v>
      </c>
    </row>
    <row r="563" spans="1:11" hidden="1" x14ac:dyDescent="0.35">
      <c r="A563" t="s">
        <v>365</v>
      </c>
      <c r="B563" t="s">
        <v>536</v>
      </c>
      <c r="C563" t="s">
        <v>310</v>
      </c>
      <c r="D563" t="s">
        <v>309</v>
      </c>
      <c r="E563">
        <v>95</v>
      </c>
      <c r="H563">
        <v>21</v>
      </c>
      <c r="J563">
        <v>0</v>
      </c>
      <c r="K563">
        <v>74</v>
      </c>
    </row>
    <row r="564" spans="1:11" hidden="1" x14ac:dyDescent="0.35">
      <c r="A564" t="s">
        <v>366</v>
      </c>
      <c r="B564" t="s">
        <v>539</v>
      </c>
      <c r="C564" t="s">
        <v>216</v>
      </c>
      <c r="D564" t="s">
        <v>217</v>
      </c>
      <c r="E564">
        <v>16</v>
      </c>
      <c r="K564">
        <v>16</v>
      </c>
    </row>
    <row r="565" spans="1:11" hidden="1" x14ac:dyDescent="0.35">
      <c r="A565" t="s">
        <v>366</v>
      </c>
      <c r="B565" t="s">
        <v>541</v>
      </c>
      <c r="C565" t="s">
        <v>233</v>
      </c>
      <c r="D565" t="s">
        <v>232</v>
      </c>
      <c r="E565">
        <v>302</v>
      </c>
      <c r="I565">
        <v>286</v>
      </c>
      <c r="K565">
        <v>16</v>
      </c>
    </row>
    <row r="566" spans="1:11" hidden="1" x14ac:dyDescent="0.35">
      <c r="A566" t="s">
        <v>365</v>
      </c>
      <c r="B566" t="s">
        <v>539</v>
      </c>
      <c r="C566" t="s">
        <v>258</v>
      </c>
      <c r="D566" t="s">
        <v>257</v>
      </c>
      <c r="E566">
        <v>17</v>
      </c>
      <c r="K566">
        <v>17</v>
      </c>
    </row>
    <row r="567" spans="1:11" hidden="1" x14ac:dyDescent="0.35">
      <c r="A567" t="s">
        <v>366</v>
      </c>
      <c r="B567" t="s">
        <v>539</v>
      </c>
      <c r="C567" t="s">
        <v>262</v>
      </c>
      <c r="D567" t="s">
        <v>261</v>
      </c>
      <c r="E567">
        <v>17</v>
      </c>
      <c r="K567">
        <v>17</v>
      </c>
    </row>
    <row r="568" spans="1:11" hidden="1" x14ac:dyDescent="0.35">
      <c r="A568" t="s">
        <v>326</v>
      </c>
      <c r="B568" t="s">
        <v>541</v>
      </c>
      <c r="C568" t="s">
        <v>219</v>
      </c>
      <c r="E568">
        <v>70</v>
      </c>
      <c r="F568">
        <v>0</v>
      </c>
      <c r="G568">
        <v>0</v>
      </c>
      <c r="H568">
        <v>0</v>
      </c>
      <c r="I568">
        <v>0</v>
      </c>
      <c r="J568">
        <v>0</v>
      </c>
      <c r="K568">
        <v>70</v>
      </c>
    </row>
    <row r="569" spans="1:11" hidden="1" x14ac:dyDescent="0.35">
      <c r="A569" t="s">
        <v>466</v>
      </c>
      <c r="B569" t="s">
        <v>536</v>
      </c>
      <c r="C569" t="s">
        <v>260</v>
      </c>
      <c r="E569">
        <v>52</v>
      </c>
      <c r="F569">
        <v>0</v>
      </c>
      <c r="G569">
        <v>0</v>
      </c>
      <c r="H569">
        <v>0</v>
      </c>
      <c r="I569">
        <v>0</v>
      </c>
      <c r="J569">
        <v>0</v>
      </c>
      <c r="K569">
        <v>52</v>
      </c>
    </row>
    <row r="570" spans="1:11" x14ac:dyDescent="0.35">
      <c r="A570" t="s">
        <v>214</v>
      </c>
      <c r="B570" t="s">
        <v>539</v>
      </c>
      <c r="C570" t="s">
        <v>268</v>
      </c>
      <c r="D570" t="s">
        <v>269</v>
      </c>
      <c r="E570">
        <v>18</v>
      </c>
      <c r="F570">
        <v>0</v>
      </c>
      <c r="G570">
        <v>1</v>
      </c>
      <c r="H570">
        <v>0</v>
      </c>
      <c r="I570">
        <v>0</v>
      </c>
      <c r="J570">
        <v>0</v>
      </c>
      <c r="K570">
        <v>18</v>
      </c>
    </row>
    <row r="571" spans="1:11" hidden="1" x14ac:dyDescent="0.35">
      <c r="A571" t="s">
        <v>313</v>
      </c>
      <c r="B571" t="s">
        <v>536</v>
      </c>
      <c r="C571" t="s">
        <v>268</v>
      </c>
      <c r="D571" t="s">
        <v>238</v>
      </c>
      <c r="E571">
        <v>382</v>
      </c>
      <c r="F571">
        <v>0</v>
      </c>
      <c r="G571">
        <v>0</v>
      </c>
      <c r="H571">
        <v>113</v>
      </c>
      <c r="I571">
        <v>0</v>
      </c>
      <c r="J571">
        <v>0</v>
      </c>
      <c r="K571">
        <v>269</v>
      </c>
    </row>
    <row r="572" spans="1:11" hidden="1" x14ac:dyDescent="0.35">
      <c r="A572" t="s">
        <v>313</v>
      </c>
      <c r="B572" t="s">
        <v>536</v>
      </c>
      <c r="C572" t="s">
        <v>290</v>
      </c>
      <c r="D572" t="s">
        <v>232</v>
      </c>
      <c r="E572">
        <v>200</v>
      </c>
      <c r="F572">
        <v>0</v>
      </c>
      <c r="G572">
        <v>0</v>
      </c>
      <c r="H572">
        <v>37</v>
      </c>
      <c r="I572">
        <v>0</v>
      </c>
      <c r="J572">
        <v>0</v>
      </c>
      <c r="K572">
        <v>163</v>
      </c>
    </row>
    <row r="573" spans="1:11" hidden="1" x14ac:dyDescent="0.35">
      <c r="A573" t="s">
        <v>313</v>
      </c>
      <c r="B573" t="s">
        <v>539</v>
      </c>
      <c r="C573" t="s">
        <v>258</v>
      </c>
      <c r="D573" t="s">
        <v>238</v>
      </c>
      <c r="E573">
        <v>29</v>
      </c>
      <c r="F573">
        <v>0</v>
      </c>
      <c r="G573">
        <v>3</v>
      </c>
      <c r="H573">
        <v>0</v>
      </c>
      <c r="I573">
        <v>0</v>
      </c>
      <c r="J573">
        <v>0</v>
      </c>
      <c r="K573">
        <v>29</v>
      </c>
    </row>
    <row r="574" spans="1:11" hidden="1" x14ac:dyDescent="0.35">
      <c r="A574" t="s">
        <v>327</v>
      </c>
      <c r="B574" t="s">
        <v>539</v>
      </c>
      <c r="C574" t="s">
        <v>325</v>
      </c>
      <c r="E574">
        <v>27</v>
      </c>
      <c r="F574">
        <v>0</v>
      </c>
      <c r="G574">
        <v>2</v>
      </c>
      <c r="H574">
        <v>0</v>
      </c>
      <c r="I574">
        <v>0</v>
      </c>
      <c r="J574">
        <v>0</v>
      </c>
      <c r="K574">
        <v>27</v>
      </c>
    </row>
    <row r="575" spans="1:11" hidden="1" x14ac:dyDescent="0.35">
      <c r="A575" t="s">
        <v>327</v>
      </c>
      <c r="B575" t="s">
        <v>539</v>
      </c>
      <c r="C575" t="s">
        <v>323</v>
      </c>
      <c r="E575">
        <v>22</v>
      </c>
      <c r="F575">
        <v>0</v>
      </c>
      <c r="G575">
        <v>9</v>
      </c>
      <c r="H575">
        <v>0</v>
      </c>
      <c r="I575">
        <v>0</v>
      </c>
      <c r="J575">
        <v>0</v>
      </c>
      <c r="K575">
        <v>22</v>
      </c>
    </row>
    <row r="576" spans="1:11" hidden="1" x14ac:dyDescent="0.35">
      <c r="A576" t="s">
        <v>342</v>
      </c>
      <c r="B576" t="s">
        <v>539</v>
      </c>
      <c r="C576" t="s">
        <v>290</v>
      </c>
      <c r="D576" t="s">
        <v>291</v>
      </c>
      <c r="E576">
        <v>17</v>
      </c>
      <c r="K576">
        <v>17</v>
      </c>
    </row>
    <row r="577" spans="1:11" hidden="1" x14ac:dyDescent="0.35">
      <c r="A577" t="s">
        <v>366</v>
      </c>
      <c r="B577" t="s">
        <v>536</v>
      </c>
      <c r="C577" t="s">
        <v>305</v>
      </c>
      <c r="D577" t="s">
        <v>304</v>
      </c>
      <c r="E577">
        <v>252</v>
      </c>
      <c r="H577">
        <v>71</v>
      </c>
      <c r="J577">
        <v>3</v>
      </c>
      <c r="K577">
        <v>178</v>
      </c>
    </row>
    <row r="578" spans="1:11" hidden="1" x14ac:dyDescent="0.35">
      <c r="A578" t="s">
        <v>366</v>
      </c>
      <c r="B578" t="s">
        <v>536</v>
      </c>
      <c r="C578" t="s">
        <v>274</v>
      </c>
      <c r="D578" t="s">
        <v>273</v>
      </c>
      <c r="E578">
        <v>661</v>
      </c>
      <c r="H578">
        <v>525</v>
      </c>
      <c r="J578">
        <v>68</v>
      </c>
      <c r="K578">
        <v>68</v>
      </c>
    </row>
    <row r="579" spans="1:11" hidden="1" x14ac:dyDescent="0.35">
      <c r="A579" t="s">
        <v>365</v>
      </c>
      <c r="B579" t="s">
        <v>539</v>
      </c>
      <c r="C579" t="s">
        <v>290</v>
      </c>
      <c r="D579" t="s">
        <v>291</v>
      </c>
      <c r="E579">
        <v>16</v>
      </c>
      <c r="K579">
        <v>16</v>
      </c>
    </row>
    <row r="580" spans="1:11" hidden="1" x14ac:dyDescent="0.35">
      <c r="A580" t="s">
        <v>364</v>
      </c>
      <c r="B580" t="s">
        <v>539</v>
      </c>
      <c r="C580" t="s">
        <v>245</v>
      </c>
      <c r="D580" t="s">
        <v>246</v>
      </c>
      <c r="E580">
        <v>16</v>
      </c>
      <c r="K580">
        <v>16</v>
      </c>
    </row>
    <row r="581" spans="1:11" hidden="1" x14ac:dyDescent="0.35">
      <c r="A581" t="s">
        <v>365</v>
      </c>
      <c r="B581" t="s">
        <v>536</v>
      </c>
      <c r="C581" t="s">
        <v>250</v>
      </c>
      <c r="D581" t="s">
        <v>249</v>
      </c>
      <c r="E581">
        <v>136</v>
      </c>
      <c r="H581">
        <v>80</v>
      </c>
      <c r="J581">
        <v>0</v>
      </c>
      <c r="K581">
        <v>56</v>
      </c>
    </row>
    <row r="582" spans="1:11" hidden="1" x14ac:dyDescent="0.35">
      <c r="A582" t="s">
        <v>366</v>
      </c>
      <c r="B582" t="s">
        <v>539</v>
      </c>
      <c r="C582" t="s">
        <v>223</v>
      </c>
      <c r="D582" t="s">
        <v>222</v>
      </c>
      <c r="E582">
        <v>27</v>
      </c>
      <c r="K582">
        <v>27</v>
      </c>
    </row>
    <row r="583" spans="1:11" hidden="1" x14ac:dyDescent="0.35">
      <c r="A583" t="s">
        <v>365</v>
      </c>
      <c r="B583" t="s">
        <v>539</v>
      </c>
      <c r="C583" t="s">
        <v>305</v>
      </c>
      <c r="D583" t="s">
        <v>306</v>
      </c>
      <c r="E583">
        <v>10</v>
      </c>
      <c r="K583">
        <v>10</v>
      </c>
    </row>
    <row r="584" spans="1:11" hidden="1" x14ac:dyDescent="0.35">
      <c r="A584" t="s">
        <v>366</v>
      </c>
      <c r="B584" t="s">
        <v>539</v>
      </c>
      <c r="C584" t="s">
        <v>268</v>
      </c>
      <c r="D584" t="s">
        <v>269</v>
      </c>
      <c r="E584">
        <v>26</v>
      </c>
      <c r="K584">
        <v>26</v>
      </c>
    </row>
    <row r="585" spans="1:11" hidden="1" x14ac:dyDescent="0.35">
      <c r="A585" t="s">
        <v>364</v>
      </c>
      <c r="B585" t="s">
        <v>536</v>
      </c>
      <c r="C585" t="s">
        <v>248</v>
      </c>
      <c r="D585" t="s">
        <v>247</v>
      </c>
      <c r="E585">
        <v>229</v>
      </c>
      <c r="H585">
        <v>14</v>
      </c>
      <c r="J585">
        <v>0</v>
      </c>
      <c r="K585">
        <v>215</v>
      </c>
    </row>
    <row r="586" spans="1:11" hidden="1" x14ac:dyDescent="0.35">
      <c r="A586" t="s">
        <v>366</v>
      </c>
      <c r="B586" t="s">
        <v>536</v>
      </c>
      <c r="C586" t="s">
        <v>288</v>
      </c>
      <c r="D586" t="s">
        <v>287</v>
      </c>
      <c r="E586">
        <v>208</v>
      </c>
      <c r="H586">
        <v>108</v>
      </c>
      <c r="J586">
        <v>22</v>
      </c>
      <c r="K586">
        <v>78</v>
      </c>
    </row>
    <row r="587" spans="1:11" hidden="1" x14ac:dyDescent="0.35">
      <c r="A587" t="s">
        <v>342</v>
      </c>
      <c r="B587" t="s">
        <v>536</v>
      </c>
      <c r="C587" t="s">
        <v>297</v>
      </c>
      <c r="D587" t="s">
        <v>296</v>
      </c>
      <c r="E587">
        <v>110</v>
      </c>
      <c r="H587">
        <v>16</v>
      </c>
      <c r="K587">
        <v>94</v>
      </c>
    </row>
    <row r="588" spans="1:11" hidden="1" x14ac:dyDescent="0.35">
      <c r="A588" t="s">
        <v>341</v>
      </c>
      <c r="B588" t="s">
        <v>539</v>
      </c>
      <c r="C588" t="s">
        <v>258</v>
      </c>
      <c r="D588" t="s">
        <v>257</v>
      </c>
      <c r="E588">
        <v>31</v>
      </c>
      <c r="K588">
        <v>31</v>
      </c>
    </row>
    <row r="589" spans="1:11" hidden="1" x14ac:dyDescent="0.35">
      <c r="A589" t="s">
        <v>341</v>
      </c>
      <c r="B589" t="s">
        <v>536</v>
      </c>
      <c r="C589" t="s">
        <v>268</v>
      </c>
      <c r="D589" t="s">
        <v>267</v>
      </c>
      <c r="E589">
        <v>379</v>
      </c>
      <c r="H589">
        <v>109</v>
      </c>
      <c r="J589">
        <v>0</v>
      </c>
      <c r="K589">
        <v>270</v>
      </c>
    </row>
    <row r="590" spans="1:11" hidden="1" x14ac:dyDescent="0.35">
      <c r="A590" t="s">
        <v>366</v>
      </c>
      <c r="B590" t="s">
        <v>541</v>
      </c>
      <c r="C590" t="s">
        <v>239</v>
      </c>
      <c r="D590" t="s">
        <v>238</v>
      </c>
      <c r="E590">
        <v>149</v>
      </c>
      <c r="I590">
        <v>124</v>
      </c>
      <c r="K590">
        <v>25</v>
      </c>
    </row>
    <row r="591" spans="1:11" hidden="1" x14ac:dyDescent="0.35">
      <c r="A591" t="s">
        <v>366</v>
      </c>
      <c r="B591" t="s">
        <v>539</v>
      </c>
      <c r="C591" t="s">
        <v>271</v>
      </c>
      <c r="D591" t="s">
        <v>272</v>
      </c>
      <c r="E591">
        <v>32</v>
      </c>
      <c r="K591">
        <v>32</v>
      </c>
    </row>
    <row r="592" spans="1:11" hidden="1" x14ac:dyDescent="0.35">
      <c r="A592" t="s">
        <v>364</v>
      </c>
      <c r="B592" t="s">
        <v>536</v>
      </c>
      <c r="C592" t="s">
        <v>256</v>
      </c>
      <c r="D592" t="s">
        <v>255</v>
      </c>
      <c r="E592">
        <v>81</v>
      </c>
      <c r="H592">
        <v>52</v>
      </c>
      <c r="J592">
        <v>0</v>
      </c>
      <c r="K592">
        <v>29</v>
      </c>
    </row>
    <row r="593" spans="1:11" hidden="1" x14ac:dyDescent="0.35">
      <c r="A593" t="s">
        <v>365</v>
      </c>
      <c r="B593" t="s">
        <v>536</v>
      </c>
      <c r="C593" t="s">
        <v>278</v>
      </c>
      <c r="D593" t="s">
        <v>277</v>
      </c>
      <c r="E593">
        <v>117</v>
      </c>
      <c r="H593">
        <v>40</v>
      </c>
      <c r="J593">
        <v>0</v>
      </c>
      <c r="K593">
        <v>77</v>
      </c>
    </row>
    <row r="594" spans="1:11" hidden="1" x14ac:dyDescent="0.35">
      <c r="A594" t="s">
        <v>341</v>
      </c>
      <c r="B594" t="s">
        <v>539</v>
      </c>
      <c r="C594" t="s">
        <v>276</v>
      </c>
      <c r="D594" t="s">
        <v>275</v>
      </c>
      <c r="E594">
        <v>37</v>
      </c>
      <c r="K594">
        <v>37</v>
      </c>
    </row>
    <row r="595" spans="1:11" hidden="1" x14ac:dyDescent="0.35">
      <c r="A595" t="s">
        <v>366</v>
      </c>
      <c r="B595" t="s">
        <v>536</v>
      </c>
      <c r="C595" t="s">
        <v>308</v>
      </c>
      <c r="D595" t="s">
        <v>307</v>
      </c>
      <c r="E595">
        <v>124</v>
      </c>
      <c r="H595">
        <v>73</v>
      </c>
      <c r="J595">
        <v>0</v>
      </c>
      <c r="K595">
        <v>51</v>
      </c>
    </row>
    <row r="596" spans="1:11" hidden="1" x14ac:dyDescent="0.35">
      <c r="A596" t="s">
        <v>341</v>
      </c>
      <c r="B596" t="s">
        <v>536</v>
      </c>
      <c r="C596" t="s">
        <v>305</v>
      </c>
      <c r="D596" t="s">
        <v>304</v>
      </c>
      <c r="E596">
        <v>248</v>
      </c>
      <c r="H596">
        <v>74</v>
      </c>
      <c r="J596">
        <v>3</v>
      </c>
      <c r="K596">
        <v>171</v>
      </c>
    </row>
    <row r="597" spans="1:11" hidden="1" x14ac:dyDescent="0.35">
      <c r="A597" t="s">
        <v>341</v>
      </c>
      <c r="B597" t="s">
        <v>536</v>
      </c>
      <c r="C597" t="s">
        <v>271</v>
      </c>
      <c r="D597" t="s">
        <v>270</v>
      </c>
      <c r="E597">
        <v>475</v>
      </c>
      <c r="H597">
        <v>0</v>
      </c>
      <c r="J597">
        <v>0</v>
      </c>
      <c r="K597">
        <v>475</v>
      </c>
    </row>
    <row r="598" spans="1:11" hidden="1" x14ac:dyDescent="0.35">
      <c r="A598" t="s">
        <v>366</v>
      </c>
      <c r="B598" t="s">
        <v>536</v>
      </c>
      <c r="C598" t="s">
        <v>278</v>
      </c>
      <c r="D598" t="s">
        <v>277</v>
      </c>
      <c r="E598">
        <v>111</v>
      </c>
      <c r="H598">
        <v>41</v>
      </c>
      <c r="J598">
        <v>0</v>
      </c>
      <c r="K598">
        <v>70</v>
      </c>
    </row>
    <row r="599" spans="1:11" hidden="1" x14ac:dyDescent="0.35">
      <c r="A599" t="s">
        <v>341</v>
      </c>
      <c r="B599" t="s">
        <v>536</v>
      </c>
      <c r="C599" t="s">
        <v>248</v>
      </c>
      <c r="D599" t="s">
        <v>247</v>
      </c>
      <c r="E599">
        <v>205</v>
      </c>
      <c r="H599">
        <v>13</v>
      </c>
      <c r="J599">
        <v>0</v>
      </c>
      <c r="K599">
        <v>192</v>
      </c>
    </row>
    <row r="600" spans="1:11" hidden="1" x14ac:dyDescent="0.35">
      <c r="A600" t="s">
        <v>341</v>
      </c>
      <c r="B600" t="s">
        <v>539</v>
      </c>
      <c r="C600" t="s">
        <v>305</v>
      </c>
      <c r="D600" t="s">
        <v>306</v>
      </c>
      <c r="E600">
        <v>15</v>
      </c>
      <c r="K600">
        <v>15</v>
      </c>
    </row>
    <row r="601" spans="1:11" hidden="1" x14ac:dyDescent="0.35">
      <c r="A601" t="s">
        <v>342</v>
      </c>
      <c r="B601" t="s">
        <v>541</v>
      </c>
      <c r="C601" t="s">
        <v>233</v>
      </c>
      <c r="D601" t="s">
        <v>232</v>
      </c>
      <c r="E601">
        <v>373</v>
      </c>
      <c r="I601">
        <v>300</v>
      </c>
      <c r="K601">
        <v>73</v>
      </c>
    </row>
    <row r="602" spans="1:11" hidden="1" x14ac:dyDescent="0.35">
      <c r="A602" t="s">
        <v>365</v>
      </c>
      <c r="B602" t="s">
        <v>536</v>
      </c>
      <c r="C602" t="s">
        <v>305</v>
      </c>
      <c r="D602" t="s">
        <v>304</v>
      </c>
      <c r="E602">
        <v>273</v>
      </c>
      <c r="H602">
        <v>82</v>
      </c>
      <c r="J602">
        <v>4</v>
      </c>
      <c r="K602">
        <v>187</v>
      </c>
    </row>
    <row r="603" spans="1:11" hidden="1" x14ac:dyDescent="0.35">
      <c r="A603" t="s">
        <v>366</v>
      </c>
      <c r="B603" t="s">
        <v>536</v>
      </c>
      <c r="C603" t="s">
        <v>250</v>
      </c>
      <c r="D603" t="s">
        <v>249</v>
      </c>
      <c r="E603">
        <v>136</v>
      </c>
      <c r="H603">
        <v>83</v>
      </c>
      <c r="J603">
        <v>0</v>
      </c>
      <c r="K603">
        <v>53</v>
      </c>
    </row>
    <row r="604" spans="1:11" hidden="1" x14ac:dyDescent="0.35">
      <c r="A604" t="s">
        <v>341</v>
      </c>
      <c r="B604" t="s">
        <v>539</v>
      </c>
      <c r="C604" t="s">
        <v>271</v>
      </c>
      <c r="D604" t="s">
        <v>272</v>
      </c>
      <c r="E604">
        <v>25</v>
      </c>
      <c r="K604">
        <v>25</v>
      </c>
    </row>
    <row r="605" spans="1:11" hidden="1" x14ac:dyDescent="0.35">
      <c r="A605" t="s">
        <v>341</v>
      </c>
      <c r="B605" t="s">
        <v>536</v>
      </c>
      <c r="C605" t="s">
        <v>284</v>
      </c>
      <c r="D605" t="s">
        <v>283</v>
      </c>
      <c r="E605">
        <v>137</v>
      </c>
      <c r="H605">
        <v>137</v>
      </c>
      <c r="J605">
        <v>0</v>
      </c>
      <c r="K605">
        <v>0</v>
      </c>
    </row>
    <row r="606" spans="1:11" hidden="1" x14ac:dyDescent="0.35">
      <c r="A606" t="s">
        <v>342</v>
      </c>
      <c r="B606" t="s">
        <v>536</v>
      </c>
      <c r="C606" t="s">
        <v>248</v>
      </c>
      <c r="D606" t="s">
        <v>247</v>
      </c>
      <c r="E606">
        <v>191</v>
      </c>
      <c r="H606">
        <v>13</v>
      </c>
      <c r="K606">
        <v>178</v>
      </c>
    </row>
    <row r="607" spans="1:11" hidden="1" x14ac:dyDescent="0.35">
      <c r="A607" t="s">
        <v>342</v>
      </c>
      <c r="B607" t="s">
        <v>539</v>
      </c>
      <c r="C607" t="s">
        <v>258</v>
      </c>
      <c r="D607" t="s">
        <v>257</v>
      </c>
      <c r="E607">
        <v>27</v>
      </c>
      <c r="K607">
        <v>27</v>
      </c>
    </row>
    <row r="608" spans="1:11" hidden="1" x14ac:dyDescent="0.35">
      <c r="A608" t="s">
        <v>365</v>
      </c>
      <c r="B608" t="s">
        <v>539</v>
      </c>
      <c r="C608" t="s">
        <v>266</v>
      </c>
      <c r="D608" t="s">
        <v>265</v>
      </c>
      <c r="E608">
        <v>13</v>
      </c>
      <c r="K608">
        <v>13</v>
      </c>
    </row>
    <row r="609" spans="1:11" hidden="1" x14ac:dyDescent="0.35">
      <c r="A609" t="s">
        <v>341</v>
      </c>
      <c r="B609" t="s">
        <v>541</v>
      </c>
      <c r="C609" t="s">
        <v>233</v>
      </c>
      <c r="D609" t="s">
        <v>232</v>
      </c>
      <c r="E609">
        <v>340</v>
      </c>
      <c r="I609">
        <v>272</v>
      </c>
      <c r="K609">
        <v>68</v>
      </c>
    </row>
    <row r="610" spans="1:11" hidden="1" x14ac:dyDescent="0.35">
      <c r="A610" t="s">
        <v>341</v>
      </c>
      <c r="B610" t="s">
        <v>536</v>
      </c>
      <c r="C610" t="s">
        <v>250</v>
      </c>
      <c r="D610" t="s">
        <v>249</v>
      </c>
      <c r="E610">
        <v>127</v>
      </c>
      <c r="H610">
        <v>81</v>
      </c>
      <c r="J610">
        <v>0</v>
      </c>
      <c r="K610">
        <v>46</v>
      </c>
    </row>
    <row r="611" spans="1:11" hidden="1" x14ac:dyDescent="0.35">
      <c r="A611" t="s">
        <v>364</v>
      </c>
      <c r="B611" t="s">
        <v>539</v>
      </c>
      <c r="C611" t="s">
        <v>268</v>
      </c>
      <c r="D611" t="s">
        <v>269</v>
      </c>
      <c r="E611">
        <v>21</v>
      </c>
      <c r="K611">
        <v>21</v>
      </c>
    </row>
    <row r="612" spans="1:11" hidden="1" x14ac:dyDescent="0.35">
      <c r="A612" t="s">
        <v>364</v>
      </c>
      <c r="B612" t="s">
        <v>536</v>
      </c>
      <c r="C612" t="s">
        <v>254</v>
      </c>
      <c r="D612" t="s">
        <v>253</v>
      </c>
      <c r="E612">
        <v>74</v>
      </c>
      <c r="H612">
        <v>0</v>
      </c>
      <c r="J612">
        <v>0</v>
      </c>
      <c r="K612">
        <v>74</v>
      </c>
    </row>
    <row r="613" spans="1:11" hidden="1" x14ac:dyDescent="0.35">
      <c r="A613" t="s">
        <v>366</v>
      </c>
      <c r="B613" t="s">
        <v>536</v>
      </c>
      <c r="C613" t="s">
        <v>254</v>
      </c>
      <c r="D613" t="s">
        <v>253</v>
      </c>
      <c r="E613">
        <v>71</v>
      </c>
      <c r="H613">
        <v>1</v>
      </c>
      <c r="J613">
        <v>0</v>
      </c>
      <c r="K613">
        <v>70</v>
      </c>
    </row>
    <row r="614" spans="1:11" hidden="1" x14ac:dyDescent="0.35">
      <c r="A614" t="s">
        <v>342</v>
      </c>
      <c r="B614" t="s">
        <v>536</v>
      </c>
      <c r="C614" t="s">
        <v>282</v>
      </c>
      <c r="D614" t="s">
        <v>281</v>
      </c>
      <c r="E614">
        <v>149</v>
      </c>
      <c r="H614">
        <v>120</v>
      </c>
      <c r="K614">
        <v>29</v>
      </c>
    </row>
    <row r="615" spans="1:11" hidden="1" x14ac:dyDescent="0.35">
      <c r="A615" t="s">
        <v>342</v>
      </c>
      <c r="B615" t="s">
        <v>536</v>
      </c>
      <c r="C615" t="s">
        <v>241</v>
      </c>
      <c r="D615" t="s">
        <v>240</v>
      </c>
      <c r="E615">
        <v>47</v>
      </c>
      <c r="H615">
        <v>22</v>
      </c>
      <c r="K615">
        <v>25</v>
      </c>
    </row>
    <row r="616" spans="1:11" hidden="1" x14ac:dyDescent="0.35">
      <c r="A616" t="s">
        <v>342</v>
      </c>
      <c r="B616" t="s">
        <v>539</v>
      </c>
      <c r="C616" t="s">
        <v>305</v>
      </c>
      <c r="D616" t="s">
        <v>306</v>
      </c>
      <c r="E616">
        <v>16</v>
      </c>
      <c r="K616">
        <v>16</v>
      </c>
    </row>
    <row r="617" spans="1:11" hidden="1" x14ac:dyDescent="0.35">
      <c r="A617" t="s">
        <v>341</v>
      </c>
      <c r="B617" t="s">
        <v>536</v>
      </c>
      <c r="C617" t="s">
        <v>280</v>
      </c>
      <c r="D617" t="s">
        <v>279</v>
      </c>
      <c r="E617">
        <v>33</v>
      </c>
      <c r="H617">
        <v>11</v>
      </c>
      <c r="J617">
        <v>0</v>
      </c>
      <c r="K617">
        <v>22</v>
      </c>
    </row>
    <row r="618" spans="1:11" hidden="1" x14ac:dyDescent="0.35">
      <c r="A618" t="s">
        <v>366</v>
      </c>
      <c r="B618" t="s">
        <v>539</v>
      </c>
      <c r="C618" t="s">
        <v>237</v>
      </c>
      <c r="D618" t="s">
        <v>236</v>
      </c>
      <c r="E618">
        <v>27</v>
      </c>
      <c r="K618">
        <v>27</v>
      </c>
    </row>
    <row r="619" spans="1:11" hidden="1" x14ac:dyDescent="0.35">
      <c r="A619" t="s">
        <v>364</v>
      </c>
      <c r="B619" t="s">
        <v>536</v>
      </c>
      <c r="C619" t="s">
        <v>310</v>
      </c>
      <c r="D619" t="s">
        <v>309</v>
      </c>
      <c r="E619">
        <v>98</v>
      </c>
      <c r="H619">
        <v>18</v>
      </c>
      <c r="J619">
        <v>0</v>
      </c>
      <c r="K619">
        <v>80</v>
      </c>
    </row>
    <row r="620" spans="1:11" hidden="1" x14ac:dyDescent="0.35">
      <c r="A620" t="s">
        <v>341</v>
      </c>
      <c r="B620" t="s">
        <v>536</v>
      </c>
      <c r="C620" t="s">
        <v>245</v>
      </c>
      <c r="D620" t="s">
        <v>244</v>
      </c>
      <c r="E620">
        <v>270</v>
      </c>
      <c r="H620">
        <v>202</v>
      </c>
      <c r="J620">
        <v>5</v>
      </c>
      <c r="K620">
        <v>63</v>
      </c>
    </row>
    <row r="621" spans="1:11" hidden="1" x14ac:dyDescent="0.35">
      <c r="A621" t="s">
        <v>342</v>
      </c>
      <c r="B621" t="s">
        <v>539</v>
      </c>
      <c r="C621" t="s">
        <v>268</v>
      </c>
      <c r="D621" t="s">
        <v>269</v>
      </c>
      <c r="E621">
        <v>19</v>
      </c>
      <c r="K621">
        <v>19</v>
      </c>
    </row>
    <row r="622" spans="1:11" hidden="1" x14ac:dyDescent="0.35">
      <c r="A622" t="s">
        <v>364</v>
      </c>
      <c r="B622" t="s">
        <v>536</v>
      </c>
      <c r="C622" t="s">
        <v>280</v>
      </c>
      <c r="D622" t="s">
        <v>279</v>
      </c>
      <c r="E622">
        <v>45</v>
      </c>
      <c r="H622">
        <v>10</v>
      </c>
      <c r="J622">
        <v>0</v>
      </c>
      <c r="K622">
        <v>35</v>
      </c>
    </row>
    <row r="623" spans="1:11" hidden="1" x14ac:dyDescent="0.35">
      <c r="A623" t="s">
        <v>366</v>
      </c>
      <c r="B623" t="s">
        <v>539</v>
      </c>
      <c r="C623" t="s">
        <v>245</v>
      </c>
      <c r="D623" t="s">
        <v>246</v>
      </c>
      <c r="E623">
        <v>19</v>
      </c>
      <c r="K623">
        <v>19</v>
      </c>
    </row>
    <row r="624" spans="1:11" hidden="1" x14ac:dyDescent="0.35">
      <c r="A624" t="s">
        <v>365</v>
      </c>
      <c r="B624" t="s">
        <v>536</v>
      </c>
      <c r="C624" t="s">
        <v>241</v>
      </c>
      <c r="D624" t="s">
        <v>240</v>
      </c>
      <c r="E624">
        <v>60</v>
      </c>
      <c r="H624">
        <v>23</v>
      </c>
      <c r="J624">
        <v>0</v>
      </c>
      <c r="K624">
        <v>37</v>
      </c>
    </row>
    <row r="625" spans="1:11" hidden="1" x14ac:dyDescent="0.35">
      <c r="A625" t="s">
        <v>365</v>
      </c>
      <c r="B625" t="s">
        <v>536</v>
      </c>
      <c r="C625" t="s">
        <v>271</v>
      </c>
      <c r="D625" t="s">
        <v>270</v>
      </c>
      <c r="E625">
        <v>544</v>
      </c>
      <c r="H625">
        <v>0</v>
      </c>
      <c r="J625">
        <v>0</v>
      </c>
      <c r="K625">
        <v>544</v>
      </c>
    </row>
    <row r="626" spans="1:11" hidden="1" x14ac:dyDescent="0.35">
      <c r="A626" t="s">
        <v>366</v>
      </c>
      <c r="B626" t="s">
        <v>539</v>
      </c>
      <c r="C626" t="s">
        <v>227</v>
      </c>
      <c r="D626" t="s">
        <v>226</v>
      </c>
      <c r="E626">
        <v>24</v>
      </c>
      <c r="K626">
        <v>24</v>
      </c>
    </row>
    <row r="627" spans="1:11" hidden="1" x14ac:dyDescent="0.35">
      <c r="A627" t="s">
        <v>365</v>
      </c>
      <c r="B627" t="s">
        <v>536</v>
      </c>
      <c r="C627" t="s">
        <v>235</v>
      </c>
      <c r="D627" t="s">
        <v>234</v>
      </c>
      <c r="E627">
        <v>361</v>
      </c>
      <c r="H627">
        <v>13</v>
      </c>
      <c r="J627">
        <v>0</v>
      </c>
      <c r="K627">
        <v>348</v>
      </c>
    </row>
    <row r="628" spans="1:11" hidden="1" x14ac:dyDescent="0.35">
      <c r="A628" t="s">
        <v>364</v>
      </c>
      <c r="B628" t="s">
        <v>536</v>
      </c>
      <c r="C628" t="s">
        <v>221</v>
      </c>
      <c r="D628" t="s">
        <v>220</v>
      </c>
      <c r="E628">
        <v>320</v>
      </c>
      <c r="H628">
        <v>297</v>
      </c>
      <c r="J628">
        <v>0</v>
      </c>
      <c r="K628">
        <v>23</v>
      </c>
    </row>
    <row r="629" spans="1:11" hidden="1" x14ac:dyDescent="0.35">
      <c r="A629" t="s">
        <v>365</v>
      </c>
      <c r="B629" t="s">
        <v>536</v>
      </c>
      <c r="C629" t="s">
        <v>299</v>
      </c>
      <c r="D629" t="s">
        <v>298</v>
      </c>
      <c r="E629">
        <v>224</v>
      </c>
      <c r="H629">
        <v>151</v>
      </c>
      <c r="J629">
        <v>0</v>
      </c>
      <c r="K629">
        <v>73</v>
      </c>
    </row>
    <row r="630" spans="1:11" hidden="1" x14ac:dyDescent="0.35">
      <c r="A630" t="s">
        <v>341</v>
      </c>
      <c r="B630" t="s">
        <v>539</v>
      </c>
      <c r="C630" t="s">
        <v>252</v>
      </c>
      <c r="D630" t="s">
        <v>251</v>
      </c>
      <c r="E630">
        <v>30</v>
      </c>
      <c r="K630">
        <v>30</v>
      </c>
    </row>
    <row r="631" spans="1:11" hidden="1" x14ac:dyDescent="0.35">
      <c r="A631" t="s">
        <v>366</v>
      </c>
      <c r="B631" t="s">
        <v>536</v>
      </c>
      <c r="C631" t="s">
        <v>295</v>
      </c>
      <c r="D631" t="s">
        <v>294</v>
      </c>
      <c r="E631">
        <v>222</v>
      </c>
      <c r="H631">
        <v>126</v>
      </c>
      <c r="J631">
        <v>23</v>
      </c>
      <c r="K631">
        <v>73</v>
      </c>
    </row>
  </sheetData>
  <phoneticPr fontId="53"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I22"/>
  <sheetViews>
    <sheetView showGridLines="0" workbookViewId="0">
      <pane ySplit="2" topLeftCell="A3" activePane="bottomLeft" state="frozen"/>
      <selection pane="bottomLeft" sqref="A1:C1"/>
    </sheetView>
  </sheetViews>
  <sheetFormatPr defaultRowHeight="14.5" x14ac:dyDescent="0.35"/>
  <cols>
    <col min="1" max="1" width="17.54296875" customWidth="1"/>
    <col min="2" max="7" width="14" customWidth="1"/>
  </cols>
  <sheetData>
    <row r="1" spans="1:7" ht="15.75" customHeight="1" x14ac:dyDescent="0.35">
      <c r="A1" s="1011" t="s">
        <v>333</v>
      </c>
      <c r="B1" s="1011"/>
      <c r="C1" s="1011"/>
    </row>
    <row r="2" spans="1:7" ht="15.5" x14ac:dyDescent="0.35">
      <c r="A2" s="499" t="s">
        <v>201</v>
      </c>
      <c r="B2" s="441"/>
      <c r="C2" s="441"/>
    </row>
    <row r="3" spans="1:7" ht="15.5" x14ac:dyDescent="0.35">
      <c r="D3" s="187"/>
      <c r="E3" s="187"/>
      <c r="F3" s="187"/>
    </row>
    <row r="4" spans="1:7" ht="15.5" x14ac:dyDescent="0.35">
      <c r="A4" s="1012" t="s">
        <v>334</v>
      </c>
      <c r="B4" s="1012"/>
      <c r="C4" s="1012"/>
      <c r="D4" s="1012"/>
      <c r="E4" s="1012"/>
      <c r="F4" s="1012"/>
    </row>
    <row r="5" spans="1:7" ht="15.5" x14ac:dyDescent="0.35">
      <c r="A5" t="s">
        <v>202</v>
      </c>
      <c r="B5" t="s">
        <v>31</v>
      </c>
      <c r="C5" s="233"/>
      <c r="D5" s="233"/>
      <c r="E5" s="233"/>
      <c r="F5" s="233"/>
    </row>
    <row r="6" spans="1:7" ht="15.5" x14ac:dyDescent="0.35">
      <c r="A6" t="s">
        <v>203</v>
      </c>
      <c r="B6" t="s">
        <v>204</v>
      </c>
      <c r="C6" s="233"/>
      <c r="D6" s="233"/>
    </row>
    <row r="7" spans="1:7" ht="15.5" x14ac:dyDescent="0.35">
      <c r="A7" t="s">
        <v>205</v>
      </c>
      <c r="B7" t="s">
        <v>206</v>
      </c>
      <c r="C7" s="233"/>
      <c r="D7" s="233"/>
    </row>
    <row r="8" spans="1:7" ht="15.5" x14ac:dyDescent="0.35">
      <c r="A8" s="233"/>
      <c r="B8" s="233"/>
      <c r="C8" s="233"/>
      <c r="D8" s="233"/>
    </row>
    <row r="9" spans="1:7" s="460" customFormat="1" ht="30.75" customHeight="1" x14ac:dyDescent="0.35">
      <c r="A9" s="173" t="s">
        <v>207</v>
      </c>
      <c r="B9" s="170" t="s">
        <v>335</v>
      </c>
      <c r="C9" s="170" t="s">
        <v>336</v>
      </c>
      <c r="D9" s="170" t="s">
        <v>337</v>
      </c>
      <c r="E9" s="170" t="s">
        <v>338</v>
      </c>
      <c r="F9" s="170" t="s">
        <v>339</v>
      </c>
      <c r="G9" s="170" t="s">
        <v>340</v>
      </c>
    </row>
    <row r="10" spans="1:7" x14ac:dyDescent="0.35">
      <c r="A10" s="176" t="s">
        <v>341</v>
      </c>
      <c r="B10" s="142">
        <v>50</v>
      </c>
      <c r="C10" s="142">
        <v>1</v>
      </c>
      <c r="D10" s="142">
        <v>23</v>
      </c>
      <c r="E10" s="142">
        <v>240</v>
      </c>
      <c r="F10" s="189">
        <v>43</v>
      </c>
      <c r="G10" s="131">
        <v>357</v>
      </c>
    </row>
    <row r="11" spans="1:7" x14ac:dyDescent="0.35">
      <c r="A11" s="176" t="s">
        <v>342</v>
      </c>
      <c r="B11" s="142">
        <v>50</v>
      </c>
      <c r="C11" s="142">
        <v>1</v>
      </c>
      <c r="D11" s="142">
        <v>23</v>
      </c>
      <c r="E11" s="142">
        <v>240</v>
      </c>
      <c r="F11" s="189">
        <v>43</v>
      </c>
      <c r="G11" s="131">
        <v>357</v>
      </c>
    </row>
    <row r="12" spans="1:7" x14ac:dyDescent="0.35">
      <c r="A12" s="176" t="s">
        <v>214</v>
      </c>
      <c r="B12" s="142">
        <v>50</v>
      </c>
      <c r="C12" s="142">
        <v>1</v>
      </c>
      <c r="D12" s="142">
        <v>23</v>
      </c>
      <c r="E12" s="142">
        <v>240</v>
      </c>
      <c r="F12" s="189">
        <v>43</v>
      </c>
      <c r="G12" s="131">
        <v>357</v>
      </c>
    </row>
    <row r="13" spans="1:7" x14ac:dyDescent="0.35">
      <c r="A13" s="176" t="s">
        <v>313</v>
      </c>
      <c r="B13" s="142">
        <v>50</v>
      </c>
      <c r="C13" s="142">
        <v>1</v>
      </c>
      <c r="D13" s="142">
        <v>23</v>
      </c>
      <c r="E13" s="142">
        <v>240</v>
      </c>
      <c r="F13" s="189">
        <v>43</v>
      </c>
      <c r="G13" s="131">
        <v>357</v>
      </c>
    </row>
    <row r="14" spans="1:7" x14ac:dyDescent="0.35">
      <c r="A14" s="176" t="s">
        <v>319</v>
      </c>
      <c r="B14" s="142">
        <v>50</v>
      </c>
      <c r="C14" s="142">
        <v>1</v>
      </c>
      <c r="D14" s="142">
        <v>23</v>
      </c>
      <c r="E14" s="142">
        <v>240</v>
      </c>
      <c r="F14" s="189">
        <v>43</v>
      </c>
      <c r="G14" s="131">
        <v>357</v>
      </c>
    </row>
    <row r="15" spans="1:7" x14ac:dyDescent="0.35">
      <c r="A15" s="176" t="s">
        <v>321</v>
      </c>
      <c r="B15" s="142">
        <v>50</v>
      </c>
      <c r="C15" s="142">
        <v>1</v>
      </c>
      <c r="D15" s="142">
        <v>23</v>
      </c>
      <c r="E15" s="142">
        <v>240</v>
      </c>
      <c r="F15" s="189">
        <v>43</v>
      </c>
      <c r="G15" s="131">
        <v>357</v>
      </c>
    </row>
    <row r="16" spans="1:7" x14ac:dyDescent="0.35">
      <c r="A16" s="176" t="s">
        <v>326</v>
      </c>
      <c r="B16" s="142">
        <v>50</v>
      </c>
      <c r="C16" s="142">
        <v>1</v>
      </c>
      <c r="D16" s="142">
        <v>23</v>
      </c>
      <c r="E16" s="142">
        <v>240</v>
      </c>
      <c r="F16" s="189">
        <v>43</v>
      </c>
      <c r="G16" s="131">
        <v>357</v>
      </c>
    </row>
    <row r="17" spans="1:9" x14ac:dyDescent="0.35">
      <c r="A17" s="176" t="s">
        <v>327</v>
      </c>
      <c r="B17" s="142">
        <v>50</v>
      </c>
      <c r="C17" s="142">
        <v>1</v>
      </c>
      <c r="D17" s="142">
        <v>23</v>
      </c>
      <c r="E17" s="142">
        <v>240</v>
      </c>
      <c r="F17" s="189">
        <v>42</v>
      </c>
      <c r="G17" s="131">
        <v>356</v>
      </c>
    </row>
    <row r="18" spans="1:9" ht="15" thickBot="1" x14ac:dyDescent="0.4">
      <c r="A18" s="184" t="s">
        <v>466</v>
      </c>
      <c r="B18" s="190">
        <v>50</v>
      </c>
      <c r="C18" s="190">
        <v>1</v>
      </c>
      <c r="D18" s="190">
        <v>23</v>
      </c>
      <c r="E18" s="190">
        <v>240</v>
      </c>
      <c r="F18" s="505">
        <v>42</v>
      </c>
      <c r="G18" s="506">
        <v>356</v>
      </c>
    </row>
    <row r="19" spans="1:9" x14ac:dyDescent="0.35">
      <c r="A19" s="176"/>
      <c r="B19" s="142"/>
      <c r="C19" s="142"/>
      <c r="D19" s="142"/>
      <c r="E19" s="142"/>
      <c r="F19" s="189"/>
      <c r="G19" s="131"/>
    </row>
    <row r="20" spans="1:9" x14ac:dyDescent="0.35">
      <c r="A20" s="334" t="s">
        <v>329</v>
      </c>
    </row>
    <row r="21" spans="1:9" ht="30.75" customHeight="1" x14ac:dyDescent="0.35">
      <c r="A21" s="1014" t="s">
        <v>343</v>
      </c>
      <c r="B21" s="1014"/>
      <c r="C21" s="1014"/>
      <c r="D21" s="1014"/>
      <c r="E21" s="1014"/>
      <c r="F21" s="1014"/>
      <c r="G21" s="1014"/>
      <c r="H21" s="1014"/>
    </row>
    <row r="22" spans="1:9" ht="30" customHeight="1" x14ac:dyDescent="0.35">
      <c r="A22" s="1013" t="s">
        <v>344</v>
      </c>
      <c r="B22" s="1013"/>
      <c r="C22" s="1013"/>
      <c r="D22" s="1013"/>
      <c r="E22" s="1013"/>
      <c r="F22" s="1013"/>
      <c r="G22" s="1013"/>
      <c r="H22" s="1013"/>
      <c r="I22" s="1013"/>
    </row>
  </sheetData>
  <sheetProtection algorithmName="SHA-512" hashValue="/Fq9g0w0/Asqp8iL2DRLkiug8oPy9e+6Uh3ii6mjLuGFil0qWgshXulpwbrmXPoolKrd2ZBDw8qXVtoSE8DAoA==" saltValue="kLZrpGrvZ15HIqIpgCvQaw==" spinCount="100000" sheet="1" scenarios="1" formatCells="0" sort="0" autoFilter="0" pivotTables="0"/>
  <mergeCells count="4">
    <mergeCell ref="A1:C1"/>
    <mergeCell ref="A4:F4"/>
    <mergeCell ref="A22:I22"/>
    <mergeCell ref="A21:H21"/>
  </mergeCells>
  <phoneticPr fontId="53" type="noConversion"/>
  <hyperlinks>
    <hyperlink ref="A2" location="'Table of Contents'!A1" display="Back to Table of Contents" xr:uid="{00000000-0004-0000-04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theme="9" tint="0.39997558519241921"/>
    <pageSetUpPr fitToPage="1"/>
  </sheetPr>
  <dimension ref="A1:J78"/>
  <sheetViews>
    <sheetView showGridLines="0" zoomScaleNormal="100" workbookViewId="0">
      <pane ySplit="2" topLeftCell="A3" activePane="bottomLeft" state="frozen"/>
      <selection pane="bottomLeft" sqref="A1:H1"/>
    </sheetView>
  </sheetViews>
  <sheetFormatPr defaultRowHeight="14.5" x14ac:dyDescent="0.35"/>
  <cols>
    <col min="1" max="1" width="17.1796875" customWidth="1"/>
    <col min="2" max="2" width="59.453125" bestFit="1" customWidth="1"/>
    <col min="3" max="3" width="24.26953125" customWidth="1"/>
    <col min="4" max="4" width="23" customWidth="1"/>
    <col min="5" max="5" width="9.7265625" customWidth="1"/>
    <col min="6" max="6" width="10.81640625" customWidth="1"/>
    <col min="7" max="7" width="12" customWidth="1"/>
    <col min="8" max="8" width="12.7265625" customWidth="1"/>
    <col min="9" max="9" width="19.7265625" customWidth="1"/>
    <col min="10" max="10" width="12" customWidth="1"/>
  </cols>
  <sheetData>
    <row r="1" spans="1:10" ht="23.15" customHeight="1" x14ac:dyDescent="0.35">
      <c r="A1" s="1011" t="s">
        <v>513</v>
      </c>
      <c r="B1" s="1011"/>
      <c r="C1" s="1011"/>
      <c r="D1" s="1011"/>
      <c r="E1" s="1011"/>
      <c r="F1" s="1011"/>
      <c r="G1" s="1011"/>
      <c r="H1" s="1011"/>
    </row>
    <row r="2" spans="1:10" ht="25.5" customHeight="1" x14ac:dyDescent="0.35">
      <c r="A2" s="499" t="s">
        <v>201</v>
      </c>
      <c r="B2" s="1"/>
      <c r="C2" s="1"/>
      <c r="D2" s="1"/>
      <c r="E2" s="1"/>
      <c r="F2" s="1"/>
      <c r="G2" s="1"/>
      <c r="H2" s="1"/>
    </row>
    <row r="3" spans="1:10" ht="17.5" x14ac:dyDescent="0.35">
      <c r="A3" s="1"/>
      <c r="B3" s="1"/>
      <c r="C3" s="1"/>
      <c r="D3" s="1"/>
      <c r="E3" s="1"/>
      <c r="F3" s="1"/>
      <c r="G3" s="1"/>
      <c r="H3" s="1"/>
      <c r="I3" s="35"/>
    </row>
    <row r="4" spans="1:10" ht="30" customHeight="1" x14ac:dyDescent="0.35">
      <c r="A4" s="1021" t="s">
        <v>622</v>
      </c>
      <c r="B4" s="1021"/>
      <c r="C4" s="1021"/>
      <c r="D4" s="1021"/>
      <c r="E4" s="1021"/>
      <c r="F4" s="1021"/>
      <c r="G4" s="1021"/>
      <c r="H4" s="1021"/>
      <c r="I4" s="1021"/>
    </row>
    <row r="5" spans="1:10" ht="15" customHeight="1" x14ac:dyDescent="0.35">
      <c r="A5" t="s">
        <v>202</v>
      </c>
      <c r="B5" t="s">
        <v>67</v>
      </c>
      <c r="C5" s="231"/>
      <c r="D5" s="231"/>
      <c r="E5" s="231"/>
      <c r="F5" s="231"/>
      <c r="G5" s="231"/>
      <c r="H5" s="231"/>
      <c r="I5" s="231"/>
    </row>
    <row r="6" spans="1:10" ht="15" customHeight="1" x14ac:dyDescent="0.35">
      <c r="A6" t="s">
        <v>203</v>
      </c>
      <c r="B6" t="s">
        <v>204</v>
      </c>
      <c r="C6" s="231"/>
      <c r="D6" s="231"/>
      <c r="E6" s="231"/>
      <c r="F6" s="231"/>
      <c r="G6" s="231"/>
      <c r="H6" s="231"/>
      <c r="I6" s="231"/>
    </row>
    <row r="7" spans="1:10" ht="15" customHeight="1" x14ac:dyDescent="0.35">
      <c r="A7" t="s">
        <v>205</v>
      </c>
      <c r="B7" t="s">
        <v>206</v>
      </c>
      <c r="C7" s="231"/>
      <c r="D7" s="231"/>
      <c r="E7" s="231"/>
      <c r="F7" s="231"/>
      <c r="G7" s="231"/>
      <c r="H7" s="231"/>
      <c r="I7" s="231"/>
    </row>
    <row r="8" spans="1:10" ht="39.75" customHeight="1" x14ac:dyDescent="0.35">
      <c r="A8" s="36" t="s">
        <v>207</v>
      </c>
      <c r="B8" s="36"/>
      <c r="C8" s="37" t="s">
        <v>515</v>
      </c>
      <c r="D8" s="37" t="s">
        <v>361</v>
      </c>
      <c r="E8" s="37" t="s">
        <v>516</v>
      </c>
      <c r="F8" s="37" t="s">
        <v>511</v>
      </c>
      <c r="G8" s="37" t="s">
        <v>512</v>
      </c>
      <c r="H8" s="37" t="s">
        <v>339</v>
      </c>
      <c r="I8" s="4" t="s">
        <v>612</v>
      </c>
      <c r="J8" s="4" t="s">
        <v>623</v>
      </c>
    </row>
    <row r="9" spans="1:10" ht="22.5" customHeight="1" thickBot="1" x14ac:dyDescent="0.4">
      <c r="A9" s="38" t="str">
        <f>smallareapivot!B1</f>
        <v>2024-25</v>
      </c>
      <c r="B9" s="38" t="s">
        <v>551</v>
      </c>
      <c r="C9" s="286">
        <f t="shared" ref="C9:I9" si="0">C44+C64+C70+C73</f>
        <v>3430</v>
      </c>
      <c r="D9" s="286">
        <f t="shared" si="0"/>
        <v>2705</v>
      </c>
      <c r="E9" s="286">
        <f t="shared" si="0"/>
        <v>60</v>
      </c>
      <c r="F9" s="286">
        <f t="shared" si="0"/>
        <v>171</v>
      </c>
      <c r="G9" s="286">
        <f t="shared" si="0"/>
        <v>917</v>
      </c>
      <c r="H9" s="286">
        <f t="shared" si="0"/>
        <v>273</v>
      </c>
      <c r="I9" s="286">
        <f t="shared" si="0"/>
        <v>7556</v>
      </c>
      <c r="J9" s="286">
        <f t="shared" ref="J9" si="1">J44+J64+J70+J73</f>
        <v>7283</v>
      </c>
    </row>
    <row r="10" spans="1:10" ht="15.75" customHeight="1" x14ac:dyDescent="0.35">
      <c r="B10" s="39"/>
      <c r="C10" s="40"/>
      <c r="D10" s="40"/>
      <c r="E10" s="40"/>
      <c r="F10" s="40"/>
      <c r="G10" s="40"/>
      <c r="H10" s="40"/>
      <c r="I10" s="41"/>
      <c r="J10" s="41"/>
    </row>
    <row r="11" spans="1:10" ht="40.5" customHeight="1" x14ac:dyDescent="0.35">
      <c r="A11" s="42" t="s">
        <v>208</v>
      </c>
      <c r="B11" s="42" t="s">
        <v>347</v>
      </c>
      <c r="C11" s="79" t="s">
        <v>515</v>
      </c>
      <c r="D11" s="79" t="s">
        <v>361</v>
      </c>
      <c r="E11" s="79" t="s">
        <v>516</v>
      </c>
      <c r="F11" s="79" t="s">
        <v>511</v>
      </c>
      <c r="G11" s="79" t="s">
        <v>512</v>
      </c>
      <c r="H11" s="79" t="s">
        <v>339</v>
      </c>
      <c r="I11" s="3" t="s">
        <v>612</v>
      </c>
      <c r="J11" s="3" t="s">
        <v>623</v>
      </c>
    </row>
    <row r="12" spans="1:10" ht="19.5" customHeight="1" x14ac:dyDescent="0.35">
      <c r="A12" s="391" t="s">
        <v>215</v>
      </c>
      <c r="B12" s="45" t="s">
        <v>216</v>
      </c>
      <c r="C12" s="49">
        <f>GETPIVOTDATA("Sum of Wholetime Operational",smallareapivot!$A$3,"ReportingLevel","1:LA","lvl","Aberdeen City")</f>
        <v>157</v>
      </c>
      <c r="D12" s="49">
        <f>GETPIVOTDATA("Sum of Retained Duty System",smallareapivot!$A$3,"ReportingLevel","1:LA","lvl","Aberdeen City")</f>
        <v>8</v>
      </c>
      <c r="E12" s="432">
        <v>0</v>
      </c>
      <c r="F12" s="432">
        <v>0</v>
      </c>
      <c r="G12" s="432">
        <v>0</v>
      </c>
      <c r="H12" s="49">
        <f>GETPIVOTDATA("Sum of Volunteer",smallareapivot!$A$3,"ReportingLevel","1:LA","lvl","Aberdeen City")</f>
        <v>0</v>
      </c>
      <c r="I12" s="47">
        <f>SUM(C12:H12)</f>
        <v>165</v>
      </c>
      <c r="J12" s="47">
        <f t="shared" ref="J12:J43" si="2">I12-H12</f>
        <v>165</v>
      </c>
    </row>
    <row r="13" spans="1:10" ht="15" customHeight="1" x14ac:dyDescent="0.35">
      <c r="A13" s="89" t="s">
        <v>220</v>
      </c>
      <c r="B13" s="48" t="s">
        <v>221</v>
      </c>
      <c r="C13" s="49">
        <f>GETPIVOTDATA("Sum of Wholetime Operational",smallareapivot!$A$3,"ReportingLevel","1:LA","lvl","Aberdeenshire")</f>
        <v>31</v>
      </c>
      <c r="D13" s="49">
        <f>GETPIVOTDATA("Sum of Retained Duty System",smallareapivot!$A$3,"ReportingLevel","1:LA","lvl","Aberdeenshire")</f>
        <v>268</v>
      </c>
      <c r="E13" s="432">
        <v>0</v>
      </c>
      <c r="F13" s="432">
        <v>0</v>
      </c>
      <c r="G13" s="432">
        <v>0</v>
      </c>
      <c r="H13" s="49">
        <f>GETPIVOTDATA("Sum of Volunteer",smallareapivot!$A$3,"ReportingLevel","1:LA","lvl","Aberdeenshire")</f>
        <v>0</v>
      </c>
      <c r="I13" s="47">
        <f t="shared" ref="I13:I43" si="3">SUM(C13:H13)</f>
        <v>299</v>
      </c>
      <c r="J13" s="47">
        <f t="shared" si="2"/>
        <v>299</v>
      </c>
    </row>
    <row r="14" spans="1:10" ht="15" customHeight="1" x14ac:dyDescent="0.35">
      <c r="A14" s="89" t="s">
        <v>224</v>
      </c>
      <c r="B14" s="48" t="s">
        <v>225</v>
      </c>
      <c r="C14" s="49">
        <f>GETPIVOTDATA("Sum of Wholetime Operational",smallareapivot!$A$3,"ReportingLevel","1:LA","lvl","Angus")</f>
        <v>26</v>
      </c>
      <c r="D14" s="49">
        <f>GETPIVOTDATA("Sum of Retained Duty System",smallareapivot!$A$3,"ReportingLevel","1:LA","lvl","Angus")</f>
        <v>99</v>
      </c>
      <c r="E14" s="432">
        <v>0</v>
      </c>
      <c r="F14" s="432">
        <v>0</v>
      </c>
      <c r="G14" s="432">
        <v>0</v>
      </c>
      <c r="H14" s="49">
        <f>GETPIVOTDATA("Sum of Volunteer",smallareapivot!$A$3,"ReportingLevel","1:LA","lvl","Angus")</f>
        <v>0</v>
      </c>
      <c r="I14" s="47">
        <f t="shared" si="3"/>
        <v>125</v>
      </c>
      <c r="J14" s="47">
        <f t="shared" si="2"/>
        <v>125</v>
      </c>
    </row>
    <row r="15" spans="1:10" ht="15" customHeight="1" x14ac:dyDescent="0.35">
      <c r="A15" s="89" t="s">
        <v>228</v>
      </c>
      <c r="B15" s="48" t="s">
        <v>229</v>
      </c>
      <c r="C15" s="49">
        <f>GETPIVOTDATA("Sum of Wholetime Operational",smallareapivot!$A$3,"ReportingLevel","1:LA","lvl","Argyll and Bute")</f>
        <v>53</v>
      </c>
      <c r="D15" s="49">
        <f>GETPIVOTDATA("Sum of Retained Duty System",smallareapivot!$A$3,"ReportingLevel","1:LA","lvl","Argyll and Bute")</f>
        <v>182</v>
      </c>
      <c r="E15" s="432">
        <v>0</v>
      </c>
      <c r="F15" s="432">
        <v>0</v>
      </c>
      <c r="G15" s="432">
        <v>0</v>
      </c>
      <c r="H15" s="49">
        <f>GETPIVOTDATA("Sum of Volunteer",smallareapivot!$A$3,"ReportingLevel","1:LA","lvl","Argyll and Bute")</f>
        <v>181</v>
      </c>
      <c r="I15" s="47">
        <f t="shared" si="3"/>
        <v>416</v>
      </c>
      <c r="J15" s="47">
        <f t="shared" si="2"/>
        <v>235</v>
      </c>
    </row>
    <row r="16" spans="1:10" ht="15" customHeight="1" x14ac:dyDescent="0.35">
      <c r="A16" s="89" t="s">
        <v>234</v>
      </c>
      <c r="B16" s="48" t="s">
        <v>235</v>
      </c>
      <c r="C16" s="49">
        <f>GETPIVOTDATA("Sum of Wholetime Operational",smallareapivot!$A$3,"ReportingLevel","1:LA","lvl","City of Edinburgh")</f>
        <v>288</v>
      </c>
      <c r="D16" s="49">
        <f>GETPIVOTDATA("Sum of Retained Duty System",smallareapivot!$A$3,"ReportingLevel","1:LA","lvl","City of Edinburgh")</f>
        <v>8</v>
      </c>
      <c r="E16" s="432">
        <v>0</v>
      </c>
      <c r="F16" s="432">
        <v>0</v>
      </c>
      <c r="G16" s="432">
        <v>0</v>
      </c>
      <c r="H16" s="49">
        <f>GETPIVOTDATA("Sum of Volunteer",smallareapivot!$A$3,"ReportingLevel","1:LA","lvl","City of Edinburgh")</f>
        <v>0</v>
      </c>
      <c r="I16" s="47">
        <f t="shared" si="3"/>
        <v>296</v>
      </c>
      <c r="J16" s="47">
        <f t="shared" si="2"/>
        <v>296</v>
      </c>
    </row>
    <row r="17" spans="1:10" ht="15" customHeight="1" x14ac:dyDescent="0.35">
      <c r="A17" s="89" t="s">
        <v>240</v>
      </c>
      <c r="B17" s="48" t="s">
        <v>241</v>
      </c>
      <c r="C17" s="49">
        <f>GETPIVOTDATA("Sum of Wholetime Operational",smallareapivot!$A$3,"ReportingLevel","1:LA","lvl","Clackmannanshire")</f>
        <v>26</v>
      </c>
      <c r="D17" s="49">
        <f>GETPIVOTDATA("Sum of Retained Duty System",smallareapivot!$A$3,"ReportingLevel","1:LA","lvl","Clackmannanshire")</f>
        <v>23</v>
      </c>
      <c r="E17" s="432">
        <v>0</v>
      </c>
      <c r="F17" s="432">
        <v>0</v>
      </c>
      <c r="G17" s="432">
        <v>0</v>
      </c>
      <c r="H17" s="49">
        <f>GETPIVOTDATA("Sum of Volunteer",smallareapivot!$A$3,"ReportingLevel","1:LA","lvl","Clackmannanshire")</f>
        <v>0</v>
      </c>
      <c r="I17" s="47">
        <f t="shared" si="3"/>
        <v>49</v>
      </c>
      <c r="J17" s="47">
        <f t="shared" si="2"/>
        <v>49</v>
      </c>
    </row>
    <row r="18" spans="1:10" ht="15" customHeight="1" x14ac:dyDescent="0.35">
      <c r="A18" s="89" t="s">
        <v>244</v>
      </c>
      <c r="B18" s="48" t="s">
        <v>245</v>
      </c>
      <c r="C18" s="49">
        <f>GETPIVOTDATA("Sum of Wholetime Operational",smallareapivot!$A$3,"ReportingLevel","1:LA","lvl","Dumfries and Galloway")</f>
        <v>52</v>
      </c>
      <c r="D18" s="49">
        <f>GETPIVOTDATA("Sum of Retained Duty System",smallareapivot!$A$3,"ReportingLevel","1:LA","lvl","Dumfries and Galloway")</f>
        <v>187</v>
      </c>
      <c r="E18" s="432">
        <v>0</v>
      </c>
      <c r="F18" s="432">
        <v>0</v>
      </c>
      <c r="G18" s="432">
        <v>0</v>
      </c>
      <c r="H18" s="49">
        <f>GETPIVOTDATA("Sum of Volunteer",smallareapivot!$A$3,"ReportingLevel","1:LA","lvl","Dumfries and Galloway")</f>
        <v>6</v>
      </c>
      <c r="I18" s="47">
        <f t="shared" si="3"/>
        <v>245</v>
      </c>
      <c r="J18" s="47">
        <f t="shared" si="2"/>
        <v>239</v>
      </c>
    </row>
    <row r="19" spans="1:10" ht="15" customHeight="1" x14ac:dyDescent="0.35">
      <c r="A19" s="89" t="s">
        <v>247</v>
      </c>
      <c r="B19" s="48" t="s">
        <v>248</v>
      </c>
      <c r="C19" s="49">
        <f>GETPIVOTDATA("Sum of Wholetime Operational",smallareapivot!$A$3,"ReportingLevel","1:LA","lvl","Dundee City")</f>
        <v>162</v>
      </c>
      <c r="D19" s="49">
        <f>GETPIVOTDATA("Sum of Retained Duty System",smallareapivot!$A$3,"ReportingLevel","1:LA","lvl","Dundee City")</f>
        <v>15</v>
      </c>
      <c r="E19" s="432">
        <v>0</v>
      </c>
      <c r="F19" s="432">
        <v>0</v>
      </c>
      <c r="G19" s="432">
        <v>0</v>
      </c>
      <c r="H19" s="49">
        <f>GETPIVOTDATA("Sum of Volunteer",smallareapivot!$A$3,"ReportingLevel","1:LA","lvl","Dundee City")</f>
        <v>0</v>
      </c>
      <c r="I19" s="47">
        <f t="shared" si="3"/>
        <v>177</v>
      </c>
      <c r="J19" s="47">
        <f t="shared" si="2"/>
        <v>177</v>
      </c>
    </row>
    <row r="20" spans="1:10" ht="15" customHeight="1" x14ac:dyDescent="0.35">
      <c r="A20" s="89" t="s">
        <v>249</v>
      </c>
      <c r="B20" s="48" t="s">
        <v>250</v>
      </c>
      <c r="C20" s="49">
        <f>GETPIVOTDATA("Sum of Wholetime Operational",smallareapivot!$A$3,"ReportingLevel","1:LA","lvl","East Ayrshire")</f>
        <v>55</v>
      </c>
      <c r="D20" s="49">
        <f>GETPIVOTDATA("Sum of Retained Duty System",smallareapivot!$A$3,"ReportingLevel","1:LA","lvl","East Ayrshire")</f>
        <v>69</v>
      </c>
      <c r="E20" s="432">
        <v>0</v>
      </c>
      <c r="F20" s="432">
        <v>0</v>
      </c>
      <c r="G20" s="432">
        <v>0</v>
      </c>
      <c r="H20" s="49">
        <f>GETPIVOTDATA("Sum of Volunteer",smallareapivot!$A$3,"ReportingLevel","1:LA","lvl","East Ayrshire")</f>
        <v>0</v>
      </c>
      <c r="I20" s="47">
        <f t="shared" si="3"/>
        <v>124</v>
      </c>
      <c r="J20" s="47">
        <f t="shared" si="2"/>
        <v>124</v>
      </c>
    </row>
    <row r="21" spans="1:10" ht="15" customHeight="1" x14ac:dyDescent="0.35">
      <c r="A21" s="89" t="s">
        <v>253</v>
      </c>
      <c r="B21" s="48" t="s">
        <v>254</v>
      </c>
      <c r="C21" s="49">
        <f>GETPIVOTDATA("Sum of Wholetime Operational",smallareapivot!$A$3,"ReportingLevel","1:LA","lvl","East Dunbartonshire")</f>
        <v>75</v>
      </c>
      <c r="D21" s="49">
        <f>GETPIVOTDATA("Sum of Retained Duty System",smallareapivot!$A$3,"ReportingLevel","1:LA","lvl","East Dunbartonshire")</f>
        <v>0</v>
      </c>
      <c r="E21" s="432">
        <v>0</v>
      </c>
      <c r="F21" s="432">
        <v>0</v>
      </c>
      <c r="G21" s="432">
        <v>0</v>
      </c>
      <c r="H21" s="49">
        <f>GETPIVOTDATA("Sum of Volunteer",smallareapivot!$A$3,"ReportingLevel","1:LA","lvl","East Dunbartonshire")</f>
        <v>0</v>
      </c>
      <c r="I21" s="47">
        <f t="shared" si="3"/>
        <v>75</v>
      </c>
      <c r="J21" s="47">
        <f t="shared" si="2"/>
        <v>75</v>
      </c>
    </row>
    <row r="22" spans="1:10" ht="15" customHeight="1" x14ac:dyDescent="0.35">
      <c r="A22" s="89" t="s">
        <v>255</v>
      </c>
      <c r="B22" s="48" t="s">
        <v>256</v>
      </c>
      <c r="C22" s="49">
        <f>GETPIVOTDATA("Sum of Wholetime Operational",smallareapivot!$A$3,"ReportingLevel","1:LA","lvl","East Lothian")</f>
        <v>26</v>
      </c>
      <c r="D22" s="49">
        <f>GETPIVOTDATA("Sum of Retained Duty System",smallareapivot!$A$3,"ReportingLevel","1:LA","lvl","East Lothian")</f>
        <v>55</v>
      </c>
      <c r="E22" s="432">
        <v>0</v>
      </c>
      <c r="F22" s="432">
        <v>0</v>
      </c>
      <c r="G22" s="432">
        <v>0</v>
      </c>
      <c r="H22" s="49">
        <f>GETPIVOTDATA("Sum of Volunteer",smallareapivot!$A$3,"ReportingLevel","1:LA","lvl","East Lothian")</f>
        <v>0</v>
      </c>
      <c r="I22" s="47">
        <f t="shared" si="3"/>
        <v>81</v>
      </c>
      <c r="J22" s="47">
        <f t="shared" si="2"/>
        <v>81</v>
      </c>
    </row>
    <row r="23" spans="1:10" ht="15" customHeight="1" x14ac:dyDescent="0.35">
      <c r="A23" s="89" t="s">
        <v>259</v>
      </c>
      <c r="B23" s="48" t="s">
        <v>260</v>
      </c>
      <c r="C23" s="49">
        <f>GETPIVOTDATA("Sum of Wholetime Operational",smallareapivot!$A$3,"ReportingLevel","1:LA","lvl","East Renfrewshire")</f>
        <v>52</v>
      </c>
      <c r="D23" s="49">
        <f>GETPIVOTDATA("Sum of Retained Duty System",smallareapivot!$A$3,"ReportingLevel","1:LA","lvl","East Renfrewshire")</f>
        <v>0</v>
      </c>
      <c r="E23" s="432">
        <v>0</v>
      </c>
      <c r="F23" s="432">
        <v>0</v>
      </c>
      <c r="G23" s="432">
        <v>0</v>
      </c>
      <c r="H23" s="49">
        <f>GETPIVOTDATA("Sum of Volunteer",smallareapivot!$A$3,"ReportingLevel","1:LA","lvl","East Renfrewshire")</f>
        <v>0</v>
      </c>
      <c r="I23" s="47">
        <f t="shared" si="3"/>
        <v>52</v>
      </c>
      <c r="J23" s="47">
        <f t="shared" si="2"/>
        <v>52</v>
      </c>
    </row>
    <row r="24" spans="1:10" ht="15" customHeight="1" x14ac:dyDescent="0.35">
      <c r="A24" s="89" t="s">
        <v>263</v>
      </c>
      <c r="B24" s="48" t="s">
        <v>264</v>
      </c>
      <c r="C24" s="49">
        <f>GETPIVOTDATA("Sum of Wholetime Operational",smallareapivot!$A$3,"ReportingLevel","1:LA","lvl","Falkirk")</f>
        <v>83</v>
      </c>
      <c r="D24" s="49">
        <f>GETPIVOTDATA("Sum of Retained Duty System",smallareapivot!$A$3,"ReportingLevel","1:LA","lvl","Falkirk")</f>
        <v>59</v>
      </c>
      <c r="E24" s="432">
        <v>0</v>
      </c>
      <c r="F24" s="432">
        <v>0</v>
      </c>
      <c r="G24" s="432">
        <v>0</v>
      </c>
      <c r="H24" s="49">
        <f>GETPIVOTDATA("Sum of Volunteer",smallareapivot!$A$3,"ReportingLevel","1:LA","lvl","Falkirk")</f>
        <v>0</v>
      </c>
      <c r="I24" s="47">
        <f t="shared" si="3"/>
        <v>142</v>
      </c>
      <c r="J24" s="47">
        <f t="shared" si="2"/>
        <v>142</v>
      </c>
    </row>
    <row r="25" spans="1:10" ht="15" customHeight="1" x14ac:dyDescent="0.35">
      <c r="A25" s="89" t="s">
        <v>267</v>
      </c>
      <c r="B25" s="48" t="s">
        <v>268</v>
      </c>
      <c r="C25" s="49">
        <f>GETPIVOTDATA("Sum of Wholetime Operational",smallareapivot!$A$3,"ReportingLevel","1:LA","lvl","Fife")</f>
        <v>211</v>
      </c>
      <c r="D25" s="49">
        <f>GETPIVOTDATA("Sum of Retained Duty System",smallareapivot!$A$3,"ReportingLevel","1:LA","lvl","Fife")</f>
        <v>102</v>
      </c>
      <c r="E25" s="432">
        <v>0</v>
      </c>
      <c r="F25" s="432">
        <v>0</v>
      </c>
      <c r="G25" s="432">
        <v>0</v>
      </c>
      <c r="H25" s="49">
        <f>GETPIVOTDATA("Sum of Volunteer",smallareapivot!$A$3,"ReportingLevel","1:LA","lvl","Fife")</f>
        <v>0</v>
      </c>
      <c r="I25" s="47">
        <f t="shared" si="3"/>
        <v>313</v>
      </c>
      <c r="J25" s="47">
        <f t="shared" si="2"/>
        <v>313</v>
      </c>
    </row>
    <row r="26" spans="1:10" ht="15" customHeight="1" x14ac:dyDescent="0.35">
      <c r="A26" s="89" t="str">
        <f>IF(A9 = "2019-20","S12000049","S12000046")</f>
        <v>S12000046</v>
      </c>
      <c r="B26" s="48" t="s">
        <v>271</v>
      </c>
      <c r="C26" s="49">
        <f>GETPIVOTDATA("Sum of Wholetime Operational",smallareapivot!$A$3,"ReportingLevel","1:LA","lvl","Glasgow City")</f>
        <v>448</v>
      </c>
      <c r="D26" s="49">
        <f>GETPIVOTDATA("Sum of Retained Duty System",smallareapivot!$A$3,"ReportingLevel","1:LA","lvl","Glasgow City")</f>
        <v>0</v>
      </c>
      <c r="E26" s="432">
        <v>0</v>
      </c>
      <c r="F26" s="432">
        <v>0</v>
      </c>
      <c r="G26" s="432">
        <v>0</v>
      </c>
      <c r="H26" s="49">
        <f>GETPIVOTDATA("Sum of Volunteer",smallareapivot!$A$3,"ReportingLevel","1:LA","lvl","Glasgow City")</f>
        <v>0</v>
      </c>
      <c r="I26" s="47">
        <f t="shared" si="3"/>
        <v>448</v>
      </c>
      <c r="J26" s="47">
        <f t="shared" si="2"/>
        <v>448</v>
      </c>
    </row>
    <row r="27" spans="1:10" ht="15" customHeight="1" x14ac:dyDescent="0.35">
      <c r="A27" s="89" t="s">
        <v>273</v>
      </c>
      <c r="B27" s="48" t="s">
        <v>274</v>
      </c>
      <c r="C27" s="49">
        <f>GETPIVOTDATA("Sum of Wholetime Operational",smallareapivot!$A$3,"ReportingLevel","1:LA","lvl","Highlands")</f>
        <v>73</v>
      </c>
      <c r="D27" s="49">
        <f>GETPIVOTDATA("Sum of Retained Duty System",smallareapivot!$A$3,"ReportingLevel","1:LA","lvl","Highlands")</f>
        <v>441</v>
      </c>
      <c r="E27" s="432">
        <v>0</v>
      </c>
      <c r="F27" s="432">
        <v>0</v>
      </c>
      <c r="G27" s="432">
        <v>0</v>
      </c>
      <c r="H27" s="49">
        <f>GETPIVOTDATA("Sum of Volunteer",smallareapivot!$A$3,"ReportingLevel","1:LA","lvl","Highlands")</f>
        <v>43</v>
      </c>
      <c r="I27" s="47">
        <f>SUM(C27:H27)</f>
        <v>557</v>
      </c>
      <c r="J27" s="62">
        <f>IFERROR(I27-H27, "-")</f>
        <v>514</v>
      </c>
    </row>
    <row r="28" spans="1:10" ht="15" customHeight="1" x14ac:dyDescent="0.35">
      <c r="A28" s="89" t="s">
        <v>277</v>
      </c>
      <c r="B28" s="48" t="s">
        <v>278</v>
      </c>
      <c r="C28" s="49">
        <f>GETPIVOTDATA("Sum of Wholetime Operational",smallareapivot!$A$3,"ReportingLevel","1:LA","lvl","Inverclyde")</f>
        <v>64</v>
      </c>
      <c r="D28" s="49">
        <f>GETPIVOTDATA("Sum of Retained Duty System",smallareapivot!$A$3,"ReportingLevel","1:LA","lvl","Inverclyde")</f>
        <v>38</v>
      </c>
      <c r="E28" s="432">
        <v>0</v>
      </c>
      <c r="F28" s="432">
        <v>0</v>
      </c>
      <c r="G28" s="432">
        <v>0</v>
      </c>
      <c r="H28" s="49">
        <f>GETPIVOTDATA("Sum of Volunteer",smallareapivot!$A$3,"ReportingLevel","1:LA","lvl","Inverclyde")</f>
        <v>0</v>
      </c>
      <c r="I28" s="47">
        <f t="shared" si="3"/>
        <v>102</v>
      </c>
      <c r="J28" s="47">
        <f t="shared" si="2"/>
        <v>102</v>
      </c>
    </row>
    <row r="29" spans="1:10" ht="15" customHeight="1" x14ac:dyDescent="0.35">
      <c r="A29" s="89" t="s">
        <v>279</v>
      </c>
      <c r="B29" s="48" t="s">
        <v>280</v>
      </c>
      <c r="C29" s="49">
        <f>GETPIVOTDATA("Sum of Wholetime Operational",smallareapivot!$A$3,"ReportingLevel","1:LA","lvl","Midlothian")</f>
        <v>29</v>
      </c>
      <c r="D29" s="49">
        <f>GETPIVOTDATA("Sum of Retained Duty System",smallareapivot!$A$3,"ReportingLevel","1:LA","lvl","Midlothian")</f>
        <v>14</v>
      </c>
      <c r="E29" s="432">
        <v>0</v>
      </c>
      <c r="F29" s="432">
        <v>0</v>
      </c>
      <c r="G29" s="432">
        <v>0</v>
      </c>
      <c r="H29" s="49">
        <f>GETPIVOTDATA("Sum of Volunteer",smallareapivot!$A$3,"ReportingLevel","1:LA","lvl","Midlothian")</f>
        <v>0</v>
      </c>
      <c r="I29" s="47">
        <f>SUM(C29:H29)</f>
        <v>43</v>
      </c>
      <c r="J29" s="47">
        <f t="shared" si="2"/>
        <v>43</v>
      </c>
    </row>
    <row r="30" spans="1:10" ht="15" customHeight="1" x14ac:dyDescent="0.35">
      <c r="A30" s="89" t="s">
        <v>281</v>
      </c>
      <c r="B30" s="48" t="s">
        <v>282</v>
      </c>
      <c r="C30" s="49">
        <f>GETPIVOTDATA("Sum of Wholetime Operational",smallareapivot!$A$3,"ReportingLevel","1:LA","lvl","Moray")</f>
        <v>30</v>
      </c>
      <c r="D30" s="49">
        <f>GETPIVOTDATA("Sum of Retained Duty System",smallareapivot!$A$3,"ReportingLevel","1:LA","lvl","Moray")</f>
        <v>105</v>
      </c>
      <c r="E30" s="432">
        <v>0</v>
      </c>
      <c r="F30" s="432">
        <v>0</v>
      </c>
      <c r="G30" s="432">
        <v>0</v>
      </c>
      <c r="H30" s="49">
        <f>GETPIVOTDATA("Sum of Volunteer",smallareapivot!$A$3,"ReportingLevel","1:LA","lvl","Moray")</f>
        <v>3</v>
      </c>
      <c r="I30" s="47">
        <f t="shared" si="3"/>
        <v>138</v>
      </c>
      <c r="J30" s="47">
        <f t="shared" si="2"/>
        <v>135</v>
      </c>
    </row>
    <row r="31" spans="1:10" ht="15" customHeight="1" x14ac:dyDescent="0.35">
      <c r="A31" s="89" t="s">
        <v>283</v>
      </c>
      <c r="B31" s="48" t="s">
        <v>284</v>
      </c>
      <c r="C31" s="49">
        <f>GETPIVOTDATA("Sum of Wholetime Operational",smallareapivot!$A$3,"ReportingLevel","1:LA","lvl","Na h-Eileanan Siar")</f>
        <v>3</v>
      </c>
      <c r="D31" s="49">
        <f>GETPIVOTDATA("Sum of Retained Duty System",smallareapivot!$A$3,"ReportingLevel","1:LA","lvl","Na h-Eileanan Siar")</f>
        <v>131</v>
      </c>
      <c r="E31" s="432">
        <v>0</v>
      </c>
      <c r="F31" s="432">
        <v>0</v>
      </c>
      <c r="G31" s="432">
        <v>0</v>
      </c>
      <c r="H31" s="49">
        <f>GETPIVOTDATA("Sum of Volunteer",smallareapivot!$A$3,"ReportingLevel","1:LA","lvl","Na h-Eileanan Siar")</f>
        <v>0</v>
      </c>
      <c r="I31" s="47">
        <f t="shared" si="3"/>
        <v>134</v>
      </c>
      <c r="J31" s="47">
        <f t="shared" si="2"/>
        <v>134</v>
      </c>
    </row>
    <row r="32" spans="1:10" ht="15" customHeight="1" x14ac:dyDescent="0.35">
      <c r="A32" s="89" t="s">
        <v>287</v>
      </c>
      <c r="B32" s="48" t="s">
        <v>288</v>
      </c>
      <c r="C32" s="49">
        <f>GETPIVOTDATA("Sum of Wholetime Operational",smallareapivot!$A$3,"ReportingLevel","1:LA","lvl","North Ayrshire")</f>
        <v>72</v>
      </c>
      <c r="D32" s="49">
        <f>GETPIVOTDATA("Sum of Retained Duty System",smallareapivot!$A$3,"ReportingLevel","1:LA","lvl","North Ayrshire")</f>
        <v>100</v>
      </c>
      <c r="E32" s="432">
        <v>0</v>
      </c>
      <c r="F32" s="432">
        <v>0</v>
      </c>
      <c r="G32" s="432">
        <v>0</v>
      </c>
      <c r="H32" s="49">
        <f>GETPIVOTDATA("Sum of Volunteer",smallareapivot!$A$3,"ReportingLevel","1:LA","lvl","North Ayrshire")</f>
        <v>19</v>
      </c>
      <c r="I32" s="47">
        <f t="shared" si="3"/>
        <v>191</v>
      </c>
      <c r="J32" s="47">
        <f t="shared" si="2"/>
        <v>172</v>
      </c>
    </row>
    <row r="33" spans="1:10" ht="15" customHeight="1" x14ac:dyDescent="0.35">
      <c r="A33" s="89" t="str">
        <f>IF(A9="2019-20","S12000050","S12000044")</f>
        <v>S12000044</v>
      </c>
      <c r="B33" s="48" t="s">
        <v>290</v>
      </c>
      <c r="C33" s="49">
        <f>GETPIVOTDATA("Sum of Wholetime Operational",smallareapivot!$A$3,"ReportingLevel","1:LA","lvl","North Lanarkshire")</f>
        <v>163</v>
      </c>
      <c r="D33" s="49">
        <f>GETPIVOTDATA("Sum of Retained Duty System",smallareapivot!$A$3,"ReportingLevel","1:LA","lvl","North Lanarkshire")</f>
        <v>26</v>
      </c>
      <c r="E33" s="432">
        <v>0</v>
      </c>
      <c r="F33" s="432">
        <v>0</v>
      </c>
      <c r="G33" s="432">
        <v>0</v>
      </c>
      <c r="H33" s="49">
        <f>GETPIVOTDATA("Sum of Volunteer",smallareapivot!$A$3,"ReportingLevel","1:LA","lvl","North Lanarkshire")</f>
        <v>0</v>
      </c>
      <c r="I33" s="47">
        <f t="shared" si="3"/>
        <v>189</v>
      </c>
      <c r="J33" s="47">
        <f t="shared" si="2"/>
        <v>189</v>
      </c>
    </row>
    <row r="34" spans="1:10" ht="15" customHeight="1" x14ac:dyDescent="0.35">
      <c r="A34" s="89" t="s">
        <v>292</v>
      </c>
      <c r="B34" s="48" t="s">
        <v>293</v>
      </c>
      <c r="C34" s="49">
        <f>GETPIVOTDATA("Sum of Wholetime Operational",smallareapivot!$A$3,"ReportingLevel","1:LA","lvl","Orkney Islands")</f>
        <v>0</v>
      </c>
      <c r="D34" s="49">
        <f>GETPIVOTDATA("Sum of Retained Duty System",smallareapivot!$A$3,"ReportingLevel","1:LA","lvl","Orkney Islands")</f>
        <v>102</v>
      </c>
      <c r="E34" s="432">
        <v>0</v>
      </c>
      <c r="F34" s="432">
        <v>0</v>
      </c>
      <c r="G34" s="432">
        <v>0</v>
      </c>
      <c r="H34" s="49">
        <f>GETPIVOTDATA("Sum of Volunteer",smallareapivot!$A$3,"ReportingLevel","1:LA","lvl","Orkney Islands")</f>
        <v>0</v>
      </c>
      <c r="I34" s="47">
        <f t="shared" si="3"/>
        <v>102</v>
      </c>
      <c r="J34" s="47">
        <f t="shared" si="2"/>
        <v>102</v>
      </c>
    </row>
    <row r="35" spans="1:10" ht="15" customHeight="1" x14ac:dyDescent="0.35">
      <c r="A35" s="89" t="s">
        <v>294</v>
      </c>
      <c r="B35" s="48" t="s">
        <v>295</v>
      </c>
      <c r="C35" s="49">
        <f>GETPIVOTDATA("Sum of Wholetime Operational",smallareapivot!$A$3,"ReportingLevel","1:LA","lvl","Perth and Kinross")</f>
        <v>59</v>
      </c>
      <c r="D35" s="49">
        <f>GETPIVOTDATA("Sum of Retained Duty System",smallareapivot!$A$3,"ReportingLevel","1:LA","lvl","Perth and Kinross")</f>
        <v>117</v>
      </c>
      <c r="E35" s="432">
        <v>0</v>
      </c>
      <c r="F35" s="432">
        <v>0</v>
      </c>
      <c r="G35" s="432">
        <v>0</v>
      </c>
      <c r="H35" s="49">
        <f>GETPIVOTDATA("Sum of Volunteer",smallareapivot!$A$3,"ReportingLevel","1:LA","lvl","Perth and Kinross")</f>
        <v>21</v>
      </c>
      <c r="I35" s="47">
        <f t="shared" si="3"/>
        <v>197</v>
      </c>
      <c r="J35" s="47">
        <f t="shared" si="2"/>
        <v>176</v>
      </c>
    </row>
    <row r="36" spans="1:10" ht="15" customHeight="1" x14ac:dyDescent="0.35">
      <c r="A36" s="89" t="s">
        <v>296</v>
      </c>
      <c r="B36" s="48" t="s">
        <v>297</v>
      </c>
      <c r="C36" s="49">
        <f>GETPIVOTDATA("Sum of Wholetime Operational",smallareapivot!$A$3,"ReportingLevel","1:LA","lvl","Renfrewshire")</f>
        <v>102</v>
      </c>
      <c r="D36" s="49">
        <f>GETPIVOTDATA("Sum of Retained Duty System",smallareapivot!$A$3,"ReportingLevel","1:LA","lvl","Renfrewshire")</f>
        <v>14</v>
      </c>
      <c r="E36" s="432">
        <v>0</v>
      </c>
      <c r="F36" s="432">
        <v>0</v>
      </c>
      <c r="G36" s="432">
        <v>0</v>
      </c>
      <c r="H36" s="49">
        <f>GETPIVOTDATA("Sum of Volunteer",smallareapivot!$A$3,"ReportingLevel","1:LA","lvl","Renfrewshire")</f>
        <v>0</v>
      </c>
      <c r="I36" s="47">
        <f t="shared" si="3"/>
        <v>116</v>
      </c>
      <c r="J36" s="47">
        <f t="shared" si="2"/>
        <v>116</v>
      </c>
    </row>
    <row r="37" spans="1:10" ht="15" customHeight="1" x14ac:dyDescent="0.35">
      <c r="A37" s="89" t="s">
        <v>298</v>
      </c>
      <c r="B37" s="48" t="s">
        <v>299</v>
      </c>
      <c r="C37" s="49">
        <f>GETPIVOTDATA("Sum of Wholetime Operational",smallareapivot!$A$3,"ReportingLevel","1:LA","lvl","Scottish Borders")</f>
        <v>58</v>
      </c>
      <c r="D37" s="49">
        <f>GETPIVOTDATA("Sum of Retained Duty System",smallareapivot!$A$3,"ReportingLevel","1:LA","lvl","Scottish Borders")</f>
        <v>145</v>
      </c>
      <c r="E37" s="432">
        <v>0</v>
      </c>
      <c r="F37" s="432">
        <v>0</v>
      </c>
      <c r="G37" s="432">
        <v>0</v>
      </c>
      <c r="H37" s="49">
        <f>GETPIVOTDATA("Sum of Volunteer",smallareapivot!$A$3,"ReportingLevel","1:LA","lvl","Scottish Borders")</f>
        <v>0</v>
      </c>
      <c r="I37" s="47">
        <f t="shared" si="3"/>
        <v>203</v>
      </c>
      <c r="J37" s="47">
        <f t="shared" si="2"/>
        <v>203</v>
      </c>
    </row>
    <row r="38" spans="1:10" ht="15" customHeight="1" x14ac:dyDescent="0.35">
      <c r="A38" s="89" t="s">
        <v>300</v>
      </c>
      <c r="B38" s="48" t="s">
        <v>301</v>
      </c>
      <c r="C38" s="49">
        <f>GETPIVOTDATA("Sum of Wholetime Operational",smallareapivot!$A$3,"ReportingLevel","1:LA","lvl","Shetland Islands")</f>
        <v>0</v>
      </c>
      <c r="D38" s="49">
        <f>GETPIVOTDATA("Sum of Retained Duty System",smallareapivot!$A$3,"ReportingLevel","1:LA","lvl","Shetland Islands")</f>
        <v>123</v>
      </c>
      <c r="E38" s="432">
        <v>0</v>
      </c>
      <c r="F38" s="432">
        <v>0</v>
      </c>
      <c r="G38" s="432">
        <v>0</v>
      </c>
      <c r="H38" s="49">
        <f>GETPIVOTDATA("Sum of Volunteer",smallareapivot!$A$3,"ReportingLevel","1:LA","lvl","Shetland Islands")</f>
        <v>0</v>
      </c>
      <c r="I38" s="47">
        <f t="shared" si="3"/>
        <v>123</v>
      </c>
      <c r="J38" s="47">
        <f t="shared" si="2"/>
        <v>123</v>
      </c>
    </row>
    <row r="39" spans="1:10" ht="15" customHeight="1" x14ac:dyDescent="0.35">
      <c r="A39" s="89" t="s">
        <v>302</v>
      </c>
      <c r="B39" s="48" t="s">
        <v>303</v>
      </c>
      <c r="C39" s="49">
        <f>GETPIVOTDATA("Sum of Wholetime Operational",smallareapivot!$A$3,"ReportingLevel","1:LA","lvl","South Ayrshire")</f>
        <v>53</v>
      </c>
      <c r="D39" s="49">
        <f>GETPIVOTDATA("Sum of Retained Duty System",smallareapivot!$A$3,"ReportingLevel","1:LA","lvl","South Ayrshire")</f>
        <v>43</v>
      </c>
      <c r="E39" s="432">
        <v>0</v>
      </c>
      <c r="F39" s="432">
        <v>0</v>
      </c>
      <c r="G39" s="432">
        <v>0</v>
      </c>
      <c r="H39" s="49">
        <f>GETPIVOTDATA("Sum of Volunteer",smallareapivot!$A$3,"ReportingLevel","1:LA","lvl","South Ayrshire")</f>
        <v>0</v>
      </c>
      <c r="I39" s="47">
        <f t="shared" si="3"/>
        <v>96</v>
      </c>
      <c r="J39" s="47">
        <f t="shared" si="2"/>
        <v>96</v>
      </c>
    </row>
    <row r="40" spans="1:10" ht="15" customHeight="1" x14ac:dyDescent="0.35">
      <c r="A40" s="89" t="s">
        <v>304</v>
      </c>
      <c r="B40" s="48" t="s">
        <v>305</v>
      </c>
      <c r="C40" s="49">
        <f>GETPIVOTDATA("Sum of Wholetime Operational",smallareapivot!$A$3,"ReportingLevel","1:LA","lvl","South Lanarkshire")</f>
        <v>155</v>
      </c>
      <c r="D40" s="49">
        <f>GETPIVOTDATA("Sum of Retained Duty System",smallareapivot!$A$3,"ReportingLevel","1:LA","lvl","South Lanarkshire")</f>
        <v>74</v>
      </c>
      <c r="E40" s="432">
        <v>0</v>
      </c>
      <c r="F40" s="432">
        <v>0</v>
      </c>
      <c r="G40" s="432">
        <v>0</v>
      </c>
      <c r="H40" s="49">
        <f>GETPIVOTDATA("Sum of Volunteer",smallareapivot!$A$3,"ReportingLevel","1:LA","lvl","South Lanarkshire")</f>
        <v>0</v>
      </c>
      <c r="I40" s="47">
        <f t="shared" si="3"/>
        <v>229</v>
      </c>
      <c r="J40" s="47">
        <f t="shared" si="2"/>
        <v>229</v>
      </c>
    </row>
    <row r="41" spans="1:10" ht="15" customHeight="1" x14ac:dyDescent="0.35">
      <c r="A41" s="89" t="s">
        <v>307</v>
      </c>
      <c r="B41" s="48" t="s">
        <v>308</v>
      </c>
      <c r="C41" s="49">
        <f>GETPIVOTDATA("Sum of Wholetime Operational",smallareapivot!$A$3,"ReportingLevel","1:LA","lvl","Stirling")</f>
        <v>47</v>
      </c>
      <c r="D41" s="49">
        <f>GETPIVOTDATA("Sum of Retained Duty System",smallareapivot!$A$3,"ReportingLevel","1:LA","lvl","Stirling")</f>
        <v>72</v>
      </c>
      <c r="E41" s="432">
        <v>0</v>
      </c>
      <c r="F41" s="432">
        <v>0</v>
      </c>
      <c r="G41" s="432">
        <v>0</v>
      </c>
      <c r="H41" s="49">
        <f>GETPIVOTDATA("Sum of Volunteer",smallareapivot!$A$3,"ReportingLevel","1:LA","lvl","Stirling")</f>
        <v>0</v>
      </c>
      <c r="I41" s="47">
        <f t="shared" si="3"/>
        <v>119</v>
      </c>
      <c r="J41" s="47">
        <f t="shared" si="2"/>
        <v>119</v>
      </c>
    </row>
    <row r="42" spans="1:10" ht="15" customHeight="1" x14ac:dyDescent="0.35">
      <c r="A42" s="89" t="s">
        <v>309</v>
      </c>
      <c r="B42" s="48" t="s">
        <v>310</v>
      </c>
      <c r="C42" s="49">
        <f>GETPIVOTDATA("Sum of Wholetime Operational",smallareapivot!$A$3,"ReportingLevel","1:LA","lvl","West Dunbartonshire")</f>
        <v>75</v>
      </c>
      <c r="D42" s="49">
        <f>GETPIVOTDATA("Sum of Retained Duty System",smallareapivot!$A$3,"ReportingLevel","1:LA","lvl","West Dunbartonshire")</f>
        <v>24</v>
      </c>
      <c r="E42" s="432">
        <v>0</v>
      </c>
      <c r="F42" s="432">
        <v>0</v>
      </c>
      <c r="G42" s="432">
        <v>0</v>
      </c>
      <c r="H42" s="49">
        <f>GETPIVOTDATA("Sum of Volunteer",smallareapivot!$A$3,"ReportingLevel","1:LA","lvl","West Dunbartonshire")</f>
        <v>0</v>
      </c>
      <c r="I42" s="47">
        <f t="shared" si="3"/>
        <v>99</v>
      </c>
      <c r="J42" s="47">
        <f t="shared" si="2"/>
        <v>99</v>
      </c>
    </row>
    <row r="43" spans="1:10" ht="15" customHeight="1" x14ac:dyDescent="0.35">
      <c r="A43" s="89" t="s">
        <v>311</v>
      </c>
      <c r="B43" s="48" t="s">
        <v>312</v>
      </c>
      <c r="C43" s="49">
        <f>GETPIVOTDATA("Sum of Wholetime Operational",smallareapivot!$A$3,"ReportingLevel","1:LA","lvl","West Lothian")</f>
        <v>64</v>
      </c>
      <c r="D43" s="49">
        <f>GETPIVOTDATA("Sum of Retained Duty System",smallareapivot!$A$3,"ReportingLevel","1:LA","lvl","West Lothian")</f>
        <v>61</v>
      </c>
      <c r="E43" s="432">
        <v>0</v>
      </c>
      <c r="F43" s="432">
        <v>0</v>
      </c>
      <c r="G43" s="432">
        <v>0</v>
      </c>
      <c r="H43" s="49">
        <f>GETPIVOTDATA("Sum of Volunteer",smallareapivot!$A$3,"ReportingLevel","1:LA","lvl","West Lothian")</f>
        <v>0</v>
      </c>
      <c r="I43" s="47">
        <f t="shared" si="3"/>
        <v>125</v>
      </c>
      <c r="J43" s="47">
        <f t="shared" si="2"/>
        <v>125</v>
      </c>
    </row>
    <row r="44" spans="1:10" ht="30" customHeight="1" thickBot="1" x14ac:dyDescent="0.4">
      <c r="A44" s="52"/>
      <c r="B44" s="52" t="s">
        <v>552</v>
      </c>
      <c r="C44" s="53">
        <f>GETPIVOTDATA("Sum of Wholetime Operational",smallareapivot!$A$3,"ReportingLevel","1:LA")</f>
        <v>2792</v>
      </c>
      <c r="D44" s="53">
        <f>GETPIVOTDATA("Sum of Retained Duty System",smallareapivot!$A$3,"ReportingLevel","1:LA")</f>
        <v>2705</v>
      </c>
      <c r="E44" s="431">
        <v>0</v>
      </c>
      <c r="F44" s="431">
        <v>0</v>
      </c>
      <c r="G44" s="431">
        <v>0</v>
      </c>
      <c r="H44" s="53">
        <f>GETPIVOTDATA("Sum of Volunteer",smallareapivot!$A$3,"ReportingLevel","1:LA")</f>
        <v>273</v>
      </c>
      <c r="I44" s="53">
        <f>SUM(I12:I43)</f>
        <v>5770</v>
      </c>
      <c r="J44" s="53">
        <f t="shared" ref="J44" si="4">SUM(J12:J43)</f>
        <v>5497</v>
      </c>
    </row>
    <row r="45" spans="1:10" ht="19.5" customHeight="1" x14ac:dyDescent="0.35">
      <c r="A45" s="48"/>
      <c r="B45" s="48"/>
      <c r="C45" s="46"/>
      <c r="D45" s="46"/>
      <c r="E45" s="46"/>
      <c r="F45" s="46"/>
      <c r="G45" s="46"/>
      <c r="H45" s="46"/>
      <c r="I45" s="47"/>
      <c r="J45" s="47"/>
    </row>
    <row r="46" spans="1:10" ht="37.5" customHeight="1" x14ac:dyDescent="0.35">
      <c r="A46" s="440" t="s">
        <v>209</v>
      </c>
      <c r="B46" s="440" t="s">
        <v>553</v>
      </c>
      <c r="C46" s="37" t="s">
        <v>515</v>
      </c>
      <c r="D46" s="37" t="s">
        <v>361</v>
      </c>
      <c r="E46" s="37" t="s">
        <v>516</v>
      </c>
      <c r="F46" s="37" t="s">
        <v>511</v>
      </c>
      <c r="G46" s="37" t="s">
        <v>512</v>
      </c>
      <c r="H46" s="37" t="s">
        <v>339</v>
      </c>
      <c r="I46" s="4" t="s">
        <v>612</v>
      </c>
      <c r="J46" s="4" t="s">
        <v>623</v>
      </c>
    </row>
    <row r="47" spans="1:10" ht="22.5" customHeight="1" x14ac:dyDescent="0.35">
      <c r="A47" s="392" t="str">
        <f>IF(OR(A9="2021-22", A9 = "2022-23"), "S39000023", "S39000001")</f>
        <v>S39000001</v>
      </c>
      <c r="B47" s="670" t="str">
        <f>IF(OR(A9 ="2021-22", A9 = "2022-23", A9 = "2023-24", A9 = "2024-25"), "Abderdeen City, Aberdeenshire and Moray", "Aberdeen City")</f>
        <v>Abderdeen City, Aberdeenshire and Moray</v>
      </c>
      <c r="C47" s="56">
        <f>IF(OR(A9="2021-22", A9 = "2022-23", A9 = "2023-24", A9 = "2024-25"), GETPIVOTDATA("Sum of Wholetime Operational",smallareapivot!$A$3,"ReportingLevel","2:LSO","lvl","Aberdeen City, Aberdeenshire and Moray"), GETPIVOTDATA("Sum of Wholetime Operational",smallareapivot!$A$3,"ReportingLevel","2:LSO","lvl","Aberdeen City"))</f>
        <v>20</v>
      </c>
      <c r="D47" s="434" t="s">
        <v>624</v>
      </c>
      <c r="E47" s="673">
        <f>IF(OR(A9="2021-22", A9 = "2022-23", A9 = "2023-24", A9 = "2024-25"), GETPIVOTDATA("Sum of RDS Fulltime",smallareapivot!$A$3,"ReportingLevel","2:LSO","lvl","Aberdeen City, Aberdeenshire and Moray"),GETPIVOTDATA("Sum of RDS Fulltime",smallareapivot!$A$3,"ReportingLevel","2:LSO","lvl","Aberdeen City"))</f>
        <v>9</v>
      </c>
      <c r="F47" s="434">
        <v>0</v>
      </c>
      <c r="G47" s="434">
        <v>0</v>
      </c>
      <c r="H47" s="434">
        <v>0</v>
      </c>
      <c r="I47" s="61">
        <f>SUM(C47:H47)</f>
        <v>29</v>
      </c>
      <c r="J47" s="32">
        <f>I47-H47</f>
        <v>29</v>
      </c>
    </row>
    <row r="48" spans="1:10" ht="15" customHeight="1" x14ac:dyDescent="0.35">
      <c r="A48" s="672" t="str">
        <f>IF(OR(A9 = "2021-22", A9 = "2022-23"),"", "S39000002")</f>
        <v>S39000002</v>
      </c>
      <c r="B48" s="667" t="str">
        <f>IF(OR(A9 = "2021-22", A9 = "2022-23", A9 = "2023-24", A9 = "2024-25"), "", "Aberdeenshire and Moray")</f>
        <v/>
      </c>
      <c r="C48" s="671" t="str">
        <f>IF(OR(A9="2021-22", A9 = "2022-23", A9 = "2023-24", A9 = "2024-25"), "", GETPIVOTDATA("Sum of Wholetime Operational",smallareapivot!$A$3,"ReportingLevel","2:LSO","lvl","Aberdeenshire and Moray"))</f>
        <v/>
      </c>
      <c r="D48" s="433" t="s">
        <v>624</v>
      </c>
      <c r="E48" s="671" t="str">
        <f>IF(OR(A9="2021-22", A9 = "2022-23", A9 = "2023-24", A9 = "2024-25"), "", GETPIVOTDATA("Sum of RDS Fulltime",smallareapivot!$A$3,"ReportingLevel","2:LSO","lvl","Aberdeenshire and Moray"))</f>
        <v/>
      </c>
      <c r="F48" s="433">
        <v>0</v>
      </c>
      <c r="G48" s="433">
        <v>0</v>
      </c>
      <c r="H48" s="433">
        <v>0</v>
      </c>
      <c r="I48" s="47">
        <f t="shared" ref="I48:I63" si="5">SUM(C48:H48)</f>
        <v>0</v>
      </c>
      <c r="J48" s="47">
        <f t="shared" ref="J48:J63" si="6">I48-H48</f>
        <v>0</v>
      </c>
    </row>
    <row r="49" spans="1:10" ht="15" customHeight="1" x14ac:dyDescent="0.35">
      <c r="A49" s="393" t="s">
        <v>230</v>
      </c>
      <c r="B49" s="667" t="s">
        <v>231</v>
      </c>
      <c r="C49" s="49">
        <f>GETPIVOTDATA("Sum of Wholetime Operational",smallareapivot!$A$3,"ReportingLevel","2:LSO","lvl","Argyll and Bute, East Dunbartonshire and West Dunbartonshire")</f>
        <v>20</v>
      </c>
      <c r="D49" s="433" t="s">
        <v>624</v>
      </c>
      <c r="E49" s="671">
        <f>IFERROR(GETPIVOTDATA("Sum of RDS Fulltime",smallareapivot!$A$3,"ReportingLevel","2:LSO","lvl","Argyll and Bute, East Dunbartonshire and West Dunbartonshire"),0)</f>
        <v>6</v>
      </c>
      <c r="F49" s="433">
        <v>0</v>
      </c>
      <c r="G49" s="433">
        <v>0</v>
      </c>
      <c r="H49" s="433">
        <v>0</v>
      </c>
      <c r="I49" s="47">
        <f t="shared" si="5"/>
        <v>26</v>
      </c>
      <c r="J49" s="47">
        <f t="shared" si="6"/>
        <v>26</v>
      </c>
    </row>
    <row r="50" spans="1:10" ht="15" customHeight="1" x14ac:dyDescent="0.35">
      <c r="A50" s="393" t="s">
        <v>246</v>
      </c>
      <c r="B50" s="667" t="s">
        <v>245</v>
      </c>
      <c r="C50" s="49">
        <f>IFERROR(GETPIVOTDATA("Sum of Wholetime Operational",smallareapivot!$A$3,"ReportingLevel","2:LSO","lvl","Dumfries and Galloway"),0)</f>
        <v>16</v>
      </c>
      <c r="D50" s="433" t="s">
        <v>624</v>
      </c>
      <c r="E50" s="671">
        <f>IFERROR(GETPIVOTDATA("Sum of RDS Fulltime",smallareapivot!$A$3,"ReportingLevel","2:LSO","lvl","Dumfries and Galloway"),0)</f>
        <v>4</v>
      </c>
      <c r="F50" s="433">
        <v>0</v>
      </c>
      <c r="G50" s="433">
        <v>0</v>
      </c>
      <c r="H50" s="433">
        <v>0</v>
      </c>
      <c r="I50" s="47">
        <f t="shared" si="5"/>
        <v>20</v>
      </c>
      <c r="J50" s="47">
        <f t="shared" si="6"/>
        <v>20</v>
      </c>
    </row>
    <row r="51" spans="1:10" ht="15" customHeight="1" x14ac:dyDescent="0.35">
      <c r="A51" s="393" t="s">
        <v>226</v>
      </c>
      <c r="B51" s="667" t="s">
        <v>227</v>
      </c>
      <c r="C51" s="49">
        <f>GETPIVOTDATA("Sum of Wholetime Operational",smallareapivot!$A$3,"ReportingLevel","2:LSO","lvl","Dundee, Angus, Perth and Kinross")</f>
        <v>25</v>
      </c>
      <c r="D51" s="433" t="s">
        <v>624</v>
      </c>
      <c r="E51" s="671">
        <f>IFERROR(GETPIVOTDATA("Sum of RDS Fulltime",smallareapivot!$A$3,"ReportingLevel","2:LSO","lvl","Dundee, Angus, Perth and Kinross"),0)</f>
        <v>3</v>
      </c>
      <c r="F51" s="433">
        <v>0</v>
      </c>
      <c r="G51" s="433">
        <v>0</v>
      </c>
      <c r="H51" s="433">
        <v>0</v>
      </c>
      <c r="I51" s="47">
        <f t="shared" si="5"/>
        <v>28</v>
      </c>
      <c r="J51" s="47">
        <f t="shared" si="6"/>
        <v>28</v>
      </c>
    </row>
    <row r="52" spans="1:10" ht="15" customHeight="1" x14ac:dyDescent="0.35">
      <c r="A52" s="393" t="s">
        <v>251</v>
      </c>
      <c r="B52" s="667" t="s">
        <v>252</v>
      </c>
      <c r="C52" s="49">
        <f>IFERROR(GETPIVOTDATA("Sum of Wholetime Operational",smallareapivot!$A$3,"ReportingLevel","2:LSO","lvl","East Ayrshire, North Ayrshire and South Ayrshire"),0)</f>
        <v>18</v>
      </c>
      <c r="D52" s="433" t="s">
        <v>624</v>
      </c>
      <c r="E52" s="671">
        <f>IFERROR(GETPIVOTDATA("Sum of RDS Fulltime",smallareapivot!$A$3,"ReportingLevel","2:LSO","lvl","East Ayrshire, North Ayrshire and South Ayrshire"),0)</f>
        <v>4</v>
      </c>
      <c r="F52" s="433">
        <v>0</v>
      </c>
      <c r="G52" s="433">
        <v>0</v>
      </c>
      <c r="H52" s="433">
        <v>0</v>
      </c>
      <c r="I52" s="47">
        <f t="shared" si="5"/>
        <v>22</v>
      </c>
      <c r="J52" s="47">
        <f t="shared" si="6"/>
        <v>22</v>
      </c>
    </row>
    <row r="53" spans="1:10" ht="15" customHeight="1" x14ac:dyDescent="0.35">
      <c r="A53" s="393" t="s">
        <v>257</v>
      </c>
      <c r="B53" s="667" t="s">
        <v>258</v>
      </c>
      <c r="C53" s="49">
        <f>IFERROR(GETPIVOTDATA("Sum of Wholetime Operational",smallareapivot!$A$3,"ReportingLevel","2:LSO","lvl","East Lothian, Midlothian and the Scottish Borders"),0)</f>
        <v>20</v>
      </c>
      <c r="D53" s="433" t="s">
        <v>624</v>
      </c>
      <c r="E53" s="671">
        <f>IFERROR(GETPIVOTDATA("Sum of RDS Fulltime",smallareapivot!$A$3,"ReportingLevel","2:LSO","lvl","East Lothian, Midlothian and the Scottish Borders"),0)</f>
        <v>4</v>
      </c>
      <c r="F53" s="433">
        <v>0</v>
      </c>
      <c r="G53" s="433">
        <v>0</v>
      </c>
      <c r="H53" s="433">
        <v>0</v>
      </c>
      <c r="I53" s="47">
        <f t="shared" si="5"/>
        <v>24</v>
      </c>
      <c r="J53" s="47">
        <f t="shared" si="6"/>
        <v>24</v>
      </c>
    </row>
    <row r="54" spans="1:10" ht="15" customHeight="1" x14ac:dyDescent="0.35">
      <c r="A54" s="338" t="s">
        <v>261</v>
      </c>
      <c r="B54" s="667" t="s">
        <v>262</v>
      </c>
      <c r="C54" s="49">
        <f>IFERROR(GETPIVOTDATA("Sum of Wholetime Operational",smallareapivot!$A$3,"ReportingLevel","2:LSO","lvl","East Renfrewshire, Renfrewshire and Inverclyde"),0)</f>
        <v>15</v>
      </c>
      <c r="D54" s="433" t="s">
        <v>624</v>
      </c>
      <c r="E54" s="671">
        <f>IFERROR(GETPIVOTDATA("Sum of RDS Fulltime",smallareapivot!$A$3,"ReportingLevel","2:LSO","lvl","East Renfrewshire, Renfrewshire and Inverclyde"),0)</f>
        <v>0</v>
      </c>
      <c r="F54" s="433">
        <v>0</v>
      </c>
      <c r="G54" s="433">
        <v>0</v>
      </c>
      <c r="H54" s="433">
        <v>0</v>
      </c>
      <c r="I54" s="47">
        <f t="shared" si="5"/>
        <v>15</v>
      </c>
      <c r="J54" s="47">
        <f t="shared" si="6"/>
        <v>15</v>
      </c>
    </row>
    <row r="55" spans="1:10" ht="15" customHeight="1" x14ac:dyDescent="0.35">
      <c r="A55" s="393" t="s">
        <v>236</v>
      </c>
      <c r="B55" s="667" t="s">
        <v>235</v>
      </c>
      <c r="C55" s="49">
        <f>IFERROR(GETPIVOTDATA("Sum of Wholetime Operational",smallareapivot!$A$3,"ReportingLevel","2:LSO","lvl","Edinburgh City"),0)</f>
        <v>25</v>
      </c>
      <c r="D55" s="433" t="s">
        <v>624</v>
      </c>
      <c r="E55" s="671">
        <f>IFERROR(GETPIVOTDATA("Sum of RDS Fulltime",smallareapivot!$A$3,"ReportingLevel","2:LSO","lvl","Edinburgh City"),0)</f>
        <v>0</v>
      </c>
      <c r="F55" s="433">
        <v>0</v>
      </c>
      <c r="G55" s="433">
        <v>0</v>
      </c>
      <c r="H55" s="433">
        <v>0</v>
      </c>
      <c r="I55" s="47">
        <f t="shared" si="5"/>
        <v>25</v>
      </c>
      <c r="J55" s="47">
        <f t="shared" si="6"/>
        <v>25</v>
      </c>
    </row>
    <row r="56" spans="1:10" ht="15" customHeight="1" x14ac:dyDescent="0.35">
      <c r="A56" s="393" t="s">
        <v>265</v>
      </c>
      <c r="B56" s="667" t="s">
        <v>266</v>
      </c>
      <c r="C56" s="49">
        <f>IFERROR(GETPIVOTDATA("Sum of Wholetime Operational",smallareapivot!$A$3,"ReportingLevel","2:LSO","lvl","Falkirk and West Lothian"),0)</f>
        <v>15</v>
      </c>
      <c r="D56" s="433" t="s">
        <v>624</v>
      </c>
      <c r="E56" s="671">
        <f>IFERROR(GETPIVOTDATA("Sum of RDS Fulltime",smallareapivot!$A$3,"ReportingLevel","2:LSO","lvl","Falkirk and West Lothian"),0)</f>
        <v>2</v>
      </c>
      <c r="F56" s="433">
        <v>0</v>
      </c>
      <c r="G56" s="433">
        <v>0</v>
      </c>
      <c r="H56" s="433">
        <v>0</v>
      </c>
      <c r="I56" s="47">
        <f t="shared" si="5"/>
        <v>17</v>
      </c>
      <c r="J56" s="47">
        <f t="shared" si="6"/>
        <v>17</v>
      </c>
    </row>
    <row r="57" spans="1:10" ht="15" customHeight="1" x14ac:dyDescent="0.35">
      <c r="A57" s="393" t="str">
        <f>IF(OR(A9 = "2018-19", A9 = "2017-18", A9 = "2016-17", A9 = "2015-16", A9 = "2014-15", A9 = "2013-14"),"S39000019","")</f>
        <v/>
      </c>
      <c r="B57" s="312" t="str">
        <f>IF(OR(A9 = "2018-19", A9 = "2017-18", A9 = "2016-17", A9 = "2015-16", A9 = "2014-15", A9 = "2013-14"), "Fife", "")</f>
        <v/>
      </c>
      <c r="C57" s="49" t="str">
        <f>IF(OR(A9 = "2018-19", A9 = "2017-18", A9 = "2016-17", A9 = "2015-16", A9 = "2014-15", A9 = "2013-14"), GETPIVOTDATA("Sum of Wholetime Operational",smallareapivot!$A$3,"ReportingLevel","2:LSO","lvl","Fife"),"")</f>
        <v/>
      </c>
      <c r="D57" s="433" t="s">
        <v>624</v>
      </c>
      <c r="E57" s="671" t="str">
        <f>IFERROR(IF(OR(A9 = "2018-19", C9 = "2017-18", C9 = "2016-17", C9 = "2015-16", C9 = "2014-15", C9 = "2013-14"), GETPIVOTDATA("Sum of RDS Fulltime",smallareapivot!$A$3,"ReportingLevel","2:LSO","lvl","Fife"),""), "-")</f>
        <v/>
      </c>
      <c r="F57" s="433">
        <v>0</v>
      </c>
      <c r="G57" s="433">
        <v>0</v>
      </c>
      <c r="H57" s="433">
        <v>0</v>
      </c>
      <c r="I57" s="47">
        <f t="shared" si="5"/>
        <v>0</v>
      </c>
      <c r="J57" s="47">
        <f t="shared" si="6"/>
        <v>0</v>
      </c>
    </row>
    <row r="58" spans="1:10" ht="15" customHeight="1" x14ac:dyDescent="0.35">
      <c r="A58" s="393" t="str">
        <f>IF(A9="2018-19","S39000012","S39000020")</f>
        <v>S39000020</v>
      </c>
      <c r="B58" s="667" t="s">
        <v>271</v>
      </c>
      <c r="C58" s="49">
        <f>IFERROR(GETPIVOTDATA("Sum of Wholetime Operational",smallareapivot!$A$3,"ReportingLevel","2:LSO","lvl","Glasgow City"),0)</f>
        <v>20</v>
      </c>
      <c r="D58" s="433" t="s">
        <v>624</v>
      </c>
      <c r="E58" s="671">
        <f>IFERROR(GETPIVOTDATA("Sum of RDS Fulltime",smallareapivot!$A$3,"ReportingLevel","2:LSO","lvl","Glasgow City"),0)</f>
        <v>0</v>
      </c>
      <c r="F58" s="433">
        <v>0</v>
      </c>
      <c r="G58" s="433">
        <v>0</v>
      </c>
      <c r="H58" s="433">
        <v>0</v>
      </c>
      <c r="I58" s="47">
        <f t="shared" si="5"/>
        <v>20</v>
      </c>
      <c r="J58" s="47">
        <f t="shared" si="6"/>
        <v>20</v>
      </c>
    </row>
    <row r="59" spans="1:10" ht="15" customHeight="1" x14ac:dyDescent="0.35">
      <c r="A59" s="393" t="s">
        <v>275</v>
      </c>
      <c r="B59" s="667" t="s">
        <v>276</v>
      </c>
      <c r="C59" s="49">
        <f>GETPIVOTDATA("Sum of Wholetime Operational",smallareapivot!$A$3,"ReportingLevel","2:LSO","lvl","Highlands")</f>
        <v>25</v>
      </c>
      <c r="D59" s="433" t="s">
        <v>624</v>
      </c>
      <c r="E59" s="671">
        <f>IFERROR(GETPIVOTDATA("Sum of RDS Fulltime",smallareapivot!$A$3,"ReportingLevel","2:LSO","lvl","Highlands"),0)</f>
        <v>14</v>
      </c>
      <c r="F59" s="433">
        <v>0</v>
      </c>
      <c r="G59" s="433">
        <v>0</v>
      </c>
      <c r="H59" s="433">
        <v>0</v>
      </c>
      <c r="I59" s="47">
        <f t="shared" si="5"/>
        <v>39</v>
      </c>
      <c r="J59" s="47">
        <f t="shared" si="6"/>
        <v>39</v>
      </c>
    </row>
    <row r="60" spans="1:10" ht="15" customHeight="1" x14ac:dyDescent="0.35">
      <c r="A60" s="393" t="str">
        <f>IF(A9="2018-19","S39000014","S39000021")</f>
        <v>S39000021</v>
      </c>
      <c r="B60" s="667" t="str">
        <f>IF(OR(A9 = "2021-22", A9 = "2022-23", A9 = "2023-24", A9 = "2024-25"), "Lanarkshire", "North Lanarkshire")</f>
        <v>Lanarkshire</v>
      </c>
      <c r="C60" s="49">
        <f>IF(OR(A9 = "2021-22", A9 = "2022-23", A9 = "2023-24", A9 = "2024-25"),GETPIVOTDATA("Sum of Wholetime Operational",smallareapivot!$A$3,"ReportingLevel","2:LSO","lvl","Lanarkshire"),GETPIVOTDATA("Sum of Wholetime Operational",smallareapivot!$A$3,"ReportingLevel","2:LSO","lvl","North Lanarkshire"))</f>
        <v>23</v>
      </c>
      <c r="D60" s="433" t="s">
        <v>624</v>
      </c>
      <c r="E60" s="671">
        <f>IF(OR(A9 = "2021-22", A9 = "2022-23", A9 = "2023-24", A9 = "2024-25"),GETPIVOTDATA("Sum of RDS Fulltime",smallareapivot!$A$3,"ReportingLevel","2:LSO","lvl","Lanarkshire"),GETPIVOTDATA("Sum of RDS Fulltime",smallareapivot!$A$3,"ReportingLevel","2:LSO","lvl","North Lanarkshire"))</f>
        <v>2</v>
      </c>
      <c r="F60" s="433">
        <v>0</v>
      </c>
      <c r="G60" s="433">
        <v>0</v>
      </c>
      <c r="H60" s="433">
        <v>0</v>
      </c>
      <c r="I60" s="47">
        <f t="shared" si="5"/>
        <v>25</v>
      </c>
      <c r="J60" s="47">
        <f t="shared" si="6"/>
        <v>25</v>
      </c>
    </row>
    <row r="61" spans="1:10" ht="15" customHeight="1" x14ac:dyDescent="0.35">
      <c r="A61" s="393" t="str">
        <f>IF(OR(A9 = "2021-22", A9 = "2022-23", A9 = "2023-24", A9 = "2024-25"), "", "S39000015")</f>
        <v/>
      </c>
      <c r="B61" s="667" t="str">
        <f>IF(OR(A9 = "2021-22", A9 = "2022-23", A9 = "2023-24", A9 = "2024-25"),"","South Lanarkshire")</f>
        <v/>
      </c>
      <c r="C61" s="49" t="str">
        <f>IF(OR(A9 = "2021-22", A9 = "2022-23", A9 = "2023-24", A9 = "2024-25"),"",GETPIVOTDATA("Sum of Wholetime Operational",smallareapivot!$A$3,"ReportingLevel","2:LSO","lvl","South Lanarkshire"))</f>
        <v/>
      </c>
      <c r="D61" s="433" t="s">
        <v>624</v>
      </c>
      <c r="E61" s="671" t="str">
        <f>IF(OR(A9 = "2021-22", A9 = "2022-23", A9 = "2023-24", A9 = "2024-25"),"",GETPIVOTDATA("Sum of RDS Fulltime",smallareapivot!$A$3,"ReportingLevel","2:LSO","lvl","South Lanarkshire"))</f>
        <v/>
      </c>
      <c r="F61" s="433">
        <v>0</v>
      </c>
      <c r="G61" s="433">
        <v>0</v>
      </c>
      <c r="H61" s="433">
        <v>0</v>
      </c>
      <c r="I61" s="47">
        <f t="shared" si="5"/>
        <v>0</v>
      </c>
      <c r="J61" s="47">
        <f t="shared" si="6"/>
        <v>0</v>
      </c>
    </row>
    <row r="62" spans="1:10" ht="15" customHeight="1" x14ac:dyDescent="0.35">
      <c r="A62" s="393" t="str">
        <f>IF(OR(A9 = "2018-19", A9 = "2017-18", A9 = "2016-17", A9 = "2015-16", A9 = "2014-15", A9 = "2013-14"),"S39000016","S39000022")</f>
        <v>S39000022</v>
      </c>
      <c r="B62" s="583" t="str">
        <f>IF(OR(A9 = "2018-19", A9 = "2017-18", A9 = "2016-17", A9 = "2015-16", A9 = "2014-15", A9 = "2013-14"), "Stirling and Clackmannanshire", "Clackmannanshire, Fife and Stirling")</f>
        <v>Clackmannanshire, Fife and Stirling</v>
      </c>
      <c r="C62" s="49">
        <f>IF(OR(A9 = "2018-19", A9 = "2017-18", A9 = "2016-17", A9 = "2015-16", A9 = "2014-15", A9 = "2013-14"), GETPIVOTDATA("Sum of Wholetime Operational",smallareapivot!$A$3,"ReportingLevel","2:LSO","lvl","Stirling and Clackmannanshire"),GETPIVOTDATA("Sum of Wholetime Operational",smallareapivot!$A$3,"ReportingLevel","2:LSO","lvl","Stirling, Clackmannanshire and Fife"))</f>
        <v>26</v>
      </c>
      <c r="D62" s="433" t="s">
        <v>624</v>
      </c>
      <c r="E62" s="671">
        <f>IFERROR(IF(OR(A9 = "2018-19", C9 = "2017-18", C9 = "2016-17", C9 = "2015-16", C9 = "2014-15", C9 = "2013-14"), GETPIVOTDATA("Sum of RDS Fulltime",smallareapivot!$A$3,"ReportingLevel","2:LSO","lvl","Stirling and Clackmannanshire"),GETPIVOTDATA("Sum of RDS Fulltime",smallareapivot!$A$3,"ReportingLevel","2:LSO","lvl","Stirling, Clackmannanshire and Fife")), "-")</f>
        <v>3</v>
      </c>
      <c r="F62" s="433">
        <v>0</v>
      </c>
      <c r="G62" s="433">
        <v>0</v>
      </c>
      <c r="H62" s="433">
        <v>0</v>
      </c>
      <c r="I62" s="47">
        <f>SUM(C62:H62)</f>
        <v>29</v>
      </c>
      <c r="J62" s="47">
        <f t="shared" si="6"/>
        <v>29</v>
      </c>
    </row>
    <row r="63" spans="1:10" ht="15" customHeight="1" x14ac:dyDescent="0.35">
      <c r="A63" s="393" t="s">
        <v>285</v>
      </c>
      <c r="B63" s="667" t="s">
        <v>286</v>
      </c>
      <c r="C63" s="49">
        <f>GETPIVOTDATA("Sum of Wholetime Operational",smallareapivot!$A$3,"ReportingLevel","2:LSO","lvl","Western Isles, Orkney and Shetland Islands")</f>
        <v>11</v>
      </c>
      <c r="D63" s="433" t="s">
        <v>624</v>
      </c>
      <c r="E63" s="671">
        <f>IFERROR(GETPIVOTDATA("Sum of RDS Fulltime",smallareapivot!$A$3,"ReportingLevel","2:LSO","lvl","Western Isles, Orkney and Shetland Islands"),0)</f>
        <v>9</v>
      </c>
      <c r="F63" s="433">
        <v>0</v>
      </c>
      <c r="G63" s="433">
        <v>0</v>
      </c>
      <c r="H63" s="433">
        <v>0</v>
      </c>
      <c r="I63" s="47">
        <f t="shared" si="5"/>
        <v>20</v>
      </c>
      <c r="J63" s="47">
        <f t="shared" si="6"/>
        <v>20</v>
      </c>
    </row>
    <row r="64" spans="1:10" ht="30" customHeight="1" thickBot="1" x14ac:dyDescent="0.4">
      <c r="A64" s="58"/>
      <c r="B64" s="58" t="s">
        <v>554</v>
      </c>
      <c r="C64" s="59">
        <f>SUM(C47:C63)</f>
        <v>279</v>
      </c>
      <c r="D64" s="431">
        <f t="shared" ref="D64:E64" si="7">SUM(D47:D63)</f>
        <v>0</v>
      </c>
      <c r="E64" s="59">
        <f t="shared" si="7"/>
        <v>60</v>
      </c>
      <c r="F64" s="431">
        <f t="shared" ref="F64:J64" si="8">SUM(F47:F63)</f>
        <v>0</v>
      </c>
      <c r="G64" s="431">
        <f t="shared" si="8"/>
        <v>0</v>
      </c>
      <c r="H64" s="431">
        <f t="shared" si="8"/>
        <v>0</v>
      </c>
      <c r="I64" s="59">
        <f>SUM(I47:I63)</f>
        <v>339</v>
      </c>
      <c r="J64" s="59">
        <f t="shared" si="8"/>
        <v>339</v>
      </c>
    </row>
    <row r="65" spans="1:10" ht="12.75" customHeight="1" x14ac:dyDescent="0.35">
      <c r="A65" s="48"/>
      <c r="B65" s="48"/>
      <c r="C65" s="46"/>
      <c r="D65" s="46"/>
      <c r="E65" s="46"/>
      <c r="F65" s="46"/>
      <c r="G65" s="46"/>
      <c r="H65" s="46"/>
      <c r="I65" s="47"/>
      <c r="J65" s="47"/>
    </row>
    <row r="66" spans="1:10" ht="41.5" customHeight="1" x14ac:dyDescent="0.35">
      <c r="A66" s="36" t="s">
        <v>212</v>
      </c>
      <c r="B66" s="78" t="s">
        <v>213</v>
      </c>
      <c r="C66" s="79" t="s">
        <v>515</v>
      </c>
      <c r="D66" s="79" t="s">
        <v>361</v>
      </c>
      <c r="E66" s="79" t="s">
        <v>516</v>
      </c>
      <c r="F66" s="79" t="s">
        <v>511</v>
      </c>
      <c r="G66" s="79" t="s">
        <v>512</v>
      </c>
      <c r="H66" s="79" t="s">
        <v>339</v>
      </c>
      <c r="I66" s="3" t="s">
        <v>612</v>
      </c>
      <c r="J66" s="3" t="s">
        <v>623</v>
      </c>
    </row>
    <row r="67" spans="1:10" ht="22.5" customHeight="1" x14ac:dyDescent="0.35">
      <c r="A67" s="501" t="s">
        <v>238</v>
      </c>
      <c r="B67" s="48" t="s">
        <v>239</v>
      </c>
      <c r="C67" s="49">
        <f>GETPIVOTDATA("Sum of Wholetime Operational",smallareapivot!$A$3,"ReportingLevel","3:SDA","lvl","East")</f>
        <v>73</v>
      </c>
      <c r="D67" s="433">
        <f>GETPIVOTDATA("Sum of Retained Duty System",smallareapivot!$A$3,"ReportingLevel","3:SDA","lvl","East")</f>
        <v>0</v>
      </c>
      <c r="E67" s="433">
        <f>GETPIVOTDATA("Sum of RDS Fulltime",smallareapivot!$A$3,"ReportingLevel","3:SDA","lvl","East")</f>
        <v>0</v>
      </c>
      <c r="F67" s="433">
        <f>GETPIVOTDATA("Sum of Control",smallareapivot!$A$3,"ReportingLevel","3:SDA","lvl","East")</f>
        <v>0</v>
      </c>
      <c r="G67" s="674">
        <f>GETPIVOTDATA("Sum of Support",smallareapivot!$A$3,"ReportingLevel","3:SDA","lvl","East")</f>
        <v>0</v>
      </c>
      <c r="H67" s="675">
        <f>GETPIVOTDATA("Sum of Volunteer",smallareapivot!$A$3,"ReportingLevel","3:SDA","lvl","East")</f>
        <v>0</v>
      </c>
      <c r="I67" s="47">
        <f>SUM(C67:H67)</f>
        <v>73</v>
      </c>
      <c r="J67" s="47">
        <f>I67-H67</f>
        <v>73</v>
      </c>
    </row>
    <row r="68" spans="1:10" ht="15" customHeight="1" x14ac:dyDescent="0.35">
      <c r="A68" s="89" t="s">
        <v>218</v>
      </c>
      <c r="B68" s="48" t="s">
        <v>219</v>
      </c>
      <c r="C68" s="49">
        <f>GETPIVOTDATA("Sum of Wholetime Operational",smallareapivot!$A$3,"ReportingLevel","3:SDA","lvl","North")</f>
        <v>64</v>
      </c>
      <c r="D68" s="433">
        <f>GETPIVOTDATA("Sum of Retained Duty System",smallareapivot!$A$3,"ReportingLevel","3:SDA","lvl","North")</f>
        <v>0</v>
      </c>
      <c r="E68" s="433">
        <f>GETPIVOTDATA("Sum of RDS Fulltime",smallareapivot!$A$3,"ReportingLevel","3:SDA","lvl","North")</f>
        <v>0</v>
      </c>
      <c r="F68" s="433">
        <f>GETPIVOTDATA("Sum of Control",smallareapivot!$A$3,"ReportingLevel","3:SDA","lvl","North")</f>
        <v>0</v>
      </c>
      <c r="G68" s="674">
        <f>GETPIVOTDATA("Sum of Support",smallareapivot!$A$3,"ReportingLevel","3:SDA","lvl","North")</f>
        <v>0</v>
      </c>
      <c r="H68" s="675">
        <f>GETPIVOTDATA("Sum of Volunteer",smallareapivot!$A$3,"ReportingLevel","3:SDA","lvl","North")</f>
        <v>0</v>
      </c>
      <c r="I68" s="47">
        <f t="shared" ref="I68:I69" si="9">SUM(C68:H68)</f>
        <v>64</v>
      </c>
      <c r="J68" s="47">
        <f>I68-H68</f>
        <v>64</v>
      </c>
    </row>
    <row r="69" spans="1:10" ht="15" customHeight="1" x14ac:dyDescent="0.35">
      <c r="A69" s="89" t="s">
        <v>232</v>
      </c>
      <c r="B69" s="48" t="s">
        <v>233</v>
      </c>
      <c r="C69" s="49">
        <f>GETPIVOTDATA("Sum of Wholetime Operational",smallareapivot!$A$3,"ReportingLevel","3:SDA","lvl","West")</f>
        <v>132</v>
      </c>
      <c r="D69" s="433">
        <f>GETPIVOTDATA("Sum of Retained Duty System",smallareapivot!$A$3,"ReportingLevel","3:SDA","lvl","West")</f>
        <v>0</v>
      </c>
      <c r="E69" s="433">
        <f>GETPIVOTDATA("Sum of RDS Fulltime",smallareapivot!$A$3,"ReportingLevel","3:SDA","lvl","West")</f>
        <v>0</v>
      </c>
      <c r="F69" s="433">
        <f>GETPIVOTDATA("Sum of Control",smallareapivot!$A$3,"ReportingLevel","3:SDA","lvl","West")</f>
        <v>0</v>
      </c>
      <c r="G69" s="674">
        <f>GETPIVOTDATA("Sum of Support",smallareapivot!$A$3,"ReportingLevel","3:SDA","lvl","West")</f>
        <v>0</v>
      </c>
      <c r="H69" s="675">
        <f>GETPIVOTDATA("Sum of Volunteer",smallareapivot!$A$3,"ReportingLevel","3:SDA","lvl","West")</f>
        <v>0</v>
      </c>
      <c r="I69" s="47">
        <f t="shared" si="9"/>
        <v>132</v>
      </c>
      <c r="J69" s="47">
        <f>I69-H69</f>
        <v>132</v>
      </c>
    </row>
    <row r="70" spans="1:10" ht="30" customHeight="1" thickBot="1" x14ac:dyDescent="0.4">
      <c r="A70" s="52"/>
      <c r="B70" s="52" t="s">
        <v>555</v>
      </c>
      <c r="C70" s="59">
        <f>SUM(C67:C69)</f>
        <v>269</v>
      </c>
      <c r="D70" s="431">
        <f t="shared" ref="D70:E70" si="10">SUM(D67:D69)</f>
        <v>0</v>
      </c>
      <c r="E70" s="431">
        <f t="shared" si="10"/>
        <v>0</v>
      </c>
      <c r="F70" s="431">
        <f t="shared" ref="F70:J70" si="11">SUM(F67:F69)</f>
        <v>0</v>
      </c>
      <c r="G70" s="59">
        <f t="shared" si="11"/>
        <v>0</v>
      </c>
      <c r="H70" s="431">
        <f t="shared" si="11"/>
        <v>0</v>
      </c>
      <c r="I70" s="59">
        <f>SUM(I67:I69)</f>
        <v>269</v>
      </c>
      <c r="J70" s="59">
        <f t="shared" si="11"/>
        <v>269</v>
      </c>
    </row>
    <row r="71" spans="1:10" x14ac:dyDescent="0.35">
      <c r="A71" s="48"/>
      <c r="B71" s="48"/>
      <c r="C71" s="46"/>
      <c r="D71" s="46"/>
      <c r="E71" s="46"/>
      <c r="F71" s="46"/>
      <c r="G71" s="46"/>
      <c r="H71" s="46"/>
      <c r="I71" s="62"/>
      <c r="J71" s="62"/>
    </row>
    <row r="72" spans="1:10" ht="12" customHeight="1" x14ac:dyDescent="0.35">
      <c r="A72" s="36" t="s">
        <v>556</v>
      </c>
      <c r="B72" s="78"/>
      <c r="C72" s="46"/>
      <c r="D72" s="46"/>
      <c r="E72" s="46"/>
      <c r="F72" s="46"/>
      <c r="G72" s="46"/>
      <c r="H72" s="46"/>
      <c r="I72" s="62"/>
      <c r="J72" s="62"/>
    </row>
    <row r="73" spans="1:10" ht="18.75" customHeight="1" thickBot="1" x14ac:dyDescent="0.4">
      <c r="A73" s="52" t="s">
        <v>548</v>
      </c>
      <c r="B73" s="63" t="s">
        <v>557</v>
      </c>
      <c r="C73" s="59">
        <f>GETPIVOTDATA("Sum of Wholetime Operational",smallareapivot!$A$3,"ReportingLevel","4:National","lvl","Scotland")</f>
        <v>90</v>
      </c>
      <c r="D73" s="59">
        <f>GETPIVOTDATA("Sum of Retained Duty System",smallareapivot!$A$3,"ReportingLevel","4:National","lvl","Scotland")</f>
        <v>0</v>
      </c>
      <c r="E73" s="59">
        <f>GETPIVOTDATA("Sum of RDS Fulltime",smallareapivot!$A$3,"ReportingLevel","4:National","lvl","Scotland")</f>
        <v>0</v>
      </c>
      <c r="F73" s="59">
        <f>GETPIVOTDATA("Sum of Control",smallareapivot!$A$3,"ReportingLevel","4:National","lvl","Scotland")</f>
        <v>171</v>
      </c>
      <c r="G73" s="59">
        <f>GETPIVOTDATA("Sum of Support",smallareapivot!$A$3,"ReportingLevel","4:National","lvl","Scotland")</f>
        <v>917</v>
      </c>
      <c r="H73" s="59">
        <f>GETPIVOTDATA("Sum of Volunteer",smallareapivot!$A$3,"ReportingLevel","4:National","lvl","Scotland")</f>
        <v>0</v>
      </c>
      <c r="I73" s="59">
        <f>SUM(C73:H73)</f>
        <v>1178</v>
      </c>
      <c r="J73" s="59">
        <f>I73-H73</f>
        <v>1178</v>
      </c>
    </row>
    <row r="74" spans="1:10" ht="13.5" customHeight="1" x14ac:dyDescent="0.35">
      <c r="A74" s="12"/>
      <c r="B74" s="12"/>
      <c r="C74" s="62"/>
      <c r="D74" s="62"/>
      <c r="E74" s="62"/>
      <c r="F74" s="62"/>
      <c r="G74" s="62"/>
      <c r="H74" s="62"/>
      <c r="I74" s="47"/>
      <c r="J74" s="47"/>
    </row>
    <row r="75" spans="1:10" ht="13.5" customHeight="1" x14ac:dyDescent="0.35">
      <c r="A75" s="336"/>
      <c r="B75" s="336"/>
      <c r="C75" s="62"/>
      <c r="D75" s="62"/>
      <c r="E75" s="62"/>
      <c r="F75" s="62"/>
      <c r="G75" s="62"/>
      <c r="H75" s="62"/>
      <c r="I75" s="47"/>
      <c r="J75" s="47"/>
    </row>
    <row r="76" spans="1:10" x14ac:dyDescent="0.35">
      <c r="A76" s="348" t="s">
        <v>329</v>
      </c>
      <c r="C76" s="19"/>
      <c r="D76" s="19"/>
      <c r="E76" s="19"/>
      <c r="F76" s="19"/>
      <c r="G76" s="19"/>
      <c r="H76" s="19"/>
      <c r="I76" s="19"/>
      <c r="J76" s="19"/>
    </row>
    <row r="77" spans="1:10" ht="15.5" x14ac:dyDescent="0.35">
      <c r="A77" s="345" t="s">
        <v>558</v>
      </c>
      <c r="D77" s="77"/>
      <c r="E77" s="243"/>
      <c r="F77" s="243"/>
      <c r="G77" s="243"/>
      <c r="H77" s="243"/>
      <c r="I77" s="243"/>
      <c r="J77" s="243"/>
    </row>
    <row r="78" spans="1:10" ht="17.5" x14ac:dyDescent="0.35">
      <c r="A78" s="352"/>
      <c r="B78" s="352"/>
      <c r="D78" s="261"/>
      <c r="E78" s="15"/>
      <c r="F78" s="15"/>
      <c r="G78" s="15"/>
      <c r="H78" s="15"/>
      <c r="I78" s="15"/>
      <c r="J78" s="15"/>
    </row>
  </sheetData>
  <sheetProtection algorithmName="SHA-512" hashValue="QNgql5fFQsYN9hExYA5iyPvx/yL6wZOAggyIEf7uFF89sC18orM9oWmINFjjiONEIg+DsW+HIu0MlhYeRhlNfQ==" saltValue="yZUaePuxFuQAWrM0IND3fQ==" spinCount="100000" sheet="1" scenarios="1" formatCells="0" sort="0" autoFilter="0" pivotTables="0"/>
  <mergeCells count="2">
    <mergeCell ref="A4:I4"/>
    <mergeCell ref="A1:H1"/>
  </mergeCells>
  <hyperlinks>
    <hyperlink ref="A2" location="'Table of Contents'!A1" display="Back to Table of Contents" xr:uid="{00000000-0004-0000-2700-000000000000}"/>
  </hyperlinks>
  <pageMargins left="0.70866141732283472" right="0.70866141732283472" top="0.74803149606299213" bottom="0.74803149606299213" header="0.31496062992125984" footer="0.31496062992125984"/>
  <pageSetup scale="56" orientation="portrait" r:id="rId1"/>
  <ignoredErrors>
    <ignoredError sqref="C13 F47:F49 G47:G48" calculatedColumn="1"/>
  </ignoredErrors>
  <drawing r:id="rId2"/>
  <tableParts count="3">
    <tablePart r:id="rId3"/>
    <tablePart r:id="rId4"/>
    <tablePart r:id="rId5"/>
  </tableParts>
  <extLst>
    <ext xmlns:x14="http://schemas.microsoft.com/office/spreadsheetml/2009/9/main" uri="{A8765BA9-456A-4dab-B4F3-ACF838C121DE}">
      <x14:slicerList>
        <x14:slicer r:id="rId6"/>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J63"/>
  <sheetViews>
    <sheetView topLeftCell="A11" workbookViewId="0">
      <selection activeCell="F20" sqref="F20"/>
    </sheetView>
  </sheetViews>
  <sheetFormatPr defaultRowHeight="14.5" x14ac:dyDescent="0.35"/>
  <cols>
    <col min="1" max="1" width="7.453125" bestFit="1" customWidth="1"/>
    <col min="2" max="2" width="11.7265625" bestFit="1" customWidth="1"/>
    <col min="3" max="3" width="7.453125" bestFit="1" customWidth="1"/>
    <col min="4" max="4" width="17.7265625" bestFit="1" customWidth="1"/>
    <col min="5" max="5" width="15.26953125" bestFit="1" customWidth="1"/>
    <col min="6" max="6" width="16.6328125" bestFit="1" customWidth="1"/>
    <col min="7" max="7" width="17.26953125" bestFit="1" customWidth="1"/>
    <col min="8" max="8" width="16.7265625" bestFit="1" customWidth="1"/>
    <col min="9" max="9" width="15.6328125" bestFit="1" customWidth="1"/>
    <col min="10" max="10" width="12.26953125" bestFit="1" customWidth="1"/>
  </cols>
  <sheetData>
    <row r="1" spans="1:10" x14ac:dyDescent="0.35">
      <c r="A1" t="s">
        <v>207</v>
      </c>
      <c r="B1" t="s">
        <v>625</v>
      </c>
      <c r="C1" t="s">
        <v>340</v>
      </c>
      <c r="D1" t="s">
        <v>626</v>
      </c>
      <c r="E1" t="s">
        <v>627</v>
      </c>
      <c r="F1" t="s">
        <v>628</v>
      </c>
      <c r="G1" t="s">
        <v>629</v>
      </c>
      <c r="H1" t="s">
        <v>630</v>
      </c>
      <c r="I1" t="s">
        <v>631</v>
      </c>
      <c r="J1" t="s">
        <v>632</v>
      </c>
    </row>
    <row r="2" spans="1:10" x14ac:dyDescent="0.35">
      <c r="A2" t="s">
        <v>364</v>
      </c>
      <c r="B2" t="s">
        <v>609</v>
      </c>
      <c r="C2">
        <v>2940</v>
      </c>
      <c r="H2">
        <v>278</v>
      </c>
      <c r="I2">
        <v>535</v>
      </c>
      <c r="J2">
        <v>2127</v>
      </c>
    </row>
    <row r="3" spans="1:10" x14ac:dyDescent="0.35">
      <c r="A3" t="s">
        <v>365</v>
      </c>
      <c r="B3" t="s">
        <v>511</v>
      </c>
      <c r="C3">
        <v>230</v>
      </c>
      <c r="F3">
        <v>5</v>
      </c>
      <c r="G3">
        <v>13</v>
      </c>
      <c r="H3">
        <v>50</v>
      </c>
      <c r="I3">
        <v>52</v>
      </c>
      <c r="J3">
        <v>110</v>
      </c>
    </row>
    <row r="4" spans="1:10" x14ac:dyDescent="0.35">
      <c r="A4" t="s">
        <v>342</v>
      </c>
      <c r="B4" t="s">
        <v>609</v>
      </c>
      <c r="C4">
        <v>2863</v>
      </c>
      <c r="H4">
        <v>261</v>
      </c>
      <c r="I4">
        <v>525</v>
      </c>
      <c r="J4">
        <v>2077</v>
      </c>
    </row>
    <row r="5" spans="1:10" x14ac:dyDescent="0.35">
      <c r="A5" t="s">
        <v>313</v>
      </c>
      <c r="B5" t="s">
        <v>512</v>
      </c>
      <c r="C5">
        <v>0</v>
      </c>
    </row>
    <row r="6" spans="1:10" x14ac:dyDescent="0.35">
      <c r="A6" t="s">
        <v>319</v>
      </c>
      <c r="B6" t="s">
        <v>634</v>
      </c>
      <c r="C6">
        <v>303</v>
      </c>
      <c r="H6">
        <v>37</v>
      </c>
      <c r="I6">
        <v>43</v>
      </c>
      <c r="J6">
        <v>223</v>
      </c>
    </row>
    <row r="7" spans="1:10" x14ac:dyDescent="0.35">
      <c r="A7" t="s">
        <v>321</v>
      </c>
      <c r="B7" t="s">
        <v>511</v>
      </c>
      <c r="C7">
        <v>174</v>
      </c>
      <c r="E7">
        <v>1</v>
      </c>
      <c r="F7">
        <v>4</v>
      </c>
      <c r="G7">
        <v>10</v>
      </c>
      <c r="H7">
        <v>42</v>
      </c>
      <c r="I7">
        <v>27</v>
      </c>
      <c r="J7">
        <v>90</v>
      </c>
    </row>
    <row r="8" spans="1:10" x14ac:dyDescent="0.35">
      <c r="A8" t="s">
        <v>327</v>
      </c>
      <c r="B8" t="s">
        <v>511</v>
      </c>
      <c r="C8">
        <v>171</v>
      </c>
      <c r="E8">
        <v>1</v>
      </c>
      <c r="F8">
        <v>4</v>
      </c>
      <c r="G8">
        <v>9</v>
      </c>
      <c r="H8">
        <v>40</v>
      </c>
      <c r="I8">
        <v>26</v>
      </c>
      <c r="J8">
        <v>91</v>
      </c>
    </row>
    <row r="9" spans="1:10" x14ac:dyDescent="0.35">
      <c r="A9" t="s">
        <v>327</v>
      </c>
      <c r="B9" t="s">
        <v>634</v>
      </c>
      <c r="C9">
        <v>269</v>
      </c>
      <c r="H9">
        <v>35</v>
      </c>
      <c r="I9">
        <v>41</v>
      </c>
      <c r="J9">
        <v>193</v>
      </c>
    </row>
    <row r="10" spans="1:10" x14ac:dyDescent="0.35">
      <c r="A10" t="s">
        <v>364</v>
      </c>
      <c r="B10" t="s">
        <v>511</v>
      </c>
      <c r="C10">
        <v>223</v>
      </c>
      <c r="F10">
        <v>5</v>
      </c>
      <c r="G10">
        <v>11</v>
      </c>
      <c r="H10">
        <v>52</v>
      </c>
      <c r="I10">
        <v>52</v>
      </c>
      <c r="J10">
        <v>103</v>
      </c>
    </row>
    <row r="11" spans="1:10" x14ac:dyDescent="0.35">
      <c r="A11" t="s">
        <v>364</v>
      </c>
      <c r="B11" t="s">
        <v>634</v>
      </c>
      <c r="C11">
        <v>359</v>
      </c>
      <c r="H11">
        <v>9</v>
      </c>
      <c r="I11">
        <v>73</v>
      </c>
      <c r="J11">
        <v>277</v>
      </c>
    </row>
    <row r="12" spans="1:10" x14ac:dyDescent="0.35">
      <c r="A12" t="s">
        <v>364</v>
      </c>
      <c r="B12" t="s">
        <v>633</v>
      </c>
      <c r="C12">
        <v>4001</v>
      </c>
      <c r="D12">
        <v>9</v>
      </c>
      <c r="E12">
        <v>28</v>
      </c>
      <c r="F12">
        <v>115</v>
      </c>
      <c r="G12">
        <v>136</v>
      </c>
      <c r="H12">
        <v>679</v>
      </c>
      <c r="I12">
        <v>660</v>
      </c>
      <c r="J12">
        <v>2374</v>
      </c>
    </row>
    <row r="13" spans="1:10" x14ac:dyDescent="0.35">
      <c r="A13" t="s">
        <v>342</v>
      </c>
      <c r="B13" t="s">
        <v>634</v>
      </c>
      <c r="C13">
        <v>332</v>
      </c>
      <c r="H13">
        <v>37</v>
      </c>
      <c r="I13">
        <v>39</v>
      </c>
      <c r="J13">
        <v>256</v>
      </c>
    </row>
    <row r="14" spans="1:10" x14ac:dyDescent="0.35">
      <c r="A14" t="s">
        <v>214</v>
      </c>
      <c r="B14" t="s">
        <v>511</v>
      </c>
      <c r="C14">
        <v>207</v>
      </c>
      <c r="E14">
        <v>1</v>
      </c>
      <c r="F14">
        <v>4</v>
      </c>
      <c r="G14">
        <v>9</v>
      </c>
      <c r="H14">
        <v>42</v>
      </c>
      <c r="I14">
        <v>27</v>
      </c>
      <c r="J14">
        <v>124</v>
      </c>
    </row>
    <row r="15" spans="1:10" x14ac:dyDescent="0.35">
      <c r="A15" t="s">
        <v>214</v>
      </c>
      <c r="B15" t="s">
        <v>609</v>
      </c>
      <c r="C15">
        <v>2935</v>
      </c>
      <c r="H15">
        <v>261</v>
      </c>
      <c r="I15">
        <v>533</v>
      </c>
      <c r="J15">
        <v>2141</v>
      </c>
    </row>
    <row r="16" spans="1:10" x14ac:dyDescent="0.35">
      <c r="A16" t="s">
        <v>214</v>
      </c>
      <c r="B16" t="s">
        <v>512</v>
      </c>
      <c r="C16">
        <v>0</v>
      </c>
    </row>
    <row r="17" spans="1:10" x14ac:dyDescent="0.35">
      <c r="A17" t="s">
        <v>313</v>
      </c>
      <c r="B17" t="s">
        <v>511</v>
      </c>
      <c r="C17">
        <v>188</v>
      </c>
      <c r="E17">
        <v>1</v>
      </c>
      <c r="F17">
        <v>4</v>
      </c>
      <c r="G17">
        <v>8</v>
      </c>
      <c r="H17">
        <v>45</v>
      </c>
      <c r="I17">
        <v>26</v>
      </c>
      <c r="J17">
        <v>104</v>
      </c>
    </row>
    <row r="18" spans="1:10" x14ac:dyDescent="0.35">
      <c r="A18" t="s">
        <v>313</v>
      </c>
      <c r="B18" t="s">
        <v>634</v>
      </c>
      <c r="C18">
        <v>315</v>
      </c>
      <c r="H18">
        <v>37</v>
      </c>
      <c r="I18">
        <v>41</v>
      </c>
      <c r="J18">
        <v>237</v>
      </c>
    </row>
    <row r="19" spans="1:10" x14ac:dyDescent="0.35">
      <c r="A19" t="s">
        <v>313</v>
      </c>
      <c r="B19" t="s">
        <v>633</v>
      </c>
      <c r="C19">
        <v>3636</v>
      </c>
      <c r="D19">
        <v>6</v>
      </c>
      <c r="E19">
        <v>31</v>
      </c>
      <c r="F19">
        <v>80</v>
      </c>
      <c r="G19">
        <v>153</v>
      </c>
      <c r="H19">
        <v>608</v>
      </c>
      <c r="I19">
        <v>688</v>
      </c>
      <c r="J19">
        <v>2070</v>
      </c>
    </row>
    <row r="20" spans="1:10" x14ac:dyDescent="0.35">
      <c r="A20" t="s">
        <v>319</v>
      </c>
      <c r="B20" t="s">
        <v>511</v>
      </c>
      <c r="C20">
        <v>182</v>
      </c>
      <c r="E20">
        <v>1</v>
      </c>
      <c r="F20">
        <v>4</v>
      </c>
      <c r="G20">
        <v>10</v>
      </c>
      <c r="H20">
        <v>41</v>
      </c>
      <c r="I20">
        <v>31</v>
      </c>
      <c r="J20">
        <v>95</v>
      </c>
    </row>
    <row r="21" spans="1:10" x14ac:dyDescent="0.35">
      <c r="A21" t="s">
        <v>321</v>
      </c>
      <c r="B21" t="s">
        <v>512</v>
      </c>
      <c r="C21">
        <v>0</v>
      </c>
    </row>
    <row r="22" spans="1:10" x14ac:dyDescent="0.35">
      <c r="A22" t="s">
        <v>321</v>
      </c>
      <c r="B22" t="s">
        <v>634</v>
      </c>
      <c r="C22">
        <v>277</v>
      </c>
      <c r="H22">
        <v>36</v>
      </c>
      <c r="I22">
        <v>40</v>
      </c>
      <c r="J22">
        <v>201</v>
      </c>
    </row>
    <row r="23" spans="1:10" x14ac:dyDescent="0.35">
      <c r="A23" t="s">
        <v>366</v>
      </c>
      <c r="B23" t="s">
        <v>634</v>
      </c>
      <c r="C23">
        <v>342</v>
      </c>
      <c r="H23">
        <v>36</v>
      </c>
      <c r="I23">
        <v>46</v>
      </c>
      <c r="J23">
        <v>260</v>
      </c>
    </row>
    <row r="24" spans="1:10" x14ac:dyDescent="0.35">
      <c r="A24" t="s">
        <v>366</v>
      </c>
      <c r="B24" t="s">
        <v>633</v>
      </c>
      <c r="C24">
        <v>3690</v>
      </c>
      <c r="D24">
        <v>4</v>
      </c>
      <c r="E24">
        <v>35</v>
      </c>
      <c r="F24">
        <v>90</v>
      </c>
      <c r="G24">
        <v>126</v>
      </c>
      <c r="H24">
        <v>577</v>
      </c>
      <c r="I24">
        <v>600</v>
      </c>
      <c r="J24">
        <v>2258</v>
      </c>
    </row>
    <row r="25" spans="1:10" x14ac:dyDescent="0.35">
      <c r="A25" t="s">
        <v>319</v>
      </c>
      <c r="B25" t="s">
        <v>609</v>
      </c>
      <c r="C25">
        <v>2872</v>
      </c>
      <c r="H25">
        <v>267</v>
      </c>
      <c r="I25">
        <v>522</v>
      </c>
      <c r="J25">
        <v>2083</v>
      </c>
    </row>
    <row r="26" spans="1:10" x14ac:dyDescent="0.35">
      <c r="A26" t="s">
        <v>466</v>
      </c>
      <c r="B26" t="s">
        <v>511</v>
      </c>
      <c r="C26">
        <v>171</v>
      </c>
      <c r="E26">
        <v>1</v>
      </c>
      <c r="F26">
        <v>2</v>
      </c>
      <c r="G26">
        <v>8</v>
      </c>
      <c r="H26">
        <v>37</v>
      </c>
      <c r="I26">
        <v>28</v>
      </c>
      <c r="J26">
        <v>95</v>
      </c>
    </row>
    <row r="27" spans="1:10" x14ac:dyDescent="0.35">
      <c r="A27" t="s">
        <v>466</v>
      </c>
      <c r="B27" t="s">
        <v>634</v>
      </c>
      <c r="C27">
        <v>273</v>
      </c>
      <c r="H27">
        <v>36</v>
      </c>
      <c r="I27">
        <v>41</v>
      </c>
      <c r="J27">
        <v>196</v>
      </c>
    </row>
    <row r="28" spans="1:10" x14ac:dyDescent="0.35">
      <c r="A28" t="s">
        <v>365</v>
      </c>
      <c r="B28" t="s">
        <v>609</v>
      </c>
      <c r="C28">
        <v>2950</v>
      </c>
      <c r="H28">
        <v>280</v>
      </c>
      <c r="I28">
        <v>546</v>
      </c>
      <c r="J28">
        <v>2124</v>
      </c>
    </row>
    <row r="29" spans="1:10" x14ac:dyDescent="0.35">
      <c r="A29" t="s">
        <v>341</v>
      </c>
      <c r="B29" t="s">
        <v>633</v>
      </c>
      <c r="C29">
        <v>3645</v>
      </c>
      <c r="D29">
        <v>4</v>
      </c>
      <c r="E29">
        <v>34</v>
      </c>
      <c r="F29">
        <v>70</v>
      </c>
      <c r="G29">
        <v>151</v>
      </c>
      <c r="H29">
        <v>590</v>
      </c>
      <c r="I29">
        <v>635</v>
      </c>
      <c r="J29">
        <v>2161</v>
      </c>
    </row>
    <row r="30" spans="1:10" x14ac:dyDescent="0.35">
      <c r="A30" t="s">
        <v>342</v>
      </c>
      <c r="B30" t="s">
        <v>511</v>
      </c>
      <c r="C30">
        <v>189</v>
      </c>
      <c r="F30">
        <v>5</v>
      </c>
      <c r="G30">
        <v>8</v>
      </c>
      <c r="H30">
        <v>43</v>
      </c>
      <c r="I30">
        <v>27</v>
      </c>
      <c r="J30">
        <v>106</v>
      </c>
    </row>
    <row r="31" spans="1:10" x14ac:dyDescent="0.35">
      <c r="A31" t="s">
        <v>342</v>
      </c>
      <c r="B31" t="s">
        <v>633</v>
      </c>
      <c r="C31">
        <v>3546</v>
      </c>
      <c r="D31">
        <v>4</v>
      </c>
      <c r="E31">
        <v>34</v>
      </c>
      <c r="F31">
        <v>74</v>
      </c>
      <c r="G31">
        <v>153</v>
      </c>
      <c r="H31">
        <v>603</v>
      </c>
      <c r="I31">
        <v>689</v>
      </c>
      <c r="J31">
        <v>1989</v>
      </c>
    </row>
    <row r="32" spans="1:10" x14ac:dyDescent="0.35">
      <c r="A32" t="s">
        <v>214</v>
      </c>
      <c r="B32" t="s">
        <v>634</v>
      </c>
      <c r="C32">
        <v>321</v>
      </c>
      <c r="H32">
        <v>38</v>
      </c>
      <c r="I32">
        <v>42</v>
      </c>
      <c r="J32">
        <v>241</v>
      </c>
    </row>
    <row r="33" spans="1:10" x14ac:dyDescent="0.35">
      <c r="A33" t="s">
        <v>313</v>
      </c>
      <c r="B33" t="s">
        <v>609</v>
      </c>
      <c r="C33">
        <v>2937</v>
      </c>
      <c r="H33">
        <v>262</v>
      </c>
      <c r="I33">
        <v>520</v>
      </c>
      <c r="J33">
        <v>2155</v>
      </c>
    </row>
    <row r="34" spans="1:10" x14ac:dyDescent="0.35">
      <c r="A34" t="s">
        <v>326</v>
      </c>
      <c r="B34" t="s">
        <v>511</v>
      </c>
      <c r="C34">
        <v>172</v>
      </c>
      <c r="E34">
        <v>1</v>
      </c>
      <c r="F34">
        <v>4</v>
      </c>
      <c r="G34">
        <v>10</v>
      </c>
      <c r="H34">
        <v>37</v>
      </c>
      <c r="I34">
        <v>29</v>
      </c>
      <c r="J34">
        <v>91</v>
      </c>
    </row>
    <row r="35" spans="1:10" x14ac:dyDescent="0.35">
      <c r="A35" t="s">
        <v>326</v>
      </c>
      <c r="B35" t="s">
        <v>609</v>
      </c>
      <c r="C35">
        <v>2735</v>
      </c>
      <c r="H35">
        <v>262</v>
      </c>
      <c r="I35">
        <v>521</v>
      </c>
      <c r="J35">
        <v>1952</v>
      </c>
    </row>
    <row r="36" spans="1:10" x14ac:dyDescent="0.35">
      <c r="A36" t="s">
        <v>326</v>
      </c>
      <c r="B36" t="s">
        <v>512</v>
      </c>
      <c r="C36">
        <v>0</v>
      </c>
    </row>
    <row r="37" spans="1:10" x14ac:dyDescent="0.35">
      <c r="A37" t="s">
        <v>326</v>
      </c>
      <c r="B37" t="s">
        <v>633</v>
      </c>
      <c r="C37">
        <v>3490</v>
      </c>
      <c r="D37">
        <v>5</v>
      </c>
      <c r="E37">
        <v>31</v>
      </c>
      <c r="F37">
        <v>78</v>
      </c>
      <c r="G37">
        <v>148</v>
      </c>
      <c r="H37">
        <v>601</v>
      </c>
      <c r="I37">
        <v>655</v>
      </c>
      <c r="J37">
        <v>1972</v>
      </c>
    </row>
    <row r="38" spans="1:10" x14ac:dyDescent="0.35">
      <c r="A38" t="s">
        <v>366</v>
      </c>
      <c r="B38" t="s">
        <v>511</v>
      </c>
      <c r="C38">
        <v>203</v>
      </c>
      <c r="F38">
        <v>6</v>
      </c>
      <c r="G38">
        <v>7</v>
      </c>
      <c r="H38">
        <v>51</v>
      </c>
      <c r="I38">
        <v>44</v>
      </c>
      <c r="J38">
        <v>95</v>
      </c>
    </row>
    <row r="39" spans="1:10" x14ac:dyDescent="0.35">
      <c r="A39" t="s">
        <v>341</v>
      </c>
      <c r="B39" t="s">
        <v>511</v>
      </c>
      <c r="C39">
        <v>165</v>
      </c>
      <c r="F39">
        <v>5</v>
      </c>
      <c r="G39">
        <v>8</v>
      </c>
      <c r="H39">
        <v>41</v>
      </c>
      <c r="I39">
        <v>31</v>
      </c>
      <c r="J39">
        <v>80</v>
      </c>
    </row>
    <row r="40" spans="1:10" x14ac:dyDescent="0.35">
      <c r="A40" t="s">
        <v>341</v>
      </c>
      <c r="B40" t="s">
        <v>634</v>
      </c>
      <c r="C40">
        <v>320</v>
      </c>
      <c r="H40">
        <v>36</v>
      </c>
      <c r="I40">
        <v>43</v>
      </c>
      <c r="J40">
        <v>241</v>
      </c>
    </row>
    <row r="41" spans="1:10" x14ac:dyDescent="0.35">
      <c r="A41" t="s">
        <v>319</v>
      </c>
      <c r="B41" t="s">
        <v>510</v>
      </c>
      <c r="C41">
        <v>54</v>
      </c>
      <c r="H41">
        <v>54</v>
      </c>
    </row>
    <row r="42" spans="1:10" x14ac:dyDescent="0.35">
      <c r="A42" t="s">
        <v>327</v>
      </c>
      <c r="B42" t="s">
        <v>609</v>
      </c>
      <c r="C42">
        <v>2708</v>
      </c>
      <c r="H42">
        <v>251</v>
      </c>
      <c r="I42">
        <v>525</v>
      </c>
      <c r="J42">
        <v>1932</v>
      </c>
    </row>
    <row r="43" spans="1:10" x14ac:dyDescent="0.35">
      <c r="A43" t="s">
        <v>327</v>
      </c>
      <c r="B43" t="s">
        <v>512</v>
      </c>
      <c r="C43">
        <v>0</v>
      </c>
    </row>
    <row r="44" spans="1:10" x14ac:dyDescent="0.35">
      <c r="A44" t="s">
        <v>466</v>
      </c>
      <c r="B44" t="s">
        <v>512</v>
      </c>
      <c r="C44">
        <v>0</v>
      </c>
    </row>
    <row r="45" spans="1:10" x14ac:dyDescent="0.35">
      <c r="A45" t="s">
        <v>365</v>
      </c>
      <c r="B45" t="s">
        <v>634</v>
      </c>
      <c r="C45">
        <v>378</v>
      </c>
      <c r="H45">
        <v>38</v>
      </c>
      <c r="I45">
        <v>44</v>
      </c>
      <c r="J45">
        <v>296</v>
      </c>
    </row>
    <row r="46" spans="1:10" x14ac:dyDescent="0.35">
      <c r="A46" t="s">
        <v>365</v>
      </c>
      <c r="B46" t="s">
        <v>633</v>
      </c>
      <c r="C46">
        <v>3856</v>
      </c>
      <c r="D46">
        <v>7</v>
      </c>
      <c r="E46">
        <v>33</v>
      </c>
      <c r="F46">
        <v>103</v>
      </c>
      <c r="G46">
        <v>130</v>
      </c>
      <c r="H46">
        <v>664</v>
      </c>
      <c r="I46">
        <v>634</v>
      </c>
      <c r="J46">
        <v>2285</v>
      </c>
    </row>
    <row r="47" spans="1:10" x14ac:dyDescent="0.35">
      <c r="A47" t="s">
        <v>341</v>
      </c>
      <c r="B47" t="s">
        <v>609</v>
      </c>
      <c r="C47">
        <v>2870</v>
      </c>
      <c r="H47">
        <v>260</v>
      </c>
      <c r="I47">
        <v>549</v>
      </c>
      <c r="J47">
        <v>2061</v>
      </c>
    </row>
    <row r="48" spans="1:10" x14ac:dyDescent="0.35">
      <c r="A48" t="s">
        <v>319</v>
      </c>
      <c r="B48" t="s">
        <v>633</v>
      </c>
      <c r="C48">
        <v>3581</v>
      </c>
      <c r="D48">
        <v>5</v>
      </c>
      <c r="E48">
        <v>35</v>
      </c>
      <c r="F48">
        <v>79</v>
      </c>
      <c r="G48">
        <v>152</v>
      </c>
      <c r="H48">
        <v>603</v>
      </c>
      <c r="I48">
        <v>687</v>
      </c>
      <c r="J48">
        <v>2020</v>
      </c>
    </row>
    <row r="49" spans="1:10" x14ac:dyDescent="0.35">
      <c r="A49" t="s">
        <v>321</v>
      </c>
      <c r="B49" t="s">
        <v>510</v>
      </c>
      <c r="C49">
        <v>53</v>
      </c>
      <c r="H49">
        <v>53</v>
      </c>
    </row>
    <row r="50" spans="1:10" x14ac:dyDescent="0.35">
      <c r="A50" t="s">
        <v>321</v>
      </c>
      <c r="B50" t="s">
        <v>633</v>
      </c>
      <c r="C50">
        <v>3530</v>
      </c>
      <c r="D50">
        <v>5</v>
      </c>
      <c r="E50">
        <v>35</v>
      </c>
      <c r="F50">
        <v>76</v>
      </c>
      <c r="G50">
        <v>157</v>
      </c>
      <c r="H50">
        <v>607</v>
      </c>
      <c r="I50">
        <v>660</v>
      </c>
      <c r="J50">
        <v>1990</v>
      </c>
    </row>
    <row r="51" spans="1:10" x14ac:dyDescent="0.35">
      <c r="A51" t="s">
        <v>327</v>
      </c>
      <c r="B51" t="s">
        <v>510</v>
      </c>
      <c r="C51">
        <v>55</v>
      </c>
      <c r="H51">
        <v>53</v>
      </c>
      <c r="I51">
        <v>2</v>
      </c>
    </row>
    <row r="52" spans="1:10" x14ac:dyDescent="0.35">
      <c r="A52" t="s">
        <v>327</v>
      </c>
      <c r="B52" t="s">
        <v>633</v>
      </c>
      <c r="C52">
        <v>3422</v>
      </c>
      <c r="D52">
        <v>5</v>
      </c>
      <c r="E52">
        <v>31</v>
      </c>
      <c r="F52">
        <v>71</v>
      </c>
      <c r="G52">
        <v>156</v>
      </c>
      <c r="H52">
        <v>607</v>
      </c>
      <c r="I52">
        <v>640</v>
      </c>
      <c r="J52">
        <v>1912</v>
      </c>
    </row>
    <row r="53" spans="1:10" x14ac:dyDescent="0.35">
      <c r="A53" t="s">
        <v>466</v>
      </c>
      <c r="B53" t="s">
        <v>633</v>
      </c>
      <c r="C53">
        <v>3430</v>
      </c>
      <c r="D53">
        <v>5</v>
      </c>
      <c r="E53">
        <v>30</v>
      </c>
      <c r="F53">
        <v>72</v>
      </c>
      <c r="G53">
        <v>160</v>
      </c>
      <c r="H53">
        <v>605</v>
      </c>
      <c r="I53">
        <v>622</v>
      </c>
      <c r="J53">
        <v>1936</v>
      </c>
    </row>
    <row r="54" spans="1:10" x14ac:dyDescent="0.35">
      <c r="A54" t="s">
        <v>214</v>
      </c>
      <c r="B54" t="s">
        <v>510</v>
      </c>
      <c r="C54">
        <v>18</v>
      </c>
    </row>
    <row r="55" spans="1:10" x14ac:dyDescent="0.35">
      <c r="A55" t="s">
        <v>214</v>
      </c>
      <c r="B55" t="s">
        <v>633</v>
      </c>
      <c r="C55">
        <v>3637</v>
      </c>
      <c r="D55">
        <v>4</v>
      </c>
      <c r="E55">
        <v>33</v>
      </c>
      <c r="F55">
        <v>80</v>
      </c>
      <c r="G55">
        <v>147</v>
      </c>
      <c r="H55">
        <v>611</v>
      </c>
      <c r="I55">
        <v>687</v>
      </c>
      <c r="J55">
        <v>2075</v>
      </c>
    </row>
    <row r="56" spans="1:10" x14ac:dyDescent="0.35">
      <c r="A56" t="s">
        <v>319</v>
      </c>
      <c r="B56" t="s">
        <v>512</v>
      </c>
      <c r="C56">
        <v>0</v>
      </c>
    </row>
    <row r="57" spans="1:10" x14ac:dyDescent="0.35">
      <c r="A57" t="s">
        <v>321</v>
      </c>
      <c r="B57" t="s">
        <v>609</v>
      </c>
      <c r="C57">
        <v>2758</v>
      </c>
      <c r="H57">
        <v>265</v>
      </c>
      <c r="I57">
        <v>526</v>
      </c>
      <c r="J57">
        <v>1967</v>
      </c>
    </row>
    <row r="58" spans="1:10" x14ac:dyDescent="0.35">
      <c r="A58" t="s">
        <v>326</v>
      </c>
      <c r="B58" t="s">
        <v>634</v>
      </c>
      <c r="C58">
        <v>266</v>
      </c>
      <c r="H58">
        <v>37</v>
      </c>
      <c r="I58">
        <v>40</v>
      </c>
      <c r="J58">
        <v>189</v>
      </c>
    </row>
    <row r="59" spans="1:10" x14ac:dyDescent="0.35">
      <c r="A59" t="s">
        <v>466</v>
      </c>
      <c r="B59" t="s">
        <v>510</v>
      </c>
      <c r="C59">
        <v>60</v>
      </c>
      <c r="H59">
        <v>56</v>
      </c>
      <c r="I59">
        <v>4</v>
      </c>
    </row>
    <row r="60" spans="1:10" x14ac:dyDescent="0.35">
      <c r="A60" t="s">
        <v>366</v>
      </c>
      <c r="B60" t="s">
        <v>609</v>
      </c>
      <c r="C60">
        <v>2870</v>
      </c>
      <c r="H60">
        <v>262</v>
      </c>
      <c r="I60">
        <v>543</v>
      </c>
      <c r="J60">
        <v>2065</v>
      </c>
    </row>
    <row r="61" spans="1:10" x14ac:dyDescent="0.35">
      <c r="A61" t="s">
        <v>313</v>
      </c>
      <c r="B61" t="s">
        <v>510</v>
      </c>
      <c r="C61">
        <v>36</v>
      </c>
      <c r="H61">
        <v>36</v>
      </c>
    </row>
    <row r="62" spans="1:10" x14ac:dyDescent="0.35">
      <c r="A62" t="s">
        <v>326</v>
      </c>
      <c r="B62" t="s">
        <v>510</v>
      </c>
      <c r="C62">
        <v>55</v>
      </c>
      <c r="H62">
        <v>54</v>
      </c>
      <c r="I62">
        <v>1</v>
      </c>
    </row>
    <row r="63" spans="1:10" x14ac:dyDescent="0.35">
      <c r="A63" t="s">
        <v>466</v>
      </c>
      <c r="B63" t="s">
        <v>609</v>
      </c>
      <c r="C63">
        <v>2705</v>
      </c>
      <c r="H63">
        <v>248</v>
      </c>
      <c r="I63">
        <v>514</v>
      </c>
      <c r="J63">
        <v>1943</v>
      </c>
    </row>
  </sheetData>
  <phoneticPr fontId="53" type="noConversion"/>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H10"/>
  <sheetViews>
    <sheetView zoomScale="80" zoomScaleNormal="80" workbookViewId="0">
      <selection activeCell="D6" sqref="D6"/>
    </sheetView>
  </sheetViews>
  <sheetFormatPr defaultRowHeight="14.5" x14ac:dyDescent="0.35"/>
  <cols>
    <col min="1" max="1" width="13.6328125" bestFit="1" customWidth="1"/>
    <col min="2" max="2" width="22.6328125" bestFit="1" customWidth="1"/>
    <col min="3" max="3" width="19.90625" bestFit="1" customWidth="1"/>
    <col min="4" max="4" width="21.08984375" bestFit="1" customWidth="1"/>
    <col min="5" max="5" width="22.08984375" bestFit="1" customWidth="1"/>
    <col min="6" max="6" width="21.36328125" bestFit="1" customWidth="1"/>
    <col min="7" max="7" width="20.26953125" bestFit="1" customWidth="1"/>
    <col min="8" max="8" width="16.6328125" bestFit="1" customWidth="1"/>
  </cols>
  <sheetData>
    <row r="1" spans="1:8" x14ac:dyDescent="0.35">
      <c r="A1" s="387" t="s">
        <v>207</v>
      </c>
      <c r="B1" t="s">
        <v>466</v>
      </c>
    </row>
    <row r="3" spans="1:8" x14ac:dyDescent="0.35">
      <c r="A3" s="387" t="s">
        <v>350</v>
      </c>
      <c r="B3" t="s">
        <v>635</v>
      </c>
      <c r="C3" t="s">
        <v>636</v>
      </c>
      <c r="D3" t="s">
        <v>637</v>
      </c>
      <c r="E3" t="s">
        <v>638</v>
      </c>
      <c r="F3" t="s">
        <v>639</v>
      </c>
      <c r="G3" t="s">
        <v>640</v>
      </c>
      <c r="H3" t="s">
        <v>641</v>
      </c>
    </row>
    <row r="4" spans="1:8" x14ac:dyDescent="0.35">
      <c r="A4" s="388" t="s">
        <v>511</v>
      </c>
      <c r="C4">
        <v>1</v>
      </c>
      <c r="D4">
        <v>2</v>
      </c>
      <c r="E4">
        <v>8</v>
      </c>
      <c r="F4">
        <v>37</v>
      </c>
      <c r="G4">
        <v>28</v>
      </c>
      <c r="H4">
        <v>95</v>
      </c>
    </row>
    <row r="5" spans="1:8" x14ac:dyDescent="0.35">
      <c r="A5" s="388" t="s">
        <v>609</v>
      </c>
      <c r="F5">
        <v>248</v>
      </c>
      <c r="G5">
        <v>514</v>
      </c>
      <c r="H5">
        <v>1943</v>
      </c>
    </row>
    <row r="6" spans="1:8" x14ac:dyDescent="0.35">
      <c r="A6" s="388" t="s">
        <v>510</v>
      </c>
      <c r="F6">
        <v>56</v>
      </c>
      <c r="G6">
        <v>4</v>
      </c>
    </row>
    <row r="7" spans="1:8" x14ac:dyDescent="0.35">
      <c r="A7" s="388" t="s">
        <v>634</v>
      </c>
      <c r="F7">
        <v>36</v>
      </c>
      <c r="G7">
        <v>41</v>
      </c>
      <c r="H7">
        <v>196</v>
      </c>
    </row>
    <row r="8" spans="1:8" x14ac:dyDescent="0.35">
      <c r="A8" s="388" t="s">
        <v>633</v>
      </c>
      <c r="B8">
        <v>5</v>
      </c>
      <c r="C8">
        <v>30</v>
      </c>
      <c r="D8">
        <v>72</v>
      </c>
      <c r="E8">
        <v>160</v>
      </c>
      <c r="F8">
        <v>605</v>
      </c>
      <c r="G8">
        <v>622</v>
      </c>
      <c r="H8">
        <v>1936</v>
      </c>
    </row>
    <row r="9" spans="1:8" x14ac:dyDescent="0.35">
      <c r="A9" s="388" t="s">
        <v>512</v>
      </c>
    </row>
    <row r="10" spans="1:8" x14ac:dyDescent="0.35">
      <c r="A10" s="388" t="s">
        <v>357</v>
      </c>
      <c r="B10">
        <v>5</v>
      </c>
      <c r="C10">
        <v>31</v>
      </c>
      <c r="D10">
        <v>74</v>
      </c>
      <c r="E10">
        <v>168</v>
      </c>
      <c r="F10">
        <v>982</v>
      </c>
      <c r="G10">
        <v>1209</v>
      </c>
      <c r="H10">
        <v>4170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sheetPr>
  <dimension ref="A1:K24"/>
  <sheetViews>
    <sheetView showGridLines="0" zoomScaleNormal="100" workbookViewId="0">
      <pane ySplit="2" topLeftCell="A3" activePane="bottomLeft" state="frozen"/>
      <selection pane="bottomLeft" sqref="A1:H1"/>
    </sheetView>
  </sheetViews>
  <sheetFormatPr defaultRowHeight="14.5" x14ac:dyDescent="0.35"/>
  <cols>
    <col min="1" max="1" width="31.7265625" bestFit="1" customWidth="1"/>
    <col min="2" max="9" width="12" customWidth="1"/>
  </cols>
  <sheetData>
    <row r="1" spans="1:11" ht="15.5" x14ac:dyDescent="0.35">
      <c r="A1" s="1011" t="s">
        <v>513</v>
      </c>
      <c r="B1" s="1011"/>
      <c r="C1" s="1011"/>
      <c r="D1" s="1011"/>
      <c r="E1" s="1011"/>
      <c r="F1" s="1011"/>
      <c r="G1" s="1011"/>
      <c r="H1" s="1011"/>
    </row>
    <row r="2" spans="1:11" ht="17.5" x14ac:dyDescent="0.35">
      <c r="A2" s="499" t="s">
        <v>201</v>
      </c>
      <c r="B2" s="1"/>
      <c r="C2" s="1"/>
      <c r="D2" s="1"/>
      <c r="E2" s="1"/>
      <c r="F2" s="1"/>
      <c r="G2" s="1"/>
      <c r="H2" s="1"/>
    </row>
    <row r="3" spans="1:11" ht="17.5" x14ac:dyDescent="0.35">
      <c r="A3" s="1"/>
      <c r="B3" s="1"/>
      <c r="C3" s="1"/>
      <c r="D3" s="1"/>
      <c r="E3" s="1"/>
      <c r="F3" s="1"/>
      <c r="G3" s="1"/>
      <c r="H3" s="1"/>
    </row>
    <row r="4" spans="1:11" ht="30" customHeight="1" x14ac:dyDescent="0.35">
      <c r="A4" s="1021" t="s">
        <v>642</v>
      </c>
      <c r="B4" s="1021"/>
      <c r="C4" s="1021"/>
      <c r="D4" s="1021"/>
      <c r="E4" s="1021"/>
      <c r="F4" s="1021"/>
      <c r="G4" s="1021"/>
      <c r="H4" s="1021"/>
      <c r="I4" s="1021"/>
      <c r="J4" s="1021"/>
      <c r="K4" s="1021"/>
    </row>
    <row r="5" spans="1:11" ht="15" customHeight="1" x14ac:dyDescent="0.35">
      <c r="A5" t="s">
        <v>202</v>
      </c>
      <c r="B5" t="s">
        <v>69</v>
      </c>
      <c r="C5" s="232"/>
      <c r="E5" s="232"/>
      <c r="F5" s="232"/>
      <c r="G5" s="232"/>
      <c r="H5" s="232"/>
      <c r="I5" s="232"/>
      <c r="J5" s="232"/>
      <c r="K5" s="232"/>
    </row>
    <row r="6" spans="1:11" ht="15" customHeight="1" x14ac:dyDescent="0.35">
      <c r="A6" t="s">
        <v>203</v>
      </c>
      <c r="B6" t="s">
        <v>204</v>
      </c>
      <c r="C6" s="232"/>
      <c r="D6" s="232"/>
      <c r="E6" s="232"/>
      <c r="F6" s="232"/>
      <c r="G6" s="232"/>
      <c r="H6" s="232"/>
      <c r="I6" s="232"/>
      <c r="J6" s="232"/>
      <c r="K6" s="232"/>
    </row>
    <row r="7" spans="1:11" ht="15" customHeight="1" x14ac:dyDescent="0.35">
      <c r="A7" t="s">
        <v>205</v>
      </c>
      <c r="B7" t="s">
        <v>206</v>
      </c>
      <c r="C7" s="232"/>
      <c r="D7" s="232"/>
      <c r="E7" s="232"/>
      <c r="F7" s="232"/>
      <c r="G7" s="232"/>
      <c r="H7" s="232"/>
      <c r="I7" s="232"/>
      <c r="J7" s="232"/>
      <c r="K7" s="232"/>
    </row>
    <row r="8" spans="1:11" ht="15" customHeight="1" x14ac:dyDescent="0.35">
      <c r="C8" s="232"/>
      <c r="D8" s="232"/>
      <c r="E8" s="232"/>
      <c r="F8" s="232"/>
      <c r="G8" s="232"/>
      <c r="H8" s="232"/>
      <c r="I8" s="232"/>
      <c r="J8" s="232"/>
      <c r="K8" s="232"/>
    </row>
    <row r="9" spans="1:11" ht="26.5" x14ac:dyDescent="0.35">
      <c r="A9" s="20"/>
      <c r="B9" s="3" t="s">
        <v>643</v>
      </c>
      <c r="C9" s="3" t="s">
        <v>644</v>
      </c>
      <c r="D9" s="3" t="s">
        <v>645</v>
      </c>
      <c r="E9" s="3" t="s">
        <v>646</v>
      </c>
      <c r="F9" s="3" t="s">
        <v>647</v>
      </c>
      <c r="G9" s="3" t="s">
        <v>648</v>
      </c>
      <c r="H9" s="3" t="s">
        <v>632</v>
      </c>
      <c r="I9" s="234" t="s">
        <v>612</v>
      </c>
      <c r="K9" s="15"/>
    </row>
    <row r="10" spans="1:11" ht="16.5" customHeight="1" x14ac:dyDescent="0.35">
      <c r="A10" s="12" t="s">
        <v>649</v>
      </c>
      <c r="B10" s="278">
        <f>GETPIVOTDATA("Sum of Brigade Manager",rolepivot!$A$3,"Type","WT")</f>
        <v>5</v>
      </c>
      <c r="C10" s="278">
        <f>GETPIVOTDATA("Sum of Area Manager",rolepivot!$A$3,"Type","WT")</f>
        <v>30</v>
      </c>
      <c r="D10" s="278">
        <f>GETPIVOTDATA("Sum of Group Manager",rolepivot!$A$3,"Type","WT")</f>
        <v>72</v>
      </c>
      <c r="E10" s="278">
        <f>GETPIVOTDATA("Sum of Station Manager",rolepivot!$A$3,"Type","WT")</f>
        <v>160</v>
      </c>
      <c r="F10" s="278">
        <f>GETPIVOTDATA("Sum of Watch Manager",rolepivot!$A$3,"Type","WT")</f>
        <v>605</v>
      </c>
      <c r="G10" s="278">
        <f>GETPIVOTDATA("Sum of Crew Manager",rolepivot!$A$3,"Type","WT")</f>
        <v>622</v>
      </c>
      <c r="H10" s="278">
        <f>GETPIVOTDATA("Sum of Firefighter",rolepivot!$A$3,"Type","WT")</f>
        <v>1936</v>
      </c>
      <c r="I10" s="279">
        <f>SUM(B10:H10)</f>
        <v>3430</v>
      </c>
      <c r="J10" s="15"/>
      <c r="K10" s="15"/>
    </row>
    <row r="11" spans="1:11" ht="16.5" customHeight="1" x14ac:dyDescent="0.35">
      <c r="A11" s="2" t="s">
        <v>650</v>
      </c>
      <c r="B11" s="293">
        <f>B10/$I$10</f>
        <v>1.4577259475218659E-3</v>
      </c>
      <c r="C11" s="293">
        <f t="shared" ref="C11:G11" si="0">C10/$I$10</f>
        <v>8.7463556851311956E-3</v>
      </c>
      <c r="D11" s="293">
        <f t="shared" si="0"/>
        <v>2.099125364431487E-2</v>
      </c>
      <c r="E11" s="293">
        <f t="shared" si="0"/>
        <v>4.6647230320699708E-2</v>
      </c>
      <c r="F11" s="293">
        <f t="shared" si="0"/>
        <v>0.17638483965014579</v>
      </c>
      <c r="G11" s="293">
        <f t="shared" si="0"/>
        <v>0.18134110787172011</v>
      </c>
      <c r="H11" s="293">
        <f>H10/$I$10</f>
        <v>0.56443148688046652</v>
      </c>
      <c r="I11" s="293">
        <f>I10/$I$10</f>
        <v>1</v>
      </c>
      <c r="J11" s="15"/>
      <c r="K11" s="15"/>
    </row>
    <row r="12" spans="1:11" ht="16.5" customHeight="1" x14ac:dyDescent="0.35">
      <c r="A12" s="12" t="s">
        <v>651</v>
      </c>
      <c r="B12" s="278">
        <f>GETPIVOTDATA("Sum of Brigade Manager",rolepivot!$A$3,"Type","RDS")</f>
        <v>0</v>
      </c>
      <c r="C12" s="278">
        <f>GETPIVOTDATA("Sum of Area Manager",rolepivot!$A$3,"Type","RDS")</f>
        <v>0</v>
      </c>
      <c r="D12" s="278">
        <f>GETPIVOTDATA("Sum of Group Manager",rolepivot!$A$3,"Type","RDS")</f>
        <v>0</v>
      </c>
      <c r="E12" s="278">
        <f>GETPIVOTDATA("Sum of Station Manager",rolepivot!$A$3,"Type","RDS")</f>
        <v>0</v>
      </c>
      <c r="F12" s="278">
        <f>GETPIVOTDATA("Sum of Watch Manager",rolepivot!$A$3,"Type","RDS")</f>
        <v>248</v>
      </c>
      <c r="G12" s="278">
        <f>GETPIVOTDATA("Sum of Crew Manager",rolepivot!$A$3,"Type","RDS")</f>
        <v>514</v>
      </c>
      <c r="H12" s="278">
        <f>GETPIVOTDATA("Sum of Firefighter",rolepivot!$A$3,"Type","RDS")</f>
        <v>1943</v>
      </c>
      <c r="I12" s="279">
        <f t="shared" ref="I12:I18" si="1">SUM(B12:H12)</f>
        <v>2705</v>
      </c>
      <c r="J12" s="15"/>
      <c r="K12" s="15"/>
    </row>
    <row r="13" spans="1:11" ht="16.5" customHeight="1" x14ac:dyDescent="0.35">
      <c r="A13" s="2" t="s">
        <v>652</v>
      </c>
      <c r="B13" s="294">
        <f>IF(ISBLANK(B12), "-", B12/$I$12)</f>
        <v>0</v>
      </c>
      <c r="C13" s="294">
        <f t="shared" ref="C13:G13" si="2">IF(ISBLANK(C12), "-", C12/$I$12)</f>
        <v>0</v>
      </c>
      <c r="D13" s="294">
        <f t="shared" si="2"/>
        <v>0</v>
      </c>
      <c r="E13" s="294">
        <f t="shared" si="2"/>
        <v>0</v>
      </c>
      <c r="F13" s="294">
        <f t="shared" si="2"/>
        <v>9.1682070240295746E-2</v>
      </c>
      <c r="G13" s="294">
        <f t="shared" si="2"/>
        <v>0.19001848428835491</v>
      </c>
      <c r="H13" s="294">
        <f>IF(ISBLANK(H12), "-", H12/$I$12)</f>
        <v>0.71829944547134938</v>
      </c>
      <c r="I13" s="294">
        <f>IF(ISBLANK(I12), "-", I12/$I$12)</f>
        <v>1</v>
      </c>
      <c r="J13" s="15"/>
      <c r="K13" s="15"/>
    </row>
    <row r="14" spans="1:11" ht="16.5" customHeight="1" x14ac:dyDescent="0.35">
      <c r="A14" s="12" t="s">
        <v>653</v>
      </c>
      <c r="B14" s="928">
        <f>GETPIVOTDATA("Sum of Brigade Manager",rolepivot!$A$3,"Type","RDS Fulltime")</f>
        <v>0</v>
      </c>
      <c r="C14" s="928">
        <f>GETPIVOTDATA("Sum of Area Manager",rolepivot!$A$3,"Type","RDS Fulltime")</f>
        <v>0</v>
      </c>
      <c r="D14" s="928">
        <f>GETPIVOTDATA("Sum of Group Manager",rolepivot!$A$3,"Type","RDS Fulltime")</f>
        <v>0</v>
      </c>
      <c r="E14" s="928">
        <f>GETPIVOTDATA("Sum of Station Manager",rolepivot!$A$3,"Type","RDS Fulltime")</f>
        <v>0</v>
      </c>
      <c r="F14" s="928">
        <f>GETPIVOTDATA("Sum of Watch Manager",rolepivot!$A$3,"Type","RDS Fulltime")</f>
        <v>56</v>
      </c>
      <c r="G14" s="928">
        <f>GETPIVOTDATA("Sum of Crew Manager",rolepivot!$A$3,"Type","RDS Fulltime")</f>
        <v>4</v>
      </c>
      <c r="H14" s="928">
        <f>GETPIVOTDATA("Sum of Firefighter",rolepivot!$A$3,"Type","RDS Fulltime")</f>
        <v>0</v>
      </c>
      <c r="I14" s="929">
        <f>SUM(B14:H14)</f>
        <v>60</v>
      </c>
      <c r="J14" s="15"/>
      <c r="K14" s="15"/>
    </row>
    <row r="15" spans="1:11" ht="16.5" customHeight="1" x14ac:dyDescent="0.35">
      <c r="A15" s="2" t="s">
        <v>654</v>
      </c>
      <c r="B15" s="294">
        <f>IF(ISBLANK(B14), "-", B14/$I$14)</f>
        <v>0</v>
      </c>
      <c r="C15" s="294">
        <f t="shared" ref="C15:I15" si="3">IF(ISBLANK(C14), "-", C14/$I$14)</f>
        <v>0</v>
      </c>
      <c r="D15" s="294">
        <f t="shared" si="3"/>
        <v>0</v>
      </c>
      <c r="E15" s="294">
        <f t="shared" si="3"/>
        <v>0</v>
      </c>
      <c r="F15" s="294">
        <f t="shared" si="3"/>
        <v>0.93333333333333335</v>
      </c>
      <c r="G15" s="294">
        <f t="shared" si="3"/>
        <v>6.6666666666666666E-2</v>
      </c>
      <c r="H15" s="294">
        <f t="shared" si="3"/>
        <v>0</v>
      </c>
      <c r="I15" s="294">
        <f t="shared" si="3"/>
        <v>1</v>
      </c>
      <c r="J15" s="15"/>
      <c r="K15" s="15"/>
    </row>
    <row r="16" spans="1:11" ht="16.5" customHeight="1" x14ac:dyDescent="0.35">
      <c r="A16" s="12" t="s">
        <v>655</v>
      </c>
      <c r="B16" s="278">
        <f>GETPIVOTDATA("Sum of Brigade Manager",rolepivot!$A$3,"Type","Control")</f>
        <v>0</v>
      </c>
      <c r="C16" s="278">
        <f>GETPIVOTDATA("Sum of Area Manager",rolepivot!$A$3,"Type","Control")</f>
        <v>1</v>
      </c>
      <c r="D16" s="278">
        <f>GETPIVOTDATA("Sum of Group Manager",rolepivot!$A$3,"Type","Control")</f>
        <v>2</v>
      </c>
      <c r="E16" s="278">
        <f>GETPIVOTDATA("Sum of Station Manager",rolepivot!$A$3,"Type","Control")</f>
        <v>8</v>
      </c>
      <c r="F16" s="278">
        <f>GETPIVOTDATA("Sum of Watch Manager",rolepivot!$A$3,"Type","Control")</f>
        <v>37</v>
      </c>
      <c r="G16" s="278">
        <f>GETPIVOTDATA("Sum of Crew Manager",rolepivot!$A$3,"Type","Control")</f>
        <v>28</v>
      </c>
      <c r="H16" s="278">
        <f>GETPIVOTDATA("Sum of Firefighter",rolepivot!$A$3,"Type","Control")</f>
        <v>95</v>
      </c>
      <c r="I16" s="279">
        <f t="shared" si="1"/>
        <v>171</v>
      </c>
      <c r="J16" s="15"/>
      <c r="K16" s="15"/>
    </row>
    <row r="17" spans="1:11" ht="16.5" customHeight="1" x14ac:dyDescent="0.35">
      <c r="A17" s="2" t="s">
        <v>656</v>
      </c>
      <c r="B17" s="294">
        <f>IF(ISBLANK(B16), "-", B16/$I$16)</f>
        <v>0</v>
      </c>
      <c r="C17" s="294">
        <f t="shared" ref="C17:I17" si="4">IF(ISBLANK(C16), "-", C16/$I$16)</f>
        <v>5.8479532163742687E-3</v>
      </c>
      <c r="D17" s="294">
        <f t="shared" si="4"/>
        <v>1.1695906432748537E-2</v>
      </c>
      <c r="E17" s="294">
        <f t="shared" si="4"/>
        <v>4.6783625730994149E-2</v>
      </c>
      <c r="F17" s="294">
        <f t="shared" si="4"/>
        <v>0.21637426900584794</v>
      </c>
      <c r="G17" s="294">
        <f t="shared" si="4"/>
        <v>0.16374269005847952</v>
      </c>
      <c r="H17" s="294">
        <f t="shared" si="4"/>
        <v>0.55555555555555558</v>
      </c>
      <c r="I17" s="294">
        <f t="shared" si="4"/>
        <v>1</v>
      </c>
      <c r="J17" s="15"/>
      <c r="K17" s="15"/>
    </row>
    <row r="18" spans="1:11" ht="16.5" customHeight="1" x14ac:dyDescent="0.35">
      <c r="A18" s="12" t="s">
        <v>657</v>
      </c>
      <c r="B18" s="278">
        <f>GETPIVOTDATA("Sum of Brigade Manager",rolepivot!$A$3,"Type","Vol")</f>
        <v>0</v>
      </c>
      <c r="C18" s="278">
        <f>GETPIVOTDATA("Sum of Area Manager",rolepivot!$A$3,"Type","Vol")</f>
        <v>0</v>
      </c>
      <c r="D18" s="278">
        <f>GETPIVOTDATA("Sum of Group Manager",rolepivot!$A$3,"Type","Vol")</f>
        <v>0</v>
      </c>
      <c r="E18" s="278">
        <f>GETPIVOTDATA("Sum of Station Manager",rolepivot!$A$3,"Type","Vol")</f>
        <v>0</v>
      </c>
      <c r="F18" s="278">
        <f>GETPIVOTDATA("Sum of Watch Manager",rolepivot!$A$3,"Type","Vol")</f>
        <v>36</v>
      </c>
      <c r="G18" s="278">
        <f>GETPIVOTDATA("Sum of Crew Manager",rolepivot!$A$3,"Type","Vol")</f>
        <v>41</v>
      </c>
      <c r="H18" s="278">
        <f>GETPIVOTDATA("Sum of Firefighter",rolepivot!$A$3,"Type","Vol")</f>
        <v>196</v>
      </c>
      <c r="I18" s="279">
        <f t="shared" si="1"/>
        <v>273</v>
      </c>
      <c r="J18" s="15"/>
      <c r="K18" s="15"/>
    </row>
    <row r="19" spans="1:11" ht="16.5" customHeight="1" thickBot="1" x14ac:dyDescent="0.4">
      <c r="A19" s="34" t="s">
        <v>658</v>
      </c>
      <c r="B19" s="295">
        <f>IF(ISBLANK(B18), "-", B18/$I$18)</f>
        <v>0</v>
      </c>
      <c r="C19" s="295">
        <f t="shared" ref="C19:I19" si="5">IF(ISBLANK(C18), "-", C18/$I$18)</f>
        <v>0</v>
      </c>
      <c r="D19" s="295">
        <f t="shared" si="5"/>
        <v>0</v>
      </c>
      <c r="E19" s="295">
        <f t="shared" si="5"/>
        <v>0</v>
      </c>
      <c r="F19" s="295">
        <f t="shared" si="5"/>
        <v>0.13186813186813187</v>
      </c>
      <c r="G19" s="295">
        <f t="shared" si="5"/>
        <v>0.15018315018315018</v>
      </c>
      <c r="H19" s="295">
        <f t="shared" si="5"/>
        <v>0.71794871794871795</v>
      </c>
      <c r="I19" s="295">
        <f t="shared" si="5"/>
        <v>1</v>
      </c>
      <c r="J19" s="15"/>
      <c r="K19" s="15"/>
    </row>
    <row r="20" spans="1:11" x14ac:dyDescent="0.35">
      <c r="A20" s="15"/>
      <c r="B20" s="368"/>
      <c r="C20" s="15"/>
      <c r="D20" s="15"/>
      <c r="E20" s="15"/>
      <c r="F20" s="15"/>
      <c r="G20" s="15"/>
      <c r="H20" s="15"/>
      <c r="I20" s="15"/>
      <c r="J20" s="15"/>
      <c r="K20" s="15"/>
    </row>
    <row r="21" spans="1:11" x14ac:dyDescent="0.35">
      <c r="A21" s="336" t="s">
        <v>329</v>
      </c>
      <c r="B21" s="338"/>
      <c r="C21" s="338"/>
      <c r="D21" s="338"/>
      <c r="E21" s="338"/>
      <c r="F21" s="338"/>
      <c r="G21" s="338"/>
      <c r="H21" s="338"/>
      <c r="I21" s="338"/>
      <c r="J21" s="338"/>
      <c r="K21" s="338"/>
    </row>
    <row r="22" spans="1:11" ht="45" customHeight="1" x14ac:dyDescent="0.35">
      <c r="A22" s="1020" t="s">
        <v>659</v>
      </c>
      <c r="B22" s="1020"/>
      <c r="C22" s="1020"/>
      <c r="D22" s="1020"/>
      <c r="E22" s="1020"/>
      <c r="F22" s="1020"/>
      <c r="G22" s="1020"/>
      <c r="H22" s="1020"/>
      <c r="I22" s="1020"/>
      <c r="J22" s="338"/>
      <c r="K22" s="338"/>
    </row>
    <row r="23" spans="1:11" ht="30" customHeight="1" x14ac:dyDescent="0.35">
      <c r="A23" s="1028" t="s">
        <v>660</v>
      </c>
      <c r="B23" s="1028"/>
      <c r="C23" s="1028"/>
      <c r="D23" s="1028"/>
      <c r="E23" s="1028"/>
      <c r="F23" s="1028"/>
      <c r="G23" s="1028"/>
      <c r="H23" s="1028"/>
      <c r="I23" s="1028"/>
      <c r="J23" s="337"/>
      <c r="K23" s="337"/>
    </row>
    <row r="24" spans="1:11" ht="30" customHeight="1" x14ac:dyDescent="0.35"/>
  </sheetData>
  <sheetProtection algorithmName="SHA-512" hashValue="AfuVe/XWSSCpA8dYao+LbYcEzDlj6PexLKVQ3avHQBT57Bn6Id4QU8jD/067POdrcRrjyAf49WwDcBbIDBG5gg==" saltValue="vYhcrWVXyOmbd3R9yc8stw==" spinCount="100000" sheet="1" scenarios="1" formatCells="0" sort="0" autoFilter="0" pivotTables="0"/>
  <mergeCells count="4">
    <mergeCell ref="A4:K4"/>
    <mergeCell ref="A1:H1"/>
    <mergeCell ref="A23:I23"/>
    <mergeCell ref="A22:I22"/>
  </mergeCells>
  <hyperlinks>
    <hyperlink ref="A2" location="'Table of Contents'!A1" display="Back to Table of Contents" xr:uid="{00000000-0004-0000-2A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H8"/>
  <sheetViews>
    <sheetView workbookViewId="0">
      <selection activeCell="C6" sqref="C6"/>
    </sheetView>
  </sheetViews>
  <sheetFormatPr defaultRowHeight="14.5" x14ac:dyDescent="0.35"/>
  <cols>
    <col min="1" max="1" width="24.54296875" bestFit="1" customWidth="1"/>
    <col min="2" max="2" width="24.90625" bestFit="1" customWidth="1"/>
    <col min="3" max="3" width="22.36328125" bestFit="1" customWidth="1"/>
    <col min="4" max="4" width="23.7265625" bestFit="1" customWidth="1"/>
    <col min="5" max="5" width="24.54296875" bestFit="1" customWidth="1"/>
    <col min="6" max="6" width="23.81640625" bestFit="1" customWidth="1"/>
    <col min="7" max="7" width="22.7265625" bestFit="1" customWidth="1"/>
    <col min="8" max="8" width="16.453125" bestFit="1" customWidth="1"/>
  </cols>
  <sheetData>
    <row r="1" spans="1:8" x14ac:dyDescent="0.35">
      <c r="A1" s="387" t="s">
        <v>207</v>
      </c>
      <c r="B1" t="s">
        <v>466</v>
      </c>
    </row>
    <row r="3" spans="1:8" x14ac:dyDescent="0.35">
      <c r="A3" s="387" t="s">
        <v>350</v>
      </c>
      <c r="B3" t="s">
        <v>661</v>
      </c>
      <c r="C3" t="s">
        <v>662</v>
      </c>
      <c r="D3" t="s">
        <v>663</v>
      </c>
      <c r="E3" t="s">
        <v>664</v>
      </c>
      <c r="F3" t="s">
        <v>665</v>
      </c>
      <c r="G3" t="s">
        <v>666</v>
      </c>
      <c r="H3" t="s">
        <v>641</v>
      </c>
    </row>
    <row r="4" spans="1:8" x14ac:dyDescent="0.35">
      <c r="A4" s="388" t="s">
        <v>530</v>
      </c>
      <c r="B4">
        <v>5</v>
      </c>
      <c r="C4">
        <v>30</v>
      </c>
      <c r="D4">
        <v>72</v>
      </c>
      <c r="E4">
        <v>160</v>
      </c>
      <c r="F4">
        <v>0</v>
      </c>
      <c r="G4">
        <v>0</v>
      </c>
      <c r="H4">
        <v>0</v>
      </c>
    </row>
    <row r="5" spans="1:8" x14ac:dyDescent="0.35">
      <c r="A5" s="388" t="s">
        <v>531</v>
      </c>
      <c r="B5">
        <v>0</v>
      </c>
      <c r="C5">
        <v>0</v>
      </c>
      <c r="D5">
        <v>0</v>
      </c>
      <c r="E5">
        <v>0</v>
      </c>
      <c r="F5">
        <v>236</v>
      </c>
      <c r="G5">
        <v>73</v>
      </c>
      <c r="H5">
        <v>23</v>
      </c>
    </row>
    <row r="6" spans="1:8" x14ac:dyDescent="0.35">
      <c r="A6" s="388" t="s">
        <v>667</v>
      </c>
      <c r="B6">
        <v>0</v>
      </c>
      <c r="C6">
        <v>0</v>
      </c>
      <c r="D6">
        <v>0</v>
      </c>
      <c r="E6">
        <v>0</v>
      </c>
      <c r="F6">
        <v>369</v>
      </c>
      <c r="G6">
        <v>549</v>
      </c>
      <c r="H6">
        <v>1844</v>
      </c>
    </row>
    <row r="7" spans="1:8" x14ac:dyDescent="0.35">
      <c r="A7" s="388" t="s">
        <v>532</v>
      </c>
      <c r="B7">
        <v>0</v>
      </c>
      <c r="C7">
        <v>0</v>
      </c>
      <c r="D7">
        <v>0</v>
      </c>
      <c r="E7">
        <v>0</v>
      </c>
      <c r="F7">
        <v>0</v>
      </c>
      <c r="G7">
        <v>0</v>
      </c>
      <c r="H7">
        <v>69</v>
      </c>
    </row>
    <row r="8" spans="1:8" x14ac:dyDescent="0.35">
      <c r="A8" s="388" t="s">
        <v>357</v>
      </c>
      <c r="B8">
        <v>5</v>
      </c>
      <c r="C8">
        <v>30</v>
      </c>
      <c r="D8">
        <v>72</v>
      </c>
      <c r="E8">
        <v>160</v>
      </c>
      <c r="F8">
        <v>605</v>
      </c>
      <c r="G8">
        <v>622</v>
      </c>
      <c r="H8">
        <v>1936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I29"/>
  <sheetViews>
    <sheetView workbookViewId="0">
      <selection activeCell="D7" sqref="D7"/>
    </sheetView>
  </sheetViews>
  <sheetFormatPr defaultRowHeight="14.5" x14ac:dyDescent="0.35"/>
  <cols>
    <col min="1" max="1" width="7.453125" bestFit="1" customWidth="1"/>
    <col min="2" max="2" width="23.81640625" bestFit="1" customWidth="1"/>
    <col min="3" max="3" width="20.453125" bestFit="1" customWidth="1"/>
    <col min="4" max="4" width="17.81640625" bestFit="1" customWidth="1"/>
    <col min="5" max="5" width="19.453125" bestFit="1" customWidth="1"/>
    <col min="6" max="6" width="20.1796875" bestFit="1" customWidth="1"/>
    <col min="7" max="7" width="19.54296875" bestFit="1" customWidth="1"/>
    <col min="8" max="8" width="18.26953125" bestFit="1" customWidth="1"/>
    <col min="9" max="9" width="11.7265625" bestFit="1" customWidth="1"/>
  </cols>
  <sheetData>
    <row r="1" spans="1:9" x14ac:dyDescent="0.35">
      <c r="A1" t="s">
        <v>207</v>
      </c>
      <c r="B1" t="s">
        <v>668</v>
      </c>
      <c r="C1" t="s">
        <v>643</v>
      </c>
      <c r="D1" t="s">
        <v>644</v>
      </c>
      <c r="E1" t="s">
        <v>645</v>
      </c>
      <c r="F1" t="s">
        <v>646</v>
      </c>
      <c r="G1" t="s">
        <v>647</v>
      </c>
      <c r="H1" t="s">
        <v>648</v>
      </c>
      <c r="I1" t="s">
        <v>632</v>
      </c>
    </row>
    <row r="2" spans="1:9" x14ac:dyDescent="0.35">
      <c r="A2" t="s">
        <v>214</v>
      </c>
      <c r="B2" t="s">
        <v>530</v>
      </c>
      <c r="C2">
        <v>4</v>
      </c>
      <c r="D2">
        <v>33</v>
      </c>
      <c r="E2">
        <v>80</v>
      </c>
      <c r="F2">
        <v>147</v>
      </c>
      <c r="G2">
        <v>0</v>
      </c>
      <c r="H2">
        <v>0</v>
      </c>
      <c r="I2">
        <v>0</v>
      </c>
    </row>
    <row r="3" spans="1:9" x14ac:dyDescent="0.35">
      <c r="A3" t="s">
        <v>313</v>
      </c>
      <c r="B3" t="s">
        <v>530</v>
      </c>
      <c r="C3">
        <v>6</v>
      </c>
      <c r="D3">
        <v>31</v>
      </c>
      <c r="E3">
        <v>80</v>
      </c>
      <c r="F3">
        <v>153</v>
      </c>
      <c r="G3">
        <v>0</v>
      </c>
      <c r="H3">
        <v>0</v>
      </c>
      <c r="I3">
        <v>0</v>
      </c>
    </row>
    <row r="4" spans="1:9" x14ac:dyDescent="0.35">
      <c r="A4" t="s">
        <v>319</v>
      </c>
      <c r="B4" t="s">
        <v>530</v>
      </c>
      <c r="C4">
        <v>5</v>
      </c>
      <c r="D4">
        <v>35</v>
      </c>
      <c r="E4">
        <v>79</v>
      </c>
      <c r="F4">
        <v>152</v>
      </c>
      <c r="G4">
        <v>0</v>
      </c>
      <c r="H4">
        <v>0</v>
      </c>
      <c r="I4">
        <v>0</v>
      </c>
    </row>
    <row r="5" spans="1:9" x14ac:dyDescent="0.35">
      <c r="A5" t="s">
        <v>321</v>
      </c>
      <c r="B5" t="s">
        <v>530</v>
      </c>
      <c r="C5">
        <v>5</v>
      </c>
      <c r="D5">
        <v>35</v>
      </c>
      <c r="E5">
        <v>76</v>
      </c>
      <c r="F5">
        <v>157</v>
      </c>
      <c r="G5">
        <v>0</v>
      </c>
      <c r="H5">
        <v>0</v>
      </c>
      <c r="I5">
        <v>0</v>
      </c>
    </row>
    <row r="6" spans="1:9" x14ac:dyDescent="0.35">
      <c r="A6" t="s">
        <v>326</v>
      </c>
      <c r="B6" t="s">
        <v>530</v>
      </c>
      <c r="C6">
        <v>5</v>
      </c>
      <c r="D6">
        <v>31</v>
      </c>
      <c r="E6">
        <v>78</v>
      </c>
      <c r="F6">
        <v>148</v>
      </c>
      <c r="G6">
        <v>0</v>
      </c>
      <c r="H6">
        <v>0</v>
      </c>
      <c r="I6">
        <v>0</v>
      </c>
    </row>
    <row r="7" spans="1:9" x14ac:dyDescent="0.35">
      <c r="A7" t="s">
        <v>327</v>
      </c>
      <c r="B7" t="s">
        <v>530</v>
      </c>
      <c r="C7">
        <v>5</v>
      </c>
      <c r="D7">
        <v>31</v>
      </c>
      <c r="E7">
        <v>71</v>
      </c>
      <c r="F7">
        <v>156</v>
      </c>
      <c r="G7">
        <v>0</v>
      </c>
      <c r="H7">
        <v>0</v>
      </c>
      <c r="I7">
        <v>0</v>
      </c>
    </row>
    <row r="8" spans="1:9" x14ac:dyDescent="0.35">
      <c r="A8" t="s">
        <v>466</v>
      </c>
      <c r="B8" t="s">
        <v>530</v>
      </c>
      <c r="C8">
        <v>5</v>
      </c>
      <c r="D8">
        <v>30</v>
      </c>
      <c r="E8">
        <v>72</v>
      </c>
      <c r="F8">
        <v>160</v>
      </c>
      <c r="G8">
        <v>0</v>
      </c>
      <c r="H8">
        <v>0</v>
      </c>
      <c r="I8">
        <v>0</v>
      </c>
    </row>
    <row r="9" spans="1:9" x14ac:dyDescent="0.35">
      <c r="A9" t="s">
        <v>214</v>
      </c>
      <c r="B9" t="s">
        <v>531</v>
      </c>
      <c r="C9">
        <v>0</v>
      </c>
      <c r="D9">
        <v>0</v>
      </c>
      <c r="E9">
        <v>0</v>
      </c>
      <c r="F9">
        <v>0</v>
      </c>
      <c r="G9">
        <v>234</v>
      </c>
      <c r="H9">
        <v>95</v>
      </c>
      <c r="I9">
        <v>29</v>
      </c>
    </row>
    <row r="10" spans="1:9" x14ac:dyDescent="0.35">
      <c r="A10" t="s">
        <v>313</v>
      </c>
      <c r="B10" t="s">
        <v>531</v>
      </c>
      <c r="C10">
        <v>0</v>
      </c>
      <c r="D10">
        <v>0</v>
      </c>
      <c r="E10">
        <v>0</v>
      </c>
      <c r="F10">
        <v>0</v>
      </c>
      <c r="G10">
        <v>232</v>
      </c>
      <c r="H10">
        <v>91</v>
      </c>
      <c r="I10">
        <v>28</v>
      </c>
    </row>
    <row r="11" spans="1:9" x14ac:dyDescent="0.35">
      <c r="A11" t="s">
        <v>319</v>
      </c>
      <c r="B11" t="s">
        <v>531</v>
      </c>
      <c r="C11">
        <v>0</v>
      </c>
      <c r="D11">
        <v>0</v>
      </c>
      <c r="E11">
        <v>0</v>
      </c>
      <c r="F11">
        <v>0</v>
      </c>
      <c r="G11">
        <v>231</v>
      </c>
      <c r="H11">
        <v>91</v>
      </c>
      <c r="I11">
        <v>26</v>
      </c>
    </row>
    <row r="12" spans="1:9" x14ac:dyDescent="0.35">
      <c r="A12" t="s">
        <v>321</v>
      </c>
      <c r="B12" t="s">
        <v>531</v>
      </c>
      <c r="C12">
        <v>0</v>
      </c>
      <c r="D12">
        <v>0</v>
      </c>
      <c r="E12">
        <v>0</v>
      </c>
      <c r="F12">
        <v>0</v>
      </c>
      <c r="G12">
        <v>234</v>
      </c>
      <c r="H12">
        <v>88</v>
      </c>
      <c r="I12">
        <v>27</v>
      </c>
    </row>
    <row r="13" spans="1:9" x14ac:dyDescent="0.35">
      <c r="A13" t="s">
        <v>326</v>
      </c>
      <c r="B13" t="s">
        <v>531</v>
      </c>
      <c r="C13">
        <v>0</v>
      </c>
      <c r="D13">
        <v>0</v>
      </c>
      <c r="E13">
        <v>0</v>
      </c>
      <c r="F13">
        <v>0</v>
      </c>
      <c r="G13">
        <v>225</v>
      </c>
      <c r="H13">
        <v>81</v>
      </c>
      <c r="I13">
        <v>21</v>
      </c>
    </row>
    <row r="14" spans="1:9" x14ac:dyDescent="0.35">
      <c r="A14" t="s">
        <v>327</v>
      </c>
      <c r="B14" t="s">
        <v>531</v>
      </c>
      <c r="C14">
        <v>0</v>
      </c>
      <c r="D14">
        <v>0</v>
      </c>
      <c r="E14">
        <v>0</v>
      </c>
      <c r="F14">
        <v>0</v>
      </c>
      <c r="G14">
        <v>232</v>
      </c>
      <c r="H14">
        <v>82</v>
      </c>
      <c r="I14">
        <v>21</v>
      </c>
    </row>
    <row r="15" spans="1:9" x14ac:dyDescent="0.35">
      <c r="A15" t="s">
        <v>466</v>
      </c>
      <c r="B15" t="s">
        <v>531</v>
      </c>
      <c r="C15">
        <v>0</v>
      </c>
      <c r="D15">
        <v>0</v>
      </c>
      <c r="E15">
        <v>0</v>
      </c>
      <c r="F15">
        <v>0</v>
      </c>
      <c r="G15">
        <v>236</v>
      </c>
      <c r="H15">
        <v>73</v>
      </c>
      <c r="I15">
        <v>23</v>
      </c>
    </row>
    <row r="16" spans="1:9" x14ac:dyDescent="0.35">
      <c r="A16" t="s">
        <v>214</v>
      </c>
      <c r="B16" t="s">
        <v>667</v>
      </c>
      <c r="C16">
        <v>0</v>
      </c>
      <c r="D16">
        <v>0</v>
      </c>
      <c r="E16">
        <v>0</v>
      </c>
      <c r="F16">
        <v>0</v>
      </c>
      <c r="G16">
        <v>377</v>
      </c>
      <c r="H16">
        <v>592</v>
      </c>
      <c r="I16">
        <v>1986</v>
      </c>
    </row>
    <row r="17" spans="1:9" x14ac:dyDescent="0.35">
      <c r="A17" t="s">
        <v>313</v>
      </c>
      <c r="B17" t="s">
        <v>667</v>
      </c>
      <c r="C17">
        <v>0</v>
      </c>
      <c r="D17">
        <v>0</v>
      </c>
      <c r="E17">
        <v>0</v>
      </c>
      <c r="F17">
        <v>0</v>
      </c>
      <c r="G17">
        <v>376</v>
      </c>
      <c r="H17">
        <v>597</v>
      </c>
      <c r="I17">
        <v>1993</v>
      </c>
    </row>
    <row r="18" spans="1:9" x14ac:dyDescent="0.35">
      <c r="A18" t="s">
        <v>319</v>
      </c>
      <c r="B18" t="s">
        <v>667</v>
      </c>
      <c r="C18">
        <v>0</v>
      </c>
      <c r="D18">
        <v>0</v>
      </c>
      <c r="E18">
        <v>0</v>
      </c>
      <c r="F18">
        <v>0</v>
      </c>
      <c r="G18">
        <v>372</v>
      </c>
      <c r="H18">
        <v>596</v>
      </c>
      <c r="I18">
        <v>1935</v>
      </c>
    </row>
    <row r="19" spans="1:9" x14ac:dyDescent="0.35">
      <c r="A19" t="s">
        <v>321</v>
      </c>
      <c r="B19" t="s">
        <v>667</v>
      </c>
      <c r="C19">
        <v>0</v>
      </c>
      <c r="D19">
        <v>0</v>
      </c>
      <c r="E19">
        <v>0</v>
      </c>
      <c r="F19">
        <v>0</v>
      </c>
      <c r="G19">
        <v>373</v>
      </c>
      <c r="H19">
        <v>572</v>
      </c>
      <c r="I19">
        <v>1898</v>
      </c>
    </row>
    <row r="20" spans="1:9" x14ac:dyDescent="0.35">
      <c r="A20" t="s">
        <v>326</v>
      </c>
      <c r="B20" t="s">
        <v>667</v>
      </c>
      <c r="C20">
        <v>0</v>
      </c>
      <c r="D20">
        <v>0</v>
      </c>
      <c r="E20">
        <v>0</v>
      </c>
      <c r="F20">
        <v>0</v>
      </c>
      <c r="G20">
        <v>376</v>
      </c>
      <c r="H20">
        <v>574</v>
      </c>
      <c r="I20">
        <v>1848</v>
      </c>
    </row>
    <row r="21" spans="1:9" x14ac:dyDescent="0.35">
      <c r="A21" t="s">
        <v>327</v>
      </c>
      <c r="B21" t="s">
        <v>667</v>
      </c>
      <c r="C21">
        <v>0</v>
      </c>
      <c r="D21">
        <v>0</v>
      </c>
      <c r="E21">
        <v>0</v>
      </c>
      <c r="F21">
        <v>0</v>
      </c>
      <c r="G21">
        <v>375</v>
      </c>
      <c r="H21">
        <v>558</v>
      </c>
      <c r="I21">
        <v>1890</v>
      </c>
    </row>
    <row r="22" spans="1:9" x14ac:dyDescent="0.35">
      <c r="A22" t="s">
        <v>466</v>
      </c>
      <c r="B22" t="s">
        <v>667</v>
      </c>
      <c r="C22">
        <v>0</v>
      </c>
      <c r="D22">
        <v>0</v>
      </c>
      <c r="E22">
        <v>0</v>
      </c>
      <c r="F22">
        <v>0</v>
      </c>
      <c r="G22">
        <v>369</v>
      </c>
      <c r="H22">
        <v>549</v>
      </c>
      <c r="I22">
        <v>1844</v>
      </c>
    </row>
    <row r="23" spans="1:9" x14ac:dyDescent="0.35">
      <c r="A23" t="s">
        <v>214</v>
      </c>
      <c r="B23" t="s">
        <v>532</v>
      </c>
      <c r="C23">
        <v>0</v>
      </c>
      <c r="D23">
        <v>0</v>
      </c>
      <c r="E23">
        <v>0</v>
      </c>
      <c r="F23">
        <v>0</v>
      </c>
      <c r="G23">
        <v>0</v>
      </c>
      <c r="H23">
        <v>0</v>
      </c>
      <c r="I23">
        <v>60</v>
      </c>
    </row>
    <row r="24" spans="1:9" x14ac:dyDescent="0.35">
      <c r="A24" t="s">
        <v>313</v>
      </c>
      <c r="B24" t="s">
        <v>532</v>
      </c>
      <c r="C24">
        <v>0</v>
      </c>
      <c r="D24">
        <v>0</v>
      </c>
      <c r="E24">
        <v>0</v>
      </c>
      <c r="F24">
        <v>0</v>
      </c>
      <c r="G24">
        <v>0</v>
      </c>
      <c r="H24">
        <v>0</v>
      </c>
      <c r="I24">
        <v>49</v>
      </c>
    </row>
    <row r="25" spans="1:9" x14ac:dyDescent="0.35">
      <c r="A25" t="s">
        <v>319</v>
      </c>
      <c r="B25" t="s">
        <v>532</v>
      </c>
      <c r="C25">
        <v>0</v>
      </c>
      <c r="D25">
        <v>0</v>
      </c>
      <c r="E25">
        <v>0</v>
      </c>
      <c r="F25">
        <v>0</v>
      </c>
      <c r="G25">
        <v>0</v>
      </c>
      <c r="H25">
        <v>0</v>
      </c>
      <c r="I25">
        <v>59</v>
      </c>
    </row>
    <row r="26" spans="1:9" x14ac:dyDescent="0.35">
      <c r="A26" t="s">
        <v>321</v>
      </c>
      <c r="B26" t="s">
        <v>532</v>
      </c>
      <c r="C26">
        <v>0</v>
      </c>
      <c r="D26">
        <v>0</v>
      </c>
      <c r="E26">
        <v>0</v>
      </c>
      <c r="F26">
        <v>0</v>
      </c>
      <c r="G26">
        <v>0</v>
      </c>
      <c r="H26">
        <v>0</v>
      </c>
      <c r="I26">
        <v>65</v>
      </c>
    </row>
    <row r="27" spans="1:9" x14ac:dyDescent="0.35">
      <c r="A27" t="s">
        <v>326</v>
      </c>
      <c r="B27" t="s">
        <v>532</v>
      </c>
      <c r="C27">
        <v>0</v>
      </c>
      <c r="D27">
        <v>0</v>
      </c>
      <c r="E27">
        <v>0</v>
      </c>
      <c r="F27">
        <v>0</v>
      </c>
      <c r="G27">
        <v>0</v>
      </c>
      <c r="H27">
        <v>0</v>
      </c>
      <c r="I27">
        <v>103</v>
      </c>
    </row>
    <row r="28" spans="1:9" x14ac:dyDescent="0.35">
      <c r="A28" t="s">
        <v>327</v>
      </c>
      <c r="B28" t="s">
        <v>532</v>
      </c>
      <c r="C28">
        <v>0</v>
      </c>
      <c r="D28">
        <v>0</v>
      </c>
      <c r="E28">
        <v>0</v>
      </c>
      <c r="F28">
        <v>0</v>
      </c>
      <c r="G28">
        <v>0</v>
      </c>
      <c r="H28">
        <v>0</v>
      </c>
      <c r="I28">
        <v>1</v>
      </c>
    </row>
    <row r="29" spans="1:9" x14ac:dyDescent="0.35">
      <c r="A29" t="s">
        <v>466</v>
      </c>
      <c r="B29" t="s">
        <v>532</v>
      </c>
      <c r="C29">
        <v>0</v>
      </c>
      <c r="D29">
        <v>0</v>
      </c>
      <c r="E29">
        <v>0</v>
      </c>
      <c r="F29">
        <v>0</v>
      </c>
      <c r="G29">
        <v>0</v>
      </c>
      <c r="H29">
        <v>0</v>
      </c>
      <c r="I29">
        <v>69</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sheetPr>
  <dimension ref="A1:I20"/>
  <sheetViews>
    <sheetView showGridLines="0" zoomScaleNormal="100" workbookViewId="0">
      <pane ySplit="2" topLeftCell="A3" activePane="bottomLeft" state="frozen"/>
      <selection pane="bottomLeft"/>
    </sheetView>
  </sheetViews>
  <sheetFormatPr defaultRowHeight="14.5" x14ac:dyDescent="0.35"/>
  <cols>
    <col min="1" max="1" width="27" customWidth="1"/>
    <col min="2" max="9" width="12.453125" customWidth="1"/>
    <col min="10" max="10" width="15.54296875" bestFit="1" customWidth="1"/>
    <col min="11" max="11" width="14.81640625" bestFit="1" customWidth="1"/>
  </cols>
  <sheetData>
    <row r="1" spans="1:9" ht="15.5" x14ac:dyDescent="0.35">
      <c r="A1" s="514" t="s">
        <v>513</v>
      </c>
    </row>
    <row r="2" spans="1:9" x14ac:dyDescent="0.35">
      <c r="A2" s="499" t="s">
        <v>201</v>
      </c>
    </row>
    <row r="3" spans="1:9" ht="17.5" x14ac:dyDescent="0.35">
      <c r="A3" s="1"/>
      <c r="B3" s="1"/>
      <c r="C3" s="1"/>
      <c r="D3" s="1"/>
      <c r="E3" s="1"/>
      <c r="F3" s="1"/>
    </row>
    <row r="4" spans="1:9" ht="15.5" x14ac:dyDescent="0.35">
      <c r="A4" s="439" t="s">
        <v>669</v>
      </c>
      <c r="B4" s="439"/>
      <c r="C4" s="439"/>
      <c r="D4" s="439"/>
      <c r="E4" s="439"/>
      <c r="F4" s="439"/>
    </row>
    <row r="5" spans="1:9" x14ac:dyDescent="0.35">
      <c r="A5" t="s">
        <v>202</v>
      </c>
      <c r="B5" t="s">
        <v>70</v>
      </c>
    </row>
    <row r="6" spans="1:9" x14ac:dyDescent="0.35">
      <c r="A6" t="s">
        <v>203</v>
      </c>
      <c r="B6" t="s">
        <v>204</v>
      </c>
    </row>
    <row r="7" spans="1:9" x14ac:dyDescent="0.35">
      <c r="A7" t="s">
        <v>205</v>
      </c>
      <c r="B7" t="s">
        <v>206</v>
      </c>
    </row>
    <row r="9" spans="1:9" x14ac:dyDescent="0.35">
      <c r="A9" s="36" t="s">
        <v>207</v>
      </c>
    </row>
    <row r="10" spans="1:9" x14ac:dyDescent="0.35">
      <c r="A10" s="39" t="str">
        <f>roledutysystempivot!B1</f>
        <v>2024-25</v>
      </c>
    </row>
    <row r="11" spans="1:9" ht="26.5" x14ac:dyDescent="0.35">
      <c r="A11" s="2" t="s">
        <v>52</v>
      </c>
      <c r="B11" s="3" t="s">
        <v>643</v>
      </c>
      <c r="C11" s="3" t="s">
        <v>644</v>
      </c>
      <c r="D11" s="3" t="s">
        <v>645</v>
      </c>
      <c r="E11" s="3" t="s">
        <v>646</v>
      </c>
      <c r="F11" s="3" t="s">
        <v>647</v>
      </c>
      <c r="G11" s="3" t="s">
        <v>648</v>
      </c>
      <c r="H11" s="3" t="s">
        <v>632</v>
      </c>
      <c r="I11" s="234" t="s">
        <v>612</v>
      </c>
    </row>
    <row r="12" spans="1:9" x14ac:dyDescent="0.35">
      <c r="A12" s="5" t="s">
        <v>530</v>
      </c>
      <c r="B12" s="262">
        <f>GETPIVOTDATA("Sum of Brigade Commander",roledutysystempivot!$A$3,"EmployeeGroup",A12)</f>
        <v>5</v>
      </c>
      <c r="C12" s="262">
        <f>GETPIVOTDATA("Sum of Area Commander",roledutysystempivot!$A$3,"EmployeeGroup",A12)</f>
        <v>30</v>
      </c>
      <c r="D12" s="262">
        <f>GETPIVOTDATA("Sum of Group Commander",roledutysystempivot!$A$3,"EmployeeGroup",A12)</f>
        <v>72</v>
      </c>
      <c r="E12" s="262">
        <f>GETPIVOTDATA("Sum of Station Commander",roledutysystempivot!$A$3,"EmployeeGroup",A12)</f>
        <v>160</v>
      </c>
      <c r="F12" s="262">
        <f>GETPIVOTDATA("Sum of Watch Commander",roledutysystempivot!$A$3,"EmployeeGroup",A12)</f>
        <v>0</v>
      </c>
      <c r="G12" s="262">
        <f>GETPIVOTDATA("Sum of Crew Commander",roledutysystempivot!$A$3,"EmployeeGroup",A12)</f>
        <v>0</v>
      </c>
      <c r="H12" s="262">
        <f>GETPIVOTDATA("Sum of Firefighter",roledutysystempivot!$A$3,"EmployeeGroup",A12)</f>
        <v>0</v>
      </c>
      <c r="I12" s="610">
        <f>SUM(B12:H12)</f>
        <v>267</v>
      </c>
    </row>
    <row r="13" spans="1:9" x14ac:dyDescent="0.35">
      <c r="A13" s="5" t="s">
        <v>667</v>
      </c>
      <c r="B13" s="262">
        <f>roledutysystempivot!B6</f>
        <v>0</v>
      </c>
      <c r="C13" s="262">
        <f>roledutysystempivot!C6</f>
        <v>0</v>
      </c>
      <c r="D13" s="262">
        <f>roledutysystempivot!D6</f>
        <v>0</v>
      </c>
      <c r="E13" s="262">
        <f>roledutysystempivot!E6</f>
        <v>0</v>
      </c>
      <c r="F13" s="262">
        <f>roledutysystempivot!F6</f>
        <v>369</v>
      </c>
      <c r="G13" s="262">
        <f>roledutysystempivot!G6</f>
        <v>549</v>
      </c>
      <c r="H13" s="262">
        <f>roledutysystempivot!H6</f>
        <v>1844</v>
      </c>
      <c r="I13" s="610">
        <f t="shared" ref="I13:I16" si="0">SUM(B13:H13)</f>
        <v>2762</v>
      </c>
    </row>
    <row r="14" spans="1:9" x14ac:dyDescent="0.35">
      <c r="A14" s="5" t="s">
        <v>534</v>
      </c>
      <c r="B14" s="262">
        <f>roledutysystempivot!B5</f>
        <v>0</v>
      </c>
      <c r="C14" s="262">
        <f>roledutysystempivot!C5</f>
        <v>0</v>
      </c>
      <c r="D14" s="262">
        <f>roledutysystempivot!D5</f>
        <v>0</v>
      </c>
      <c r="E14" s="262">
        <f>roledutysystempivot!E5</f>
        <v>0</v>
      </c>
      <c r="F14" s="262">
        <f>roledutysystempivot!F5</f>
        <v>236</v>
      </c>
      <c r="G14" s="262">
        <f>roledutysystempivot!G5</f>
        <v>73</v>
      </c>
      <c r="H14" s="262">
        <f>roledutysystempivot!H5</f>
        <v>23</v>
      </c>
      <c r="I14" s="610">
        <f>SUM(B14:H14)</f>
        <v>332</v>
      </c>
    </row>
    <row r="15" spans="1:9" x14ac:dyDescent="0.35">
      <c r="A15" s="5" t="s">
        <v>532</v>
      </c>
      <c r="B15" s="262">
        <f>roledutysystempivot!B7</f>
        <v>0</v>
      </c>
      <c r="C15" s="262">
        <f>roledutysystempivot!C7</f>
        <v>0</v>
      </c>
      <c r="D15" s="262">
        <f>roledutysystempivot!D7</f>
        <v>0</v>
      </c>
      <c r="E15" s="262">
        <f>roledutysystempivot!E7</f>
        <v>0</v>
      </c>
      <c r="F15" s="262">
        <f>roledutysystempivot!F7</f>
        <v>0</v>
      </c>
      <c r="G15" s="262">
        <f>roledutysystempivot!G7</f>
        <v>0</v>
      </c>
      <c r="H15" s="262">
        <f>roledutysystempivot!H7</f>
        <v>69</v>
      </c>
      <c r="I15" s="610">
        <f t="shared" si="0"/>
        <v>69</v>
      </c>
    </row>
    <row r="16" spans="1:9" ht="15" thickBot="1" x14ac:dyDescent="0.4">
      <c r="A16" s="718" t="s">
        <v>340</v>
      </c>
      <c r="B16" s="719">
        <f>SUM(B12:B15)</f>
        <v>5</v>
      </c>
      <c r="C16" s="719">
        <f t="shared" ref="C16:H16" si="1">SUM(C12:C15)</f>
        <v>30</v>
      </c>
      <c r="D16" s="719">
        <f t="shared" si="1"/>
        <v>72</v>
      </c>
      <c r="E16" s="719">
        <f t="shared" si="1"/>
        <v>160</v>
      </c>
      <c r="F16" s="719">
        <f t="shared" si="1"/>
        <v>605</v>
      </c>
      <c r="G16" s="719">
        <f t="shared" si="1"/>
        <v>622</v>
      </c>
      <c r="H16" s="719">
        <f t="shared" si="1"/>
        <v>1936</v>
      </c>
      <c r="I16" s="719">
        <f t="shared" si="0"/>
        <v>3430</v>
      </c>
    </row>
    <row r="18" spans="1:9" x14ac:dyDescent="0.35">
      <c r="A18" s="312" t="s">
        <v>329</v>
      </c>
    </row>
    <row r="19" spans="1:9" ht="48.65" customHeight="1" x14ac:dyDescent="0.35">
      <c r="A19" s="1010" t="s">
        <v>535</v>
      </c>
      <c r="B19" s="1010"/>
      <c r="C19" s="1010"/>
      <c r="D19" s="1010"/>
      <c r="E19" s="1010"/>
      <c r="F19" s="1010"/>
      <c r="G19" s="1010"/>
      <c r="H19" s="1010"/>
      <c r="I19" s="1010"/>
    </row>
    <row r="20" spans="1:9" ht="46.5" customHeight="1" x14ac:dyDescent="0.35">
      <c r="A20" s="1020" t="s">
        <v>659</v>
      </c>
      <c r="B20" s="1020"/>
      <c r="C20" s="1020"/>
      <c r="D20" s="1020"/>
      <c r="E20" s="1020"/>
      <c r="F20" s="1020"/>
      <c r="G20" s="1020"/>
      <c r="H20" s="1020"/>
      <c r="I20" s="1020"/>
    </row>
  </sheetData>
  <sheetProtection algorithmName="SHA-512" hashValue="SLX//mfKs+I1z/yOjE7x7aZEn75qMJhqI5YM/g1IJZ//cObDkJ6Oj/nxis001uPS7c9zZaAun2c+QTLch0Y4Vg==" saltValue="m3P6nNqUUWQ671lb95BTcg==" spinCount="100000" sheet="1" scenarios="1" formatCells="0" sort="0" autoFilter="0" pivotTables="0"/>
  <mergeCells count="2">
    <mergeCell ref="A20:I20"/>
    <mergeCell ref="A19:I19"/>
  </mergeCells>
  <hyperlinks>
    <hyperlink ref="A2" location="'Table of Contents'!A1" display="Back to Table of Contents" xr:uid="{00000000-0004-0000-2D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H8"/>
  <sheetViews>
    <sheetView workbookViewId="0">
      <selection activeCell="C7" sqref="C7"/>
    </sheetView>
  </sheetViews>
  <sheetFormatPr defaultRowHeight="14.5" x14ac:dyDescent="0.35"/>
  <cols>
    <col min="1" max="1" width="13.90625" bestFit="1" customWidth="1"/>
    <col min="2" max="2" width="21.90625" bestFit="1" customWidth="1"/>
    <col min="3" max="3" width="19.36328125" bestFit="1" customWidth="1"/>
    <col min="4" max="4" width="20.81640625" bestFit="1" customWidth="1"/>
    <col min="5" max="5" width="21.54296875" bestFit="1" customWidth="1"/>
    <col min="6" max="6" width="21" bestFit="1" customWidth="1"/>
    <col min="7" max="7" width="19.7265625" bestFit="1" customWidth="1"/>
    <col min="8" max="8" width="16.453125" bestFit="1" customWidth="1"/>
  </cols>
  <sheetData>
    <row r="1" spans="1:8" x14ac:dyDescent="0.35">
      <c r="A1" s="387" t="s">
        <v>207</v>
      </c>
      <c r="B1" t="s">
        <v>466</v>
      </c>
    </row>
    <row r="3" spans="1:8" x14ac:dyDescent="0.35">
      <c r="A3" s="387" t="s">
        <v>350</v>
      </c>
      <c r="B3" t="s">
        <v>635</v>
      </c>
      <c r="C3" t="s">
        <v>636</v>
      </c>
      <c r="D3" t="s">
        <v>637</v>
      </c>
      <c r="E3" t="s">
        <v>638</v>
      </c>
      <c r="F3" t="s">
        <v>639</v>
      </c>
      <c r="G3" t="s">
        <v>640</v>
      </c>
      <c r="H3" t="s">
        <v>641</v>
      </c>
    </row>
    <row r="4" spans="1:8" x14ac:dyDescent="0.35">
      <c r="A4" s="388" t="s">
        <v>536</v>
      </c>
      <c r="F4">
        <v>396</v>
      </c>
      <c r="G4">
        <v>551</v>
      </c>
      <c r="H4">
        <v>1845</v>
      </c>
    </row>
    <row r="5" spans="1:8" x14ac:dyDescent="0.35">
      <c r="A5" s="388" t="s">
        <v>539</v>
      </c>
      <c r="C5">
        <v>14</v>
      </c>
      <c r="D5">
        <v>47</v>
      </c>
      <c r="E5">
        <v>112</v>
      </c>
      <c r="F5">
        <v>77</v>
      </c>
      <c r="G5">
        <v>8</v>
      </c>
      <c r="H5">
        <v>21</v>
      </c>
    </row>
    <row r="6" spans="1:8" x14ac:dyDescent="0.35">
      <c r="A6" s="388" t="s">
        <v>541</v>
      </c>
      <c r="C6">
        <v>4</v>
      </c>
      <c r="D6">
        <v>9</v>
      </c>
      <c r="E6">
        <v>24</v>
      </c>
      <c r="F6">
        <v>101</v>
      </c>
      <c r="G6">
        <v>62</v>
      </c>
      <c r="H6">
        <v>69</v>
      </c>
    </row>
    <row r="7" spans="1:8" x14ac:dyDescent="0.35">
      <c r="A7" s="388" t="s">
        <v>543</v>
      </c>
      <c r="B7">
        <v>5</v>
      </c>
      <c r="C7">
        <v>12</v>
      </c>
      <c r="D7">
        <v>16</v>
      </c>
      <c r="E7">
        <v>24</v>
      </c>
      <c r="F7">
        <v>31</v>
      </c>
      <c r="G7">
        <v>1</v>
      </c>
      <c r="H7">
        <v>1</v>
      </c>
    </row>
    <row r="8" spans="1:8" x14ac:dyDescent="0.35">
      <c r="A8" s="388" t="s">
        <v>357</v>
      </c>
      <c r="B8">
        <v>5</v>
      </c>
      <c r="C8">
        <v>30</v>
      </c>
      <c r="D8">
        <v>72</v>
      </c>
      <c r="E8">
        <v>160</v>
      </c>
      <c r="F8">
        <v>605</v>
      </c>
      <c r="G8">
        <v>622</v>
      </c>
      <c r="H8">
        <v>1936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sheetPr>
  <dimension ref="A1:J49"/>
  <sheetViews>
    <sheetView topLeftCell="A2" workbookViewId="0">
      <selection activeCell="D8" sqref="D8"/>
    </sheetView>
  </sheetViews>
  <sheetFormatPr defaultRowHeight="14.5" x14ac:dyDescent="0.35"/>
  <cols>
    <col min="1" max="1" width="7.453125" bestFit="1" customWidth="1"/>
    <col min="2" max="2" width="16.1796875" bestFit="1" customWidth="1"/>
    <col min="3" max="3" width="17.7265625" bestFit="1" customWidth="1"/>
    <col min="4" max="4" width="15.26953125" bestFit="1" customWidth="1"/>
    <col min="5" max="5" width="16.6328125" bestFit="1" customWidth="1"/>
    <col min="6" max="6" width="17.26953125" bestFit="1" customWidth="1"/>
    <col min="7" max="7" width="16.7265625" bestFit="1" customWidth="1"/>
    <col min="8" max="8" width="15.6328125" bestFit="1" customWidth="1"/>
    <col min="9" max="9" width="12.26953125" bestFit="1" customWidth="1"/>
    <col min="10" max="10" width="7.453125" bestFit="1" customWidth="1"/>
  </cols>
  <sheetData>
    <row r="1" spans="1:10" x14ac:dyDescent="0.35">
      <c r="A1" t="s">
        <v>207</v>
      </c>
      <c r="B1" t="s">
        <v>546</v>
      </c>
      <c r="C1" t="s">
        <v>626</v>
      </c>
      <c r="D1" t="s">
        <v>627</v>
      </c>
      <c r="E1" t="s">
        <v>628</v>
      </c>
      <c r="F1" t="s">
        <v>629</v>
      </c>
      <c r="G1" t="s">
        <v>630</v>
      </c>
      <c r="H1" t="s">
        <v>631</v>
      </c>
      <c r="I1" t="s">
        <v>632</v>
      </c>
      <c r="J1" t="s">
        <v>340</v>
      </c>
    </row>
    <row r="2" spans="1:10" x14ac:dyDescent="0.35">
      <c r="A2" t="s">
        <v>364</v>
      </c>
      <c r="B2" t="s">
        <v>536</v>
      </c>
      <c r="F2">
        <v>13</v>
      </c>
      <c r="G2">
        <v>416</v>
      </c>
      <c r="H2">
        <v>608</v>
      </c>
      <c r="I2">
        <v>2355</v>
      </c>
    </row>
    <row r="3" spans="1:10" x14ac:dyDescent="0.35">
      <c r="A3" t="s">
        <v>366</v>
      </c>
      <c r="B3" t="s">
        <v>539</v>
      </c>
      <c r="D3">
        <v>14</v>
      </c>
      <c r="E3">
        <v>62</v>
      </c>
      <c r="F3">
        <v>91</v>
      </c>
      <c r="G3">
        <v>133</v>
      </c>
      <c r="H3">
        <v>50</v>
      </c>
      <c r="I3">
        <v>35</v>
      </c>
    </row>
    <row r="4" spans="1:10" x14ac:dyDescent="0.35">
      <c r="A4" t="s">
        <v>321</v>
      </c>
      <c r="B4" t="s">
        <v>543</v>
      </c>
      <c r="C4">
        <v>5</v>
      </c>
      <c r="D4">
        <v>16</v>
      </c>
      <c r="E4">
        <v>20</v>
      </c>
      <c r="F4">
        <v>19</v>
      </c>
      <c r="G4">
        <v>28</v>
      </c>
      <c r="J4">
        <v>88</v>
      </c>
    </row>
    <row r="5" spans="1:10" x14ac:dyDescent="0.35">
      <c r="A5" t="s">
        <v>326</v>
      </c>
      <c r="B5" t="s">
        <v>536</v>
      </c>
      <c r="G5">
        <v>403</v>
      </c>
      <c r="H5">
        <v>585</v>
      </c>
      <c r="I5">
        <v>1849</v>
      </c>
      <c r="J5">
        <v>2837</v>
      </c>
    </row>
    <row r="6" spans="1:10" x14ac:dyDescent="0.35">
      <c r="A6" t="s">
        <v>214</v>
      </c>
      <c r="B6" t="s">
        <v>541</v>
      </c>
      <c r="D6">
        <v>3</v>
      </c>
      <c r="E6">
        <v>14</v>
      </c>
      <c r="F6">
        <v>24</v>
      </c>
      <c r="G6">
        <v>64</v>
      </c>
      <c r="H6">
        <v>41</v>
      </c>
      <c r="J6">
        <v>146</v>
      </c>
    </row>
    <row r="7" spans="1:10" x14ac:dyDescent="0.35">
      <c r="A7" t="s">
        <v>319</v>
      </c>
      <c r="B7" t="s">
        <v>541</v>
      </c>
      <c r="D7">
        <v>6</v>
      </c>
      <c r="E7">
        <v>9</v>
      </c>
      <c r="F7">
        <v>16</v>
      </c>
      <c r="G7">
        <v>87</v>
      </c>
      <c r="H7">
        <v>36</v>
      </c>
      <c r="I7">
        <v>58</v>
      </c>
      <c r="J7">
        <v>212</v>
      </c>
    </row>
    <row r="8" spans="1:10" x14ac:dyDescent="0.35">
      <c r="A8" t="s">
        <v>321</v>
      </c>
      <c r="B8" t="s">
        <v>536</v>
      </c>
      <c r="G8">
        <v>373</v>
      </c>
      <c r="H8">
        <v>572</v>
      </c>
      <c r="I8">
        <v>1898</v>
      </c>
      <c r="J8">
        <v>2843</v>
      </c>
    </row>
    <row r="9" spans="1:10" x14ac:dyDescent="0.35">
      <c r="A9" t="s">
        <v>466</v>
      </c>
      <c r="B9" t="s">
        <v>539</v>
      </c>
      <c r="D9">
        <v>14</v>
      </c>
      <c r="E9">
        <v>47</v>
      </c>
      <c r="F9">
        <v>112</v>
      </c>
      <c r="G9">
        <v>77</v>
      </c>
      <c r="H9">
        <v>8</v>
      </c>
      <c r="I9">
        <v>21</v>
      </c>
      <c r="J9">
        <v>279</v>
      </c>
    </row>
    <row r="10" spans="1:10" x14ac:dyDescent="0.35">
      <c r="A10" t="s">
        <v>364</v>
      </c>
      <c r="B10" t="s">
        <v>543</v>
      </c>
      <c r="C10">
        <v>6</v>
      </c>
      <c r="D10">
        <v>5</v>
      </c>
      <c r="E10">
        <v>22</v>
      </c>
      <c r="F10">
        <v>5</v>
      </c>
      <c r="G10">
        <v>11</v>
      </c>
      <c r="H10">
        <v>7</v>
      </c>
    </row>
    <row r="11" spans="1:10" x14ac:dyDescent="0.35">
      <c r="A11" t="s">
        <v>366</v>
      </c>
      <c r="B11" t="s">
        <v>543</v>
      </c>
      <c r="C11">
        <v>4</v>
      </c>
      <c r="D11">
        <v>18</v>
      </c>
      <c r="E11">
        <v>19</v>
      </c>
      <c r="F11">
        <v>19</v>
      </c>
      <c r="G11">
        <v>93</v>
      </c>
      <c r="H11">
        <v>26</v>
      </c>
      <c r="I11">
        <v>16</v>
      </c>
      <c r="J11">
        <v>195</v>
      </c>
    </row>
    <row r="12" spans="1:10" x14ac:dyDescent="0.35">
      <c r="A12" t="s">
        <v>341</v>
      </c>
      <c r="B12" t="s">
        <v>539</v>
      </c>
      <c r="D12">
        <v>16</v>
      </c>
      <c r="E12">
        <v>47</v>
      </c>
      <c r="F12">
        <v>116</v>
      </c>
      <c r="G12">
        <v>119</v>
      </c>
      <c r="H12">
        <v>61</v>
      </c>
      <c r="I12">
        <v>30</v>
      </c>
    </row>
    <row r="13" spans="1:10" x14ac:dyDescent="0.35">
      <c r="A13" t="s">
        <v>342</v>
      </c>
      <c r="B13" t="s">
        <v>536</v>
      </c>
      <c r="G13">
        <v>375</v>
      </c>
      <c r="H13">
        <v>588</v>
      </c>
      <c r="I13">
        <v>1905</v>
      </c>
    </row>
    <row r="14" spans="1:10" x14ac:dyDescent="0.35">
      <c r="A14" t="s">
        <v>342</v>
      </c>
      <c r="B14" t="s">
        <v>541</v>
      </c>
      <c r="D14">
        <v>3</v>
      </c>
      <c r="E14">
        <v>15</v>
      </c>
      <c r="F14">
        <v>29</v>
      </c>
      <c r="G14">
        <v>71</v>
      </c>
      <c r="H14">
        <v>38</v>
      </c>
    </row>
    <row r="15" spans="1:10" x14ac:dyDescent="0.35">
      <c r="A15" t="s">
        <v>319</v>
      </c>
      <c r="B15" t="s">
        <v>543</v>
      </c>
      <c r="C15">
        <v>5</v>
      </c>
      <c r="D15">
        <v>13</v>
      </c>
      <c r="E15">
        <v>21</v>
      </c>
      <c r="F15">
        <v>20</v>
      </c>
      <c r="G15">
        <v>30</v>
      </c>
      <c r="I15">
        <v>1</v>
      </c>
      <c r="J15">
        <v>90</v>
      </c>
    </row>
    <row r="16" spans="1:10" x14ac:dyDescent="0.35">
      <c r="A16" t="s">
        <v>313</v>
      </c>
      <c r="B16" t="s">
        <v>536</v>
      </c>
      <c r="G16">
        <v>376</v>
      </c>
      <c r="H16">
        <v>597</v>
      </c>
      <c r="I16">
        <v>1993</v>
      </c>
      <c r="J16">
        <v>2966</v>
      </c>
    </row>
    <row r="17" spans="1:10" x14ac:dyDescent="0.35">
      <c r="A17" t="s">
        <v>313</v>
      </c>
      <c r="B17" t="s">
        <v>543</v>
      </c>
      <c r="C17">
        <v>6</v>
      </c>
      <c r="D17">
        <v>9</v>
      </c>
      <c r="E17">
        <v>13</v>
      </c>
      <c r="F17">
        <v>6</v>
      </c>
      <c r="G17">
        <v>7</v>
      </c>
      <c r="I17">
        <v>49</v>
      </c>
      <c r="J17">
        <v>90</v>
      </c>
    </row>
    <row r="18" spans="1:10" x14ac:dyDescent="0.35">
      <c r="A18" t="s">
        <v>326</v>
      </c>
      <c r="B18" t="s">
        <v>539</v>
      </c>
      <c r="D18">
        <v>14</v>
      </c>
      <c r="E18">
        <v>48</v>
      </c>
      <c r="F18">
        <v>111</v>
      </c>
      <c r="G18">
        <v>92</v>
      </c>
      <c r="H18">
        <v>43</v>
      </c>
      <c r="I18">
        <v>20</v>
      </c>
      <c r="J18">
        <v>328</v>
      </c>
    </row>
    <row r="19" spans="1:10" x14ac:dyDescent="0.35">
      <c r="A19" t="s">
        <v>327</v>
      </c>
      <c r="B19" t="s">
        <v>541</v>
      </c>
      <c r="D19">
        <v>5</v>
      </c>
      <c r="E19">
        <v>8</v>
      </c>
      <c r="F19">
        <v>20</v>
      </c>
      <c r="G19">
        <v>79</v>
      </c>
      <c r="H19">
        <v>28</v>
      </c>
      <c r="I19">
        <v>1</v>
      </c>
      <c r="J19">
        <v>141</v>
      </c>
    </row>
    <row r="20" spans="1:10" x14ac:dyDescent="0.35">
      <c r="A20" t="s">
        <v>366</v>
      </c>
      <c r="B20" t="s">
        <v>536</v>
      </c>
      <c r="F20">
        <v>2</v>
      </c>
      <c r="G20">
        <v>305</v>
      </c>
      <c r="H20">
        <v>511</v>
      </c>
      <c r="I20">
        <v>2207</v>
      </c>
    </row>
    <row r="21" spans="1:10" x14ac:dyDescent="0.35">
      <c r="A21" t="s">
        <v>366</v>
      </c>
      <c r="B21" t="s">
        <v>541</v>
      </c>
      <c r="D21">
        <v>3</v>
      </c>
      <c r="E21">
        <v>9</v>
      </c>
      <c r="F21">
        <v>14</v>
      </c>
      <c r="G21">
        <v>46</v>
      </c>
      <c r="H21">
        <v>13</v>
      </c>
    </row>
    <row r="22" spans="1:10" x14ac:dyDescent="0.35">
      <c r="A22" t="s">
        <v>342</v>
      </c>
      <c r="B22" t="s">
        <v>539</v>
      </c>
      <c r="D22">
        <v>16</v>
      </c>
      <c r="E22">
        <v>46</v>
      </c>
      <c r="F22">
        <v>115</v>
      </c>
      <c r="G22">
        <v>110</v>
      </c>
      <c r="H22">
        <v>63</v>
      </c>
      <c r="I22">
        <v>29</v>
      </c>
    </row>
    <row r="23" spans="1:10" x14ac:dyDescent="0.35">
      <c r="A23" t="s">
        <v>214</v>
      </c>
      <c r="B23" t="s">
        <v>536</v>
      </c>
      <c r="G23">
        <v>377</v>
      </c>
      <c r="H23">
        <v>592</v>
      </c>
      <c r="I23">
        <v>1986</v>
      </c>
      <c r="J23">
        <v>2955</v>
      </c>
    </row>
    <row r="24" spans="1:10" x14ac:dyDescent="0.35">
      <c r="A24" t="s">
        <v>321</v>
      </c>
      <c r="B24" t="s">
        <v>539</v>
      </c>
      <c r="D24">
        <v>14</v>
      </c>
      <c r="E24">
        <v>47</v>
      </c>
      <c r="F24">
        <v>119</v>
      </c>
      <c r="G24">
        <v>115</v>
      </c>
      <c r="H24">
        <v>56</v>
      </c>
      <c r="I24">
        <v>27</v>
      </c>
      <c r="J24">
        <v>378</v>
      </c>
    </row>
    <row r="25" spans="1:10" x14ac:dyDescent="0.35">
      <c r="A25" t="s">
        <v>321</v>
      </c>
      <c r="B25" t="s">
        <v>541</v>
      </c>
      <c r="D25">
        <v>5</v>
      </c>
      <c r="E25">
        <v>9</v>
      </c>
      <c r="F25">
        <v>19</v>
      </c>
      <c r="G25">
        <v>91</v>
      </c>
      <c r="H25">
        <v>32</v>
      </c>
      <c r="I25">
        <v>65</v>
      </c>
      <c r="J25">
        <v>221</v>
      </c>
    </row>
    <row r="26" spans="1:10" x14ac:dyDescent="0.35">
      <c r="A26" t="s">
        <v>326</v>
      </c>
      <c r="B26" t="s">
        <v>541</v>
      </c>
      <c r="D26">
        <v>5</v>
      </c>
      <c r="E26">
        <v>11</v>
      </c>
      <c r="F26">
        <v>21</v>
      </c>
      <c r="G26">
        <v>90</v>
      </c>
      <c r="H26">
        <v>26</v>
      </c>
      <c r="I26">
        <v>103</v>
      </c>
      <c r="J26">
        <v>256</v>
      </c>
    </row>
    <row r="27" spans="1:10" x14ac:dyDescent="0.35">
      <c r="A27" t="s">
        <v>327</v>
      </c>
      <c r="B27" t="s">
        <v>539</v>
      </c>
      <c r="D27">
        <v>15</v>
      </c>
      <c r="E27">
        <v>47</v>
      </c>
      <c r="F27">
        <v>112</v>
      </c>
      <c r="G27">
        <v>93</v>
      </c>
      <c r="H27">
        <v>42</v>
      </c>
      <c r="I27">
        <v>18</v>
      </c>
      <c r="J27">
        <v>327</v>
      </c>
    </row>
    <row r="28" spans="1:10" x14ac:dyDescent="0.35">
      <c r="A28" t="s">
        <v>466</v>
      </c>
      <c r="B28" t="s">
        <v>543</v>
      </c>
      <c r="C28">
        <v>5</v>
      </c>
      <c r="D28">
        <v>12</v>
      </c>
      <c r="E28">
        <v>16</v>
      </c>
      <c r="F28">
        <v>24</v>
      </c>
      <c r="G28">
        <v>31</v>
      </c>
      <c r="H28">
        <v>1</v>
      </c>
      <c r="I28">
        <v>1</v>
      </c>
      <c r="J28">
        <v>90</v>
      </c>
    </row>
    <row r="29" spans="1:10" x14ac:dyDescent="0.35">
      <c r="A29" t="s">
        <v>364</v>
      </c>
      <c r="B29" t="s">
        <v>539</v>
      </c>
      <c r="D29">
        <v>17</v>
      </c>
      <c r="E29">
        <v>69</v>
      </c>
      <c r="F29">
        <v>85</v>
      </c>
      <c r="G29">
        <v>94</v>
      </c>
      <c r="H29">
        <v>5</v>
      </c>
      <c r="I29">
        <v>15</v>
      </c>
    </row>
    <row r="30" spans="1:10" x14ac:dyDescent="0.35">
      <c r="A30" t="s">
        <v>365</v>
      </c>
      <c r="B30" t="s">
        <v>536</v>
      </c>
      <c r="F30">
        <v>14</v>
      </c>
      <c r="G30">
        <v>416</v>
      </c>
      <c r="H30">
        <v>592</v>
      </c>
      <c r="I30">
        <v>2263</v>
      </c>
    </row>
    <row r="31" spans="1:10" x14ac:dyDescent="0.35">
      <c r="A31" t="s">
        <v>341</v>
      </c>
      <c r="B31" t="s">
        <v>541</v>
      </c>
      <c r="D31">
        <v>3</v>
      </c>
      <c r="E31">
        <v>12</v>
      </c>
      <c r="F31">
        <v>25</v>
      </c>
      <c r="G31">
        <v>86</v>
      </c>
      <c r="H31">
        <v>22</v>
      </c>
      <c r="I31">
        <v>3</v>
      </c>
    </row>
    <row r="32" spans="1:10" x14ac:dyDescent="0.35">
      <c r="A32" t="s">
        <v>364</v>
      </c>
      <c r="B32" t="s">
        <v>541</v>
      </c>
      <c r="C32">
        <v>3</v>
      </c>
      <c r="D32">
        <v>6</v>
      </c>
      <c r="E32">
        <v>24</v>
      </c>
      <c r="F32">
        <v>33</v>
      </c>
      <c r="G32">
        <v>158</v>
      </c>
      <c r="H32">
        <v>40</v>
      </c>
      <c r="I32">
        <v>4</v>
      </c>
      <c r="J32">
        <v>268</v>
      </c>
    </row>
    <row r="33" spans="1:10" x14ac:dyDescent="0.35">
      <c r="A33" t="s">
        <v>365</v>
      </c>
      <c r="B33" t="s">
        <v>541</v>
      </c>
      <c r="D33">
        <v>4</v>
      </c>
      <c r="E33">
        <v>26</v>
      </c>
      <c r="F33">
        <v>31</v>
      </c>
      <c r="G33">
        <v>147</v>
      </c>
      <c r="H33">
        <v>34</v>
      </c>
      <c r="I33">
        <v>7</v>
      </c>
    </row>
    <row r="34" spans="1:10" x14ac:dyDescent="0.35">
      <c r="A34" t="s">
        <v>365</v>
      </c>
      <c r="B34" t="s">
        <v>543</v>
      </c>
      <c r="C34">
        <v>7</v>
      </c>
      <c r="D34">
        <v>11</v>
      </c>
      <c r="E34">
        <v>12</v>
      </c>
      <c r="F34">
        <v>6</v>
      </c>
      <c r="G34">
        <v>11</v>
      </c>
      <c r="H34">
        <v>4</v>
      </c>
      <c r="I34">
        <v>1</v>
      </c>
      <c r="J34">
        <v>52</v>
      </c>
    </row>
    <row r="35" spans="1:10" x14ac:dyDescent="0.35">
      <c r="A35" t="s">
        <v>341</v>
      </c>
      <c r="B35" t="s">
        <v>536</v>
      </c>
      <c r="F35">
        <v>1</v>
      </c>
      <c r="G35">
        <v>343</v>
      </c>
      <c r="H35">
        <v>552</v>
      </c>
      <c r="I35">
        <v>2027</v>
      </c>
    </row>
    <row r="36" spans="1:10" x14ac:dyDescent="0.35">
      <c r="A36" t="s">
        <v>341</v>
      </c>
      <c r="B36" t="s">
        <v>543</v>
      </c>
      <c r="C36">
        <v>4</v>
      </c>
      <c r="D36">
        <v>15</v>
      </c>
      <c r="E36">
        <v>11</v>
      </c>
      <c r="F36">
        <v>9</v>
      </c>
      <c r="G36">
        <v>42</v>
      </c>
      <c r="I36">
        <v>101</v>
      </c>
    </row>
    <row r="37" spans="1:10" x14ac:dyDescent="0.35">
      <c r="A37" t="s">
        <v>342</v>
      </c>
      <c r="B37" t="s">
        <v>543</v>
      </c>
      <c r="C37">
        <v>4</v>
      </c>
      <c r="D37">
        <v>15</v>
      </c>
      <c r="E37">
        <v>13</v>
      </c>
      <c r="F37">
        <v>9</v>
      </c>
      <c r="G37">
        <v>47</v>
      </c>
      <c r="I37">
        <v>55</v>
      </c>
    </row>
    <row r="38" spans="1:10" x14ac:dyDescent="0.35">
      <c r="A38" t="s">
        <v>214</v>
      </c>
      <c r="B38" t="s">
        <v>539</v>
      </c>
      <c r="D38">
        <v>16</v>
      </c>
      <c r="E38">
        <v>49</v>
      </c>
      <c r="F38">
        <v>115</v>
      </c>
      <c r="G38">
        <v>124</v>
      </c>
      <c r="H38">
        <v>54</v>
      </c>
      <c r="I38">
        <v>29</v>
      </c>
      <c r="J38">
        <v>387</v>
      </c>
    </row>
    <row r="39" spans="1:10" x14ac:dyDescent="0.35">
      <c r="A39" t="s">
        <v>214</v>
      </c>
      <c r="B39" t="s">
        <v>543</v>
      </c>
      <c r="C39">
        <v>4</v>
      </c>
      <c r="D39">
        <v>14</v>
      </c>
      <c r="E39">
        <v>17</v>
      </c>
      <c r="F39">
        <v>8</v>
      </c>
      <c r="G39">
        <v>46</v>
      </c>
      <c r="I39">
        <v>60</v>
      </c>
      <c r="J39">
        <v>149</v>
      </c>
    </row>
    <row r="40" spans="1:10" x14ac:dyDescent="0.35">
      <c r="A40" t="s">
        <v>319</v>
      </c>
      <c r="B40" t="s">
        <v>539</v>
      </c>
      <c r="D40">
        <v>16</v>
      </c>
      <c r="E40">
        <v>49</v>
      </c>
      <c r="F40">
        <v>116</v>
      </c>
      <c r="G40">
        <v>114</v>
      </c>
      <c r="H40">
        <v>55</v>
      </c>
      <c r="I40">
        <v>26</v>
      </c>
      <c r="J40">
        <v>376</v>
      </c>
    </row>
    <row r="41" spans="1:10" x14ac:dyDescent="0.35">
      <c r="A41" t="s">
        <v>365</v>
      </c>
      <c r="B41" t="s">
        <v>539</v>
      </c>
      <c r="D41">
        <v>18</v>
      </c>
      <c r="E41">
        <v>65</v>
      </c>
      <c r="F41">
        <v>79</v>
      </c>
      <c r="G41">
        <v>90</v>
      </c>
      <c r="H41">
        <v>4</v>
      </c>
      <c r="I41">
        <v>14</v>
      </c>
    </row>
    <row r="42" spans="1:10" x14ac:dyDescent="0.35">
      <c r="A42" t="s">
        <v>313</v>
      </c>
      <c r="B42" t="s">
        <v>539</v>
      </c>
      <c r="D42">
        <v>16</v>
      </c>
      <c r="E42">
        <v>50</v>
      </c>
      <c r="F42">
        <v>118</v>
      </c>
      <c r="G42">
        <v>113</v>
      </c>
      <c r="H42">
        <v>58</v>
      </c>
      <c r="I42">
        <v>28</v>
      </c>
      <c r="J42">
        <v>383</v>
      </c>
    </row>
    <row r="43" spans="1:10" x14ac:dyDescent="0.35">
      <c r="A43" t="s">
        <v>313</v>
      </c>
      <c r="B43" t="s">
        <v>541</v>
      </c>
      <c r="D43">
        <v>6</v>
      </c>
      <c r="E43">
        <v>17</v>
      </c>
      <c r="F43">
        <v>29</v>
      </c>
      <c r="G43">
        <v>112</v>
      </c>
      <c r="H43">
        <v>33</v>
      </c>
      <c r="J43">
        <v>197</v>
      </c>
    </row>
    <row r="44" spans="1:10" x14ac:dyDescent="0.35">
      <c r="A44" t="s">
        <v>319</v>
      </c>
      <c r="B44" t="s">
        <v>536</v>
      </c>
      <c r="G44">
        <v>372</v>
      </c>
      <c r="H44">
        <v>596</v>
      </c>
      <c r="I44">
        <v>1935</v>
      </c>
      <c r="J44">
        <v>2903</v>
      </c>
    </row>
    <row r="45" spans="1:10" x14ac:dyDescent="0.35">
      <c r="A45" t="s">
        <v>326</v>
      </c>
      <c r="B45" t="s">
        <v>543</v>
      </c>
      <c r="C45">
        <v>5</v>
      </c>
      <c r="D45">
        <v>12</v>
      </c>
      <c r="E45">
        <v>19</v>
      </c>
      <c r="F45">
        <v>16</v>
      </c>
      <c r="G45">
        <v>16</v>
      </c>
      <c r="H45">
        <v>1</v>
      </c>
      <c r="J45">
        <v>69</v>
      </c>
    </row>
    <row r="46" spans="1:10" x14ac:dyDescent="0.35">
      <c r="A46" t="s">
        <v>327</v>
      </c>
      <c r="B46" t="s">
        <v>536</v>
      </c>
      <c r="G46">
        <v>408</v>
      </c>
      <c r="H46">
        <v>569</v>
      </c>
      <c r="I46">
        <v>1893</v>
      </c>
      <c r="J46">
        <v>2870</v>
      </c>
    </row>
    <row r="47" spans="1:10" x14ac:dyDescent="0.35">
      <c r="A47" t="s">
        <v>327</v>
      </c>
      <c r="B47" t="s">
        <v>543</v>
      </c>
      <c r="C47">
        <v>5</v>
      </c>
      <c r="D47">
        <v>11</v>
      </c>
      <c r="E47">
        <v>16</v>
      </c>
      <c r="F47">
        <v>24</v>
      </c>
      <c r="G47">
        <v>27</v>
      </c>
      <c r="H47">
        <v>1</v>
      </c>
      <c r="J47">
        <v>84</v>
      </c>
    </row>
    <row r="48" spans="1:10" x14ac:dyDescent="0.35">
      <c r="A48" t="s">
        <v>466</v>
      </c>
      <c r="B48" t="s">
        <v>536</v>
      </c>
      <c r="G48">
        <v>396</v>
      </c>
      <c r="H48">
        <v>551</v>
      </c>
      <c r="I48">
        <v>1845</v>
      </c>
      <c r="J48">
        <v>2792</v>
      </c>
    </row>
    <row r="49" spans="1:10" x14ac:dyDescent="0.35">
      <c r="A49" t="s">
        <v>466</v>
      </c>
      <c r="B49" t="s">
        <v>541</v>
      </c>
      <c r="D49">
        <v>4</v>
      </c>
      <c r="E49">
        <v>9</v>
      </c>
      <c r="F49">
        <v>24</v>
      </c>
      <c r="G49">
        <v>101</v>
      </c>
      <c r="H49">
        <v>62</v>
      </c>
      <c r="I49">
        <v>69</v>
      </c>
      <c r="J49">
        <v>269</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7558519241921"/>
  </sheetPr>
  <dimension ref="A1:J18"/>
  <sheetViews>
    <sheetView showGridLines="0" workbookViewId="0">
      <pane ySplit="2" topLeftCell="A3" activePane="bottomLeft" state="frozen"/>
      <selection pane="bottomLeft" sqref="A1:H1"/>
    </sheetView>
  </sheetViews>
  <sheetFormatPr defaultRowHeight="14.5" x14ac:dyDescent="0.35"/>
  <cols>
    <col min="1" max="1" width="25" bestFit="1" customWidth="1"/>
    <col min="2" max="8" width="12" customWidth="1"/>
    <col min="9" max="9" width="16" customWidth="1"/>
    <col min="10" max="10" width="11.7265625" bestFit="1" customWidth="1"/>
  </cols>
  <sheetData>
    <row r="1" spans="1:10" ht="15.5" x14ac:dyDescent="0.35">
      <c r="A1" s="1011" t="s">
        <v>513</v>
      </c>
      <c r="B1" s="1011"/>
      <c r="C1" s="1011"/>
      <c r="D1" s="1011"/>
      <c r="E1" s="1011"/>
      <c r="F1" s="1011"/>
      <c r="G1" s="1011"/>
      <c r="H1" s="1011"/>
      <c r="I1" s="29"/>
      <c r="J1" s="30"/>
    </row>
    <row r="2" spans="1:10" ht="17.5" x14ac:dyDescent="0.35">
      <c r="A2" s="499" t="s">
        <v>201</v>
      </c>
      <c r="B2" s="1"/>
      <c r="C2" s="1"/>
      <c r="D2" s="1"/>
      <c r="E2" s="1"/>
      <c r="F2" s="1"/>
      <c r="G2" s="1"/>
      <c r="H2" s="1"/>
      <c r="I2" s="29"/>
      <c r="J2" s="30"/>
    </row>
    <row r="3" spans="1:10" ht="17.5" x14ac:dyDescent="0.35">
      <c r="A3" s="1"/>
      <c r="B3" s="1"/>
      <c r="C3" s="1"/>
      <c r="D3" s="1"/>
      <c r="E3" s="1"/>
      <c r="F3" s="1"/>
      <c r="G3" s="1"/>
      <c r="H3" s="1"/>
      <c r="I3" s="29"/>
      <c r="J3" s="30"/>
    </row>
    <row r="4" spans="1:10" ht="30" customHeight="1" x14ac:dyDescent="0.35">
      <c r="A4" s="1021" t="s">
        <v>670</v>
      </c>
      <c r="B4" s="1021"/>
      <c r="C4" s="1021"/>
      <c r="D4" s="1021"/>
      <c r="E4" s="1021"/>
      <c r="F4" s="1021"/>
      <c r="G4" s="1021"/>
      <c r="H4" s="1021"/>
      <c r="I4" s="1021"/>
      <c r="J4" s="1021"/>
    </row>
    <row r="5" spans="1:10" ht="15" customHeight="1" x14ac:dyDescent="0.35">
      <c r="A5" t="s">
        <v>202</v>
      </c>
      <c r="B5" t="s">
        <v>71</v>
      </c>
      <c r="C5" s="231"/>
      <c r="D5" s="231"/>
      <c r="E5" s="231"/>
      <c r="F5" s="231"/>
      <c r="G5" s="231"/>
      <c r="H5" s="231"/>
      <c r="I5" s="231"/>
      <c r="J5" s="231"/>
    </row>
    <row r="6" spans="1:10" ht="15" customHeight="1" x14ac:dyDescent="0.35">
      <c r="A6" t="s">
        <v>203</v>
      </c>
      <c r="B6" t="s">
        <v>204</v>
      </c>
      <c r="C6" s="231"/>
      <c r="D6" s="231"/>
      <c r="E6" s="231"/>
      <c r="F6" s="231"/>
      <c r="G6" s="231"/>
      <c r="H6" s="231"/>
      <c r="I6" s="231"/>
      <c r="J6" s="231"/>
    </row>
    <row r="7" spans="1:10" ht="15" customHeight="1" x14ac:dyDescent="0.35">
      <c r="A7" t="s">
        <v>205</v>
      </c>
      <c r="B7" t="s">
        <v>206</v>
      </c>
      <c r="C7" s="231"/>
      <c r="D7" s="231"/>
      <c r="E7" s="231"/>
      <c r="F7" s="231"/>
      <c r="H7" s="231"/>
      <c r="I7" s="231"/>
      <c r="J7" s="231"/>
    </row>
    <row r="8" spans="1:10" ht="19.5" customHeight="1" x14ac:dyDescent="0.35">
      <c r="A8" s="231"/>
      <c r="B8" s="26"/>
      <c r="C8" s="26"/>
      <c r="D8" s="26"/>
      <c r="E8" s="26"/>
      <c r="F8" s="26"/>
      <c r="G8" s="26"/>
      <c r="H8" s="3"/>
      <c r="I8" s="234" t="s">
        <v>346</v>
      </c>
      <c r="J8" s="234" t="s">
        <v>92</v>
      </c>
    </row>
    <row r="9" spans="1:10" ht="39.5" x14ac:dyDescent="0.35">
      <c r="A9" s="12" t="s">
        <v>550</v>
      </c>
      <c r="B9" s="3" t="s">
        <v>643</v>
      </c>
      <c r="C9" s="3" t="s">
        <v>644</v>
      </c>
      <c r="D9" s="3" t="s">
        <v>645</v>
      </c>
      <c r="E9" s="3" t="s">
        <v>646</v>
      </c>
      <c r="F9" s="3" t="s">
        <v>647</v>
      </c>
      <c r="G9" s="3" t="s">
        <v>648</v>
      </c>
      <c r="H9" s="3" t="s">
        <v>632</v>
      </c>
      <c r="I9" s="31" t="s">
        <v>671</v>
      </c>
      <c r="J9" s="235" t="s">
        <v>672</v>
      </c>
    </row>
    <row r="10" spans="1:10" ht="18.75" customHeight="1" x14ac:dyDescent="0.35">
      <c r="A10" s="32" t="s">
        <v>615</v>
      </c>
      <c r="B10" s="51">
        <f>GETPIVOTDATA("Sum of Brigade Manager",roleareapivot!$A$3,"ReportingLevel","1:LA")</f>
        <v>0</v>
      </c>
      <c r="C10" s="51">
        <f>GETPIVOTDATA("Sum of Area Manager",roleareapivot!$A$3,"ReportingLevel","1:LA")</f>
        <v>0</v>
      </c>
      <c r="D10" s="51">
        <f>GETPIVOTDATA("Sum of Group Manager",roleareapivot!$A$3,"ReportingLevel","1:LA")</f>
        <v>0</v>
      </c>
      <c r="E10" s="51">
        <f>GETPIVOTDATA("Sum of Station Manager",roleareapivot!$A$3,"ReportingLevel","1:LA")</f>
        <v>0</v>
      </c>
      <c r="F10" s="51">
        <f>GETPIVOTDATA("Sum of Watch Manager",roleareapivot!$A$3,"ReportingLevel","1:LA")</f>
        <v>396</v>
      </c>
      <c r="G10" s="51">
        <f>GETPIVOTDATA("Sum of Crew Manager",roleareapivot!$A$3,"ReportingLevel","1:LA")</f>
        <v>551</v>
      </c>
      <c r="H10" s="51">
        <f>GETPIVOTDATA("Sum of Firefighter",roleareapivot!$A$3,"ReportingLevel","1:LA")</f>
        <v>1845</v>
      </c>
      <c r="I10" s="279">
        <f>SUM(B10:H10)</f>
        <v>2792</v>
      </c>
      <c r="J10" s="287">
        <f>I10/$I$14</f>
        <v>0.81399416909620992</v>
      </c>
    </row>
    <row r="11" spans="1:10" x14ac:dyDescent="0.35">
      <c r="A11" s="12" t="s">
        <v>616</v>
      </c>
      <c r="B11" s="51">
        <f>GETPIVOTDATA("Sum of Brigade Manager",roleareapivot!$A$3,"ReportingLevel","2:LSO")</f>
        <v>0</v>
      </c>
      <c r="C11" s="51">
        <f>GETPIVOTDATA("Sum of Area Manager",roleareapivot!$A$3,"ReportingLevel","2:LSO")</f>
        <v>14</v>
      </c>
      <c r="D11" s="51">
        <f>GETPIVOTDATA("Sum of Group Manager",roleareapivot!$A$3,"ReportingLevel","2:LSO")</f>
        <v>47</v>
      </c>
      <c r="E11" s="51">
        <f>GETPIVOTDATA("Sum of Station Manager",roleareapivot!$A$3,"ReportingLevel","2:LSO")</f>
        <v>112</v>
      </c>
      <c r="F11" s="51">
        <f>GETPIVOTDATA("Sum of Watch Manager",roleareapivot!$A$3,"ReportingLevel","2:LSO")</f>
        <v>77</v>
      </c>
      <c r="G11" s="51">
        <f>GETPIVOTDATA("Sum of Crew Manager",roleareapivot!$A$3,"ReportingLevel","2:LSO")</f>
        <v>8</v>
      </c>
      <c r="H11" s="51">
        <f>GETPIVOTDATA("Sum of Firefighter",roleareapivot!$A$3,"ReportingLevel","2:LSO")</f>
        <v>21</v>
      </c>
      <c r="I11" s="279">
        <f>SUM(B11:H11)</f>
        <v>279</v>
      </c>
      <c r="J11" s="288">
        <f>I11/$I$14</f>
        <v>8.1341107871720122E-2</v>
      </c>
    </row>
    <row r="12" spans="1:10" x14ac:dyDescent="0.35">
      <c r="A12" s="12" t="s">
        <v>213</v>
      </c>
      <c r="B12" s="51">
        <f>GETPIVOTDATA("Sum of Brigade Manager",roleareapivot!$A$3,"ReportingLevel","3:SDA")</f>
        <v>0</v>
      </c>
      <c r="C12" s="51">
        <f>GETPIVOTDATA("Sum of Area Manager",roleareapivot!$A$3,"ReportingLevel","3:SDA")</f>
        <v>4</v>
      </c>
      <c r="D12" s="51">
        <f>GETPIVOTDATA("Sum of Group Manager",roleareapivot!$A$3,"ReportingLevel","3:SDA")</f>
        <v>9</v>
      </c>
      <c r="E12" s="51">
        <f>GETPIVOTDATA("Sum of Station Manager",roleareapivot!$A$3,"ReportingLevel","3:SDA")</f>
        <v>24</v>
      </c>
      <c r="F12" s="51">
        <f>GETPIVOTDATA("Sum of Watch Manager",roleareapivot!$A$3,"ReportingLevel","3:SDA")</f>
        <v>101</v>
      </c>
      <c r="G12" s="51">
        <f>GETPIVOTDATA("Sum of Crew Manager",roleareapivot!$A$3,"ReportingLevel","3:SDA")</f>
        <v>62</v>
      </c>
      <c r="H12" s="51">
        <f>GETPIVOTDATA("Sum of Firefighter",roleareapivot!$A$3,"ReportingLevel","3:SDA")</f>
        <v>69</v>
      </c>
      <c r="I12" s="279">
        <f>SUM(B12:H12)</f>
        <v>269</v>
      </c>
      <c r="J12" s="288">
        <f>I12/$I$14</f>
        <v>7.8425655976676389E-2</v>
      </c>
    </row>
    <row r="13" spans="1:10" x14ac:dyDescent="0.35">
      <c r="A13" s="12" t="s">
        <v>617</v>
      </c>
      <c r="B13" s="51">
        <f>GETPIVOTDATA("Sum of Brigade Manager",roleareapivot!$A$3,"ReportingLevel","4:National")</f>
        <v>5</v>
      </c>
      <c r="C13" s="51">
        <f>GETPIVOTDATA("Sum of Area Manager",roleareapivot!$A$3,"ReportingLevel","4:National")</f>
        <v>12</v>
      </c>
      <c r="D13" s="51">
        <f>GETPIVOTDATA("Sum of Group Manager",roleareapivot!$A$3,"ReportingLevel","4:National")</f>
        <v>16</v>
      </c>
      <c r="E13" s="51">
        <f>GETPIVOTDATA("Sum of Station Manager",roleareapivot!$A$3,"ReportingLevel","4:National")</f>
        <v>24</v>
      </c>
      <c r="F13" s="51">
        <f>GETPIVOTDATA("Sum of Watch Manager",roleareapivot!$A$3,"ReportingLevel","4:National")</f>
        <v>31</v>
      </c>
      <c r="G13" s="51">
        <f>GETPIVOTDATA("Sum of Crew Manager",roleareapivot!$A$3,"ReportingLevel","4:National")</f>
        <v>1</v>
      </c>
      <c r="H13" s="51">
        <f>GETPIVOTDATA("Sum of Firefighter",roleareapivot!$A$3,"ReportingLevel","4:National")</f>
        <v>1</v>
      </c>
      <c r="I13" s="279">
        <f>SUM(B13:H13)</f>
        <v>90</v>
      </c>
      <c r="J13" s="288">
        <f>I13/$I$14</f>
        <v>2.6239067055393587E-2</v>
      </c>
    </row>
    <row r="14" spans="1:10" ht="23.25" customHeight="1" thickBot="1" x14ac:dyDescent="0.4">
      <c r="A14" s="33" t="s">
        <v>348</v>
      </c>
      <c r="B14" s="283">
        <f t="shared" ref="B14:H14" si="0">SUM(B10:B13)</f>
        <v>5</v>
      </c>
      <c r="C14" s="283">
        <f t="shared" si="0"/>
        <v>30</v>
      </c>
      <c r="D14" s="283">
        <f t="shared" si="0"/>
        <v>72</v>
      </c>
      <c r="E14" s="283">
        <f t="shared" si="0"/>
        <v>160</v>
      </c>
      <c r="F14" s="283">
        <f>SUM(F10:F13)</f>
        <v>605</v>
      </c>
      <c r="G14" s="283">
        <f t="shared" si="0"/>
        <v>622</v>
      </c>
      <c r="H14" s="283">
        <f t="shared" si="0"/>
        <v>1936</v>
      </c>
      <c r="I14" s="283">
        <f>SUM(I10:I13)</f>
        <v>3430</v>
      </c>
      <c r="J14" s="291">
        <f>I14/I14</f>
        <v>1</v>
      </c>
    </row>
    <row r="16" spans="1:10" x14ac:dyDescent="0.35">
      <c r="A16" s="336" t="s">
        <v>329</v>
      </c>
      <c r="B16" s="338"/>
      <c r="C16" s="338"/>
      <c r="D16" s="338"/>
      <c r="E16" s="338"/>
      <c r="F16" s="338"/>
      <c r="G16" s="338"/>
      <c r="H16" s="338"/>
      <c r="I16" s="338"/>
    </row>
    <row r="17" spans="1:9" ht="46.5" customHeight="1" x14ac:dyDescent="0.35">
      <c r="A17" s="1020" t="s">
        <v>659</v>
      </c>
      <c r="B17" s="1020"/>
      <c r="C17" s="1020"/>
      <c r="D17" s="1020"/>
      <c r="E17" s="1020"/>
      <c r="F17" s="1020"/>
      <c r="G17" s="1020"/>
      <c r="H17" s="1020"/>
      <c r="I17" s="1020"/>
    </row>
    <row r="18" spans="1:9" ht="31.5" customHeight="1" x14ac:dyDescent="0.35">
      <c r="A18" s="1028" t="s">
        <v>673</v>
      </c>
      <c r="B18" s="1028"/>
      <c r="C18" s="1028"/>
      <c r="D18" s="1028"/>
      <c r="E18" s="1028"/>
      <c r="F18" s="1028"/>
      <c r="G18" s="1028"/>
      <c r="H18" s="1028"/>
      <c r="I18" s="1028"/>
    </row>
  </sheetData>
  <sheetProtection algorithmName="SHA-512" hashValue="RtFhj3nRlJiJaSLUoNK8MhJwf2KFxiv61uCsKoMhlOWitucCe6fENOb9MsQVoJGrRDC7+gokwbV6/FphbndgJw==" saltValue="jwyxISCjdO7cP96KL2tt2w==" spinCount="100000" sheet="1" scenarios="1" formatCells="0" sort="0" autoFilter="0" pivotTables="0"/>
  <mergeCells count="4">
    <mergeCell ref="A4:J4"/>
    <mergeCell ref="A1:H1"/>
    <mergeCell ref="A18:I18"/>
    <mergeCell ref="A17:I17"/>
  </mergeCells>
  <hyperlinks>
    <hyperlink ref="A2" location="'Table of Contents'!A1" display="Back to Table of Contents" xr:uid="{00000000-0004-0000-3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4" tint="0.59999389629810485"/>
    <pageSetUpPr fitToPage="1"/>
  </sheetPr>
  <dimension ref="A1:I48"/>
  <sheetViews>
    <sheetView showGridLines="0" zoomScaleNormal="100" workbookViewId="0">
      <pane ySplit="2" topLeftCell="A3" activePane="bottomLeft" state="frozen"/>
      <selection pane="bottomLeft" sqref="A1:C1"/>
    </sheetView>
  </sheetViews>
  <sheetFormatPr defaultRowHeight="14.5" x14ac:dyDescent="0.35"/>
  <cols>
    <col min="1" max="1" width="16.81640625" customWidth="1"/>
    <col min="2" max="2" width="22" customWidth="1"/>
    <col min="3" max="7" width="13.81640625" customWidth="1"/>
    <col min="8" max="9" width="11.1796875" customWidth="1"/>
    <col min="10" max="10" width="4.1796875" customWidth="1"/>
    <col min="11" max="11" width="13.453125" customWidth="1"/>
  </cols>
  <sheetData>
    <row r="1" spans="1:8" ht="15.5" x14ac:dyDescent="0.35">
      <c r="A1" s="1011" t="s">
        <v>333</v>
      </c>
      <c r="B1" s="1011"/>
      <c r="C1" s="1011"/>
    </row>
    <row r="2" spans="1:8" ht="15.5" x14ac:dyDescent="0.35">
      <c r="A2" s="499" t="s">
        <v>201</v>
      </c>
      <c r="B2" s="441"/>
      <c r="C2" s="441"/>
    </row>
    <row r="3" spans="1:8" ht="15.5" x14ac:dyDescent="0.35">
      <c r="D3" s="187"/>
      <c r="E3" s="187"/>
      <c r="F3" s="187"/>
    </row>
    <row r="4" spans="1:8" ht="15.5" x14ac:dyDescent="0.35">
      <c r="A4" s="1012" t="s">
        <v>345</v>
      </c>
      <c r="B4" s="1012"/>
      <c r="C4" s="1012"/>
      <c r="D4" s="1012"/>
      <c r="E4" s="1012"/>
      <c r="F4" s="1012"/>
    </row>
    <row r="5" spans="1:8" ht="15.5" x14ac:dyDescent="0.35">
      <c r="A5" t="s">
        <v>202</v>
      </c>
      <c r="B5" t="s">
        <v>33</v>
      </c>
      <c r="C5" s="233"/>
      <c r="D5" s="233"/>
      <c r="E5" s="233"/>
      <c r="F5" s="233"/>
    </row>
    <row r="6" spans="1:8" ht="15.5" x14ac:dyDescent="0.35">
      <c r="A6" t="s">
        <v>203</v>
      </c>
      <c r="B6" t="s">
        <v>204</v>
      </c>
      <c r="C6" s="233"/>
      <c r="D6" s="233"/>
      <c r="E6" s="233"/>
      <c r="F6" s="233"/>
    </row>
    <row r="7" spans="1:8" ht="15.5" x14ac:dyDescent="0.35">
      <c r="A7" t="s">
        <v>205</v>
      </c>
      <c r="B7" t="s">
        <v>206</v>
      </c>
      <c r="C7" s="233"/>
      <c r="D7" s="233"/>
      <c r="E7" s="233"/>
      <c r="F7" s="233"/>
    </row>
    <row r="8" spans="1:8" ht="15.5" x14ac:dyDescent="0.35">
      <c r="C8" s="233"/>
      <c r="D8" s="233"/>
      <c r="E8" s="233"/>
      <c r="F8" s="233"/>
    </row>
    <row r="9" spans="1:8" x14ac:dyDescent="0.35">
      <c r="A9" s="312" t="s">
        <v>207</v>
      </c>
      <c r="B9" s="312"/>
    </row>
    <row r="10" spans="1:8" x14ac:dyDescent="0.35">
      <c r="A10" s="312" t="str">
        <f>CrewingModelAreaPivot!B1</f>
        <v>2024-25</v>
      </c>
      <c r="B10" s="192"/>
      <c r="C10" s="193"/>
      <c r="D10" s="193"/>
      <c r="E10" s="193"/>
      <c r="F10" s="193"/>
      <c r="G10" s="193"/>
      <c r="H10" s="376" t="s">
        <v>346</v>
      </c>
    </row>
    <row r="11" spans="1:8" s="460" customFormat="1" ht="27.75" customHeight="1" x14ac:dyDescent="0.35">
      <c r="A11" s="507" t="s">
        <v>208</v>
      </c>
      <c r="B11" s="507" t="s">
        <v>347</v>
      </c>
      <c r="C11" s="203" t="s">
        <v>335</v>
      </c>
      <c r="D11" s="203" t="s">
        <v>337</v>
      </c>
      <c r="E11" s="203" t="s">
        <v>336</v>
      </c>
      <c r="F11" s="203" t="s">
        <v>338</v>
      </c>
      <c r="G11" s="203" t="s">
        <v>339</v>
      </c>
      <c r="H11" s="508" t="s">
        <v>340</v>
      </c>
    </row>
    <row r="12" spans="1:8" ht="19.5" customHeight="1" x14ac:dyDescent="0.35">
      <c r="A12" s="391" t="s">
        <v>215</v>
      </c>
      <c r="B12" s="45" t="s">
        <v>216</v>
      </c>
      <c r="C12" s="51">
        <f>CrewingModelAreaPivot!B4</f>
        <v>3</v>
      </c>
      <c r="D12" s="51">
        <f>CrewingModelAreaPivot!C4</f>
        <v>0</v>
      </c>
      <c r="E12" s="51">
        <f>CrewingModelAreaPivot!D4</f>
        <v>0</v>
      </c>
      <c r="F12" s="51">
        <f>CrewingModelAreaPivot!E4</f>
        <v>1</v>
      </c>
      <c r="G12" s="51">
        <f>CrewingModelAreaPivot!F4</f>
        <v>0</v>
      </c>
      <c r="H12" s="194">
        <f>SUM(C12:G12)</f>
        <v>4</v>
      </c>
    </row>
    <row r="13" spans="1:8" x14ac:dyDescent="0.35">
      <c r="A13" s="89" t="s">
        <v>220</v>
      </c>
      <c r="B13" s="48" t="s">
        <v>221</v>
      </c>
      <c r="C13" s="51">
        <f>CrewingModelAreaPivot!B5</f>
        <v>0</v>
      </c>
      <c r="D13" s="51">
        <f>CrewingModelAreaPivot!C5</f>
        <v>1</v>
      </c>
      <c r="E13" s="51">
        <f>CrewingModelAreaPivot!D5</f>
        <v>0</v>
      </c>
      <c r="F13" s="51">
        <f>CrewingModelAreaPivot!E5</f>
        <v>23</v>
      </c>
      <c r="G13" s="51">
        <f>CrewingModelAreaPivot!F5</f>
        <v>0</v>
      </c>
      <c r="H13" s="69">
        <f t="shared" ref="H13:H43" si="0">SUM(C13:G13)</f>
        <v>24</v>
      </c>
    </row>
    <row r="14" spans="1:8" x14ac:dyDescent="0.35">
      <c r="A14" s="89" t="s">
        <v>224</v>
      </c>
      <c r="B14" s="48" t="s">
        <v>225</v>
      </c>
      <c r="C14" s="51">
        <f>CrewingModelAreaPivot!B6</f>
        <v>0</v>
      </c>
      <c r="D14" s="51">
        <f>CrewingModelAreaPivot!C6</f>
        <v>1</v>
      </c>
      <c r="E14" s="51">
        <f>CrewingModelAreaPivot!D6</f>
        <v>0</v>
      </c>
      <c r="F14" s="51">
        <f>CrewingModelAreaPivot!E6</f>
        <v>5</v>
      </c>
      <c r="G14" s="51">
        <f>CrewingModelAreaPivot!F6</f>
        <v>0</v>
      </c>
      <c r="H14" s="69">
        <f t="shared" si="0"/>
        <v>6</v>
      </c>
    </row>
    <row r="15" spans="1:8" x14ac:dyDescent="0.35">
      <c r="A15" s="89" t="s">
        <v>228</v>
      </c>
      <c r="B15" s="48" t="s">
        <v>229</v>
      </c>
      <c r="C15" s="51">
        <f>CrewingModelAreaPivot!B7</f>
        <v>0</v>
      </c>
      <c r="D15" s="51">
        <f>CrewingModelAreaPivot!C7</f>
        <v>2</v>
      </c>
      <c r="E15" s="51">
        <f>CrewingModelAreaPivot!D7</f>
        <v>0</v>
      </c>
      <c r="F15" s="51">
        <f>CrewingModelAreaPivot!E7</f>
        <v>12</v>
      </c>
      <c r="G15" s="51">
        <f>CrewingModelAreaPivot!F7</f>
        <v>25</v>
      </c>
      <c r="H15" s="69">
        <f t="shared" si="0"/>
        <v>39</v>
      </c>
    </row>
    <row r="16" spans="1:8" x14ac:dyDescent="0.35">
      <c r="A16" s="89" t="s">
        <v>234</v>
      </c>
      <c r="B16" s="48" t="s">
        <v>235</v>
      </c>
      <c r="C16" s="51">
        <f>CrewingModelAreaPivot!B8</f>
        <v>7</v>
      </c>
      <c r="D16" s="51">
        <f>CrewingModelAreaPivot!C8</f>
        <v>0</v>
      </c>
      <c r="E16" s="51">
        <f>CrewingModelAreaPivot!D8</f>
        <v>0</v>
      </c>
      <c r="F16" s="51">
        <f>CrewingModelAreaPivot!E8</f>
        <v>1</v>
      </c>
      <c r="G16" s="51">
        <f>CrewingModelAreaPivot!F8</f>
        <v>0</v>
      </c>
      <c r="H16" s="69">
        <f t="shared" si="0"/>
        <v>8</v>
      </c>
    </row>
    <row r="17" spans="1:8" x14ac:dyDescent="0.35">
      <c r="A17" s="89" t="s">
        <v>240</v>
      </c>
      <c r="B17" s="48" t="s">
        <v>241</v>
      </c>
      <c r="C17" s="51">
        <f>CrewingModelAreaPivot!B9</f>
        <v>0</v>
      </c>
      <c r="D17" s="51">
        <f>CrewingModelAreaPivot!C9</f>
        <v>1</v>
      </c>
      <c r="E17" s="51">
        <f>CrewingModelAreaPivot!D9</f>
        <v>0</v>
      </c>
      <c r="F17" s="51">
        <f>CrewingModelAreaPivot!E9</f>
        <v>1</v>
      </c>
      <c r="G17" s="51">
        <f>CrewingModelAreaPivot!F9</f>
        <v>0</v>
      </c>
      <c r="H17" s="69">
        <f t="shared" si="0"/>
        <v>2</v>
      </c>
    </row>
    <row r="18" spans="1:8" x14ac:dyDescent="0.35">
      <c r="A18" s="89" t="s">
        <v>244</v>
      </c>
      <c r="B18" s="48" t="s">
        <v>245</v>
      </c>
      <c r="C18" s="51">
        <f>CrewingModelAreaPivot!B10</f>
        <v>0</v>
      </c>
      <c r="D18" s="51">
        <f>CrewingModelAreaPivot!C10</f>
        <v>1</v>
      </c>
      <c r="E18" s="51">
        <f>CrewingModelAreaPivot!D10</f>
        <v>0</v>
      </c>
      <c r="F18" s="51">
        <f>CrewingModelAreaPivot!E10</f>
        <v>15</v>
      </c>
      <c r="G18" s="51">
        <f>CrewingModelAreaPivot!F10</f>
        <v>1</v>
      </c>
      <c r="H18" s="69">
        <f t="shared" si="0"/>
        <v>17</v>
      </c>
    </row>
    <row r="19" spans="1:8" x14ac:dyDescent="0.35">
      <c r="A19" s="89" t="s">
        <v>247</v>
      </c>
      <c r="B19" s="48" t="s">
        <v>248</v>
      </c>
      <c r="C19" s="51">
        <f>CrewingModelAreaPivot!B11</f>
        <v>3</v>
      </c>
      <c r="D19" s="51">
        <f>CrewingModelAreaPivot!C11</f>
        <v>1</v>
      </c>
      <c r="E19" s="51">
        <f>CrewingModelAreaPivot!D11</f>
        <v>0</v>
      </c>
      <c r="F19" s="51">
        <f>CrewingModelAreaPivot!E11</f>
        <v>0</v>
      </c>
      <c r="G19" s="51">
        <f>CrewingModelAreaPivot!F11</f>
        <v>0</v>
      </c>
      <c r="H19" s="69">
        <f t="shared" si="0"/>
        <v>4</v>
      </c>
    </row>
    <row r="20" spans="1:8" x14ac:dyDescent="0.35">
      <c r="A20" s="89" t="s">
        <v>249</v>
      </c>
      <c r="B20" s="48" t="s">
        <v>250</v>
      </c>
      <c r="C20" s="51">
        <f>CrewingModelAreaPivot!B12</f>
        <v>1</v>
      </c>
      <c r="D20" s="51">
        <f>CrewingModelAreaPivot!C12</f>
        <v>0</v>
      </c>
      <c r="E20" s="51">
        <f>CrewingModelAreaPivot!D12</f>
        <v>0</v>
      </c>
      <c r="F20" s="51">
        <f>CrewingModelAreaPivot!E12</f>
        <v>7</v>
      </c>
      <c r="G20" s="51">
        <f>CrewingModelAreaPivot!F12</f>
        <v>0</v>
      </c>
      <c r="H20" s="69">
        <f t="shared" si="0"/>
        <v>8</v>
      </c>
    </row>
    <row r="21" spans="1:8" x14ac:dyDescent="0.35">
      <c r="A21" s="89" t="s">
        <v>253</v>
      </c>
      <c r="B21" s="48" t="s">
        <v>254</v>
      </c>
      <c r="C21" s="51">
        <f>CrewingModelAreaPivot!B13</f>
        <v>3</v>
      </c>
      <c r="D21" s="51">
        <f>CrewingModelAreaPivot!C13</f>
        <v>0</v>
      </c>
      <c r="E21" s="51">
        <f>CrewingModelAreaPivot!D13</f>
        <v>0</v>
      </c>
      <c r="F21" s="51">
        <f>CrewingModelAreaPivot!E13</f>
        <v>0</v>
      </c>
      <c r="G21" s="51">
        <f>CrewingModelAreaPivot!F13</f>
        <v>0</v>
      </c>
      <c r="H21" s="69">
        <f t="shared" si="0"/>
        <v>3</v>
      </c>
    </row>
    <row r="22" spans="1:8" x14ac:dyDescent="0.35">
      <c r="A22" s="89" t="s">
        <v>255</v>
      </c>
      <c r="B22" s="48" t="s">
        <v>256</v>
      </c>
      <c r="C22" s="51">
        <f>CrewingModelAreaPivot!B14</f>
        <v>1</v>
      </c>
      <c r="D22" s="51">
        <f>CrewingModelAreaPivot!C14</f>
        <v>0</v>
      </c>
      <c r="E22" s="51">
        <f>CrewingModelAreaPivot!D14</f>
        <v>0</v>
      </c>
      <c r="F22" s="51">
        <f>CrewingModelAreaPivot!E14</f>
        <v>5</v>
      </c>
      <c r="G22" s="51">
        <f>CrewingModelAreaPivot!F14</f>
        <v>0</v>
      </c>
      <c r="H22" s="69">
        <f t="shared" si="0"/>
        <v>6</v>
      </c>
    </row>
    <row r="23" spans="1:8" x14ac:dyDescent="0.35">
      <c r="A23" s="89" t="s">
        <v>259</v>
      </c>
      <c r="B23" s="48" t="s">
        <v>260</v>
      </c>
      <c r="C23" s="51">
        <f>CrewingModelAreaPivot!B15</f>
        <v>2</v>
      </c>
      <c r="D23" s="51">
        <f>CrewingModelAreaPivot!C15</f>
        <v>0</v>
      </c>
      <c r="E23" s="51">
        <f>CrewingModelAreaPivot!D15</f>
        <v>0</v>
      </c>
      <c r="F23" s="51">
        <f>CrewingModelAreaPivot!E15</f>
        <v>0</v>
      </c>
      <c r="G23" s="51">
        <f>CrewingModelAreaPivot!F15</f>
        <v>0</v>
      </c>
      <c r="H23" s="69">
        <f t="shared" si="0"/>
        <v>2</v>
      </c>
    </row>
    <row r="24" spans="1:8" x14ac:dyDescent="0.35">
      <c r="A24" s="89" t="s">
        <v>263</v>
      </c>
      <c r="B24" s="48" t="s">
        <v>264</v>
      </c>
      <c r="C24" s="51">
        <f>CrewingModelAreaPivot!B16</f>
        <v>0</v>
      </c>
      <c r="D24" s="51">
        <f>CrewingModelAreaPivot!C16</f>
        <v>3</v>
      </c>
      <c r="E24" s="51">
        <f>CrewingModelAreaPivot!D16</f>
        <v>0</v>
      </c>
      <c r="F24" s="51">
        <f>CrewingModelAreaPivot!E16</f>
        <v>2</v>
      </c>
      <c r="G24" s="51">
        <f>CrewingModelAreaPivot!F16</f>
        <v>0</v>
      </c>
      <c r="H24" s="69">
        <f t="shared" si="0"/>
        <v>5</v>
      </c>
    </row>
    <row r="25" spans="1:8" x14ac:dyDescent="0.35">
      <c r="A25" s="89" t="s">
        <v>267</v>
      </c>
      <c r="B25" s="48" t="s">
        <v>268</v>
      </c>
      <c r="C25" s="51">
        <f>CrewingModelAreaPivot!B17</f>
        <v>5</v>
      </c>
      <c r="D25" s="51">
        <f>CrewingModelAreaPivot!C17</f>
        <v>0</v>
      </c>
      <c r="E25" s="51">
        <f>CrewingModelAreaPivot!D17</f>
        <v>0</v>
      </c>
      <c r="F25" s="51">
        <f>CrewingModelAreaPivot!E17</f>
        <v>8</v>
      </c>
      <c r="G25" s="51">
        <f>CrewingModelAreaPivot!F17</f>
        <v>0</v>
      </c>
      <c r="H25" s="69">
        <f t="shared" si="0"/>
        <v>13</v>
      </c>
    </row>
    <row r="26" spans="1:8" x14ac:dyDescent="0.35">
      <c r="A26" s="89" t="str">
        <f>IF(A10 = "2019-20","S12000049","S12000046")</f>
        <v>S12000046</v>
      </c>
      <c r="B26" s="48" t="s">
        <v>271</v>
      </c>
      <c r="C26" s="51">
        <f>CrewingModelAreaPivot!B18</f>
        <v>11</v>
      </c>
      <c r="D26" s="51">
        <f>CrewingModelAreaPivot!C18</f>
        <v>0</v>
      </c>
      <c r="E26" s="51">
        <f>CrewingModelAreaPivot!D18</f>
        <v>0</v>
      </c>
      <c r="F26" s="51">
        <f>CrewingModelAreaPivot!E18</f>
        <v>0</v>
      </c>
      <c r="G26" s="51">
        <f>CrewingModelAreaPivot!F18</f>
        <v>0</v>
      </c>
      <c r="H26" s="69">
        <f t="shared" si="0"/>
        <v>11</v>
      </c>
    </row>
    <row r="27" spans="1:8" x14ac:dyDescent="0.35">
      <c r="A27" s="89" t="s">
        <v>273</v>
      </c>
      <c r="B27" s="48" t="s">
        <v>274</v>
      </c>
      <c r="C27" s="51">
        <f>CrewingModelAreaPivot!B19</f>
        <v>0</v>
      </c>
      <c r="D27" s="51">
        <f>CrewingModelAreaPivot!C19</f>
        <v>1</v>
      </c>
      <c r="E27" s="51">
        <f>CrewingModelAreaPivot!D19</f>
        <v>0</v>
      </c>
      <c r="F27" s="51">
        <f>CrewingModelAreaPivot!E19</f>
        <v>51</v>
      </c>
      <c r="G27" s="51">
        <f>CrewingModelAreaPivot!F19</f>
        <v>9</v>
      </c>
      <c r="H27" s="69">
        <f t="shared" si="0"/>
        <v>61</v>
      </c>
    </row>
    <row r="28" spans="1:8" x14ac:dyDescent="0.35">
      <c r="A28" s="89" t="s">
        <v>277</v>
      </c>
      <c r="B28" s="48" t="s">
        <v>278</v>
      </c>
      <c r="C28" s="51">
        <f>CrewingModelAreaPivot!B20</f>
        <v>0</v>
      </c>
      <c r="D28" s="51">
        <f>CrewingModelAreaPivot!C20</f>
        <v>2</v>
      </c>
      <c r="E28" s="51">
        <f>CrewingModelAreaPivot!D20</f>
        <v>0</v>
      </c>
      <c r="F28" s="51">
        <f>CrewingModelAreaPivot!E20</f>
        <v>1</v>
      </c>
      <c r="G28" s="51">
        <f>CrewingModelAreaPivot!F20</f>
        <v>0</v>
      </c>
      <c r="H28" s="69">
        <f t="shared" si="0"/>
        <v>3</v>
      </c>
    </row>
    <row r="29" spans="1:8" x14ac:dyDescent="0.35">
      <c r="A29" s="89" t="s">
        <v>279</v>
      </c>
      <c r="B29" s="48" t="s">
        <v>280</v>
      </c>
      <c r="C29" s="51">
        <f>CrewingModelAreaPivot!B21</f>
        <v>1</v>
      </c>
      <c r="D29" s="51">
        <f>CrewingModelAreaPivot!C21</f>
        <v>0</v>
      </c>
      <c r="E29" s="51">
        <f>CrewingModelAreaPivot!D21</f>
        <v>0</v>
      </c>
      <c r="F29" s="51">
        <f>CrewingModelAreaPivot!E21</f>
        <v>1</v>
      </c>
      <c r="G29" s="51">
        <f>CrewingModelAreaPivot!F21</f>
        <v>0</v>
      </c>
      <c r="H29" s="69">
        <f t="shared" si="0"/>
        <v>2</v>
      </c>
    </row>
    <row r="30" spans="1:8" x14ac:dyDescent="0.35">
      <c r="A30" s="89" t="s">
        <v>281</v>
      </c>
      <c r="B30" s="48" t="s">
        <v>282</v>
      </c>
      <c r="C30" s="51">
        <f>CrewingModelAreaPivot!B22</f>
        <v>0</v>
      </c>
      <c r="D30" s="51">
        <f>CrewingModelAreaPivot!C22</f>
        <v>1</v>
      </c>
      <c r="E30" s="51">
        <f>CrewingModelAreaPivot!D22</f>
        <v>0</v>
      </c>
      <c r="F30" s="51">
        <f>CrewingModelAreaPivot!E22</f>
        <v>10</v>
      </c>
      <c r="G30" s="51">
        <f>CrewingModelAreaPivot!F22</f>
        <v>1</v>
      </c>
      <c r="H30" s="69">
        <f t="shared" si="0"/>
        <v>12</v>
      </c>
    </row>
    <row r="31" spans="1:8" x14ac:dyDescent="0.35">
      <c r="A31" s="89" t="s">
        <v>283</v>
      </c>
      <c r="B31" s="48" t="s">
        <v>284</v>
      </c>
      <c r="C31" s="51">
        <f>CrewingModelAreaPivot!B23</f>
        <v>0</v>
      </c>
      <c r="D31" s="51">
        <f>CrewingModelAreaPivot!C23</f>
        <v>0</v>
      </c>
      <c r="E31" s="51">
        <f>CrewingModelAreaPivot!D23</f>
        <v>0</v>
      </c>
      <c r="F31" s="51">
        <f>CrewingModelAreaPivot!E23</f>
        <v>14</v>
      </c>
      <c r="G31" s="51">
        <f>CrewingModelAreaPivot!F23</f>
        <v>0</v>
      </c>
      <c r="H31" s="69">
        <f t="shared" si="0"/>
        <v>14</v>
      </c>
    </row>
    <row r="32" spans="1:8" x14ac:dyDescent="0.35">
      <c r="A32" s="89" t="s">
        <v>287</v>
      </c>
      <c r="B32" s="48" t="s">
        <v>288</v>
      </c>
      <c r="C32" s="51">
        <f>CrewingModelAreaPivot!B24</f>
        <v>1</v>
      </c>
      <c r="D32" s="51">
        <f>CrewingModelAreaPivot!C24</f>
        <v>2</v>
      </c>
      <c r="E32" s="51">
        <f>CrewingModelAreaPivot!D24</f>
        <v>0</v>
      </c>
      <c r="F32" s="51">
        <f>CrewingModelAreaPivot!E24</f>
        <v>8</v>
      </c>
      <c r="G32" s="51">
        <f>CrewingModelAreaPivot!F24</f>
        <v>3</v>
      </c>
      <c r="H32" s="69">
        <f t="shared" si="0"/>
        <v>14</v>
      </c>
    </row>
    <row r="33" spans="1:9" x14ac:dyDescent="0.35">
      <c r="A33" s="89" t="str">
        <f>IF(A10="2019-20","S12000050","S12000044")</f>
        <v>S12000044</v>
      </c>
      <c r="B33" s="48" t="s">
        <v>290</v>
      </c>
      <c r="C33" s="51">
        <f>CrewingModelAreaPivot!B25</f>
        <v>4</v>
      </c>
      <c r="D33" s="51">
        <f>CrewingModelAreaPivot!C25</f>
        <v>0</v>
      </c>
      <c r="E33" s="51">
        <f>CrewingModelAreaPivot!D25</f>
        <v>0</v>
      </c>
      <c r="F33" s="51">
        <f>CrewingModelAreaPivot!E25</f>
        <v>3</v>
      </c>
      <c r="G33" s="51">
        <f>CrewingModelAreaPivot!F25</f>
        <v>0</v>
      </c>
      <c r="H33" s="69">
        <f t="shared" si="0"/>
        <v>7</v>
      </c>
    </row>
    <row r="34" spans="1:9" x14ac:dyDescent="0.35">
      <c r="A34" s="89" t="s">
        <v>292</v>
      </c>
      <c r="B34" s="48" t="s">
        <v>293</v>
      </c>
      <c r="C34" s="51">
        <f>CrewingModelAreaPivot!B26</f>
        <v>0</v>
      </c>
      <c r="D34" s="51">
        <f>CrewingModelAreaPivot!C26</f>
        <v>0</v>
      </c>
      <c r="E34" s="51">
        <f>CrewingModelAreaPivot!D26</f>
        <v>0</v>
      </c>
      <c r="F34" s="51">
        <f>CrewingModelAreaPivot!E26</f>
        <v>12</v>
      </c>
      <c r="G34" s="51">
        <f>CrewingModelAreaPivot!F26</f>
        <v>0</v>
      </c>
      <c r="H34" s="69">
        <f t="shared" si="0"/>
        <v>12</v>
      </c>
    </row>
    <row r="35" spans="1:9" x14ac:dyDescent="0.35">
      <c r="A35" s="89" t="s">
        <v>294</v>
      </c>
      <c r="B35" s="48" t="s">
        <v>295</v>
      </c>
      <c r="C35" s="51">
        <f>CrewingModelAreaPivot!B27</f>
        <v>1</v>
      </c>
      <c r="D35" s="51">
        <f>CrewingModelAreaPivot!C27</f>
        <v>0</v>
      </c>
      <c r="E35" s="51">
        <f>CrewingModelAreaPivot!D27</f>
        <v>0</v>
      </c>
      <c r="F35" s="51">
        <f>CrewingModelAreaPivot!E27</f>
        <v>10</v>
      </c>
      <c r="G35" s="51">
        <f>CrewingModelAreaPivot!F27</f>
        <v>3</v>
      </c>
      <c r="H35" s="69">
        <f t="shared" si="0"/>
        <v>14</v>
      </c>
    </row>
    <row r="36" spans="1:9" x14ac:dyDescent="0.35">
      <c r="A36" s="89" t="s">
        <v>296</v>
      </c>
      <c r="B36" s="48" t="s">
        <v>297</v>
      </c>
      <c r="C36" s="51">
        <f>CrewingModelAreaPivot!B28</f>
        <v>2</v>
      </c>
      <c r="D36" s="51">
        <f>CrewingModelAreaPivot!C28</f>
        <v>1</v>
      </c>
      <c r="E36" s="51">
        <f>CrewingModelAreaPivot!D28</f>
        <v>0</v>
      </c>
      <c r="F36" s="51">
        <f>CrewingModelAreaPivot!E28</f>
        <v>0</v>
      </c>
      <c r="G36" s="51">
        <f>CrewingModelAreaPivot!F28</f>
        <v>0</v>
      </c>
      <c r="H36" s="69">
        <f t="shared" si="0"/>
        <v>3</v>
      </c>
    </row>
    <row r="37" spans="1:9" x14ac:dyDescent="0.35">
      <c r="A37" s="89" t="s">
        <v>298</v>
      </c>
      <c r="B37" s="48" t="s">
        <v>299</v>
      </c>
      <c r="C37" s="51">
        <f>CrewingModelAreaPivot!B29</f>
        <v>0</v>
      </c>
      <c r="D37" s="51">
        <f>CrewingModelAreaPivot!C29</f>
        <v>2</v>
      </c>
      <c r="E37" s="51">
        <f>CrewingModelAreaPivot!D29</f>
        <v>0</v>
      </c>
      <c r="F37" s="51">
        <f>CrewingModelAreaPivot!E29</f>
        <v>11</v>
      </c>
      <c r="G37" s="51">
        <f>CrewingModelAreaPivot!F29</f>
        <v>0</v>
      </c>
      <c r="H37" s="69">
        <f t="shared" si="0"/>
        <v>13</v>
      </c>
    </row>
    <row r="38" spans="1:9" x14ac:dyDescent="0.35">
      <c r="A38" s="89" t="s">
        <v>300</v>
      </c>
      <c r="B38" s="48" t="s">
        <v>301</v>
      </c>
      <c r="C38" s="51">
        <f>CrewingModelAreaPivot!B30</f>
        <v>0</v>
      </c>
      <c r="D38" s="51">
        <f>CrewingModelAreaPivot!C30</f>
        <v>0</v>
      </c>
      <c r="E38" s="51">
        <f>CrewingModelAreaPivot!D30</f>
        <v>0</v>
      </c>
      <c r="F38" s="51">
        <f>CrewingModelAreaPivot!E30</f>
        <v>14</v>
      </c>
      <c r="G38" s="51">
        <f>CrewingModelAreaPivot!F30</f>
        <v>0</v>
      </c>
      <c r="H38" s="69">
        <f t="shared" si="0"/>
        <v>14</v>
      </c>
    </row>
    <row r="39" spans="1:9" x14ac:dyDescent="0.35">
      <c r="A39" s="89" t="s">
        <v>302</v>
      </c>
      <c r="B39" s="48" t="s">
        <v>303</v>
      </c>
      <c r="C39" s="51">
        <f>CrewingModelAreaPivot!B31</f>
        <v>0</v>
      </c>
      <c r="D39" s="51">
        <f>CrewingModelAreaPivot!C31</f>
        <v>1</v>
      </c>
      <c r="E39" s="51">
        <f>CrewingModelAreaPivot!D31</f>
        <v>0</v>
      </c>
      <c r="F39" s="51">
        <f>CrewingModelAreaPivot!E31</f>
        <v>4</v>
      </c>
      <c r="G39" s="51">
        <f>CrewingModelAreaPivot!F31</f>
        <v>0</v>
      </c>
      <c r="H39" s="69">
        <f t="shared" si="0"/>
        <v>5</v>
      </c>
    </row>
    <row r="40" spans="1:9" x14ac:dyDescent="0.35">
      <c r="A40" s="89" t="s">
        <v>304</v>
      </c>
      <c r="B40" s="48" t="s">
        <v>305</v>
      </c>
      <c r="C40" s="51">
        <f>CrewingModelAreaPivot!B32</f>
        <v>3</v>
      </c>
      <c r="D40" s="51">
        <f>CrewingModelAreaPivot!C32</f>
        <v>1</v>
      </c>
      <c r="E40" s="51">
        <f>CrewingModelAreaPivot!D32</f>
        <v>0</v>
      </c>
      <c r="F40" s="51">
        <f>CrewingModelAreaPivot!E32</f>
        <v>7</v>
      </c>
      <c r="G40" s="51">
        <f>CrewingModelAreaPivot!F32</f>
        <v>0</v>
      </c>
      <c r="H40" s="69">
        <f t="shared" si="0"/>
        <v>11</v>
      </c>
    </row>
    <row r="41" spans="1:9" x14ac:dyDescent="0.35">
      <c r="A41" s="89" t="s">
        <v>307</v>
      </c>
      <c r="B41" s="48" t="s">
        <v>308</v>
      </c>
      <c r="C41" s="51">
        <f>CrewingModelAreaPivot!B33</f>
        <v>1</v>
      </c>
      <c r="D41" s="51">
        <f>CrewingModelAreaPivot!C33</f>
        <v>0</v>
      </c>
      <c r="E41" s="51">
        <f>CrewingModelAreaPivot!D33</f>
        <v>0</v>
      </c>
      <c r="F41" s="51">
        <f>CrewingModelAreaPivot!E33</f>
        <v>9</v>
      </c>
      <c r="G41" s="51">
        <f>CrewingModelAreaPivot!F33</f>
        <v>0</v>
      </c>
      <c r="H41" s="69">
        <f t="shared" si="0"/>
        <v>10</v>
      </c>
    </row>
    <row r="42" spans="1:9" x14ac:dyDescent="0.35">
      <c r="A42" s="89" t="s">
        <v>309</v>
      </c>
      <c r="B42" s="48" t="s">
        <v>310</v>
      </c>
      <c r="C42" s="51">
        <f>CrewingModelAreaPivot!B34</f>
        <v>1</v>
      </c>
      <c r="D42" s="51">
        <f>CrewingModelAreaPivot!C34</f>
        <v>1</v>
      </c>
      <c r="E42" s="51">
        <f>CrewingModelAreaPivot!D34</f>
        <v>0</v>
      </c>
      <c r="F42" s="51">
        <f>CrewingModelAreaPivot!E34</f>
        <v>1</v>
      </c>
      <c r="G42" s="51">
        <f>CrewingModelAreaPivot!F34</f>
        <v>0</v>
      </c>
      <c r="H42" s="69">
        <f t="shared" si="0"/>
        <v>3</v>
      </c>
    </row>
    <row r="43" spans="1:9" x14ac:dyDescent="0.35">
      <c r="A43" s="89" t="s">
        <v>311</v>
      </c>
      <c r="B43" s="48" t="s">
        <v>312</v>
      </c>
      <c r="C43" s="51">
        <f>CrewingModelAreaPivot!B35</f>
        <v>0</v>
      </c>
      <c r="D43" s="51">
        <f>CrewingModelAreaPivot!C35</f>
        <v>1</v>
      </c>
      <c r="E43" s="51">
        <f>CrewingModelAreaPivot!D35</f>
        <v>1</v>
      </c>
      <c r="F43" s="51">
        <f>CrewingModelAreaPivot!E35</f>
        <v>4</v>
      </c>
      <c r="G43" s="51">
        <f>CrewingModelAreaPivot!F35</f>
        <v>0</v>
      </c>
      <c r="H43" s="69">
        <f t="shared" si="0"/>
        <v>6</v>
      </c>
    </row>
    <row r="44" spans="1:9" ht="21.75" customHeight="1" thickBot="1" x14ac:dyDescent="0.4">
      <c r="A44" s="33"/>
      <c r="B44" s="33" t="s">
        <v>348</v>
      </c>
      <c r="C44" s="70">
        <f t="shared" ref="C44:H44" si="1">SUM(C12:C43)</f>
        <v>50</v>
      </c>
      <c r="D44" s="70">
        <f t="shared" si="1"/>
        <v>23</v>
      </c>
      <c r="E44" s="70">
        <f t="shared" si="1"/>
        <v>1</v>
      </c>
      <c r="F44" s="70">
        <f t="shared" si="1"/>
        <v>240</v>
      </c>
      <c r="G44" s="70">
        <f t="shared" si="1"/>
        <v>42</v>
      </c>
      <c r="H44" s="70">
        <f t="shared" si="1"/>
        <v>356</v>
      </c>
    </row>
    <row r="45" spans="1:9" x14ac:dyDescent="0.35">
      <c r="B45" s="195"/>
      <c r="C45" s="196"/>
      <c r="D45" s="196"/>
      <c r="E45" s="196"/>
      <c r="F45" s="196"/>
      <c r="G45" s="196"/>
      <c r="H45" s="196"/>
    </row>
    <row r="46" spans="1:9" ht="15" customHeight="1" x14ac:dyDescent="0.35">
      <c r="A46" s="48" t="s">
        <v>329</v>
      </c>
    </row>
    <row r="47" spans="1:9" ht="30.75" customHeight="1" x14ac:dyDescent="0.35">
      <c r="A47" s="1014" t="s">
        <v>349</v>
      </c>
      <c r="B47" s="1014"/>
      <c r="C47" s="1014"/>
      <c r="D47" s="1014"/>
      <c r="E47" s="1014"/>
      <c r="F47" s="1014"/>
      <c r="G47" s="1014"/>
      <c r="H47" s="1014"/>
    </row>
    <row r="48" spans="1:9" ht="30.75" customHeight="1" x14ac:dyDescent="0.35">
      <c r="A48" s="1013" t="s">
        <v>344</v>
      </c>
      <c r="B48" s="1013"/>
      <c r="C48" s="1013"/>
      <c r="D48" s="1013"/>
      <c r="E48" s="1013"/>
      <c r="F48" s="1013"/>
      <c r="G48" s="1013"/>
      <c r="H48" s="1013"/>
      <c r="I48" s="1013"/>
    </row>
  </sheetData>
  <sheetProtection algorithmName="SHA-512" hashValue="IETVRR2E6Sr9qe5OaySisZSlbcanVOQSggQZt7mjLGawRjjYVZ+0Xy9kvFSfKs8SQ2TWDIOz5K+PYeBdQS6SxA==" saltValue="4UjOXtCAGeUdeau5Nbui6g==" spinCount="100000" sheet="1" scenarios="1" formatCells="0" sort="0" autoFilter="0" pivotTables="0"/>
  <mergeCells count="4">
    <mergeCell ref="A48:I48"/>
    <mergeCell ref="A1:C1"/>
    <mergeCell ref="A4:F4"/>
    <mergeCell ref="A47:H47"/>
  </mergeCells>
  <hyperlinks>
    <hyperlink ref="A2" location="'Table of Contents'!A1" display="Back to Table of Contents" xr:uid="{00000000-0004-0000-0500-000000000000}"/>
  </hyperlinks>
  <pageMargins left="0.70866141732283472" right="0.70866141732283472" top="0.74803149606299213" bottom="0.74803149606299213" header="0.31496062992125984" footer="0.31496062992125984"/>
  <pageSetup scale="71" orientation="portrait" r:id="rId1"/>
  <drawing r:id="rId2"/>
  <extLst>
    <ext xmlns:x14="http://schemas.microsoft.com/office/spreadsheetml/2009/9/main" uri="{A8765BA9-456A-4dab-B4F3-ACF838C121DE}">
      <x14:slicerList>
        <x14:slicer r:id="rId3"/>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39997558519241921"/>
  </sheetPr>
  <dimension ref="A1:H60"/>
  <sheetViews>
    <sheetView topLeftCell="A10" zoomScale="70" zoomScaleNormal="70" workbookViewId="0">
      <selection activeCell="A24" sqref="A24"/>
    </sheetView>
  </sheetViews>
  <sheetFormatPr defaultRowHeight="14.5" x14ac:dyDescent="0.35"/>
  <cols>
    <col min="1" max="1" width="62.6328125" bestFit="1" customWidth="1"/>
    <col min="2" max="2" width="28.6328125" bestFit="1" customWidth="1"/>
    <col min="3" max="3" width="25.08984375" bestFit="1" customWidth="1"/>
    <col min="4" max="4" width="26.81640625" bestFit="1" customWidth="1"/>
    <col min="5" max="5" width="27.90625" bestFit="1" customWidth="1"/>
    <col min="6" max="6" width="27" bestFit="1" customWidth="1"/>
    <col min="7" max="7" width="25.453125" bestFit="1" customWidth="1"/>
    <col min="8" max="8" width="21.08984375" bestFit="1" customWidth="1"/>
    <col min="9" max="51" width="9.7265625" bestFit="1" customWidth="1"/>
    <col min="52" max="52" width="19.1796875" bestFit="1" customWidth="1"/>
    <col min="53" max="101" width="9.7265625" bestFit="1" customWidth="1"/>
    <col min="102" max="102" width="20.453125" bestFit="1" customWidth="1"/>
    <col min="103" max="151" width="9.7265625" bestFit="1" customWidth="1"/>
    <col min="152" max="152" width="21.26953125" bestFit="1" customWidth="1"/>
    <col min="153" max="201" width="9.7265625" bestFit="1" customWidth="1"/>
    <col min="202" max="202" width="20.54296875" bestFit="1" customWidth="1"/>
    <col min="203" max="251" width="9.7265625" bestFit="1" customWidth="1"/>
    <col min="252" max="252" width="19.453125" bestFit="1" customWidth="1"/>
    <col min="253" max="301" width="9.7265625" bestFit="1" customWidth="1"/>
    <col min="302" max="302" width="15.81640625" bestFit="1" customWidth="1"/>
    <col min="303" max="351" width="9.7265625" bestFit="1" customWidth="1"/>
    <col min="352" max="352" width="26.453125" bestFit="1" customWidth="1"/>
    <col min="353" max="353" width="23.81640625" bestFit="1" customWidth="1"/>
    <col min="354" max="354" width="25.453125" bestFit="1" customWidth="1"/>
    <col min="355" max="355" width="26.1796875" bestFit="1" customWidth="1"/>
    <col min="356" max="356" width="25.54296875" bestFit="1" customWidth="1"/>
    <col min="357" max="357" width="24.26953125" bestFit="1" customWidth="1"/>
    <col min="358" max="358" width="20.54296875" bestFit="1" customWidth="1"/>
  </cols>
  <sheetData>
    <row r="1" spans="1:8" x14ac:dyDescent="0.35">
      <c r="A1" s="387" t="s">
        <v>207</v>
      </c>
      <c r="B1" t="s">
        <v>466</v>
      </c>
    </row>
    <row r="3" spans="1:8" x14ac:dyDescent="0.35">
      <c r="A3" s="387" t="s">
        <v>350</v>
      </c>
      <c r="B3" t="s">
        <v>635</v>
      </c>
      <c r="C3" t="s">
        <v>636</v>
      </c>
      <c r="D3" t="s">
        <v>637</v>
      </c>
      <c r="E3" t="s">
        <v>638</v>
      </c>
      <c r="F3" t="s">
        <v>639</v>
      </c>
      <c r="G3" t="s">
        <v>640</v>
      </c>
      <c r="H3" t="s">
        <v>641</v>
      </c>
    </row>
    <row r="4" spans="1:8" x14ac:dyDescent="0.35">
      <c r="A4" s="388" t="s">
        <v>536</v>
      </c>
    </row>
    <row r="5" spans="1:8" x14ac:dyDescent="0.35">
      <c r="A5" s="389" t="s">
        <v>216</v>
      </c>
      <c r="B5">
        <v>0</v>
      </c>
      <c r="C5">
        <v>0</v>
      </c>
      <c r="D5">
        <v>0</v>
      </c>
      <c r="E5">
        <v>0</v>
      </c>
      <c r="F5">
        <v>20</v>
      </c>
      <c r="G5">
        <v>35</v>
      </c>
      <c r="H5">
        <v>102</v>
      </c>
    </row>
    <row r="6" spans="1:8" x14ac:dyDescent="0.35">
      <c r="A6" s="389" t="s">
        <v>221</v>
      </c>
      <c r="B6">
        <v>0</v>
      </c>
      <c r="C6">
        <v>0</v>
      </c>
      <c r="D6">
        <v>0</v>
      </c>
      <c r="E6">
        <v>0</v>
      </c>
      <c r="F6">
        <v>5</v>
      </c>
      <c r="G6">
        <v>6</v>
      </c>
      <c r="H6">
        <v>20</v>
      </c>
    </row>
    <row r="7" spans="1:8" x14ac:dyDescent="0.35">
      <c r="A7" s="389" t="s">
        <v>225</v>
      </c>
      <c r="B7">
        <v>0</v>
      </c>
      <c r="C7">
        <v>0</v>
      </c>
      <c r="D7">
        <v>0</v>
      </c>
      <c r="E7">
        <v>0</v>
      </c>
      <c r="F7">
        <v>6</v>
      </c>
      <c r="G7">
        <v>5</v>
      </c>
      <c r="H7">
        <v>15</v>
      </c>
    </row>
    <row r="8" spans="1:8" x14ac:dyDescent="0.35">
      <c r="A8" s="389" t="s">
        <v>229</v>
      </c>
      <c r="B8">
        <v>0</v>
      </c>
      <c r="C8">
        <v>0</v>
      </c>
      <c r="D8">
        <v>0</v>
      </c>
      <c r="E8">
        <v>0</v>
      </c>
      <c r="F8">
        <v>11</v>
      </c>
      <c r="G8">
        <v>10</v>
      </c>
      <c r="H8">
        <v>32</v>
      </c>
    </row>
    <row r="9" spans="1:8" x14ac:dyDescent="0.35">
      <c r="A9" s="389" t="s">
        <v>235</v>
      </c>
      <c r="B9">
        <v>0</v>
      </c>
      <c r="C9">
        <v>0</v>
      </c>
      <c r="D9">
        <v>0</v>
      </c>
      <c r="E9">
        <v>0</v>
      </c>
      <c r="F9">
        <v>34</v>
      </c>
      <c r="G9">
        <v>56</v>
      </c>
      <c r="H9">
        <v>198</v>
      </c>
    </row>
    <row r="10" spans="1:8" x14ac:dyDescent="0.35">
      <c r="A10" s="389" t="s">
        <v>241</v>
      </c>
      <c r="B10">
        <v>0</v>
      </c>
      <c r="C10">
        <v>0</v>
      </c>
      <c r="D10">
        <v>0</v>
      </c>
      <c r="E10">
        <v>0</v>
      </c>
      <c r="F10">
        <v>5</v>
      </c>
      <c r="G10">
        <v>5</v>
      </c>
      <c r="H10">
        <v>16</v>
      </c>
    </row>
    <row r="11" spans="1:8" x14ac:dyDescent="0.35">
      <c r="A11" s="389" t="s">
        <v>245</v>
      </c>
      <c r="B11">
        <v>0</v>
      </c>
      <c r="C11">
        <v>0</v>
      </c>
      <c r="D11">
        <v>0</v>
      </c>
      <c r="E11">
        <v>0</v>
      </c>
      <c r="F11">
        <v>6</v>
      </c>
      <c r="G11">
        <v>9</v>
      </c>
      <c r="H11">
        <v>37</v>
      </c>
    </row>
    <row r="12" spans="1:8" x14ac:dyDescent="0.35">
      <c r="A12" s="389" t="s">
        <v>248</v>
      </c>
      <c r="B12">
        <v>0</v>
      </c>
      <c r="C12">
        <v>0</v>
      </c>
      <c r="D12">
        <v>0</v>
      </c>
      <c r="E12">
        <v>0</v>
      </c>
      <c r="F12">
        <v>21</v>
      </c>
      <c r="G12">
        <v>29</v>
      </c>
      <c r="H12">
        <v>112</v>
      </c>
    </row>
    <row r="13" spans="1:8" x14ac:dyDescent="0.35">
      <c r="A13" s="389" t="s">
        <v>250</v>
      </c>
      <c r="B13">
        <v>0</v>
      </c>
      <c r="C13">
        <v>0</v>
      </c>
      <c r="D13">
        <v>0</v>
      </c>
      <c r="E13">
        <v>0</v>
      </c>
      <c r="F13">
        <v>6</v>
      </c>
      <c r="G13">
        <v>10</v>
      </c>
      <c r="H13">
        <v>39</v>
      </c>
    </row>
    <row r="14" spans="1:8" x14ac:dyDescent="0.35">
      <c r="A14" s="389" t="s">
        <v>254</v>
      </c>
      <c r="B14">
        <v>0</v>
      </c>
      <c r="C14">
        <v>0</v>
      </c>
      <c r="D14">
        <v>0</v>
      </c>
      <c r="E14">
        <v>0</v>
      </c>
      <c r="F14">
        <v>15</v>
      </c>
      <c r="G14">
        <v>14</v>
      </c>
      <c r="H14">
        <v>46</v>
      </c>
    </row>
    <row r="15" spans="1:8" x14ac:dyDescent="0.35">
      <c r="A15" s="389" t="s">
        <v>256</v>
      </c>
      <c r="B15">
        <v>0</v>
      </c>
      <c r="C15">
        <v>0</v>
      </c>
      <c r="D15">
        <v>0</v>
      </c>
      <c r="E15">
        <v>0</v>
      </c>
      <c r="F15">
        <v>5</v>
      </c>
      <c r="G15">
        <v>5</v>
      </c>
      <c r="H15">
        <v>16</v>
      </c>
    </row>
    <row r="16" spans="1:8" x14ac:dyDescent="0.35">
      <c r="A16" s="389" t="s">
        <v>260</v>
      </c>
      <c r="B16">
        <v>0</v>
      </c>
      <c r="C16">
        <v>0</v>
      </c>
      <c r="D16">
        <v>0</v>
      </c>
      <c r="E16">
        <v>0</v>
      </c>
      <c r="F16">
        <v>10</v>
      </c>
      <c r="G16">
        <v>10</v>
      </c>
      <c r="H16">
        <v>32</v>
      </c>
    </row>
    <row r="17" spans="1:8" x14ac:dyDescent="0.35">
      <c r="A17" s="389" t="s">
        <v>264</v>
      </c>
      <c r="B17">
        <v>0</v>
      </c>
      <c r="C17">
        <v>0</v>
      </c>
      <c r="D17">
        <v>0</v>
      </c>
      <c r="E17">
        <v>0</v>
      </c>
      <c r="F17">
        <v>14</v>
      </c>
      <c r="G17">
        <v>19</v>
      </c>
      <c r="H17">
        <v>50</v>
      </c>
    </row>
    <row r="18" spans="1:8" x14ac:dyDescent="0.35">
      <c r="A18" s="389" t="s">
        <v>268</v>
      </c>
      <c r="B18">
        <v>0</v>
      </c>
      <c r="C18">
        <v>0</v>
      </c>
      <c r="D18">
        <v>0</v>
      </c>
      <c r="E18">
        <v>0</v>
      </c>
      <c r="F18">
        <v>25</v>
      </c>
      <c r="G18">
        <v>43</v>
      </c>
      <c r="H18">
        <v>143</v>
      </c>
    </row>
    <row r="19" spans="1:8" x14ac:dyDescent="0.35">
      <c r="A19" s="389" t="s">
        <v>271</v>
      </c>
      <c r="B19">
        <v>0</v>
      </c>
      <c r="C19">
        <v>0</v>
      </c>
      <c r="D19">
        <v>0</v>
      </c>
      <c r="E19">
        <v>0</v>
      </c>
      <c r="F19">
        <v>67</v>
      </c>
      <c r="G19">
        <v>91</v>
      </c>
      <c r="H19">
        <v>290</v>
      </c>
    </row>
    <row r="20" spans="1:8" x14ac:dyDescent="0.35">
      <c r="A20" s="389" t="s">
        <v>274</v>
      </c>
      <c r="B20">
        <v>0</v>
      </c>
      <c r="C20">
        <v>0</v>
      </c>
      <c r="D20">
        <v>0</v>
      </c>
      <c r="E20">
        <v>0</v>
      </c>
      <c r="F20">
        <v>5</v>
      </c>
      <c r="G20">
        <v>17</v>
      </c>
      <c r="H20">
        <v>51</v>
      </c>
    </row>
    <row r="21" spans="1:8" x14ac:dyDescent="0.35">
      <c r="A21" s="389" t="s">
        <v>278</v>
      </c>
      <c r="B21">
        <v>0</v>
      </c>
      <c r="C21">
        <v>0</v>
      </c>
      <c r="D21">
        <v>0</v>
      </c>
      <c r="E21">
        <v>0</v>
      </c>
      <c r="F21">
        <v>10</v>
      </c>
      <c r="G21">
        <v>15</v>
      </c>
      <c r="H21">
        <v>39</v>
      </c>
    </row>
    <row r="22" spans="1:8" x14ac:dyDescent="0.35">
      <c r="A22" s="389" t="s">
        <v>280</v>
      </c>
      <c r="B22">
        <v>0</v>
      </c>
      <c r="C22">
        <v>0</v>
      </c>
      <c r="D22">
        <v>0</v>
      </c>
      <c r="E22">
        <v>0</v>
      </c>
      <c r="F22">
        <v>4</v>
      </c>
      <c r="G22">
        <v>4</v>
      </c>
      <c r="H22">
        <v>21</v>
      </c>
    </row>
    <row r="23" spans="1:8" x14ac:dyDescent="0.35">
      <c r="A23" s="389" t="s">
        <v>282</v>
      </c>
      <c r="B23">
        <v>0</v>
      </c>
      <c r="C23">
        <v>0</v>
      </c>
      <c r="D23">
        <v>0</v>
      </c>
      <c r="E23">
        <v>0</v>
      </c>
      <c r="F23">
        <v>5</v>
      </c>
      <c r="G23">
        <v>5</v>
      </c>
      <c r="H23">
        <v>20</v>
      </c>
    </row>
    <row r="24" spans="1:8" x14ac:dyDescent="0.35">
      <c r="A24" s="389" t="s">
        <v>284</v>
      </c>
      <c r="B24">
        <v>0</v>
      </c>
      <c r="C24">
        <v>0</v>
      </c>
      <c r="D24">
        <v>0</v>
      </c>
      <c r="E24">
        <v>0</v>
      </c>
      <c r="F24">
        <v>3</v>
      </c>
      <c r="G24">
        <v>0</v>
      </c>
      <c r="H24">
        <v>0</v>
      </c>
    </row>
    <row r="25" spans="1:8" x14ac:dyDescent="0.35">
      <c r="A25" s="389" t="s">
        <v>288</v>
      </c>
      <c r="B25">
        <v>0</v>
      </c>
      <c r="C25">
        <v>0</v>
      </c>
      <c r="D25">
        <v>0</v>
      </c>
      <c r="E25">
        <v>0</v>
      </c>
      <c r="F25">
        <v>15</v>
      </c>
      <c r="G25">
        <v>15</v>
      </c>
      <c r="H25">
        <v>42</v>
      </c>
    </row>
    <row r="26" spans="1:8" x14ac:dyDescent="0.35">
      <c r="A26" s="389" t="s">
        <v>290</v>
      </c>
      <c r="B26">
        <v>0</v>
      </c>
      <c r="C26">
        <v>0</v>
      </c>
      <c r="D26">
        <v>0</v>
      </c>
      <c r="E26">
        <v>0</v>
      </c>
      <c r="F26">
        <v>20</v>
      </c>
      <c r="G26">
        <v>31</v>
      </c>
      <c r="H26">
        <v>112</v>
      </c>
    </row>
    <row r="27" spans="1:8" x14ac:dyDescent="0.35">
      <c r="A27" s="389" t="s">
        <v>295</v>
      </c>
      <c r="B27">
        <v>0</v>
      </c>
      <c r="C27">
        <v>0</v>
      </c>
      <c r="D27">
        <v>0</v>
      </c>
      <c r="E27">
        <v>0</v>
      </c>
      <c r="F27">
        <v>5</v>
      </c>
      <c r="G27">
        <v>11</v>
      </c>
      <c r="H27">
        <v>43</v>
      </c>
    </row>
    <row r="28" spans="1:8" x14ac:dyDescent="0.35">
      <c r="A28" s="389" t="s">
        <v>297</v>
      </c>
      <c r="B28">
        <v>0</v>
      </c>
      <c r="C28">
        <v>0</v>
      </c>
      <c r="D28">
        <v>0</v>
      </c>
      <c r="E28">
        <v>0</v>
      </c>
      <c r="F28">
        <v>15</v>
      </c>
      <c r="G28">
        <v>21</v>
      </c>
      <c r="H28">
        <v>66</v>
      </c>
    </row>
    <row r="29" spans="1:8" x14ac:dyDescent="0.35">
      <c r="A29" s="389" t="s">
        <v>299</v>
      </c>
      <c r="B29">
        <v>0</v>
      </c>
      <c r="C29">
        <v>0</v>
      </c>
      <c r="D29">
        <v>0</v>
      </c>
      <c r="E29">
        <v>0</v>
      </c>
      <c r="F29">
        <v>10</v>
      </c>
      <c r="G29">
        <v>10</v>
      </c>
      <c r="H29">
        <v>38</v>
      </c>
    </row>
    <row r="30" spans="1:8" x14ac:dyDescent="0.35">
      <c r="A30" s="389" t="s">
        <v>303</v>
      </c>
      <c r="B30">
        <v>0</v>
      </c>
      <c r="C30">
        <v>0</v>
      </c>
      <c r="D30">
        <v>0</v>
      </c>
      <c r="E30">
        <v>0</v>
      </c>
      <c r="F30">
        <v>6</v>
      </c>
      <c r="G30">
        <v>11</v>
      </c>
      <c r="H30">
        <v>36</v>
      </c>
    </row>
    <row r="31" spans="1:8" x14ac:dyDescent="0.35">
      <c r="A31" s="389" t="s">
        <v>305</v>
      </c>
      <c r="B31">
        <v>0</v>
      </c>
      <c r="C31">
        <v>0</v>
      </c>
      <c r="D31">
        <v>0</v>
      </c>
      <c r="E31">
        <v>0</v>
      </c>
      <c r="F31">
        <v>19</v>
      </c>
      <c r="G31">
        <v>28</v>
      </c>
      <c r="H31">
        <v>108</v>
      </c>
    </row>
    <row r="32" spans="1:8" x14ac:dyDescent="0.35">
      <c r="A32" s="389" t="s">
        <v>308</v>
      </c>
      <c r="B32">
        <v>0</v>
      </c>
      <c r="C32">
        <v>0</v>
      </c>
      <c r="D32">
        <v>0</v>
      </c>
      <c r="E32">
        <v>0</v>
      </c>
      <c r="F32">
        <v>5</v>
      </c>
      <c r="G32">
        <v>10</v>
      </c>
      <c r="H32">
        <v>32</v>
      </c>
    </row>
    <row r="33" spans="1:8" x14ac:dyDescent="0.35">
      <c r="A33" s="389" t="s">
        <v>310</v>
      </c>
      <c r="B33">
        <v>0</v>
      </c>
      <c r="C33">
        <v>0</v>
      </c>
      <c r="D33">
        <v>0</v>
      </c>
      <c r="E33">
        <v>0</v>
      </c>
      <c r="F33">
        <v>10</v>
      </c>
      <c r="G33">
        <v>15</v>
      </c>
      <c r="H33">
        <v>50</v>
      </c>
    </row>
    <row r="34" spans="1:8" x14ac:dyDescent="0.35">
      <c r="A34" s="389" t="s">
        <v>312</v>
      </c>
      <c r="B34">
        <v>0</v>
      </c>
      <c r="C34">
        <v>0</v>
      </c>
      <c r="D34">
        <v>0</v>
      </c>
      <c r="E34">
        <v>0</v>
      </c>
      <c r="F34">
        <v>14</v>
      </c>
      <c r="G34">
        <v>11</v>
      </c>
      <c r="H34">
        <v>39</v>
      </c>
    </row>
    <row r="35" spans="1:8" x14ac:dyDescent="0.35">
      <c r="A35" s="388" t="s">
        <v>538</v>
      </c>
      <c r="B35">
        <v>0</v>
      </c>
      <c r="C35">
        <v>0</v>
      </c>
      <c r="D35">
        <v>0</v>
      </c>
      <c r="E35">
        <v>0</v>
      </c>
      <c r="F35">
        <v>396</v>
      </c>
      <c r="G35">
        <v>551</v>
      </c>
      <c r="H35">
        <v>1845</v>
      </c>
    </row>
    <row r="36" spans="1:8" x14ac:dyDescent="0.35">
      <c r="A36" s="388" t="s">
        <v>539</v>
      </c>
    </row>
    <row r="37" spans="1:8" x14ac:dyDescent="0.35">
      <c r="A37" s="389" t="s">
        <v>231</v>
      </c>
      <c r="B37">
        <v>0</v>
      </c>
      <c r="C37">
        <v>1</v>
      </c>
      <c r="D37">
        <v>4</v>
      </c>
      <c r="E37">
        <v>9</v>
      </c>
      <c r="F37">
        <v>4</v>
      </c>
      <c r="G37">
        <v>0</v>
      </c>
      <c r="H37">
        <v>2</v>
      </c>
    </row>
    <row r="38" spans="1:8" x14ac:dyDescent="0.35">
      <c r="A38" s="389" t="s">
        <v>245</v>
      </c>
      <c r="B38">
        <v>0</v>
      </c>
      <c r="C38">
        <v>1</v>
      </c>
      <c r="D38">
        <v>2</v>
      </c>
      <c r="E38">
        <v>6</v>
      </c>
      <c r="F38">
        <v>5</v>
      </c>
      <c r="G38">
        <v>0</v>
      </c>
      <c r="H38">
        <v>2</v>
      </c>
    </row>
    <row r="39" spans="1:8" x14ac:dyDescent="0.35">
      <c r="A39" s="389" t="s">
        <v>227</v>
      </c>
      <c r="B39">
        <v>0</v>
      </c>
      <c r="C39">
        <v>1</v>
      </c>
      <c r="D39">
        <v>4</v>
      </c>
      <c r="E39">
        <v>8</v>
      </c>
      <c r="F39">
        <v>8</v>
      </c>
      <c r="G39">
        <v>0</v>
      </c>
      <c r="H39">
        <v>4</v>
      </c>
    </row>
    <row r="40" spans="1:8" x14ac:dyDescent="0.35">
      <c r="A40" s="389" t="s">
        <v>252</v>
      </c>
      <c r="B40">
        <v>0</v>
      </c>
      <c r="C40">
        <v>1</v>
      </c>
      <c r="D40">
        <v>3</v>
      </c>
      <c r="E40">
        <v>9</v>
      </c>
      <c r="F40">
        <v>5</v>
      </c>
      <c r="G40">
        <v>0</v>
      </c>
      <c r="H40">
        <v>0</v>
      </c>
    </row>
    <row r="41" spans="1:8" x14ac:dyDescent="0.35">
      <c r="A41" s="389" t="s">
        <v>258</v>
      </c>
      <c r="B41">
        <v>0</v>
      </c>
      <c r="C41">
        <v>1</v>
      </c>
      <c r="D41">
        <v>3</v>
      </c>
      <c r="E41">
        <v>6</v>
      </c>
      <c r="F41">
        <v>6</v>
      </c>
      <c r="G41">
        <v>0</v>
      </c>
      <c r="H41">
        <v>4</v>
      </c>
    </row>
    <row r="42" spans="1:8" x14ac:dyDescent="0.35">
      <c r="A42" s="389" t="s">
        <v>262</v>
      </c>
      <c r="B42">
        <v>0</v>
      </c>
      <c r="C42">
        <v>1</v>
      </c>
      <c r="D42">
        <v>3</v>
      </c>
      <c r="E42">
        <v>5</v>
      </c>
      <c r="F42">
        <v>3</v>
      </c>
      <c r="G42">
        <v>2</v>
      </c>
      <c r="H42">
        <v>1</v>
      </c>
    </row>
    <row r="43" spans="1:8" x14ac:dyDescent="0.35">
      <c r="A43" s="389" t="s">
        <v>237</v>
      </c>
      <c r="B43">
        <v>0</v>
      </c>
      <c r="C43">
        <v>1</v>
      </c>
      <c r="D43">
        <v>3</v>
      </c>
      <c r="E43">
        <v>6</v>
      </c>
      <c r="F43">
        <v>10</v>
      </c>
      <c r="G43">
        <v>2</v>
      </c>
      <c r="H43">
        <v>3</v>
      </c>
    </row>
    <row r="44" spans="1:8" x14ac:dyDescent="0.35">
      <c r="A44" s="389" t="s">
        <v>266</v>
      </c>
      <c r="B44">
        <v>0</v>
      </c>
      <c r="C44">
        <v>1</v>
      </c>
      <c r="D44">
        <v>2</v>
      </c>
      <c r="E44">
        <v>6</v>
      </c>
      <c r="F44">
        <v>5</v>
      </c>
      <c r="G44">
        <v>1</v>
      </c>
      <c r="H44">
        <v>0</v>
      </c>
    </row>
    <row r="45" spans="1:8" x14ac:dyDescent="0.35">
      <c r="A45" s="389" t="s">
        <v>271</v>
      </c>
      <c r="B45">
        <v>0</v>
      </c>
      <c r="C45">
        <v>1</v>
      </c>
      <c r="D45">
        <v>4</v>
      </c>
      <c r="E45">
        <v>8</v>
      </c>
      <c r="F45">
        <v>6</v>
      </c>
      <c r="G45">
        <v>0</v>
      </c>
      <c r="H45">
        <v>1</v>
      </c>
    </row>
    <row r="46" spans="1:8" x14ac:dyDescent="0.35">
      <c r="A46" s="389" t="s">
        <v>276</v>
      </c>
      <c r="B46">
        <v>0</v>
      </c>
      <c r="C46">
        <v>1</v>
      </c>
      <c r="D46">
        <v>4</v>
      </c>
      <c r="E46">
        <v>14</v>
      </c>
      <c r="F46">
        <v>5</v>
      </c>
      <c r="G46">
        <v>1</v>
      </c>
      <c r="H46">
        <v>0</v>
      </c>
    </row>
    <row r="47" spans="1:8" x14ac:dyDescent="0.35">
      <c r="A47" s="389" t="s">
        <v>286</v>
      </c>
      <c r="B47">
        <v>0</v>
      </c>
      <c r="C47">
        <v>1</v>
      </c>
      <c r="D47">
        <v>4</v>
      </c>
      <c r="E47">
        <v>6</v>
      </c>
      <c r="F47">
        <v>0</v>
      </c>
      <c r="G47">
        <v>0</v>
      </c>
      <c r="H47">
        <v>0</v>
      </c>
    </row>
    <row r="48" spans="1:8" x14ac:dyDescent="0.35">
      <c r="A48" s="389" t="s">
        <v>314</v>
      </c>
      <c r="B48">
        <v>0</v>
      </c>
      <c r="C48">
        <v>1</v>
      </c>
      <c r="D48">
        <v>4</v>
      </c>
      <c r="E48">
        <v>10</v>
      </c>
      <c r="F48">
        <v>8</v>
      </c>
      <c r="G48">
        <v>1</v>
      </c>
      <c r="H48">
        <v>2</v>
      </c>
    </row>
    <row r="49" spans="1:8" x14ac:dyDescent="0.35">
      <c r="A49" s="389" t="s">
        <v>323</v>
      </c>
      <c r="B49">
        <v>0</v>
      </c>
      <c r="C49">
        <v>1</v>
      </c>
      <c r="D49">
        <v>4</v>
      </c>
      <c r="E49">
        <v>10</v>
      </c>
      <c r="F49">
        <v>5</v>
      </c>
      <c r="G49">
        <v>0</v>
      </c>
      <c r="H49">
        <v>0</v>
      </c>
    </row>
    <row r="50" spans="1:8" x14ac:dyDescent="0.35">
      <c r="A50" s="389" t="s">
        <v>325</v>
      </c>
      <c r="B50">
        <v>0</v>
      </c>
      <c r="C50">
        <v>1</v>
      </c>
      <c r="D50">
        <v>3</v>
      </c>
      <c r="E50">
        <v>9</v>
      </c>
      <c r="F50">
        <v>7</v>
      </c>
      <c r="G50">
        <v>1</v>
      </c>
      <c r="H50">
        <v>2</v>
      </c>
    </row>
    <row r="51" spans="1:8" x14ac:dyDescent="0.35">
      <c r="A51" s="388" t="s">
        <v>540</v>
      </c>
      <c r="B51">
        <v>0</v>
      </c>
      <c r="C51">
        <v>14</v>
      </c>
      <c r="D51">
        <v>47</v>
      </c>
      <c r="E51">
        <v>112</v>
      </c>
      <c r="F51">
        <v>77</v>
      </c>
      <c r="G51">
        <v>8</v>
      </c>
      <c r="H51">
        <v>21</v>
      </c>
    </row>
    <row r="52" spans="1:8" x14ac:dyDescent="0.35">
      <c r="A52" s="388" t="s">
        <v>541</v>
      </c>
    </row>
    <row r="53" spans="1:8" x14ac:dyDescent="0.35">
      <c r="A53" s="389" t="s">
        <v>239</v>
      </c>
      <c r="B53">
        <v>0</v>
      </c>
      <c r="C53">
        <v>1</v>
      </c>
      <c r="D53">
        <v>2</v>
      </c>
      <c r="E53">
        <v>8</v>
      </c>
      <c r="F53">
        <v>28</v>
      </c>
      <c r="G53">
        <v>18</v>
      </c>
      <c r="H53">
        <v>16</v>
      </c>
    </row>
    <row r="54" spans="1:8" x14ac:dyDescent="0.35">
      <c r="A54" s="389" t="s">
        <v>219</v>
      </c>
      <c r="B54">
        <v>0</v>
      </c>
      <c r="C54">
        <v>2</v>
      </c>
      <c r="D54">
        <v>3</v>
      </c>
      <c r="E54">
        <v>9</v>
      </c>
      <c r="F54">
        <v>26</v>
      </c>
      <c r="G54">
        <v>18</v>
      </c>
      <c r="H54">
        <v>6</v>
      </c>
    </row>
    <row r="55" spans="1:8" x14ac:dyDescent="0.35">
      <c r="A55" s="389" t="s">
        <v>233</v>
      </c>
      <c r="B55">
        <v>0</v>
      </c>
      <c r="C55">
        <v>1</v>
      </c>
      <c r="D55">
        <v>4</v>
      </c>
      <c r="E55">
        <v>7</v>
      </c>
      <c r="F55">
        <v>47</v>
      </c>
      <c r="G55">
        <v>26</v>
      </c>
      <c r="H55">
        <v>47</v>
      </c>
    </row>
    <row r="56" spans="1:8" x14ac:dyDescent="0.35">
      <c r="A56" s="388" t="s">
        <v>542</v>
      </c>
      <c r="B56">
        <v>0</v>
      </c>
      <c r="C56">
        <v>4</v>
      </c>
      <c r="D56">
        <v>9</v>
      </c>
      <c r="E56">
        <v>24</v>
      </c>
      <c r="F56">
        <v>101</v>
      </c>
      <c r="G56">
        <v>62</v>
      </c>
      <c r="H56">
        <v>69</v>
      </c>
    </row>
    <row r="57" spans="1:8" x14ac:dyDescent="0.35">
      <c r="A57" s="388" t="s">
        <v>543</v>
      </c>
    </row>
    <row r="58" spans="1:8" x14ac:dyDescent="0.35">
      <c r="A58" s="389" t="s">
        <v>544</v>
      </c>
      <c r="B58">
        <v>5</v>
      </c>
      <c r="C58">
        <v>12</v>
      </c>
      <c r="D58">
        <v>16</v>
      </c>
      <c r="E58">
        <v>24</v>
      </c>
      <c r="F58">
        <v>31</v>
      </c>
      <c r="G58">
        <v>1</v>
      </c>
      <c r="H58">
        <v>1</v>
      </c>
    </row>
    <row r="59" spans="1:8" x14ac:dyDescent="0.35">
      <c r="A59" s="388" t="s">
        <v>545</v>
      </c>
      <c r="B59">
        <v>5</v>
      </c>
      <c r="C59">
        <v>12</v>
      </c>
      <c r="D59">
        <v>16</v>
      </c>
      <c r="E59">
        <v>24</v>
      </c>
      <c r="F59">
        <v>31</v>
      </c>
      <c r="G59">
        <v>1</v>
      </c>
      <c r="H59">
        <v>1</v>
      </c>
    </row>
    <row r="60" spans="1:8" x14ac:dyDescent="0.35">
      <c r="A60" s="388" t="s">
        <v>357</v>
      </c>
      <c r="B60">
        <v>5</v>
      </c>
      <c r="C60">
        <v>30</v>
      </c>
      <c r="D60">
        <v>72</v>
      </c>
      <c r="E60">
        <v>160</v>
      </c>
      <c r="F60">
        <v>605</v>
      </c>
      <c r="G60">
        <v>622</v>
      </c>
      <c r="H60">
        <v>1936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39997558519241921"/>
  </sheetPr>
  <dimension ref="A1:K612"/>
  <sheetViews>
    <sheetView zoomScale="70" zoomScaleNormal="70" workbookViewId="0">
      <selection activeCell="D12" sqref="D12"/>
    </sheetView>
  </sheetViews>
  <sheetFormatPr defaultRowHeight="14.5" x14ac:dyDescent="0.35"/>
  <cols>
    <col min="1" max="1" width="10.08984375" bestFit="1" customWidth="1"/>
    <col min="2" max="2" width="21.54296875" bestFit="1" customWidth="1"/>
    <col min="3" max="3" width="12" bestFit="1" customWidth="1"/>
    <col min="4" max="4" width="58.6328125" bestFit="1" customWidth="1"/>
    <col min="5" max="5" width="20.1796875" bestFit="1" customWidth="1"/>
    <col min="6" max="6" width="23.453125" bestFit="1" customWidth="1"/>
    <col min="7" max="7" width="20.453125" bestFit="1" customWidth="1"/>
    <col min="8" max="8" width="16.08984375" bestFit="1" customWidth="1"/>
    <col min="9" max="9" width="21.81640625" bestFit="1" customWidth="1"/>
    <col min="10" max="10" width="22.90625" bestFit="1" customWidth="1"/>
    <col min="11" max="11" width="21.90625" bestFit="1" customWidth="1"/>
  </cols>
  <sheetData>
    <row r="1" spans="1:11" x14ac:dyDescent="0.35">
      <c r="A1" t="s">
        <v>207</v>
      </c>
      <c r="B1" t="s">
        <v>546</v>
      </c>
      <c r="C1" t="s">
        <v>23</v>
      </c>
      <c r="D1" t="s">
        <v>547</v>
      </c>
      <c r="E1" t="s">
        <v>627</v>
      </c>
      <c r="F1" t="s">
        <v>626</v>
      </c>
      <c r="G1" t="s">
        <v>631</v>
      </c>
      <c r="H1" t="s">
        <v>632</v>
      </c>
      <c r="I1" t="s">
        <v>628</v>
      </c>
      <c r="J1" t="s">
        <v>629</v>
      </c>
      <c r="K1" t="s">
        <v>630</v>
      </c>
    </row>
    <row r="2" spans="1:11" x14ac:dyDescent="0.35">
      <c r="A2" t="s">
        <v>364</v>
      </c>
      <c r="B2" t="s">
        <v>536</v>
      </c>
      <c r="C2" t="s">
        <v>240</v>
      </c>
      <c r="D2" t="s">
        <v>241</v>
      </c>
      <c r="G2">
        <v>9</v>
      </c>
      <c r="H2">
        <v>30</v>
      </c>
      <c r="J2">
        <v>0</v>
      </c>
      <c r="K2">
        <v>4</v>
      </c>
    </row>
    <row r="3" spans="1:11" x14ac:dyDescent="0.35">
      <c r="A3" t="s">
        <v>364</v>
      </c>
      <c r="B3" t="s">
        <v>536</v>
      </c>
      <c r="C3" t="s">
        <v>244</v>
      </c>
      <c r="D3" t="s">
        <v>245</v>
      </c>
      <c r="G3">
        <v>11</v>
      </c>
      <c r="H3">
        <v>53</v>
      </c>
      <c r="J3">
        <v>0</v>
      </c>
      <c r="K3">
        <v>5</v>
      </c>
    </row>
    <row r="4" spans="1:11" x14ac:dyDescent="0.35">
      <c r="A4" t="s">
        <v>364</v>
      </c>
      <c r="B4" t="s">
        <v>536</v>
      </c>
      <c r="C4" t="s">
        <v>249</v>
      </c>
      <c r="D4" t="s">
        <v>250</v>
      </c>
      <c r="G4">
        <v>11</v>
      </c>
      <c r="H4">
        <v>40</v>
      </c>
      <c r="J4">
        <v>0</v>
      </c>
      <c r="K4">
        <v>8</v>
      </c>
    </row>
    <row r="5" spans="1:11" x14ac:dyDescent="0.35">
      <c r="A5" t="s">
        <v>364</v>
      </c>
      <c r="B5" t="s">
        <v>536</v>
      </c>
      <c r="C5" t="s">
        <v>255</v>
      </c>
      <c r="D5" t="s">
        <v>256</v>
      </c>
      <c r="G5">
        <v>5</v>
      </c>
      <c r="H5">
        <v>21</v>
      </c>
      <c r="J5">
        <v>0</v>
      </c>
      <c r="K5">
        <v>3</v>
      </c>
    </row>
    <row r="6" spans="1:11" x14ac:dyDescent="0.35">
      <c r="A6" t="s">
        <v>364</v>
      </c>
      <c r="B6" t="s">
        <v>536</v>
      </c>
      <c r="C6" t="s">
        <v>259</v>
      </c>
      <c r="D6" t="s">
        <v>260</v>
      </c>
      <c r="G6">
        <v>14</v>
      </c>
      <c r="H6">
        <v>34</v>
      </c>
      <c r="J6">
        <v>0</v>
      </c>
      <c r="K6">
        <v>11</v>
      </c>
    </row>
    <row r="7" spans="1:11" x14ac:dyDescent="0.35">
      <c r="A7" t="s">
        <v>364</v>
      </c>
      <c r="B7" t="s">
        <v>536</v>
      </c>
      <c r="C7" t="s">
        <v>283</v>
      </c>
      <c r="D7" t="s">
        <v>284</v>
      </c>
      <c r="G7">
        <v>0</v>
      </c>
      <c r="H7">
        <v>0</v>
      </c>
      <c r="J7">
        <v>0</v>
      </c>
      <c r="K7">
        <v>0</v>
      </c>
    </row>
    <row r="8" spans="1:11" x14ac:dyDescent="0.35">
      <c r="A8" t="s">
        <v>364</v>
      </c>
      <c r="B8" t="s">
        <v>536</v>
      </c>
      <c r="C8" t="s">
        <v>263</v>
      </c>
      <c r="D8" t="s">
        <v>264</v>
      </c>
      <c r="G8">
        <v>18</v>
      </c>
      <c r="H8">
        <v>65</v>
      </c>
      <c r="J8">
        <v>1</v>
      </c>
      <c r="K8">
        <v>12</v>
      </c>
    </row>
    <row r="9" spans="1:11" x14ac:dyDescent="0.35">
      <c r="A9" t="s">
        <v>364</v>
      </c>
      <c r="B9" t="s">
        <v>536</v>
      </c>
      <c r="C9" t="s">
        <v>273</v>
      </c>
      <c r="D9" t="s">
        <v>274</v>
      </c>
      <c r="G9">
        <v>9</v>
      </c>
      <c r="H9">
        <v>60</v>
      </c>
      <c r="J9">
        <v>2</v>
      </c>
      <c r="K9">
        <v>10</v>
      </c>
    </row>
    <row r="10" spans="1:11" x14ac:dyDescent="0.35">
      <c r="A10" t="s">
        <v>364</v>
      </c>
      <c r="B10" t="s">
        <v>536</v>
      </c>
      <c r="C10" t="s">
        <v>277</v>
      </c>
      <c r="D10" t="s">
        <v>278</v>
      </c>
      <c r="G10">
        <v>18</v>
      </c>
      <c r="H10">
        <v>49</v>
      </c>
      <c r="J10">
        <v>0</v>
      </c>
      <c r="K10">
        <v>11</v>
      </c>
    </row>
    <row r="11" spans="1:11" x14ac:dyDescent="0.35">
      <c r="A11" t="s">
        <v>364</v>
      </c>
      <c r="B11" t="s">
        <v>536</v>
      </c>
      <c r="C11" t="s">
        <v>279</v>
      </c>
      <c r="D11" t="s">
        <v>280</v>
      </c>
      <c r="G11">
        <v>4</v>
      </c>
      <c r="H11">
        <v>26</v>
      </c>
      <c r="J11">
        <v>0</v>
      </c>
      <c r="K11">
        <v>5</v>
      </c>
    </row>
    <row r="12" spans="1:11" x14ac:dyDescent="0.35">
      <c r="A12" t="s">
        <v>364</v>
      </c>
      <c r="B12" t="s">
        <v>536</v>
      </c>
      <c r="C12" t="s">
        <v>281</v>
      </c>
      <c r="D12" t="s">
        <v>282</v>
      </c>
      <c r="G12">
        <v>2</v>
      </c>
      <c r="H12">
        <v>15</v>
      </c>
      <c r="J12">
        <v>0</v>
      </c>
      <c r="K12">
        <v>3</v>
      </c>
    </row>
    <row r="13" spans="1:11" x14ac:dyDescent="0.35">
      <c r="A13" t="s">
        <v>364</v>
      </c>
      <c r="B13" t="s">
        <v>536</v>
      </c>
      <c r="C13" t="s">
        <v>287</v>
      </c>
      <c r="D13" t="s">
        <v>288</v>
      </c>
      <c r="G13">
        <v>13</v>
      </c>
      <c r="H13">
        <v>50</v>
      </c>
      <c r="J13">
        <v>0</v>
      </c>
      <c r="K13">
        <v>13</v>
      </c>
    </row>
    <row r="14" spans="1:11" x14ac:dyDescent="0.35">
      <c r="A14" t="s">
        <v>364</v>
      </c>
      <c r="B14" t="s">
        <v>536</v>
      </c>
      <c r="C14" t="s">
        <v>292</v>
      </c>
      <c r="D14" t="s">
        <v>293</v>
      </c>
      <c r="G14">
        <v>0</v>
      </c>
      <c r="H14">
        <v>0</v>
      </c>
      <c r="J14">
        <v>0</v>
      </c>
      <c r="K14">
        <v>0</v>
      </c>
    </row>
    <row r="15" spans="1:11" x14ac:dyDescent="0.35">
      <c r="A15" t="s">
        <v>364</v>
      </c>
      <c r="B15" t="s">
        <v>536</v>
      </c>
      <c r="C15" t="s">
        <v>294</v>
      </c>
      <c r="D15" t="s">
        <v>295</v>
      </c>
      <c r="G15">
        <v>14</v>
      </c>
      <c r="H15">
        <v>61</v>
      </c>
      <c r="J15">
        <v>2</v>
      </c>
      <c r="K15">
        <v>11</v>
      </c>
    </row>
    <row r="16" spans="1:11" x14ac:dyDescent="0.35">
      <c r="A16" t="s">
        <v>364</v>
      </c>
      <c r="B16" t="s">
        <v>536</v>
      </c>
      <c r="C16" t="s">
        <v>298</v>
      </c>
      <c r="D16" t="s">
        <v>299</v>
      </c>
      <c r="G16">
        <v>11</v>
      </c>
      <c r="H16">
        <v>54</v>
      </c>
      <c r="J16">
        <v>0</v>
      </c>
      <c r="K16">
        <v>10</v>
      </c>
    </row>
    <row r="17" spans="1:11" x14ac:dyDescent="0.35">
      <c r="A17" t="s">
        <v>364</v>
      </c>
      <c r="B17" t="s">
        <v>536</v>
      </c>
      <c r="C17" t="s">
        <v>300</v>
      </c>
      <c r="D17" t="s">
        <v>301</v>
      </c>
      <c r="G17">
        <v>0</v>
      </c>
      <c r="H17">
        <v>0</v>
      </c>
      <c r="J17">
        <v>0</v>
      </c>
      <c r="K17">
        <v>0</v>
      </c>
    </row>
    <row r="18" spans="1:11" x14ac:dyDescent="0.35">
      <c r="A18" t="s">
        <v>364</v>
      </c>
      <c r="B18" t="s">
        <v>536</v>
      </c>
      <c r="C18" t="s">
        <v>302</v>
      </c>
      <c r="D18" t="s">
        <v>303</v>
      </c>
      <c r="G18">
        <v>10</v>
      </c>
      <c r="H18">
        <v>47</v>
      </c>
      <c r="J18">
        <v>0</v>
      </c>
      <c r="K18">
        <v>8</v>
      </c>
    </row>
    <row r="19" spans="1:11" x14ac:dyDescent="0.35">
      <c r="A19" t="s">
        <v>364</v>
      </c>
      <c r="B19" t="s">
        <v>536</v>
      </c>
      <c r="C19" t="s">
        <v>304</v>
      </c>
      <c r="D19" t="s">
        <v>305</v>
      </c>
      <c r="G19">
        <v>33</v>
      </c>
      <c r="H19">
        <v>129</v>
      </c>
      <c r="J19">
        <v>2</v>
      </c>
      <c r="K19">
        <v>26</v>
      </c>
    </row>
    <row r="20" spans="1:11" x14ac:dyDescent="0.35">
      <c r="A20" t="s">
        <v>364</v>
      </c>
      <c r="B20" t="s">
        <v>536</v>
      </c>
      <c r="C20" t="s">
        <v>307</v>
      </c>
      <c r="D20" t="s">
        <v>308</v>
      </c>
      <c r="G20">
        <v>10</v>
      </c>
      <c r="H20">
        <v>42</v>
      </c>
      <c r="J20">
        <v>0</v>
      </c>
      <c r="K20">
        <v>10</v>
      </c>
    </row>
    <row r="21" spans="1:11" x14ac:dyDescent="0.35">
      <c r="A21" t="s">
        <v>364</v>
      </c>
      <c r="B21" t="s">
        <v>536</v>
      </c>
      <c r="C21" t="s">
        <v>215</v>
      </c>
      <c r="D21" t="s">
        <v>216</v>
      </c>
      <c r="G21">
        <v>24</v>
      </c>
      <c r="H21">
        <v>128</v>
      </c>
      <c r="J21">
        <v>0</v>
      </c>
      <c r="K21">
        <v>22</v>
      </c>
    </row>
    <row r="22" spans="1:11" x14ac:dyDescent="0.35">
      <c r="A22" t="s">
        <v>364</v>
      </c>
      <c r="B22" t="s">
        <v>536</v>
      </c>
      <c r="C22" t="s">
        <v>220</v>
      </c>
      <c r="D22" t="s">
        <v>221</v>
      </c>
      <c r="G22">
        <v>3</v>
      </c>
      <c r="H22">
        <v>16</v>
      </c>
      <c r="J22">
        <v>0</v>
      </c>
      <c r="K22">
        <v>4</v>
      </c>
    </row>
    <row r="23" spans="1:11" x14ac:dyDescent="0.35">
      <c r="A23" t="s">
        <v>364</v>
      </c>
      <c r="B23" t="s">
        <v>536</v>
      </c>
      <c r="C23" t="s">
        <v>228</v>
      </c>
      <c r="D23" t="s">
        <v>229</v>
      </c>
      <c r="G23">
        <v>10</v>
      </c>
      <c r="H23">
        <v>31</v>
      </c>
      <c r="J23">
        <v>2</v>
      </c>
      <c r="K23">
        <v>15</v>
      </c>
    </row>
    <row r="24" spans="1:11" x14ac:dyDescent="0.35">
      <c r="A24" t="s">
        <v>364</v>
      </c>
      <c r="B24" t="s">
        <v>536</v>
      </c>
      <c r="C24" t="s">
        <v>234</v>
      </c>
      <c r="D24" t="s">
        <v>235</v>
      </c>
      <c r="G24">
        <v>70</v>
      </c>
      <c r="H24">
        <v>275</v>
      </c>
      <c r="J24">
        <v>0</v>
      </c>
      <c r="K24">
        <v>25</v>
      </c>
    </row>
    <row r="25" spans="1:11" x14ac:dyDescent="0.35">
      <c r="A25" t="s">
        <v>364</v>
      </c>
      <c r="B25" t="s">
        <v>536</v>
      </c>
      <c r="C25" t="s">
        <v>296</v>
      </c>
      <c r="D25" t="s">
        <v>297</v>
      </c>
      <c r="G25">
        <v>22</v>
      </c>
      <c r="H25">
        <v>74</v>
      </c>
      <c r="J25">
        <v>1</v>
      </c>
      <c r="K25">
        <v>19</v>
      </c>
    </row>
    <row r="26" spans="1:11" x14ac:dyDescent="0.35">
      <c r="A26" t="s">
        <v>364</v>
      </c>
      <c r="B26" t="s">
        <v>536</v>
      </c>
      <c r="C26" t="s">
        <v>309</v>
      </c>
      <c r="D26" t="s">
        <v>310</v>
      </c>
      <c r="G26">
        <v>18</v>
      </c>
      <c r="H26">
        <v>52</v>
      </c>
      <c r="J26">
        <v>0</v>
      </c>
      <c r="K26">
        <v>10</v>
      </c>
    </row>
    <row r="27" spans="1:11" x14ac:dyDescent="0.35">
      <c r="A27" t="s">
        <v>364</v>
      </c>
      <c r="B27" t="s">
        <v>536</v>
      </c>
      <c r="C27" t="s">
        <v>311</v>
      </c>
      <c r="D27" t="s">
        <v>312</v>
      </c>
      <c r="G27">
        <v>14</v>
      </c>
      <c r="H27">
        <v>61</v>
      </c>
      <c r="J27">
        <v>0</v>
      </c>
      <c r="K27">
        <v>10</v>
      </c>
    </row>
    <row r="28" spans="1:11" x14ac:dyDescent="0.35">
      <c r="A28" t="s">
        <v>364</v>
      </c>
      <c r="B28" t="s">
        <v>536</v>
      </c>
      <c r="C28" t="s">
        <v>224</v>
      </c>
      <c r="D28" t="s">
        <v>225</v>
      </c>
      <c r="G28">
        <v>0</v>
      </c>
      <c r="H28">
        <v>25</v>
      </c>
      <c r="J28">
        <v>1</v>
      </c>
      <c r="K28">
        <v>9</v>
      </c>
    </row>
    <row r="29" spans="1:11" x14ac:dyDescent="0.35">
      <c r="A29" t="s">
        <v>364</v>
      </c>
      <c r="B29" t="s">
        <v>536</v>
      </c>
      <c r="C29" t="s">
        <v>247</v>
      </c>
      <c r="D29" t="s">
        <v>248</v>
      </c>
      <c r="G29">
        <v>29</v>
      </c>
      <c r="H29">
        <v>162</v>
      </c>
      <c r="J29">
        <v>1</v>
      </c>
      <c r="K29">
        <v>23</v>
      </c>
    </row>
    <row r="30" spans="1:11" x14ac:dyDescent="0.35">
      <c r="A30" t="s">
        <v>364</v>
      </c>
      <c r="B30" t="s">
        <v>536</v>
      </c>
      <c r="C30" t="s">
        <v>289</v>
      </c>
      <c r="D30" t="s">
        <v>290</v>
      </c>
      <c r="G30">
        <v>34</v>
      </c>
      <c r="H30">
        <v>129</v>
      </c>
      <c r="J30">
        <v>1</v>
      </c>
      <c r="K30">
        <v>24</v>
      </c>
    </row>
    <row r="31" spans="1:11" x14ac:dyDescent="0.35">
      <c r="A31" t="s">
        <v>364</v>
      </c>
      <c r="B31" t="s">
        <v>536</v>
      </c>
      <c r="C31" t="s">
        <v>253</v>
      </c>
      <c r="D31" t="s">
        <v>254</v>
      </c>
      <c r="G31">
        <v>15</v>
      </c>
      <c r="H31">
        <v>45</v>
      </c>
      <c r="J31">
        <v>0</v>
      </c>
      <c r="K31">
        <v>14</v>
      </c>
    </row>
    <row r="32" spans="1:11" x14ac:dyDescent="0.35">
      <c r="A32" t="s">
        <v>364</v>
      </c>
      <c r="B32" t="s">
        <v>536</v>
      </c>
      <c r="C32" t="s">
        <v>270</v>
      </c>
      <c r="D32" t="s">
        <v>271</v>
      </c>
      <c r="G32">
        <v>119</v>
      </c>
      <c r="H32">
        <v>373</v>
      </c>
      <c r="J32">
        <v>0</v>
      </c>
      <c r="K32">
        <v>68</v>
      </c>
    </row>
    <row r="33" spans="1:11" x14ac:dyDescent="0.35">
      <c r="A33" t="s">
        <v>364</v>
      </c>
      <c r="B33" t="s">
        <v>536</v>
      </c>
      <c r="C33" t="s">
        <v>267</v>
      </c>
      <c r="D33" t="s">
        <v>268</v>
      </c>
      <c r="G33">
        <v>58</v>
      </c>
      <c r="H33">
        <v>208</v>
      </c>
      <c r="J33">
        <v>0</v>
      </c>
      <c r="K33">
        <v>23</v>
      </c>
    </row>
    <row r="34" spans="1:11" x14ac:dyDescent="0.35">
      <c r="A34" t="s">
        <v>364</v>
      </c>
      <c r="B34" t="s">
        <v>539</v>
      </c>
      <c r="C34" t="s">
        <v>217</v>
      </c>
      <c r="D34" t="s">
        <v>216</v>
      </c>
      <c r="E34">
        <v>1</v>
      </c>
      <c r="G34">
        <v>0</v>
      </c>
      <c r="H34">
        <v>1</v>
      </c>
      <c r="I34">
        <v>7</v>
      </c>
      <c r="J34">
        <v>6</v>
      </c>
      <c r="K34">
        <v>8</v>
      </c>
    </row>
    <row r="35" spans="1:11" x14ac:dyDescent="0.35">
      <c r="A35" t="s">
        <v>364</v>
      </c>
      <c r="B35" t="s">
        <v>539</v>
      </c>
      <c r="C35" t="s">
        <v>222</v>
      </c>
      <c r="D35" t="s">
        <v>223</v>
      </c>
      <c r="E35">
        <v>1</v>
      </c>
      <c r="G35">
        <v>0</v>
      </c>
      <c r="H35">
        <v>0</v>
      </c>
      <c r="I35">
        <v>2</v>
      </c>
      <c r="J35">
        <v>4</v>
      </c>
      <c r="K35">
        <v>8</v>
      </c>
    </row>
    <row r="36" spans="1:11" x14ac:dyDescent="0.35">
      <c r="A36" t="s">
        <v>364</v>
      </c>
      <c r="B36" t="s">
        <v>539</v>
      </c>
      <c r="C36" t="s">
        <v>230</v>
      </c>
      <c r="D36" t="s">
        <v>231</v>
      </c>
      <c r="E36">
        <v>1</v>
      </c>
      <c r="G36">
        <v>1</v>
      </c>
      <c r="H36">
        <v>1</v>
      </c>
      <c r="I36">
        <v>3</v>
      </c>
      <c r="J36">
        <v>6</v>
      </c>
      <c r="K36">
        <v>10</v>
      </c>
    </row>
    <row r="37" spans="1:11" x14ac:dyDescent="0.35">
      <c r="A37" t="s">
        <v>364</v>
      </c>
      <c r="B37" t="s">
        <v>539</v>
      </c>
      <c r="C37" t="s">
        <v>246</v>
      </c>
      <c r="D37" t="s">
        <v>245</v>
      </c>
      <c r="E37">
        <v>0</v>
      </c>
      <c r="G37">
        <v>0</v>
      </c>
      <c r="H37">
        <v>0</v>
      </c>
      <c r="I37">
        <v>2</v>
      </c>
      <c r="J37">
        <v>5</v>
      </c>
      <c r="K37">
        <v>9</v>
      </c>
    </row>
    <row r="38" spans="1:11" x14ac:dyDescent="0.35">
      <c r="A38" t="s">
        <v>364</v>
      </c>
      <c r="B38" t="s">
        <v>539</v>
      </c>
      <c r="C38" t="s">
        <v>251</v>
      </c>
      <c r="D38" t="s">
        <v>252</v>
      </c>
      <c r="E38">
        <v>1</v>
      </c>
      <c r="G38">
        <v>0</v>
      </c>
      <c r="H38">
        <v>5</v>
      </c>
      <c r="I38">
        <v>7</v>
      </c>
      <c r="J38">
        <v>0</v>
      </c>
      <c r="K38">
        <v>8</v>
      </c>
    </row>
    <row r="39" spans="1:11" x14ac:dyDescent="0.35">
      <c r="A39" t="s">
        <v>364</v>
      </c>
      <c r="B39" t="s">
        <v>539</v>
      </c>
      <c r="C39" t="s">
        <v>257</v>
      </c>
      <c r="D39" t="s">
        <v>258</v>
      </c>
      <c r="E39">
        <v>1</v>
      </c>
      <c r="G39">
        <v>0</v>
      </c>
      <c r="H39">
        <v>1</v>
      </c>
      <c r="I39">
        <v>3</v>
      </c>
      <c r="J39">
        <v>5</v>
      </c>
      <c r="K39">
        <v>2</v>
      </c>
    </row>
    <row r="40" spans="1:11" x14ac:dyDescent="0.35">
      <c r="A40" t="s">
        <v>364</v>
      </c>
      <c r="B40" t="s">
        <v>539</v>
      </c>
      <c r="C40" t="s">
        <v>261</v>
      </c>
      <c r="D40" t="s">
        <v>262</v>
      </c>
      <c r="E40">
        <v>1</v>
      </c>
      <c r="G40">
        <v>0</v>
      </c>
      <c r="H40">
        <v>0</v>
      </c>
      <c r="I40">
        <v>9</v>
      </c>
      <c r="J40">
        <v>7</v>
      </c>
      <c r="K40">
        <v>6</v>
      </c>
    </row>
    <row r="41" spans="1:11" x14ac:dyDescent="0.35">
      <c r="A41" t="s">
        <v>364</v>
      </c>
      <c r="B41" t="s">
        <v>539</v>
      </c>
      <c r="C41" t="s">
        <v>236</v>
      </c>
      <c r="D41" t="s">
        <v>237</v>
      </c>
      <c r="E41">
        <v>2</v>
      </c>
      <c r="G41">
        <v>3</v>
      </c>
      <c r="H41">
        <v>2</v>
      </c>
      <c r="I41">
        <v>9</v>
      </c>
      <c r="J41">
        <v>3</v>
      </c>
      <c r="K41">
        <v>7</v>
      </c>
    </row>
    <row r="42" spans="1:11" x14ac:dyDescent="0.35">
      <c r="A42" t="s">
        <v>364</v>
      </c>
      <c r="B42" t="s">
        <v>539</v>
      </c>
      <c r="C42" t="s">
        <v>265</v>
      </c>
      <c r="D42" t="s">
        <v>266</v>
      </c>
      <c r="E42">
        <v>1</v>
      </c>
      <c r="G42">
        <v>0</v>
      </c>
      <c r="H42">
        <v>2</v>
      </c>
      <c r="I42">
        <v>2</v>
      </c>
      <c r="J42">
        <v>2</v>
      </c>
      <c r="K42">
        <v>6</v>
      </c>
    </row>
    <row r="43" spans="1:11" x14ac:dyDescent="0.35">
      <c r="A43" t="s">
        <v>364</v>
      </c>
      <c r="B43" t="s">
        <v>539</v>
      </c>
      <c r="C43" t="s">
        <v>272</v>
      </c>
      <c r="D43" t="s">
        <v>271</v>
      </c>
      <c r="E43">
        <v>1</v>
      </c>
      <c r="G43">
        <v>0</v>
      </c>
      <c r="H43">
        <v>3</v>
      </c>
      <c r="I43">
        <v>4</v>
      </c>
      <c r="J43">
        <v>10</v>
      </c>
      <c r="K43">
        <v>10</v>
      </c>
    </row>
    <row r="44" spans="1:11" x14ac:dyDescent="0.35">
      <c r="A44" t="s">
        <v>364</v>
      </c>
      <c r="B44" t="s">
        <v>539</v>
      </c>
      <c r="C44" t="s">
        <v>275</v>
      </c>
      <c r="D44" t="s">
        <v>276</v>
      </c>
      <c r="E44">
        <v>1</v>
      </c>
      <c r="G44">
        <v>0</v>
      </c>
      <c r="H44">
        <v>0</v>
      </c>
      <c r="I44">
        <v>4</v>
      </c>
      <c r="J44">
        <v>7</v>
      </c>
      <c r="K44">
        <v>1</v>
      </c>
    </row>
    <row r="45" spans="1:11" x14ac:dyDescent="0.35">
      <c r="A45" t="s">
        <v>364</v>
      </c>
      <c r="B45" t="s">
        <v>539</v>
      </c>
      <c r="C45" t="s">
        <v>291</v>
      </c>
      <c r="D45" t="s">
        <v>290</v>
      </c>
      <c r="E45">
        <v>1</v>
      </c>
      <c r="G45">
        <v>1</v>
      </c>
      <c r="H45">
        <v>0</v>
      </c>
      <c r="I45">
        <v>2</v>
      </c>
      <c r="J45">
        <v>6</v>
      </c>
      <c r="K45">
        <v>4</v>
      </c>
    </row>
    <row r="46" spans="1:11" x14ac:dyDescent="0.35">
      <c r="A46" t="s">
        <v>364</v>
      </c>
      <c r="B46" t="s">
        <v>539</v>
      </c>
      <c r="C46" t="s">
        <v>306</v>
      </c>
      <c r="D46" t="s">
        <v>305</v>
      </c>
      <c r="E46">
        <v>1</v>
      </c>
      <c r="G46">
        <v>0</v>
      </c>
      <c r="H46">
        <v>0</v>
      </c>
      <c r="I46">
        <v>3</v>
      </c>
      <c r="J46">
        <v>4</v>
      </c>
      <c r="K46">
        <v>2</v>
      </c>
    </row>
    <row r="47" spans="1:11" x14ac:dyDescent="0.35">
      <c r="A47" t="s">
        <v>364</v>
      </c>
      <c r="B47" t="s">
        <v>539</v>
      </c>
      <c r="C47" t="s">
        <v>242</v>
      </c>
      <c r="D47" t="s">
        <v>243</v>
      </c>
      <c r="E47">
        <v>1</v>
      </c>
      <c r="G47">
        <v>0</v>
      </c>
      <c r="H47">
        <v>0</v>
      </c>
      <c r="I47">
        <v>3</v>
      </c>
      <c r="J47">
        <v>4</v>
      </c>
      <c r="K47">
        <v>0</v>
      </c>
    </row>
    <row r="48" spans="1:11" x14ac:dyDescent="0.35">
      <c r="A48" t="s">
        <v>364</v>
      </c>
      <c r="B48" t="s">
        <v>539</v>
      </c>
      <c r="C48" t="s">
        <v>285</v>
      </c>
      <c r="D48" t="s">
        <v>286</v>
      </c>
      <c r="E48">
        <v>1</v>
      </c>
      <c r="G48">
        <v>0</v>
      </c>
      <c r="H48">
        <v>0</v>
      </c>
      <c r="I48">
        <v>3</v>
      </c>
      <c r="J48">
        <v>5</v>
      </c>
      <c r="K48">
        <v>0</v>
      </c>
    </row>
    <row r="49" spans="1:11" x14ac:dyDescent="0.35">
      <c r="A49" t="s">
        <v>364</v>
      </c>
      <c r="B49" t="s">
        <v>539</v>
      </c>
      <c r="C49" t="s">
        <v>226</v>
      </c>
      <c r="D49" t="s">
        <v>227</v>
      </c>
      <c r="E49">
        <v>1</v>
      </c>
      <c r="G49">
        <v>0</v>
      </c>
      <c r="H49">
        <v>0</v>
      </c>
      <c r="I49">
        <v>3</v>
      </c>
      <c r="J49">
        <v>5</v>
      </c>
      <c r="K49">
        <v>2</v>
      </c>
    </row>
    <row r="50" spans="1:11" x14ac:dyDescent="0.35">
      <c r="A50" t="s">
        <v>364</v>
      </c>
      <c r="B50" t="s">
        <v>539</v>
      </c>
      <c r="C50" t="s">
        <v>269</v>
      </c>
      <c r="D50" t="s">
        <v>268</v>
      </c>
      <c r="E50">
        <v>1</v>
      </c>
      <c r="G50">
        <v>0</v>
      </c>
      <c r="H50">
        <v>0</v>
      </c>
      <c r="I50">
        <v>3</v>
      </c>
      <c r="J50">
        <v>6</v>
      </c>
      <c r="K50">
        <v>11</v>
      </c>
    </row>
    <row r="51" spans="1:11" x14ac:dyDescent="0.35">
      <c r="A51" t="s">
        <v>364</v>
      </c>
      <c r="B51" t="s">
        <v>541</v>
      </c>
      <c r="C51" t="s">
        <v>232</v>
      </c>
      <c r="D51" t="s">
        <v>233</v>
      </c>
      <c r="E51">
        <v>3</v>
      </c>
      <c r="F51">
        <v>1</v>
      </c>
      <c r="G51">
        <v>8</v>
      </c>
      <c r="H51">
        <v>0</v>
      </c>
      <c r="I51">
        <v>12</v>
      </c>
      <c r="J51">
        <v>8</v>
      </c>
      <c r="K51">
        <v>79</v>
      </c>
    </row>
    <row r="52" spans="1:11" x14ac:dyDescent="0.35">
      <c r="A52" t="s">
        <v>364</v>
      </c>
      <c r="B52" t="s">
        <v>541</v>
      </c>
      <c r="C52" t="s">
        <v>238</v>
      </c>
      <c r="D52" t="s">
        <v>239</v>
      </c>
      <c r="E52">
        <v>1</v>
      </c>
      <c r="F52">
        <v>1</v>
      </c>
      <c r="G52">
        <v>8</v>
      </c>
      <c r="H52">
        <v>3</v>
      </c>
      <c r="I52">
        <v>3</v>
      </c>
      <c r="J52">
        <v>15</v>
      </c>
      <c r="K52">
        <v>49</v>
      </c>
    </row>
    <row r="53" spans="1:11" x14ac:dyDescent="0.35">
      <c r="A53" t="s">
        <v>364</v>
      </c>
      <c r="B53" t="s">
        <v>541</v>
      </c>
      <c r="C53" t="s">
        <v>218</v>
      </c>
      <c r="D53" t="s">
        <v>219</v>
      </c>
      <c r="E53">
        <v>2</v>
      </c>
      <c r="F53">
        <v>1</v>
      </c>
      <c r="G53">
        <v>24</v>
      </c>
      <c r="H53">
        <v>1</v>
      </c>
      <c r="I53">
        <v>9</v>
      </c>
      <c r="J53">
        <v>10</v>
      </c>
      <c r="K53">
        <v>30</v>
      </c>
    </row>
    <row r="54" spans="1:11" x14ac:dyDescent="0.35">
      <c r="A54" t="s">
        <v>364</v>
      </c>
      <c r="B54" t="s">
        <v>543</v>
      </c>
      <c r="C54" t="s">
        <v>548</v>
      </c>
      <c r="D54" t="s">
        <v>544</v>
      </c>
      <c r="E54">
        <v>5</v>
      </c>
      <c r="F54">
        <v>6</v>
      </c>
      <c r="G54">
        <v>7</v>
      </c>
      <c r="H54">
        <v>0</v>
      </c>
      <c r="I54">
        <v>22</v>
      </c>
      <c r="J54">
        <v>5</v>
      </c>
      <c r="K54">
        <v>11</v>
      </c>
    </row>
    <row r="55" spans="1:11" x14ac:dyDescent="0.35">
      <c r="A55" t="s">
        <v>365</v>
      </c>
      <c r="B55" t="s">
        <v>536</v>
      </c>
      <c r="C55" t="s">
        <v>240</v>
      </c>
      <c r="D55" t="s">
        <v>241</v>
      </c>
      <c r="G55">
        <v>8</v>
      </c>
      <c r="H55">
        <v>25</v>
      </c>
      <c r="J55">
        <v>0</v>
      </c>
      <c r="K55">
        <v>4</v>
      </c>
    </row>
    <row r="56" spans="1:11" x14ac:dyDescent="0.35">
      <c r="A56" t="s">
        <v>365</v>
      </c>
      <c r="B56" t="s">
        <v>536</v>
      </c>
      <c r="C56" t="s">
        <v>244</v>
      </c>
      <c r="D56" t="s">
        <v>245</v>
      </c>
      <c r="G56">
        <v>11</v>
      </c>
      <c r="H56">
        <v>52</v>
      </c>
      <c r="J56">
        <v>0</v>
      </c>
      <c r="K56">
        <v>6</v>
      </c>
    </row>
    <row r="57" spans="1:11" x14ac:dyDescent="0.35">
      <c r="A57" t="s">
        <v>365</v>
      </c>
      <c r="B57" t="s">
        <v>536</v>
      </c>
      <c r="C57" t="s">
        <v>249</v>
      </c>
      <c r="D57" t="s">
        <v>250</v>
      </c>
      <c r="G57">
        <v>9</v>
      </c>
      <c r="H57">
        <v>39</v>
      </c>
      <c r="J57">
        <v>0</v>
      </c>
      <c r="K57">
        <v>8</v>
      </c>
    </row>
    <row r="58" spans="1:11" x14ac:dyDescent="0.35">
      <c r="A58" t="s">
        <v>365</v>
      </c>
      <c r="B58" t="s">
        <v>536</v>
      </c>
      <c r="C58" t="s">
        <v>255</v>
      </c>
      <c r="D58" t="s">
        <v>256</v>
      </c>
      <c r="G58">
        <v>3</v>
      </c>
      <c r="H58">
        <v>21</v>
      </c>
      <c r="J58">
        <v>0</v>
      </c>
      <c r="K58">
        <v>4</v>
      </c>
    </row>
    <row r="59" spans="1:11" x14ac:dyDescent="0.35">
      <c r="A59" t="s">
        <v>365</v>
      </c>
      <c r="B59" t="s">
        <v>536</v>
      </c>
      <c r="C59" t="s">
        <v>259</v>
      </c>
      <c r="D59" t="s">
        <v>260</v>
      </c>
      <c r="G59">
        <v>13</v>
      </c>
      <c r="H59">
        <v>35</v>
      </c>
      <c r="J59">
        <v>0</v>
      </c>
      <c r="K59">
        <v>9</v>
      </c>
    </row>
    <row r="60" spans="1:11" x14ac:dyDescent="0.35">
      <c r="A60" t="s">
        <v>365</v>
      </c>
      <c r="B60" t="s">
        <v>536</v>
      </c>
      <c r="C60" t="s">
        <v>283</v>
      </c>
      <c r="D60" t="s">
        <v>284</v>
      </c>
      <c r="G60">
        <v>0</v>
      </c>
      <c r="H60">
        <v>0</v>
      </c>
      <c r="J60">
        <v>0</v>
      </c>
      <c r="K60">
        <v>0</v>
      </c>
    </row>
    <row r="61" spans="1:11" x14ac:dyDescent="0.35">
      <c r="A61" t="s">
        <v>365</v>
      </c>
      <c r="B61" t="s">
        <v>536</v>
      </c>
      <c r="C61" t="s">
        <v>263</v>
      </c>
      <c r="D61" t="s">
        <v>264</v>
      </c>
      <c r="G61">
        <v>17</v>
      </c>
      <c r="H61">
        <v>60</v>
      </c>
      <c r="J61">
        <v>2</v>
      </c>
      <c r="K61">
        <v>15</v>
      </c>
    </row>
    <row r="62" spans="1:11" x14ac:dyDescent="0.35">
      <c r="A62" t="s">
        <v>365</v>
      </c>
      <c r="B62" t="s">
        <v>536</v>
      </c>
      <c r="C62" t="s">
        <v>273</v>
      </c>
      <c r="D62" t="s">
        <v>274</v>
      </c>
      <c r="G62">
        <v>11</v>
      </c>
      <c r="H62">
        <v>57</v>
      </c>
      <c r="J62">
        <v>1</v>
      </c>
      <c r="K62">
        <v>12</v>
      </c>
    </row>
    <row r="63" spans="1:11" x14ac:dyDescent="0.35">
      <c r="A63" t="s">
        <v>365</v>
      </c>
      <c r="B63" t="s">
        <v>536</v>
      </c>
      <c r="C63" t="s">
        <v>277</v>
      </c>
      <c r="D63" t="s">
        <v>278</v>
      </c>
      <c r="G63">
        <v>16</v>
      </c>
      <c r="H63">
        <v>49</v>
      </c>
      <c r="J63">
        <v>0</v>
      </c>
      <c r="K63">
        <v>12</v>
      </c>
    </row>
    <row r="64" spans="1:11" x14ac:dyDescent="0.35">
      <c r="A64" t="s">
        <v>365</v>
      </c>
      <c r="B64" t="s">
        <v>536</v>
      </c>
      <c r="C64" t="s">
        <v>279</v>
      </c>
      <c r="D64" t="s">
        <v>280</v>
      </c>
      <c r="G64">
        <v>4</v>
      </c>
      <c r="H64">
        <v>26</v>
      </c>
      <c r="J64">
        <v>0</v>
      </c>
      <c r="K64">
        <v>5</v>
      </c>
    </row>
    <row r="65" spans="1:11" x14ac:dyDescent="0.35">
      <c r="A65" t="s">
        <v>365</v>
      </c>
      <c r="B65" t="s">
        <v>536</v>
      </c>
      <c r="C65" t="s">
        <v>281</v>
      </c>
      <c r="D65" t="s">
        <v>282</v>
      </c>
      <c r="G65">
        <v>3</v>
      </c>
      <c r="H65">
        <v>14</v>
      </c>
      <c r="J65">
        <v>0</v>
      </c>
      <c r="K65">
        <v>4</v>
      </c>
    </row>
    <row r="66" spans="1:11" x14ac:dyDescent="0.35">
      <c r="A66" t="s">
        <v>365</v>
      </c>
      <c r="B66" t="s">
        <v>536</v>
      </c>
      <c r="C66" t="s">
        <v>287</v>
      </c>
      <c r="D66" t="s">
        <v>288</v>
      </c>
      <c r="G66">
        <v>14</v>
      </c>
      <c r="H66">
        <v>50</v>
      </c>
      <c r="J66">
        <v>0</v>
      </c>
      <c r="K66">
        <v>14</v>
      </c>
    </row>
    <row r="67" spans="1:11" x14ac:dyDescent="0.35">
      <c r="A67" t="s">
        <v>365</v>
      </c>
      <c r="B67" t="s">
        <v>536</v>
      </c>
      <c r="C67" t="s">
        <v>292</v>
      </c>
      <c r="D67" t="s">
        <v>293</v>
      </c>
      <c r="G67">
        <v>0</v>
      </c>
      <c r="H67">
        <v>0</v>
      </c>
      <c r="J67">
        <v>0</v>
      </c>
      <c r="K67">
        <v>0</v>
      </c>
    </row>
    <row r="68" spans="1:11" x14ac:dyDescent="0.35">
      <c r="A68" t="s">
        <v>365</v>
      </c>
      <c r="B68" t="s">
        <v>536</v>
      </c>
      <c r="C68" t="s">
        <v>294</v>
      </c>
      <c r="D68" t="s">
        <v>295</v>
      </c>
      <c r="G68">
        <v>16</v>
      </c>
      <c r="H68">
        <v>58</v>
      </c>
      <c r="J68">
        <v>1</v>
      </c>
      <c r="K68">
        <v>11</v>
      </c>
    </row>
    <row r="69" spans="1:11" x14ac:dyDescent="0.35">
      <c r="A69" t="s">
        <v>365</v>
      </c>
      <c r="B69" t="s">
        <v>536</v>
      </c>
      <c r="C69" t="s">
        <v>298</v>
      </c>
      <c r="D69" t="s">
        <v>299</v>
      </c>
      <c r="G69">
        <v>11</v>
      </c>
      <c r="H69">
        <v>51</v>
      </c>
      <c r="J69">
        <v>0</v>
      </c>
      <c r="K69">
        <v>11</v>
      </c>
    </row>
    <row r="70" spans="1:11" x14ac:dyDescent="0.35">
      <c r="A70" t="s">
        <v>365</v>
      </c>
      <c r="B70" t="s">
        <v>536</v>
      </c>
      <c r="C70" t="s">
        <v>300</v>
      </c>
      <c r="D70" t="s">
        <v>301</v>
      </c>
      <c r="G70">
        <v>0</v>
      </c>
      <c r="H70">
        <v>0</v>
      </c>
      <c r="J70">
        <v>0</v>
      </c>
      <c r="K70">
        <v>0</v>
      </c>
    </row>
    <row r="71" spans="1:11" x14ac:dyDescent="0.35">
      <c r="A71" t="s">
        <v>365</v>
      </c>
      <c r="B71" t="s">
        <v>536</v>
      </c>
      <c r="C71" t="s">
        <v>302</v>
      </c>
      <c r="D71" t="s">
        <v>303</v>
      </c>
      <c r="G71">
        <v>9</v>
      </c>
      <c r="H71">
        <v>43</v>
      </c>
      <c r="J71">
        <v>0</v>
      </c>
      <c r="K71">
        <v>8</v>
      </c>
    </row>
    <row r="72" spans="1:11" x14ac:dyDescent="0.35">
      <c r="A72" t="s">
        <v>365</v>
      </c>
      <c r="B72" t="s">
        <v>536</v>
      </c>
      <c r="C72" t="s">
        <v>304</v>
      </c>
      <c r="D72" t="s">
        <v>305</v>
      </c>
      <c r="G72">
        <v>35</v>
      </c>
      <c r="H72">
        <v>126</v>
      </c>
      <c r="J72">
        <v>2</v>
      </c>
      <c r="K72">
        <v>24</v>
      </c>
    </row>
    <row r="73" spans="1:11" x14ac:dyDescent="0.35">
      <c r="A73" t="s">
        <v>365</v>
      </c>
      <c r="B73" t="s">
        <v>536</v>
      </c>
      <c r="C73" t="s">
        <v>307</v>
      </c>
      <c r="D73" t="s">
        <v>308</v>
      </c>
      <c r="G73">
        <v>10</v>
      </c>
      <c r="H73">
        <v>37</v>
      </c>
      <c r="J73">
        <v>0</v>
      </c>
      <c r="K73">
        <v>8</v>
      </c>
    </row>
    <row r="74" spans="1:11" x14ac:dyDescent="0.35">
      <c r="A74" t="s">
        <v>365</v>
      </c>
      <c r="B74" t="s">
        <v>536</v>
      </c>
      <c r="C74" t="s">
        <v>215</v>
      </c>
      <c r="D74" t="s">
        <v>216</v>
      </c>
      <c r="G74">
        <v>25</v>
      </c>
      <c r="H74">
        <v>122</v>
      </c>
      <c r="J74">
        <v>0</v>
      </c>
      <c r="K74">
        <v>26</v>
      </c>
    </row>
    <row r="75" spans="1:11" x14ac:dyDescent="0.35">
      <c r="A75" t="s">
        <v>365</v>
      </c>
      <c r="B75" t="s">
        <v>536</v>
      </c>
      <c r="C75" t="s">
        <v>220</v>
      </c>
      <c r="D75" t="s">
        <v>221</v>
      </c>
      <c r="G75">
        <v>3</v>
      </c>
      <c r="H75">
        <v>18</v>
      </c>
      <c r="J75">
        <v>0</v>
      </c>
      <c r="K75">
        <v>2</v>
      </c>
    </row>
    <row r="76" spans="1:11" x14ac:dyDescent="0.35">
      <c r="A76" t="s">
        <v>365</v>
      </c>
      <c r="B76" t="s">
        <v>536</v>
      </c>
      <c r="C76" t="s">
        <v>228</v>
      </c>
      <c r="D76" t="s">
        <v>229</v>
      </c>
      <c r="G76">
        <v>10</v>
      </c>
      <c r="H76">
        <v>27</v>
      </c>
      <c r="J76">
        <v>2</v>
      </c>
      <c r="K76">
        <v>15</v>
      </c>
    </row>
    <row r="77" spans="1:11" x14ac:dyDescent="0.35">
      <c r="A77" t="s">
        <v>365</v>
      </c>
      <c r="B77" t="s">
        <v>536</v>
      </c>
      <c r="C77" t="s">
        <v>234</v>
      </c>
      <c r="D77" t="s">
        <v>235</v>
      </c>
      <c r="G77">
        <v>64</v>
      </c>
      <c r="H77">
        <v>257</v>
      </c>
      <c r="J77">
        <v>1</v>
      </c>
      <c r="K77">
        <v>26</v>
      </c>
    </row>
    <row r="78" spans="1:11" x14ac:dyDescent="0.35">
      <c r="A78" t="s">
        <v>365</v>
      </c>
      <c r="B78" t="s">
        <v>536</v>
      </c>
      <c r="C78" t="s">
        <v>296</v>
      </c>
      <c r="D78" t="s">
        <v>297</v>
      </c>
      <c r="G78">
        <v>23</v>
      </c>
      <c r="H78">
        <v>72</v>
      </c>
      <c r="J78">
        <v>0</v>
      </c>
      <c r="K78">
        <v>20</v>
      </c>
    </row>
    <row r="79" spans="1:11" x14ac:dyDescent="0.35">
      <c r="A79" t="s">
        <v>365</v>
      </c>
      <c r="B79" t="s">
        <v>536</v>
      </c>
      <c r="C79" t="s">
        <v>309</v>
      </c>
      <c r="D79" t="s">
        <v>310</v>
      </c>
      <c r="G79">
        <v>20</v>
      </c>
      <c r="H79">
        <v>45</v>
      </c>
      <c r="J79">
        <v>0</v>
      </c>
      <c r="K79">
        <v>9</v>
      </c>
    </row>
    <row r="80" spans="1:11" x14ac:dyDescent="0.35">
      <c r="A80" t="s">
        <v>365</v>
      </c>
      <c r="B80" t="s">
        <v>536</v>
      </c>
      <c r="C80" t="s">
        <v>311</v>
      </c>
      <c r="D80" t="s">
        <v>312</v>
      </c>
      <c r="G80">
        <v>9</v>
      </c>
      <c r="H80">
        <v>59</v>
      </c>
      <c r="J80">
        <v>1</v>
      </c>
      <c r="K80">
        <v>10</v>
      </c>
    </row>
    <row r="81" spans="1:11" x14ac:dyDescent="0.35">
      <c r="A81" t="s">
        <v>365</v>
      </c>
      <c r="B81" t="s">
        <v>536</v>
      </c>
      <c r="C81" t="s">
        <v>224</v>
      </c>
      <c r="D81" t="s">
        <v>225</v>
      </c>
      <c r="G81">
        <v>0</v>
      </c>
      <c r="H81">
        <v>22</v>
      </c>
      <c r="J81">
        <v>1</v>
      </c>
      <c r="K81">
        <v>4</v>
      </c>
    </row>
    <row r="82" spans="1:11" x14ac:dyDescent="0.35">
      <c r="A82" t="s">
        <v>365</v>
      </c>
      <c r="B82" t="s">
        <v>536</v>
      </c>
      <c r="C82" t="s">
        <v>247</v>
      </c>
      <c r="D82" t="s">
        <v>248</v>
      </c>
      <c r="G82">
        <v>27</v>
      </c>
      <c r="H82">
        <v>158</v>
      </c>
      <c r="J82">
        <v>1</v>
      </c>
      <c r="K82">
        <v>21</v>
      </c>
    </row>
    <row r="83" spans="1:11" x14ac:dyDescent="0.35">
      <c r="A83" t="s">
        <v>365</v>
      </c>
      <c r="B83" t="s">
        <v>536</v>
      </c>
      <c r="C83" t="s">
        <v>289</v>
      </c>
      <c r="D83" t="s">
        <v>290</v>
      </c>
      <c r="G83">
        <v>37</v>
      </c>
      <c r="H83">
        <v>125</v>
      </c>
      <c r="J83">
        <v>1</v>
      </c>
      <c r="K83">
        <v>24</v>
      </c>
    </row>
    <row r="84" spans="1:11" x14ac:dyDescent="0.35">
      <c r="A84" t="s">
        <v>365</v>
      </c>
      <c r="B84" t="s">
        <v>536</v>
      </c>
      <c r="C84" t="s">
        <v>253</v>
      </c>
      <c r="D84" t="s">
        <v>254</v>
      </c>
      <c r="G84">
        <v>14</v>
      </c>
      <c r="H84">
        <v>44</v>
      </c>
      <c r="J84">
        <v>0</v>
      </c>
      <c r="K84">
        <v>14</v>
      </c>
    </row>
    <row r="85" spans="1:11" x14ac:dyDescent="0.35">
      <c r="A85" t="s">
        <v>365</v>
      </c>
      <c r="B85" t="s">
        <v>536</v>
      </c>
      <c r="C85" t="s">
        <v>270</v>
      </c>
      <c r="D85" t="s">
        <v>271</v>
      </c>
      <c r="G85">
        <v>116</v>
      </c>
      <c r="H85">
        <v>362</v>
      </c>
      <c r="J85">
        <v>1</v>
      </c>
      <c r="K85">
        <v>65</v>
      </c>
    </row>
    <row r="86" spans="1:11" x14ac:dyDescent="0.35">
      <c r="A86" t="s">
        <v>365</v>
      </c>
      <c r="B86" t="s">
        <v>536</v>
      </c>
      <c r="C86" t="s">
        <v>267</v>
      </c>
      <c r="D86" t="s">
        <v>268</v>
      </c>
      <c r="G86">
        <v>54</v>
      </c>
      <c r="H86">
        <v>209</v>
      </c>
      <c r="J86">
        <v>0</v>
      </c>
      <c r="K86">
        <v>25</v>
      </c>
    </row>
    <row r="87" spans="1:11" x14ac:dyDescent="0.35">
      <c r="A87" t="s">
        <v>365</v>
      </c>
      <c r="B87" t="s">
        <v>539</v>
      </c>
      <c r="C87" t="s">
        <v>217</v>
      </c>
      <c r="D87" t="s">
        <v>216</v>
      </c>
      <c r="E87">
        <v>1</v>
      </c>
      <c r="G87">
        <v>0</v>
      </c>
      <c r="H87">
        <v>0</v>
      </c>
      <c r="I87">
        <v>3</v>
      </c>
      <c r="J87">
        <v>7</v>
      </c>
      <c r="K87">
        <v>7</v>
      </c>
    </row>
    <row r="88" spans="1:11" x14ac:dyDescent="0.35">
      <c r="A88" t="s">
        <v>365</v>
      </c>
      <c r="B88" t="s">
        <v>539</v>
      </c>
      <c r="C88" t="s">
        <v>222</v>
      </c>
      <c r="D88" t="s">
        <v>223</v>
      </c>
      <c r="E88">
        <v>1</v>
      </c>
      <c r="G88">
        <v>0</v>
      </c>
      <c r="H88">
        <v>2</v>
      </c>
      <c r="I88">
        <v>1</v>
      </c>
      <c r="J88">
        <v>4</v>
      </c>
      <c r="K88">
        <v>10</v>
      </c>
    </row>
    <row r="89" spans="1:11" x14ac:dyDescent="0.35">
      <c r="A89" t="s">
        <v>365</v>
      </c>
      <c r="B89" t="s">
        <v>539</v>
      </c>
      <c r="C89" t="s">
        <v>230</v>
      </c>
      <c r="D89" t="s">
        <v>231</v>
      </c>
      <c r="E89">
        <v>1</v>
      </c>
      <c r="G89">
        <v>0</v>
      </c>
      <c r="H89">
        <v>1</v>
      </c>
      <c r="I89">
        <v>7</v>
      </c>
      <c r="J89">
        <v>5</v>
      </c>
      <c r="K89">
        <v>7</v>
      </c>
    </row>
    <row r="90" spans="1:11" x14ac:dyDescent="0.35">
      <c r="A90" t="s">
        <v>365</v>
      </c>
      <c r="B90" t="s">
        <v>539</v>
      </c>
      <c r="C90" t="s">
        <v>246</v>
      </c>
      <c r="D90" t="s">
        <v>245</v>
      </c>
      <c r="E90">
        <v>0</v>
      </c>
      <c r="G90">
        <v>0</v>
      </c>
      <c r="H90">
        <v>1</v>
      </c>
      <c r="I90">
        <v>2</v>
      </c>
      <c r="J90">
        <v>5</v>
      </c>
      <c r="K90">
        <v>10</v>
      </c>
    </row>
    <row r="91" spans="1:11" x14ac:dyDescent="0.35">
      <c r="A91" t="s">
        <v>365</v>
      </c>
      <c r="B91" t="s">
        <v>539</v>
      </c>
      <c r="C91" t="s">
        <v>251</v>
      </c>
      <c r="D91" t="s">
        <v>252</v>
      </c>
      <c r="E91">
        <v>1</v>
      </c>
      <c r="G91">
        <v>0</v>
      </c>
      <c r="H91">
        <v>0</v>
      </c>
      <c r="I91">
        <v>7</v>
      </c>
      <c r="J91">
        <v>7</v>
      </c>
      <c r="K91">
        <v>5</v>
      </c>
    </row>
    <row r="92" spans="1:11" x14ac:dyDescent="0.35">
      <c r="A92" t="s">
        <v>365</v>
      </c>
      <c r="B92" t="s">
        <v>539</v>
      </c>
      <c r="C92" t="s">
        <v>257</v>
      </c>
      <c r="D92" t="s">
        <v>258</v>
      </c>
      <c r="E92">
        <v>1</v>
      </c>
      <c r="G92">
        <v>0</v>
      </c>
      <c r="H92">
        <v>4</v>
      </c>
      <c r="I92">
        <v>5</v>
      </c>
      <c r="J92">
        <v>1</v>
      </c>
      <c r="K92">
        <v>6</v>
      </c>
    </row>
    <row r="93" spans="1:11" x14ac:dyDescent="0.35">
      <c r="A93" t="s">
        <v>365</v>
      </c>
      <c r="B93" t="s">
        <v>539</v>
      </c>
      <c r="C93" t="s">
        <v>261</v>
      </c>
      <c r="D93" t="s">
        <v>262</v>
      </c>
      <c r="E93">
        <v>1</v>
      </c>
      <c r="G93">
        <v>0</v>
      </c>
      <c r="H93">
        <v>0</v>
      </c>
      <c r="I93">
        <v>3</v>
      </c>
      <c r="J93">
        <v>5</v>
      </c>
      <c r="K93">
        <v>3</v>
      </c>
    </row>
    <row r="94" spans="1:11" x14ac:dyDescent="0.35">
      <c r="A94" t="s">
        <v>365</v>
      </c>
      <c r="B94" t="s">
        <v>539</v>
      </c>
      <c r="C94" t="s">
        <v>236</v>
      </c>
      <c r="D94" t="s">
        <v>237</v>
      </c>
      <c r="E94">
        <v>2</v>
      </c>
      <c r="G94">
        <v>2</v>
      </c>
      <c r="H94">
        <v>2</v>
      </c>
      <c r="I94">
        <v>8</v>
      </c>
      <c r="J94">
        <v>4</v>
      </c>
      <c r="K94">
        <v>6</v>
      </c>
    </row>
    <row r="95" spans="1:11" x14ac:dyDescent="0.35">
      <c r="A95" t="s">
        <v>365</v>
      </c>
      <c r="B95" t="s">
        <v>539</v>
      </c>
      <c r="C95" t="s">
        <v>265</v>
      </c>
      <c r="D95" t="s">
        <v>266</v>
      </c>
      <c r="E95">
        <v>1</v>
      </c>
      <c r="G95">
        <v>0</v>
      </c>
      <c r="H95">
        <v>1</v>
      </c>
      <c r="I95">
        <v>3</v>
      </c>
      <c r="J95">
        <v>3</v>
      </c>
      <c r="K95">
        <v>5</v>
      </c>
    </row>
    <row r="96" spans="1:11" x14ac:dyDescent="0.35">
      <c r="A96" t="s">
        <v>365</v>
      </c>
      <c r="B96" t="s">
        <v>539</v>
      </c>
      <c r="C96" t="s">
        <v>272</v>
      </c>
      <c r="D96" t="s">
        <v>271</v>
      </c>
      <c r="E96">
        <v>1</v>
      </c>
      <c r="G96">
        <v>1</v>
      </c>
      <c r="H96">
        <v>2</v>
      </c>
      <c r="I96">
        <v>4</v>
      </c>
      <c r="J96">
        <v>8</v>
      </c>
      <c r="K96">
        <v>9</v>
      </c>
    </row>
    <row r="97" spans="1:11" x14ac:dyDescent="0.35">
      <c r="A97" t="s">
        <v>365</v>
      </c>
      <c r="B97" t="s">
        <v>539</v>
      </c>
      <c r="C97" t="s">
        <v>275</v>
      </c>
      <c r="D97" t="s">
        <v>276</v>
      </c>
      <c r="E97">
        <v>1</v>
      </c>
      <c r="G97">
        <v>0</v>
      </c>
      <c r="H97">
        <v>0</v>
      </c>
      <c r="I97">
        <v>6</v>
      </c>
      <c r="J97">
        <v>5</v>
      </c>
      <c r="K97">
        <v>1</v>
      </c>
    </row>
    <row r="98" spans="1:11" x14ac:dyDescent="0.35">
      <c r="A98" t="s">
        <v>365</v>
      </c>
      <c r="B98" t="s">
        <v>539</v>
      </c>
      <c r="C98" t="s">
        <v>291</v>
      </c>
      <c r="D98" t="s">
        <v>290</v>
      </c>
      <c r="E98">
        <v>2</v>
      </c>
      <c r="G98">
        <v>1</v>
      </c>
      <c r="H98">
        <v>1</v>
      </c>
      <c r="I98">
        <v>3</v>
      </c>
      <c r="J98">
        <v>5</v>
      </c>
      <c r="K98">
        <v>4</v>
      </c>
    </row>
    <row r="99" spans="1:11" x14ac:dyDescent="0.35">
      <c r="A99" t="s">
        <v>365</v>
      </c>
      <c r="B99" t="s">
        <v>539</v>
      </c>
      <c r="C99" t="s">
        <v>306</v>
      </c>
      <c r="D99" t="s">
        <v>305</v>
      </c>
      <c r="E99">
        <v>1</v>
      </c>
      <c r="G99">
        <v>0</v>
      </c>
      <c r="H99">
        <v>0</v>
      </c>
      <c r="I99">
        <v>4</v>
      </c>
      <c r="J99">
        <v>2</v>
      </c>
      <c r="K99">
        <v>3</v>
      </c>
    </row>
    <row r="100" spans="1:11" x14ac:dyDescent="0.35">
      <c r="A100" t="s">
        <v>365</v>
      </c>
      <c r="B100" t="s">
        <v>539</v>
      </c>
      <c r="C100" t="s">
        <v>242</v>
      </c>
      <c r="D100" t="s">
        <v>243</v>
      </c>
      <c r="E100">
        <v>0</v>
      </c>
      <c r="G100">
        <v>0</v>
      </c>
      <c r="H100">
        <v>0</v>
      </c>
      <c r="I100">
        <v>1</v>
      </c>
      <c r="J100">
        <v>4</v>
      </c>
      <c r="K100">
        <v>0</v>
      </c>
    </row>
    <row r="101" spans="1:11" x14ac:dyDescent="0.35">
      <c r="A101" t="s">
        <v>365</v>
      </c>
      <c r="B101" t="s">
        <v>539</v>
      </c>
      <c r="C101" t="s">
        <v>285</v>
      </c>
      <c r="D101" t="s">
        <v>286</v>
      </c>
      <c r="E101">
        <v>1</v>
      </c>
      <c r="G101">
        <v>0</v>
      </c>
      <c r="H101">
        <v>0</v>
      </c>
      <c r="I101">
        <v>3</v>
      </c>
      <c r="J101">
        <v>3</v>
      </c>
      <c r="K101">
        <v>0</v>
      </c>
    </row>
    <row r="102" spans="1:11" x14ac:dyDescent="0.35">
      <c r="A102" t="s">
        <v>365</v>
      </c>
      <c r="B102" t="s">
        <v>539</v>
      </c>
      <c r="C102" t="s">
        <v>226</v>
      </c>
      <c r="D102" t="s">
        <v>227</v>
      </c>
      <c r="E102">
        <v>1</v>
      </c>
      <c r="G102">
        <v>0</v>
      </c>
      <c r="H102">
        <v>0</v>
      </c>
      <c r="I102">
        <v>3</v>
      </c>
      <c r="J102">
        <v>5</v>
      </c>
      <c r="K102">
        <v>3</v>
      </c>
    </row>
    <row r="103" spans="1:11" x14ac:dyDescent="0.35">
      <c r="A103" t="s">
        <v>365</v>
      </c>
      <c r="B103" t="s">
        <v>539</v>
      </c>
      <c r="C103" t="s">
        <v>269</v>
      </c>
      <c r="D103" t="s">
        <v>268</v>
      </c>
      <c r="E103">
        <v>2</v>
      </c>
      <c r="G103">
        <v>0</v>
      </c>
      <c r="H103">
        <v>0</v>
      </c>
      <c r="I103">
        <v>2</v>
      </c>
      <c r="J103">
        <v>6</v>
      </c>
      <c r="K103">
        <v>11</v>
      </c>
    </row>
    <row r="104" spans="1:11" x14ac:dyDescent="0.35">
      <c r="A104" t="s">
        <v>365</v>
      </c>
      <c r="B104" t="s">
        <v>541</v>
      </c>
      <c r="C104" t="s">
        <v>232</v>
      </c>
      <c r="D104" t="s">
        <v>233</v>
      </c>
      <c r="E104">
        <v>2</v>
      </c>
      <c r="G104">
        <v>9</v>
      </c>
      <c r="H104">
        <v>0</v>
      </c>
      <c r="I104">
        <v>15</v>
      </c>
      <c r="J104">
        <v>4</v>
      </c>
      <c r="K104">
        <v>75</v>
      </c>
    </row>
    <row r="105" spans="1:11" x14ac:dyDescent="0.35">
      <c r="A105" t="s">
        <v>365</v>
      </c>
      <c r="B105" t="s">
        <v>541</v>
      </c>
      <c r="C105" t="s">
        <v>238</v>
      </c>
      <c r="D105" t="s">
        <v>239</v>
      </c>
      <c r="E105">
        <v>1</v>
      </c>
      <c r="G105">
        <v>4</v>
      </c>
      <c r="H105">
        <v>6</v>
      </c>
      <c r="I105">
        <v>4</v>
      </c>
      <c r="J105">
        <v>17</v>
      </c>
      <c r="K105">
        <v>46</v>
      </c>
    </row>
    <row r="106" spans="1:11" x14ac:dyDescent="0.35">
      <c r="A106" t="s">
        <v>365</v>
      </c>
      <c r="B106" t="s">
        <v>541</v>
      </c>
      <c r="C106" t="s">
        <v>218</v>
      </c>
      <c r="D106" t="s">
        <v>219</v>
      </c>
      <c r="E106">
        <v>1</v>
      </c>
      <c r="G106">
        <v>21</v>
      </c>
      <c r="H106">
        <v>1</v>
      </c>
      <c r="I106">
        <v>7</v>
      </c>
      <c r="J106">
        <v>10</v>
      </c>
      <c r="K106">
        <v>26</v>
      </c>
    </row>
    <row r="107" spans="1:11" x14ac:dyDescent="0.35">
      <c r="A107" t="s">
        <v>365</v>
      </c>
      <c r="B107" t="s">
        <v>543</v>
      </c>
      <c r="C107" t="s">
        <v>548</v>
      </c>
      <c r="D107" t="s">
        <v>544</v>
      </c>
      <c r="E107">
        <v>11</v>
      </c>
      <c r="F107">
        <v>7</v>
      </c>
      <c r="G107">
        <v>4</v>
      </c>
      <c r="H107">
        <v>1</v>
      </c>
      <c r="I107">
        <v>12</v>
      </c>
      <c r="J107">
        <v>6</v>
      </c>
      <c r="K107">
        <v>11</v>
      </c>
    </row>
    <row r="108" spans="1:11" x14ac:dyDescent="0.35">
      <c r="A108" t="s">
        <v>366</v>
      </c>
      <c r="B108" t="s">
        <v>536</v>
      </c>
      <c r="C108" t="s">
        <v>240</v>
      </c>
      <c r="D108" t="s">
        <v>241</v>
      </c>
      <c r="G108">
        <v>5</v>
      </c>
      <c r="H108">
        <v>17</v>
      </c>
      <c r="J108">
        <v>0</v>
      </c>
      <c r="K108">
        <v>4</v>
      </c>
    </row>
    <row r="109" spans="1:11" x14ac:dyDescent="0.35">
      <c r="A109" t="s">
        <v>366</v>
      </c>
      <c r="B109" t="s">
        <v>536</v>
      </c>
      <c r="C109" t="s">
        <v>244</v>
      </c>
      <c r="D109" t="s">
        <v>245</v>
      </c>
      <c r="G109">
        <v>14</v>
      </c>
      <c r="H109">
        <v>48</v>
      </c>
      <c r="J109">
        <v>0</v>
      </c>
      <c r="K109">
        <v>3</v>
      </c>
    </row>
    <row r="110" spans="1:11" x14ac:dyDescent="0.35">
      <c r="A110" t="s">
        <v>366</v>
      </c>
      <c r="B110" t="s">
        <v>536</v>
      </c>
      <c r="C110" t="s">
        <v>249</v>
      </c>
      <c r="D110" t="s">
        <v>250</v>
      </c>
      <c r="G110">
        <v>7</v>
      </c>
      <c r="H110">
        <v>41</v>
      </c>
      <c r="J110">
        <v>0</v>
      </c>
      <c r="K110">
        <v>5</v>
      </c>
    </row>
    <row r="111" spans="1:11" x14ac:dyDescent="0.35">
      <c r="A111" t="s">
        <v>366</v>
      </c>
      <c r="B111" t="s">
        <v>536</v>
      </c>
      <c r="C111" t="s">
        <v>255</v>
      </c>
      <c r="D111" t="s">
        <v>256</v>
      </c>
      <c r="G111">
        <v>4</v>
      </c>
      <c r="H111">
        <v>19</v>
      </c>
      <c r="J111">
        <v>0</v>
      </c>
      <c r="K111">
        <v>4</v>
      </c>
    </row>
    <row r="112" spans="1:11" x14ac:dyDescent="0.35">
      <c r="A112" t="s">
        <v>366</v>
      </c>
      <c r="B112" t="s">
        <v>536</v>
      </c>
      <c r="C112" t="s">
        <v>259</v>
      </c>
      <c r="D112" t="s">
        <v>260</v>
      </c>
      <c r="G112">
        <v>10</v>
      </c>
      <c r="H112">
        <v>34</v>
      </c>
      <c r="J112">
        <v>0</v>
      </c>
      <c r="K112">
        <v>9</v>
      </c>
    </row>
    <row r="113" spans="1:11" x14ac:dyDescent="0.35">
      <c r="A113" t="s">
        <v>366</v>
      </c>
      <c r="B113" t="s">
        <v>536</v>
      </c>
      <c r="C113" t="s">
        <v>283</v>
      </c>
      <c r="D113" t="s">
        <v>284</v>
      </c>
      <c r="G113">
        <v>0</v>
      </c>
      <c r="H113">
        <v>0</v>
      </c>
      <c r="J113">
        <v>0</v>
      </c>
      <c r="K113">
        <v>0</v>
      </c>
    </row>
    <row r="114" spans="1:11" x14ac:dyDescent="0.35">
      <c r="A114" t="s">
        <v>366</v>
      </c>
      <c r="B114" t="s">
        <v>536</v>
      </c>
      <c r="C114" t="s">
        <v>263</v>
      </c>
      <c r="D114" t="s">
        <v>264</v>
      </c>
      <c r="G114">
        <v>17</v>
      </c>
      <c r="H114">
        <v>66</v>
      </c>
      <c r="J114">
        <v>0</v>
      </c>
      <c r="K114">
        <v>12</v>
      </c>
    </row>
    <row r="115" spans="1:11" x14ac:dyDescent="0.35">
      <c r="A115" t="s">
        <v>366</v>
      </c>
      <c r="B115" t="s">
        <v>536</v>
      </c>
      <c r="C115" t="s">
        <v>273</v>
      </c>
      <c r="D115" t="s">
        <v>274</v>
      </c>
      <c r="G115">
        <v>11</v>
      </c>
      <c r="H115">
        <v>53</v>
      </c>
      <c r="J115">
        <v>0</v>
      </c>
      <c r="K115">
        <v>4</v>
      </c>
    </row>
    <row r="116" spans="1:11" x14ac:dyDescent="0.35">
      <c r="A116" t="s">
        <v>366</v>
      </c>
      <c r="B116" t="s">
        <v>536</v>
      </c>
      <c r="C116" t="s">
        <v>277</v>
      </c>
      <c r="D116" t="s">
        <v>278</v>
      </c>
      <c r="G116">
        <v>12</v>
      </c>
      <c r="H116">
        <v>48</v>
      </c>
      <c r="J116">
        <v>1</v>
      </c>
      <c r="K116">
        <v>9</v>
      </c>
    </row>
    <row r="117" spans="1:11" x14ac:dyDescent="0.35">
      <c r="A117" t="s">
        <v>366</v>
      </c>
      <c r="B117" t="s">
        <v>536</v>
      </c>
      <c r="C117" t="s">
        <v>279</v>
      </c>
      <c r="D117" t="s">
        <v>280</v>
      </c>
      <c r="G117">
        <v>4</v>
      </c>
      <c r="H117">
        <v>16</v>
      </c>
      <c r="J117">
        <v>0</v>
      </c>
      <c r="K117">
        <v>3</v>
      </c>
    </row>
    <row r="118" spans="1:11" x14ac:dyDescent="0.35">
      <c r="A118" t="s">
        <v>366</v>
      </c>
      <c r="B118" t="s">
        <v>536</v>
      </c>
      <c r="C118" t="s">
        <v>281</v>
      </c>
      <c r="D118" t="s">
        <v>282</v>
      </c>
      <c r="G118">
        <v>5</v>
      </c>
      <c r="H118">
        <v>21</v>
      </c>
      <c r="J118">
        <v>0</v>
      </c>
      <c r="K118">
        <v>5</v>
      </c>
    </row>
    <row r="119" spans="1:11" x14ac:dyDescent="0.35">
      <c r="A119" t="s">
        <v>366</v>
      </c>
      <c r="B119" t="s">
        <v>536</v>
      </c>
      <c r="C119" t="s">
        <v>287</v>
      </c>
      <c r="D119" t="s">
        <v>288</v>
      </c>
      <c r="G119">
        <v>14</v>
      </c>
      <c r="H119">
        <v>52</v>
      </c>
      <c r="J119">
        <v>0</v>
      </c>
      <c r="K119">
        <v>12</v>
      </c>
    </row>
    <row r="120" spans="1:11" x14ac:dyDescent="0.35">
      <c r="A120" t="s">
        <v>366</v>
      </c>
      <c r="B120" t="s">
        <v>536</v>
      </c>
      <c r="C120" t="s">
        <v>292</v>
      </c>
      <c r="D120" t="s">
        <v>293</v>
      </c>
      <c r="G120">
        <v>0</v>
      </c>
      <c r="H120">
        <v>0</v>
      </c>
      <c r="J120">
        <v>0</v>
      </c>
      <c r="K120">
        <v>0</v>
      </c>
    </row>
    <row r="121" spans="1:11" x14ac:dyDescent="0.35">
      <c r="A121" t="s">
        <v>366</v>
      </c>
      <c r="B121" t="s">
        <v>536</v>
      </c>
      <c r="C121" t="s">
        <v>294</v>
      </c>
      <c r="D121" t="s">
        <v>295</v>
      </c>
      <c r="G121">
        <v>13</v>
      </c>
      <c r="H121">
        <v>56</v>
      </c>
      <c r="J121">
        <v>0</v>
      </c>
      <c r="K121">
        <v>4</v>
      </c>
    </row>
    <row r="122" spans="1:11" x14ac:dyDescent="0.35">
      <c r="A122" t="s">
        <v>366</v>
      </c>
      <c r="B122" t="s">
        <v>536</v>
      </c>
      <c r="C122" t="s">
        <v>298</v>
      </c>
      <c r="D122" t="s">
        <v>299</v>
      </c>
      <c r="G122">
        <v>12</v>
      </c>
      <c r="H122">
        <v>50</v>
      </c>
      <c r="J122">
        <v>0</v>
      </c>
      <c r="K122">
        <v>9</v>
      </c>
    </row>
    <row r="123" spans="1:11" x14ac:dyDescent="0.35">
      <c r="A123" t="s">
        <v>366</v>
      </c>
      <c r="B123" t="s">
        <v>536</v>
      </c>
      <c r="C123" t="s">
        <v>300</v>
      </c>
      <c r="D123" t="s">
        <v>301</v>
      </c>
      <c r="G123">
        <v>0</v>
      </c>
      <c r="H123">
        <v>0</v>
      </c>
      <c r="J123">
        <v>0</v>
      </c>
      <c r="K123">
        <v>0</v>
      </c>
    </row>
    <row r="124" spans="1:11" x14ac:dyDescent="0.35">
      <c r="A124" t="s">
        <v>366</v>
      </c>
      <c r="B124" t="s">
        <v>536</v>
      </c>
      <c r="C124" t="s">
        <v>302</v>
      </c>
      <c r="D124" t="s">
        <v>303</v>
      </c>
      <c r="G124">
        <v>10</v>
      </c>
      <c r="H124">
        <v>40</v>
      </c>
      <c r="J124">
        <v>0</v>
      </c>
      <c r="K124">
        <v>5</v>
      </c>
    </row>
    <row r="125" spans="1:11" x14ac:dyDescent="0.35">
      <c r="A125" t="s">
        <v>366</v>
      </c>
      <c r="B125" t="s">
        <v>536</v>
      </c>
      <c r="C125" t="s">
        <v>304</v>
      </c>
      <c r="D125" t="s">
        <v>305</v>
      </c>
      <c r="G125">
        <v>28</v>
      </c>
      <c r="H125">
        <v>132</v>
      </c>
      <c r="J125">
        <v>0</v>
      </c>
      <c r="K125">
        <v>18</v>
      </c>
    </row>
    <row r="126" spans="1:11" x14ac:dyDescent="0.35">
      <c r="A126" t="s">
        <v>366</v>
      </c>
      <c r="B126" t="s">
        <v>536</v>
      </c>
      <c r="C126" t="s">
        <v>307</v>
      </c>
      <c r="D126" t="s">
        <v>308</v>
      </c>
      <c r="G126">
        <v>9</v>
      </c>
      <c r="H126">
        <v>40</v>
      </c>
      <c r="J126">
        <v>0</v>
      </c>
      <c r="K126">
        <v>2</v>
      </c>
    </row>
    <row r="127" spans="1:11" x14ac:dyDescent="0.35">
      <c r="A127" t="s">
        <v>366</v>
      </c>
      <c r="B127" t="s">
        <v>536</v>
      </c>
      <c r="C127" t="s">
        <v>215</v>
      </c>
      <c r="D127" t="s">
        <v>216</v>
      </c>
      <c r="G127">
        <v>22</v>
      </c>
      <c r="H127">
        <v>109</v>
      </c>
      <c r="J127">
        <v>0</v>
      </c>
      <c r="K127">
        <v>13</v>
      </c>
    </row>
    <row r="128" spans="1:11" x14ac:dyDescent="0.35">
      <c r="A128" t="s">
        <v>366</v>
      </c>
      <c r="B128" t="s">
        <v>536</v>
      </c>
      <c r="C128" t="s">
        <v>220</v>
      </c>
      <c r="D128" t="s">
        <v>221</v>
      </c>
      <c r="G128">
        <v>6</v>
      </c>
      <c r="H128">
        <v>22</v>
      </c>
      <c r="J128">
        <v>0</v>
      </c>
      <c r="K128">
        <v>4</v>
      </c>
    </row>
    <row r="129" spans="1:11" x14ac:dyDescent="0.35">
      <c r="A129" t="s">
        <v>366</v>
      </c>
      <c r="B129" t="s">
        <v>536</v>
      </c>
      <c r="C129" t="s">
        <v>228</v>
      </c>
      <c r="D129" t="s">
        <v>229</v>
      </c>
      <c r="G129">
        <v>8</v>
      </c>
      <c r="H129">
        <v>37</v>
      </c>
      <c r="J129">
        <v>0</v>
      </c>
      <c r="K129">
        <v>10</v>
      </c>
    </row>
    <row r="130" spans="1:11" x14ac:dyDescent="0.35">
      <c r="A130" t="s">
        <v>366</v>
      </c>
      <c r="B130" t="s">
        <v>536</v>
      </c>
      <c r="C130" t="s">
        <v>234</v>
      </c>
      <c r="D130" t="s">
        <v>235</v>
      </c>
      <c r="G130">
        <v>48</v>
      </c>
      <c r="H130">
        <v>248</v>
      </c>
      <c r="J130">
        <v>0</v>
      </c>
      <c r="K130">
        <v>19</v>
      </c>
    </row>
    <row r="131" spans="1:11" x14ac:dyDescent="0.35">
      <c r="A131" t="s">
        <v>366</v>
      </c>
      <c r="B131" t="s">
        <v>536</v>
      </c>
      <c r="C131" t="s">
        <v>296</v>
      </c>
      <c r="D131" t="s">
        <v>297</v>
      </c>
      <c r="G131">
        <v>15</v>
      </c>
      <c r="H131">
        <v>62</v>
      </c>
      <c r="J131">
        <v>0</v>
      </c>
      <c r="K131">
        <v>15</v>
      </c>
    </row>
    <row r="132" spans="1:11" x14ac:dyDescent="0.35">
      <c r="A132" t="s">
        <v>366</v>
      </c>
      <c r="B132" t="s">
        <v>536</v>
      </c>
      <c r="C132" t="s">
        <v>309</v>
      </c>
      <c r="D132" t="s">
        <v>310</v>
      </c>
      <c r="G132">
        <v>11</v>
      </c>
      <c r="H132">
        <v>49</v>
      </c>
      <c r="J132">
        <v>0</v>
      </c>
      <c r="K132">
        <v>10</v>
      </c>
    </row>
    <row r="133" spans="1:11" x14ac:dyDescent="0.35">
      <c r="A133" t="s">
        <v>366</v>
      </c>
      <c r="B133" t="s">
        <v>536</v>
      </c>
      <c r="C133" t="s">
        <v>311</v>
      </c>
      <c r="D133" t="s">
        <v>312</v>
      </c>
      <c r="G133">
        <v>9</v>
      </c>
      <c r="H133">
        <v>44</v>
      </c>
      <c r="J133">
        <v>0</v>
      </c>
      <c r="K133">
        <v>8</v>
      </c>
    </row>
    <row r="134" spans="1:11" x14ac:dyDescent="0.35">
      <c r="A134" t="s">
        <v>366</v>
      </c>
      <c r="B134" t="s">
        <v>536</v>
      </c>
      <c r="C134" t="s">
        <v>224</v>
      </c>
      <c r="D134" t="s">
        <v>225</v>
      </c>
      <c r="G134">
        <v>8</v>
      </c>
      <c r="H134">
        <v>25</v>
      </c>
      <c r="J134">
        <v>0</v>
      </c>
      <c r="K134">
        <v>3</v>
      </c>
    </row>
    <row r="135" spans="1:11" x14ac:dyDescent="0.35">
      <c r="A135" t="s">
        <v>366</v>
      </c>
      <c r="B135" t="s">
        <v>536</v>
      </c>
      <c r="C135" t="s">
        <v>247</v>
      </c>
      <c r="D135" t="s">
        <v>248</v>
      </c>
      <c r="G135">
        <v>26</v>
      </c>
      <c r="H135">
        <v>135</v>
      </c>
      <c r="J135">
        <v>1</v>
      </c>
      <c r="K135">
        <v>14</v>
      </c>
    </row>
    <row r="136" spans="1:11" x14ac:dyDescent="0.35">
      <c r="A136" t="s">
        <v>366</v>
      </c>
      <c r="B136" t="s">
        <v>536</v>
      </c>
      <c r="C136" t="s">
        <v>289</v>
      </c>
      <c r="D136" t="s">
        <v>290</v>
      </c>
      <c r="G136">
        <v>28</v>
      </c>
      <c r="H136">
        <v>136</v>
      </c>
      <c r="J136">
        <v>0</v>
      </c>
      <c r="K136">
        <v>16</v>
      </c>
    </row>
    <row r="137" spans="1:11" x14ac:dyDescent="0.35">
      <c r="A137" t="s">
        <v>366</v>
      </c>
      <c r="B137" t="s">
        <v>536</v>
      </c>
      <c r="C137" t="s">
        <v>253</v>
      </c>
      <c r="D137" t="s">
        <v>254</v>
      </c>
      <c r="G137">
        <v>9</v>
      </c>
      <c r="H137">
        <v>46</v>
      </c>
      <c r="J137">
        <v>0</v>
      </c>
      <c r="K137">
        <v>15</v>
      </c>
    </row>
    <row r="138" spans="1:11" x14ac:dyDescent="0.35">
      <c r="A138" t="s">
        <v>366</v>
      </c>
      <c r="B138" t="s">
        <v>536</v>
      </c>
      <c r="C138" t="s">
        <v>270</v>
      </c>
      <c r="D138" t="s">
        <v>271</v>
      </c>
      <c r="G138">
        <v>99</v>
      </c>
      <c r="H138">
        <v>350</v>
      </c>
      <c r="J138">
        <v>0</v>
      </c>
      <c r="K138">
        <v>50</v>
      </c>
    </row>
    <row r="139" spans="1:11" x14ac:dyDescent="0.35">
      <c r="A139" t="s">
        <v>366</v>
      </c>
      <c r="B139" t="s">
        <v>536</v>
      </c>
      <c r="C139" t="s">
        <v>267</v>
      </c>
      <c r="D139" t="s">
        <v>268</v>
      </c>
      <c r="G139">
        <v>47</v>
      </c>
      <c r="H139">
        <v>211</v>
      </c>
      <c r="J139">
        <v>0</v>
      </c>
      <c r="K139">
        <v>20</v>
      </c>
    </row>
    <row r="140" spans="1:11" x14ac:dyDescent="0.35">
      <c r="A140" t="s">
        <v>366</v>
      </c>
      <c r="B140" t="s">
        <v>539</v>
      </c>
      <c r="C140" t="s">
        <v>217</v>
      </c>
      <c r="D140" t="s">
        <v>216</v>
      </c>
      <c r="E140">
        <v>1</v>
      </c>
      <c r="G140">
        <v>0</v>
      </c>
      <c r="H140">
        <v>3</v>
      </c>
      <c r="I140">
        <v>3</v>
      </c>
      <c r="J140">
        <v>2</v>
      </c>
      <c r="K140">
        <v>7</v>
      </c>
    </row>
    <row r="141" spans="1:11" x14ac:dyDescent="0.35">
      <c r="A141" t="s">
        <v>366</v>
      </c>
      <c r="B141" t="s">
        <v>539</v>
      </c>
      <c r="C141" t="s">
        <v>222</v>
      </c>
      <c r="D141" t="s">
        <v>223</v>
      </c>
      <c r="E141">
        <v>1</v>
      </c>
      <c r="G141">
        <v>7</v>
      </c>
      <c r="H141">
        <v>1</v>
      </c>
      <c r="I141">
        <v>2</v>
      </c>
      <c r="J141">
        <v>6</v>
      </c>
      <c r="K141">
        <v>10</v>
      </c>
    </row>
    <row r="142" spans="1:11" x14ac:dyDescent="0.35">
      <c r="A142" t="s">
        <v>366</v>
      </c>
      <c r="B142" t="s">
        <v>539</v>
      </c>
      <c r="C142" t="s">
        <v>230</v>
      </c>
      <c r="D142" t="s">
        <v>231</v>
      </c>
      <c r="E142">
        <v>1</v>
      </c>
      <c r="G142">
        <v>2</v>
      </c>
      <c r="H142">
        <v>4</v>
      </c>
      <c r="I142">
        <v>5</v>
      </c>
      <c r="J142">
        <v>7</v>
      </c>
      <c r="K142">
        <v>6</v>
      </c>
    </row>
    <row r="143" spans="1:11" x14ac:dyDescent="0.35">
      <c r="A143" t="s">
        <v>366</v>
      </c>
      <c r="B143" t="s">
        <v>539</v>
      </c>
      <c r="C143" t="s">
        <v>246</v>
      </c>
      <c r="D143" t="s">
        <v>245</v>
      </c>
      <c r="E143">
        <v>0</v>
      </c>
      <c r="G143">
        <v>0</v>
      </c>
      <c r="H143">
        <v>2</v>
      </c>
      <c r="I143">
        <v>2</v>
      </c>
      <c r="J143">
        <v>5</v>
      </c>
      <c r="K143">
        <v>10</v>
      </c>
    </row>
    <row r="144" spans="1:11" x14ac:dyDescent="0.35">
      <c r="A144" t="s">
        <v>366</v>
      </c>
      <c r="B144" t="s">
        <v>539</v>
      </c>
      <c r="C144" t="s">
        <v>251</v>
      </c>
      <c r="D144" t="s">
        <v>252</v>
      </c>
      <c r="E144">
        <v>1</v>
      </c>
      <c r="G144">
        <v>4</v>
      </c>
      <c r="H144">
        <v>2</v>
      </c>
      <c r="I144">
        <v>6</v>
      </c>
      <c r="J144">
        <v>7</v>
      </c>
      <c r="K144">
        <v>9</v>
      </c>
    </row>
    <row r="145" spans="1:11" x14ac:dyDescent="0.35">
      <c r="A145" t="s">
        <v>366</v>
      </c>
      <c r="B145" t="s">
        <v>539</v>
      </c>
      <c r="C145" t="s">
        <v>257</v>
      </c>
      <c r="D145" t="s">
        <v>258</v>
      </c>
      <c r="E145">
        <v>1</v>
      </c>
      <c r="G145">
        <v>10</v>
      </c>
      <c r="H145">
        <v>5</v>
      </c>
      <c r="I145">
        <v>5</v>
      </c>
      <c r="J145">
        <v>6</v>
      </c>
      <c r="K145">
        <v>11</v>
      </c>
    </row>
    <row r="146" spans="1:11" x14ac:dyDescent="0.35">
      <c r="A146" t="s">
        <v>366</v>
      </c>
      <c r="B146" t="s">
        <v>539</v>
      </c>
      <c r="C146" t="s">
        <v>261</v>
      </c>
      <c r="D146" t="s">
        <v>262</v>
      </c>
      <c r="E146">
        <v>1</v>
      </c>
      <c r="G146">
        <v>1</v>
      </c>
      <c r="H146">
        <v>3</v>
      </c>
      <c r="I146">
        <v>2</v>
      </c>
      <c r="J146">
        <v>3</v>
      </c>
      <c r="K146">
        <v>7</v>
      </c>
    </row>
    <row r="147" spans="1:11" x14ac:dyDescent="0.35">
      <c r="A147" t="s">
        <v>366</v>
      </c>
      <c r="B147" t="s">
        <v>539</v>
      </c>
      <c r="C147" t="s">
        <v>236</v>
      </c>
      <c r="D147" t="s">
        <v>237</v>
      </c>
      <c r="E147">
        <v>0</v>
      </c>
      <c r="G147">
        <v>5</v>
      </c>
      <c r="H147">
        <v>4</v>
      </c>
      <c r="I147">
        <v>7</v>
      </c>
      <c r="J147">
        <v>2</v>
      </c>
      <c r="K147">
        <v>9</v>
      </c>
    </row>
    <row r="148" spans="1:11" x14ac:dyDescent="0.35">
      <c r="A148" t="s">
        <v>366</v>
      </c>
      <c r="B148" t="s">
        <v>539</v>
      </c>
      <c r="C148" t="s">
        <v>265</v>
      </c>
      <c r="D148" t="s">
        <v>266</v>
      </c>
      <c r="E148">
        <v>1</v>
      </c>
      <c r="G148">
        <v>1</v>
      </c>
      <c r="H148">
        <v>2</v>
      </c>
      <c r="I148">
        <v>2</v>
      </c>
      <c r="J148">
        <v>3</v>
      </c>
      <c r="K148">
        <v>7</v>
      </c>
    </row>
    <row r="149" spans="1:11" x14ac:dyDescent="0.35">
      <c r="A149" t="s">
        <v>366</v>
      </c>
      <c r="B149" t="s">
        <v>539</v>
      </c>
      <c r="C149" t="s">
        <v>272</v>
      </c>
      <c r="D149" t="s">
        <v>271</v>
      </c>
      <c r="E149">
        <v>1</v>
      </c>
      <c r="G149">
        <v>1</v>
      </c>
      <c r="H149">
        <v>2</v>
      </c>
      <c r="I149">
        <v>5</v>
      </c>
      <c r="J149">
        <v>8</v>
      </c>
      <c r="K149">
        <v>15</v>
      </c>
    </row>
    <row r="150" spans="1:11" x14ac:dyDescent="0.35">
      <c r="A150" t="s">
        <v>366</v>
      </c>
      <c r="B150" t="s">
        <v>539</v>
      </c>
      <c r="C150" t="s">
        <v>275</v>
      </c>
      <c r="D150" t="s">
        <v>276</v>
      </c>
      <c r="E150">
        <v>1</v>
      </c>
      <c r="G150">
        <v>7</v>
      </c>
      <c r="H150">
        <v>0</v>
      </c>
      <c r="I150">
        <v>6</v>
      </c>
      <c r="J150">
        <v>8</v>
      </c>
      <c r="K150">
        <v>7</v>
      </c>
    </row>
    <row r="151" spans="1:11" x14ac:dyDescent="0.35">
      <c r="A151" t="s">
        <v>366</v>
      </c>
      <c r="B151" t="s">
        <v>539</v>
      </c>
      <c r="C151" t="s">
        <v>291</v>
      </c>
      <c r="D151" t="s">
        <v>290</v>
      </c>
      <c r="E151">
        <v>1</v>
      </c>
      <c r="G151">
        <v>3</v>
      </c>
      <c r="H151">
        <v>0</v>
      </c>
      <c r="I151">
        <v>3</v>
      </c>
      <c r="J151">
        <v>4</v>
      </c>
      <c r="K151">
        <v>9</v>
      </c>
    </row>
    <row r="152" spans="1:11" x14ac:dyDescent="0.35">
      <c r="A152" t="s">
        <v>366</v>
      </c>
      <c r="B152" t="s">
        <v>539</v>
      </c>
      <c r="C152" t="s">
        <v>306</v>
      </c>
      <c r="D152" t="s">
        <v>305</v>
      </c>
      <c r="E152">
        <v>1</v>
      </c>
      <c r="G152">
        <v>3</v>
      </c>
      <c r="H152">
        <v>1</v>
      </c>
      <c r="I152">
        <v>3</v>
      </c>
      <c r="J152">
        <v>5</v>
      </c>
      <c r="K152">
        <v>3</v>
      </c>
    </row>
    <row r="153" spans="1:11" x14ac:dyDescent="0.35">
      <c r="A153" t="s">
        <v>366</v>
      </c>
      <c r="B153" t="s">
        <v>539</v>
      </c>
      <c r="C153" t="s">
        <v>242</v>
      </c>
      <c r="D153" t="s">
        <v>243</v>
      </c>
      <c r="E153">
        <v>0</v>
      </c>
      <c r="G153">
        <v>2</v>
      </c>
      <c r="H153">
        <v>1</v>
      </c>
      <c r="I153">
        <v>2</v>
      </c>
      <c r="J153">
        <v>5</v>
      </c>
      <c r="K153">
        <v>3</v>
      </c>
    </row>
    <row r="154" spans="1:11" x14ac:dyDescent="0.35">
      <c r="A154" t="s">
        <v>366</v>
      </c>
      <c r="B154" t="s">
        <v>539</v>
      </c>
      <c r="C154" t="s">
        <v>285</v>
      </c>
      <c r="D154" t="s">
        <v>286</v>
      </c>
      <c r="E154">
        <v>1</v>
      </c>
      <c r="G154">
        <v>1</v>
      </c>
      <c r="H154">
        <v>0</v>
      </c>
      <c r="I154">
        <v>3</v>
      </c>
      <c r="J154">
        <v>5</v>
      </c>
      <c r="K154">
        <v>1</v>
      </c>
    </row>
    <row r="155" spans="1:11" x14ac:dyDescent="0.35">
      <c r="A155" t="s">
        <v>366</v>
      </c>
      <c r="B155" t="s">
        <v>539</v>
      </c>
      <c r="C155" t="s">
        <v>226</v>
      </c>
      <c r="D155" t="s">
        <v>227</v>
      </c>
      <c r="E155">
        <v>1</v>
      </c>
      <c r="G155">
        <v>0</v>
      </c>
      <c r="H155">
        <v>1</v>
      </c>
      <c r="I155">
        <v>4</v>
      </c>
      <c r="J155">
        <v>10</v>
      </c>
      <c r="K155">
        <v>8</v>
      </c>
    </row>
    <row r="156" spans="1:11" x14ac:dyDescent="0.35">
      <c r="A156" t="s">
        <v>366</v>
      </c>
      <c r="B156" t="s">
        <v>539</v>
      </c>
      <c r="C156" t="s">
        <v>269</v>
      </c>
      <c r="D156" t="s">
        <v>268</v>
      </c>
      <c r="E156">
        <v>1</v>
      </c>
      <c r="G156">
        <v>3</v>
      </c>
      <c r="H156">
        <v>4</v>
      </c>
      <c r="I156">
        <v>2</v>
      </c>
      <c r="J156">
        <v>5</v>
      </c>
      <c r="K156">
        <v>11</v>
      </c>
    </row>
    <row r="157" spans="1:11" x14ac:dyDescent="0.35">
      <c r="A157" t="s">
        <v>366</v>
      </c>
      <c r="B157" t="s">
        <v>541</v>
      </c>
      <c r="C157" t="s">
        <v>232</v>
      </c>
      <c r="D157" t="s">
        <v>233</v>
      </c>
      <c r="E157">
        <v>1</v>
      </c>
      <c r="G157">
        <v>3</v>
      </c>
      <c r="I157">
        <v>5</v>
      </c>
      <c r="J157">
        <v>3</v>
      </c>
      <c r="K157">
        <v>4</v>
      </c>
    </row>
    <row r="158" spans="1:11" x14ac:dyDescent="0.35">
      <c r="A158" t="s">
        <v>366</v>
      </c>
      <c r="B158" t="s">
        <v>541</v>
      </c>
      <c r="C158" t="s">
        <v>238</v>
      </c>
      <c r="D158" t="s">
        <v>239</v>
      </c>
      <c r="E158">
        <v>1</v>
      </c>
      <c r="G158">
        <v>2</v>
      </c>
      <c r="I158">
        <v>2</v>
      </c>
      <c r="J158">
        <v>3</v>
      </c>
      <c r="K158">
        <v>17</v>
      </c>
    </row>
    <row r="159" spans="1:11" x14ac:dyDescent="0.35">
      <c r="A159" t="s">
        <v>366</v>
      </c>
      <c r="B159" t="s">
        <v>541</v>
      </c>
      <c r="C159" t="s">
        <v>218</v>
      </c>
      <c r="D159" t="s">
        <v>219</v>
      </c>
      <c r="E159">
        <v>1</v>
      </c>
      <c r="G159">
        <v>8</v>
      </c>
      <c r="I159">
        <v>2</v>
      </c>
      <c r="J159">
        <v>8</v>
      </c>
      <c r="K159">
        <v>25</v>
      </c>
    </row>
    <row r="160" spans="1:11" x14ac:dyDescent="0.35">
      <c r="A160" t="s">
        <v>366</v>
      </c>
      <c r="B160" t="s">
        <v>543</v>
      </c>
      <c r="C160" t="s">
        <v>548</v>
      </c>
      <c r="D160" t="s">
        <v>544</v>
      </c>
      <c r="E160">
        <v>18</v>
      </c>
      <c r="F160">
        <v>4</v>
      </c>
      <c r="G160">
        <v>26</v>
      </c>
      <c r="H160">
        <v>16</v>
      </c>
      <c r="I160">
        <v>19</v>
      </c>
      <c r="J160">
        <v>19</v>
      </c>
      <c r="K160">
        <v>93</v>
      </c>
    </row>
    <row r="161" spans="1:11" x14ac:dyDescent="0.35">
      <c r="A161" t="s">
        <v>341</v>
      </c>
      <c r="B161" t="s">
        <v>536</v>
      </c>
      <c r="C161" t="s">
        <v>240</v>
      </c>
      <c r="D161" t="s">
        <v>241</v>
      </c>
      <c r="G161">
        <v>4</v>
      </c>
      <c r="H161">
        <v>14</v>
      </c>
      <c r="K161">
        <v>4</v>
      </c>
    </row>
    <row r="162" spans="1:11" x14ac:dyDescent="0.35">
      <c r="A162" t="s">
        <v>341</v>
      </c>
      <c r="B162" t="s">
        <v>536</v>
      </c>
      <c r="C162" t="s">
        <v>244</v>
      </c>
      <c r="D162" t="s">
        <v>245</v>
      </c>
      <c r="G162">
        <v>11</v>
      </c>
      <c r="H162">
        <v>48</v>
      </c>
      <c r="K162">
        <v>4</v>
      </c>
    </row>
    <row r="163" spans="1:11" x14ac:dyDescent="0.35">
      <c r="A163" t="s">
        <v>341</v>
      </c>
      <c r="B163" t="s">
        <v>536</v>
      </c>
      <c r="C163" t="s">
        <v>249</v>
      </c>
      <c r="D163" t="s">
        <v>250</v>
      </c>
      <c r="G163">
        <v>9</v>
      </c>
      <c r="H163">
        <v>32</v>
      </c>
      <c r="K163">
        <v>5</v>
      </c>
    </row>
    <row r="164" spans="1:11" x14ac:dyDescent="0.35">
      <c r="A164" t="s">
        <v>341</v>
      </c>
      <c r="B164" t="s">
        <v>536</v>
      </c>
      <c r="C164" t="s">
        <v>255</v>
      </c>
      <c r="D164" t="s">
        <v>256</v>
      </c>
      <c r="G164">
        <v>4</v>
      </c>
      <c r="H164">
        <v>19</v>
      </c>
      <c r="K164">
        <v>4</v>
      </c>
    </row>
    <row r="165" spans="1:11" x14ac:dyDescent="0.35">
      <c r="A165" t="s">
        <v>341</v>
      </c>
      <c r="B165" t="s">
        <v>536</v>
      </c>
      <c r="C165" t="s">
        <v>259</v>
      </c>
      <c r="D165" t="s">
        <v>260</v>
      </c>
      <c r="G165">
        <v>10</v>
      </c>
      <c r="H165">
        <v>30</v>
      </c>
      <c r="K165">
        <v>10</v>
      </c>
    </row>
    <row r="166" spans="1:11" x14ac:dyDescent="0.35">
      <c r="A166" t="s">
        <v>341</v>
      </c>
      <c r="B166" t="s">
        <v>536</v>
      </c>
      <c r="C166" t="s">
        <v>283</v>
      </c>
      <c r="D166" t="s">
        <v>284</v>
      </c>
      <c r="G166">
        <v>0</v>
      </c>
      <c r="H166">
        <v>0</v>
      </c>
      <c r="K166">
        <v>0</v>
      </c>
    </row>
    <row r="167" spans="1:11" x14ac:dyDescent="0.35">
      <c r="A167" t="s">
        <v>341</v>
      </c>
      <c r="B167" t="s">
        <v>536</v>
      </c>
      <c r="C167" t="s">
        <v>263</v>
      </c>
      <c r="D167" t="s">
        <v>264</v>
      </c>
      <c r="G167">
        <v>16</v>
      </c>
      <c r="H167">
        <v>57</v>
      </c>
      <c r="K167">
        <v>13</v>
      </c>
    </row>
    <row r="168" spans="1:11" x14ac:dyDescent="0.35">
      <c r="A168" t="s">
        <v>341</v>
      </c>
      <c r="B168" t="s">
        <v>536</v>
      </c>
      <c r="C168" t="s">
        <v>273</v>
      </c>
      <c r="D168" t="s">
        <v>274</v>
      </c>
      <c r="G168">
        <v>11</v>
      </c>
      <c r="H168">
        <v>52</v>
      </c>
      <c r="K168">
        <v>4</v>
      </c>
    </row>
    <row r="169" spans="1:11" x14ac:dyDescent="0.35">
      <c r="A169" t="s">
        <v>341</v>
      </c>
      <c r="B169" t="s">
        <v>536</v>
      </c>
      <c r="C169" t="s">
        <v>277</v>
      </c>
      <c r="D169" t="s">
        <v>278</v>
      </c>
      <c r="G169">
        <v>13</v>
      </c>
      <c r="H169">
        <v>43</v>
      </c>
      <c r="J169">
        <v>1</v>
      </c>
      <c r="K169">
        <v>11</v>
      </c>
    </row>
    <row r="170" spans="1:11" x14ac:dyDescent="0.35">
      <c r="A170" t="s">
        <v>341</v>
      </c>
      <c r="B170" t="s">
        <v>536</v>
      </c>
      <c r="C170" t="s">
        <v>279</v>
      </c>
      <c r="D170" t="s">
        <v>280</v>
      </c>
      <c r="G170">
        <v>4</v>
      </c>
      <c r="H170">
        <v>14</v>
      </c>
      <c r="K170">
        <v>4</v>
      </c>
    </row>
    <row r="171" spans="1:11" x14ac:dyDescent="0.35">
      <c r="A171" t="s">
        <v>341</v>
      </c>
      <c r="B171" t="s">
        <v>536</v>
      </c>
      <c r="C171" t="s">
        <v>281</v>
      </c>
      <c r="D171" t="s">
        <v>282</v>
      </c>
      <c r="G171">
        <v>4</v>
      </c>
      <c r="H171">
        <v>19</v>
      </c>
      <c r="K171">
        <v>4</v>
      </c>
    </row>
    <row r="172" spans="1:11" x14ac:dyDescent="0.35">
      <c r="A172" t="s">
        <v>341</v>
      </c>
      <c r="B172" t="s">
        <v>536</v>
      </c>
      <c r="C172" t="s">
        <v>287</v>
      </c>
      <c r="D172" t="s">
        <v>288</v>
      </c>
      <c r="G172">
        <v>17</v>
      </c>
      <c r="H172">
        <v>46</v>
      </c>
      <c r="K172">
        <v>15</v>
      </c>
    </row>
    <row r="173" spans="1:11" x14ac:dyDescent="0.35">
      <c r="A173" t="s">
        <v>341</v>
      </c>
      <c r="B173" t="s">
        <v>536</v>
      </c>
      <c r="C173" t="s">
        <v>292</v>
      </c>
      <c r="D173" t="s">
        <v>293</v>
      </c>
      <c r="G173">
        <v>0</v>
      </c>
      <c r="H173">
        <v>0</v>
      </c>
      <c r="K173">
        <v>0</v>
      </c>
    </row>
    <row r="174" spans="1:11" x14ac:dyDescent="0.35">
      <c r="A174" t="s">
        <v>341</v>
      </c>
      <c r="B174" t="s">
        <v>536</v>
      </c>
      <c r="C174" t="s">
        <v>294</v>
      </c>
      <c r="D174" t="s">
        <v>295</v>
      </c>
      <c r="G174">
        <v>12</v>
      </c>
      <c r="H174">
        <v>52</v>
      </c>
      <c r="K174">
        <v>4</v>
      </c>
    </row>
    <row r="175" spans="1:11" x14ac:dyDescent="0.35">
      <c r="A175" t="s">
        <v>341</v>
      </c>
      <c r="B175" t="s">
        <v>536</v>
      </c>
      <c r="C175" t="s">
        <v>298</v>
      </c>
      <c r="D175" t="s">
        <v>299</v>
      </c>
      <c r="G175">
        <v>8</v>
      </c>
      <c r="H175">
        <v>40</v>
      </c>
      <c r="K175">
        <v>8</v>
      </c>
    </row>
    <row r="176" spans="1:11" x14ac:dyDescent="0.35">
      <c r="A176" t="s">
        <v>341</v>
      </c>
      <c r="B176" t="s">
        <v>536</v>
      </c>
      <c r="C176" t="s">
        <v>300</v>
      </c>
      <c r="D176" t="s">
        <v>301</v>
      </c>
      <c r="G176">
        <v>0</v>
      </c>
      <c r="H176">
        <v>0</v>
      </c>
      <c r="K176">
        <v>0</v>
      </c>
    </row>
    <row r="177" spans="1:11" x14ac:dyDescent="0.35">
      <c r="A177" t="s">
        <v>341</v>
      </c>
      <c r="B177" t="s">
        <v>536</v>
      </c>
      <c r="C177" t="s">
        <v>302</v>
      </c>
      <c r="D177" t="s">
        <v>303</v>
      </c>
      <c r="G177">
        <v>10</v>
      </c>
      <c r="H177">
        <v>39</v>
      </c>
      <c r="K177">
        <v>5</v>
      </c>
    </row>
    <row r="178" spans="1:11" x14ac:dyDescent="0.35">
      <c r="A178" t="s">
        <v>341</v>
      </c>
      <c r="B178" t="s">
        <v>536</v>
      </c>
      <c r="C178" t="s">
        <v>304</v>
      </c>
      <c r="D178" t="s">
        <v>305</v>
      </c>
      <c r="G178">
        <v>34</v>
      </c>
      <c r="H178">
        <v>117</v>
      </c>
      <c r="K178">
        <v>20</v>
      </c>
    </row>
    <row r="179" spans="1:11" x14ac:dyDescent="0.35">
      <c r="A179" t="s">
        <v>341</v>
      </c>
      <c r="B179" t="s">
        <v>536</v>
      </c>
      <c r="C179" t="s">
        <v>307</v>
      </c>
      <c r="D179" t="s">
        <v>308</v>
      </c>
      <c r="G179">
        <v>9</v>
      </c>
      <c r="H179">
        <v>40</v>
      </c>
      <c r="K179">
        <v>4</v>
      </c>
    </row>
    <row r="180" spans="1:11" x14ac:dyDescent="0.35">
      <c r="A180" t="s">
        <v>341</v>
      </c>
      <c r="B180" t="s">
        <v>536</v>
      </c>
      <c r="C180" t="s">
        <v>215</v>
      </c>
      <c r="D180" t="s">
        <v>216</v>
      </c>
      <c r="G180">
        <v>26</v>
      </c>
      <c r="H180">
        <v>113</v>
      </c>
      <c r="K180">
        <v>16</v>
      </c>
    </row>
    <row r="181" spans="1:11" x14ac:dyDescent="0.35">
      <c r="A181" t="s">
        <v>341</v>
      </c>
      <c r="B181" t="s">
        <v>536</v>
      </c>
      <c r="C181" t="s">
        <v>220</v>
      </c>
      <c r="D181" t="s">
        <v>221</v>
      </c>
      <c r="G181">
        <v>4</v>
      </c>
      <c r="H181">
        <v>17</v>
      </c>
      <c r="K181">
        <v>4</v>
      </c>
    </row>
    <row r="182" spans="1:11" x14ac:dyDescent="0.35">
      <c r="A182" t="s">
        <v>341</v>
      </c>
      <c r="B182" t="s">
        <v>536</v>
      </c>
      <c r="C182" t="s">
        <v>228</v>
      </c>
      <c r="D182" t="s">
        <v>229</v>
      </c>
      <c r="G182">
        <v>9</v>
      </c>
      <c r="H182">
        <v>24</v>
      </c>
      <c r="K182">
        <v>10</v>
      </c>
    </row>
    <row r="183" spans="1:11" x14ac:dyDescent="0.35">
      <c r="A183" t="s">
        <v>341</v>
      </c>
      <c r="B183" t="s">
        <v>536</v>
      </c>
      <c r="C183" t="s">
        <v>234</v>
      </c>
      <c r="D183" t="s">
        <v>235</v>
      </c>
      <c r="G183">
        <v>60</v>
      </c>
      <c r="H183">
        <v>227</v>
      </c>
      <c r="K183">
        <v>26</v>
      </c>
    </row>
    <row r="184" spans="1:11" x14ac:dyDescent="0.35">
      <c r="A184" t="s">
        <v>341</v>
      </c>
      <c r="B184" t="s">
        <v>536</v>
      </c>
      <c r="C184" t="s">
        <v>296</v>
      </c>
      <c r="D184" t="s">
        <v>297</v>
      </c>
      <c r="G184">
        <v>21</v>
      </c>
      <c r="H184">
        <v>60</v>
      </c>
      <c r="K184">
        <v>16</v>
      </c>
    </row>
    <row r="185" spans="1:11" x14ac:dyDescent="0.35">
      <c r="A185" t="s">
        <v>341</v>
      </c>
      <c r="B185" t="s">
        <v>536</v>
      </c>
      <c r="C185" t="s">
        <v>309</v>
      </c>
      <c r="D185" t="s">
        <v>310</v>
      </c>
      <c r="G185">
        <v>15</v>
      </c>
      <c r="H185">
        <v>44</v>
      </c>
      <c r="K185">
        <v>10</v>
      </c>
    </row>
    <row r="186" spans="1:11" x14ac:dyDescent="0.35">
      <c r="A186" t="s">
        <v>341</v>
      </c>
      <c r="B186" t="s">
        <v>536</v>
      </c>
      <c r="C186" t="s">
        <v>311</v>
      </c>
      <c r="D186" t="s">
        <v>312</v>
      </c>
      <c r="G186">
        <v>10</v>
      </c>
      <c r="H186">
        <v>42</v>
      </c>
      <c r="K186">
        <v>8</v>
      </c>
    </row>
    <row r="187" spans="1:11" x14ac:dyDescent="0.35">
      <c r="A187" t="s">
        <v>341</v>
      </c>
      <c r="B187" t="s">
        <v>536</v>
      </c>
      <c r="C187" t="s">
        <v>224</v>
      </c>
      <c r="D187" t="s">
        <v>225</v>
      </c>
      <c r="G187">
        <v>4</v>
      </c>
      <c r="H187">
        <v>18</v>
      </c>
      <c r="K187">
        <v>3</v>
      </c>
    </row>
    <row r="188" spans="1:11" x14ac:dyDescent="0.35">
      <c r="A188" t="s">
        <v>341</v>
      </c>
      <c r="B188" t="s">
        <v>536</v>
      </c>
      <c r="C188" t="s">
        <v>247</v>
      </c>
      <c r="D188" t="s">
        <v>248</v>
      </c>
      <c r="G188">
        <v>30</v>
      </c>
      <c r="H188">
        <v>144</v>
      </c>
      <c r="K188">
        <v>18</v>
      </c>
    </row>
    <row r="189" spans="1:11" x14ac:dyDescent="0.35">
      <c r="A189" t="s">
        <v>341</v>
      </c>
      <c r="B189" t="s">
        <v>536</v>
      </c>
      <c r="C189" t="s">
        <v>289</v>
      </c>
      <c r="D189" t="s">
        <v>290</v>
      </c>
      <c r="G189">
        <v>30</v>
      </c>
      <c r="H189">
        <v>123</v>
      </c>
      <c r="K189">
        <v>20</v>
      </c>
    </row>
    <row r="190" spans="1:11" x14ac:dyDescent="0.35">
      <c r="A190" t="s">
        <v>341</v>
      </c>
      <c r="B190" t="s">
        <v>536</v>
      </c>
      <c r="C190" t="s">
        <v>253</v>
      </c>
      <c r="D190" t="s">
        <v>254</v>
      </c>
      <c r="G190">
        <v>14</v>
      </c>
      <c r="H190">
        <v>39</v>
      </c>
      <c r="K190">
        <v>15</v>
      </c>
    </row>
    <row r="191" spans="1:11" x14ac:dyDescent="0.35">
      <c r="A191" t="s">
        <v>341</v>
      </c>
      <c r="B191" t="s">
        <v>536</v>
      </c>
      <c r="C191" t="s">
        <v>270</v>
      </c>
      <c r="D191" t="s">
        <v>271</v>
      </c>
      <c r="G191">
        <v>105</v>
      </c>
      <c r="H191">
        <v>313</v>
      </c>
      <c r="K191">
        <v>57</v>
      </c>
    </row>
    <row r="192" spans="1:11" x14ac:dyDescent="0.35">
      <c r="A192" t="s">
        <v>341</v>
      </c>
      <c r="B192" t="s">
        <v>536</v>
      </c>
      <c r="C192" t="s">
        <v>267</v>
      </c>
      <c r="D192" t="s">
        <v>268</v>
      </c>
      <c r="G192">
        <v>48</v>
      </c>
      <c r="H192">
        <v>201</v>
      </c>
      <c r="K192">
        <v>21</v>
      </c>
    </row>
    <row r="193" spans="1:11" x14ac:dyDescent="0.35">
      <c r="A193" t="s">
        <v>341</v>
      </c>
      <c r="B193" t="s">
        <v>539</v>
      </c>
      <c r="C193" t="s">
        <v>217</v>
      </c>
      <c r="D193" t="s">
        <v>216</v>
      </c>
      <c r="E193">
        <v>1</v>
      </c>
      <c r="G193">
        <v>2</v>
      </c>
      <c r="H193">
        <v>2</v>
      </c>
      <c r="I193">
        <v>1</v>
      </c>
      <c r="J193">
        <v>3</v>
      </c>
      <c r="K193">
        <v>5</v>
      </c>
    </row>
    <row r="194" spans="1:11" x14ac:dyDescent="0.35">
      <c r="A194" t="s">
        <v>341</v>
      </c>
      <c r="B194" t="s">
        <v>539</v>
      </c>
      <c r="C194" t="s">
        <v>222</v>
      </c>
      <c r="D194" t="s">
        <v>223</v>
      </c>
      <c r="E194">
        <v>1</v>
      </c>
      <c r="G194">
        <v>5</v>
      </c>
      <c r="H194">
        <v>0</v>
      </c>
      <c r="I194">
        <v>2</v>
      </c>
      <c r="J194">
        <v>8</v>
      </c>
      <c r="K194">
        <v>9</v>
      </c>
    </row>
    <row r="195" spans="1:11" x14ac:dyDescent="0.35">
      <c r="A195" t="s">
        <v>341</v>
      </c>
      <c r="B195" t="s">
        <v>539</v>
      </c>
      <c r="C195" t="s">
        <v>230</v>
      </c>
      <c r="D195" t="s">
        <v>231</v>
      </c>
      <c r="E195">
        <v>1</v>
      </c>
      <c r="G195">
        <v>4</v>
      </c>
      <c r="H195">
        <v>2</v>
      </c>
      <c r="I195">
        <v>3</v>
      </c>
      <c r="J195">
        <v>9</v>
      </c>
      <c r="K195">
        <v>7</v>
      </c>
    </row>
    <row r="196" spans="1:11" x14ac:dyDescent="0.35">
      <c r="A196" t="s">
        <v>341</v>
      </c>
      <c r="B196" t="s">
        <v>539</v>
      </c>
      <c r="C196" t="s">
        <v>246</v>
      </c>
      <c r="D196" t="s">
        <v>245</v>
      </c>
      <c r="E196">
        <v>1</v>
      </c>
      <c r="G196">
        <v>3</v>
      </c>
      <c r="H196">
        <v>1</v>
      </c>
      <c r="I196">
        <v>2</v>
      </c>
      <c r="J196">
        <v>6</v>
      </c>
      <c r="K196">
        <v>9</v>
      </c>
    </row>
    <row r="197" spans="1:11" x14ac:dyDescent="0.35">
      <c r="A197" t="s">
        <v>341</v>
      </c>
      <c r="B197" t="s">
        <v>539</v>
      </c>
      <c r="C197" t="s">
        <v>251</v>
      </c>
      <c r="D197" t="s">
        <v>252</v>
      </c>
      <c r="E197">
        <v>1</v>
      </c>
      <c r="G197">
        <v>5</v>
      </c>
      <c r="H197">
        <v>2</v>
      </c>
      <c r="I197">
        <v>4</v>
      </c>
      <c r="J197">
        <v>9</v>
      </c>
      <c r="K197">
        <v>9</v>
      </c>
    </row>
    <row r="198" spans="1:11" x14ac:dyDescent="0.35">
      <c r="A198" t="s">
        <v>341</v>
      </c>
      <c r="B198" t="s">
        <v>539</v>
      </c>
      <c r="C198" t="s">
        <v>257</v>
      </c>
      <c r="D198" t="s">
        <v>258</v>
      </c>
      <c r="E198">
        <v>1</v>
      </c>
      <c r="G198">
        <v>5</v>
      </c>
      <c r="H198">
        <v>5</v>
      </c>
      <c r="I198">
        <v>4</v>
      </c>
      <c r="J198">
        <v>8</v>
      </c>
      <c r="K198">
        <v>8</v>
      </c>
    </row>
    <row r="199" spans="1:11" x14ac:dyDescent="0.35">
      <c r="A199" t="s">
        <v>341</v>
      </c>
      <c r="B199" t="s">
        <v>539</v>
      </c>
      <c r="C199" t="s">
        <v>261</v>
      </c>
      <c r="D199" t="s">
        <v>262</v>
      </c>
      <c r="E199">
        <v>1</v>
      </c>
      <c r="G199">
        <v>2</v>
      </c>
      <c r="H199">
        <v>1</v>
      </c>
      <c r="I199">
        <v>3</v>
      </c>
      <c r="J199">
        <v>4</v>
      </c>
      <c r="K199">
        <v>7</v>
      </c>
    </row>
    <row r="200" spans="1:11" x14ac:dyDescent="0.35">
      <c r="A200" t="s">
        <v>341</v>
      </c>
      <c r="B200" t="s">
        <v>539</v>
      </c>
      <c r="C200" t="s">
        <v>236</v>
      </c>
      <c r="D200" t="s">
        <v>237</v>
      </c>
      <c r="E200">
        <v>1</v>
      </c>
      <c r="G200">
        <v>2</v>
      </c>
      <c r="H200">
        <v>4</v>
      </c>
      <c r="I200">
        <v>3</v>
      </c>
      <c r="J200">
        <v>6</v>
      </c>
      <c r="K200">
        <v>11</v>
      </c>
    </row>
    <row r="201" spans="1:11" x14ac:dyDescent="0.35">
      <c r="A201" t="s">
        <v>341</v>
      </c>
      <c r="B201" t="s">
        <v>539</v>
      </c>
      <c r="C201" t="s">
        <v>265</v>
      </c>
      <c r="D201" t="s">
        <v>266</v>
      </c>
      <c r="E201">
        <v>1</v>
      </c>
      <c r="G201">
        <v>3</v>
      </c>
      <c r="H201">
        <v>2</v>
      </c>
      <c r="I201">
        <v>2</v>
      </c>
      <c r="J201">
        <v>6</v>
      </c>
      <c r="K201">
        <v>7</v>
      </c>
    </row>
    <row r="202" spans="1:11" x14ac:dyDescent="0.35">
      <c r="A202" t="s">
        <v>341</v>
      </c>
      <c r="B202" t="s">
        <v>539</v>
      </c>
      <c r="C202" t="s">
        <v>272</v>
      </c>
      <c r="D202" t="s">
        <v>271</v>
      </c>
      <c r="E202">
        <v>1</v>
      </c>
      <c r="G202">
        <v>3</v>
      </c>
      <c r="H202">
        <v>2</v>
      </c>
      <c r="I202">
        <v>4</v>
      </c>
      <c r="J202">
        <v>9</v>
      </c>
      <c r="K202">
        <v>6</v>
      </c>
    </row>
    <row r="203" spans="1:11" x14ac:dyDescent="0.35">
      <c r="A203" t="s">
        <v>341</v>
      </c>
      <c r="B203" t="s">
        <v>539</v>
      </c>
      <c r="C203" t="s">
        <v>275</v>
      </c>
      <c r="D203" t="s">
        <v>276</v>
      </c>
      <c r="E203">
        <v>1</v>
      </c>
      <c r="G203">
        <v>10</v>
      </c>
      <c r="H203">
        <v>1</v>
      </c>
      <c r="I203">
        <v>4</v>
      </c>
      <c r="J203">
        <v>13</v>
      </c>
      <c r="K203">
        <v>8</v>
      </c>
    </row>
    <row r="204" spans="1:11" x14ac:dyDescent="0.35">
      <c r="A204" t="s">
        <v>341</v>
      </c>
      <c r="B204" t="s">
        <v>539</v>
      </c>
      <c r="C204" t="s">
        <v>291</v>
      </c>
      <c r="D204" t="s">
        <v>290</v>
      </c>
      <c r="E204">
        <v>1</v>
      </c>
      <c r="G204">
        <v>1</v>
      </c>
      <c r="H204">
        <v>1</v>
      </c>
      <c r="I204">
        <v>2</v>
      </c>
      <c r="J204">
        <v>5</v>
      </c>
      <c r="K204">
        <v>5</v>
      </c>
    </row>
    <row r="205" spans="1:11" x14ac:dyDescent="0.35">
      <c r="A205" t="s">
        <v>341</v>
      </c>
      <c r="B205" t="s">
        <v>539</v>
      </c>
      <c r="C205" t="s">
        <v>306</v>
      </c>
      <c r="D205" t="s">
        <v>305</v>
      </c>
      <c r="E205">
        <v>1</v>
      </c>
      <c r="G205">
        <v>2</v>
      </c>
      <c r="H205">
        <v>1</v>
      </c>
      <c r="I205">
        <v>2</v>
      </c>
      <c r="J205">
        <v>5</v>
      </c>
      <c r="K205">
        <v>4</v>
      </c>
    </row>
    <row r="206" spans="1:11" x14ac:dyDescent="0.35">
      <c r="A206" t="s">
        <v>341</v>
      </c>
      <c r="B206" t="s">
        <v>539</v>
      </c>
      <c r="C206" t="s">
        <v>242</v>
      </c>
      <c r="D206" t="s">
        <v>243</v>
      </c>
      <c r="E206">
        <v>0</v>
      </c>
      <c r="G206">
        <v>3</v>
      </c>
      <c r="H206">
        <v>1</v>
      </c>
      <c r="I206">
        <v>2</v>
      </c>
      <c r="J206">
        <v>4</v>
      </c>
      <c r="K206">
        <v>5</v>
      </c>
    </row>
    <row r="207" spans="1:11" x14ac:dyDescent="0.35">
      <c r="A207" t="s">
        <v>341</v>
      </c>
      <c r="B207" t="s">
        <v>539</v>
      </c>
      <c r="C207" t="s">
        <v>285</v>
      </c>
      <c r="D207" t="s">
        <v>286</v>
      </c>
      <c r="E207">
        <v>1</v>
      </c>
      <c r="G207">
        <v>6</v>
      </c>
      <c r="H207">
        <v>0</v>
      </c>
      <c r="I207">
        <v>3</v>
      </c>
      <c r="J207">
        <v>5</v>
      </c>
      <c r="K207">
        <v>1</v>
      </c>
    </row>
    <row r="208" spans="1:11" x14ac:dyDescent="0.35">
      <c r="A208" t="s">
        <v>341</v>
      </c>
      <c r="B208" t="s">
        <v>539</v>
      </c>
      <c r="C208" t="s">
        <v>226</v>
      </c>
      <c r="D208" t="s">
        <v>227</v>
      </c>
      <c r="E208">
        <v>1</v>
      </c>
      <c r="G208">
        <v>2</v>
      </c>
      <c r="H208">
        <v>2</v>
      </c>
      <c r="I208">
        <v>4</v>
      </c>
      <c r="J208">
        <v>9</v>
      </c>
      <c r="K208">
        <v>10</v>
      </c>
    </row>
    <row r="209" spans="1:11" x14ac:dyDescent="0.35">
      <c r="A209" t="s">
        <v>341</v>
      </c>
      <c r="B209" t="s">
        <v>539</v>
      </c>
      <c r="C209" t="s">
        <v>269</v>
      </c>
      <c r="D209" t="s">
        <v>268</v>
      </c>
      <c r="E209">
        <v>1</v>
      </c>
      <c r="G209">
        <v>3</v>
      </c>
      <c r="H209">
        <v>3</v>
      </c>
      <c r="I209">
        <v>2</v>
      </c>
      <c r="J209">
        <v>7</v>
      </c>
      <c r="K209">
        <v>8</v>
      </c>
    </row>
    <row r="210" spans="1:11" x14ac:dyDescent="0.35">
      <c r="A210" t="s">
        <v>341</v>
      </c>
      <c r="B210" t="s">
        <v>541</v>
      </c>
      <c r="C210" t="s">
        <v>232</v>
      </c>
      <c r="D210" t="s">
        <v>233</v>
      </c>
      <c r="E210">
        <v>1</v>
      </c>
      <c r="G210">
        <v>10</v>
      </c>
      <c r="H210">
        <v>1</v>
      </c>
      <c r="I210">
        <v>3</v>
      </c>
      <c r="J210">
        <v>11</v>
      </c>
      <c r="K210">
        <v>42</v>
      </c>
    </row>
    <row r="211" spans="1:11" x14ac:dyDescent="0.35">
      <c r="A211" t="s">
        <v>341</v>
      </c>
      <c r="B211" t="s">
        <v>541</v>
      </c>
      <c r="C211" t="s">
        <v>238</v>
      </c>
      <c r="D211" t="s">
        <v>239</v>
      </c>
      <c r="E211">
        <v>1</v>
      </c>
      <c r="G211">
        <v>6</v>
      </c>
      <c r="H211">
        <v>1</v>
      </c>
      <c r="I211">
        <v>5</v>
      </c>
      <c r="J211">
        <v>5</v>
      </c>
      <c r="K211">
        <v>20</v>
      </c>
    </row>
    <row r="212" spans="1:11" x14ac:dyDescent="0.35">
      <c r="A212" t="s">
        <v>341</v>
      </c>
      <c r="B212" t="s">
        <v>541</v>
      </c>
      <c r="C212" t="s">
        <v>218</v>
      </c>
      <c r="D212" t="s">
        <v>219</v>
      </c>
      <c r="E212">
        <v>1</v>
      </c>
      <c r="G212">
        <v>6</v>
      </c>
      <c r="H212">
        <v>1</v>
      </c>
      <c r="I212">
        <v>4</v>
      </c>
      <c r="J212">
        <v>9</v>
      </c>
      <c r="K212">
        <v>24</v>
      </c>
    </row>
    <row r="213" spans="1:11" x14ac:dyDescent="0.35">
      <c r="A213" t="s">
        <v>341</v>
      </c>
      <c r="B213" t="s">
        <v>543</v>
      </c>
      <c r="C213" t="s">
        <v>548</v>
      </c>
      <c r="D213" t="s">
        <v>544</v>
      </c>
      <c r="E213">
        <v>15</v>
      </c>
      <c r="F213">
        <v>4</v>
      </c>
      <c r="G213">
        <v>0</v>
      </c>
      <c r="H213">
        <v>101</v>
      </c>
      <c r="I213">
        <v>11</v>
      </c>
      <c r="J213">
        <v>9</v>
      </c>
      <c r="K213">
        <v>42</v>
      </c>
    </row>
    <row r="214" spans="1:11" x14ac:dyDescent="0.35">
      <c r="A214" t="s">
        <v>342</v>
      </c>
      <c r="B214" t="s">
        <v>536</v>
      </c>
      <c r="C214" t="s">
        <v>240</v>
      </c>
      <c r="D214" t="s">
        <v>241</v>
      </c>
      <c r="G214">
        <v>5</v>
      </c>
      <c r="H214">
        <v>15</v>
      </c>
      <c r="K214">
        <v>5</v>
      </c>
    </row>
    <row r="215" spans="1:11" x14ac:dyDescent="0.35">
      <c r="A215" t="s">
        <v>342</v>
      </c>
      <c r="B215" t="s">
        <v>536</v>
      </c>
      <c r="C215" t="s">
        <v>244</v>
      </c>
      <c r="D215" t="s">
        <v>245</v>
      </c>
      <c r="G215">
        <v>11</v>
      </c>
      <c r="H215">
        <v>38</v>
      </c>
      <c r="K215">
        <v>5</v>
      </c>
    </row>
    <row r="216" spans="1:11" x14ac:dyDescent="0.35">
      <c r="A216" t="s">
        <v>342</v>
      </c>
      <c r="B216" t="s">
        <v>536</v>
      </c>
      <c r="C216" t="s">
        <v>249</v>
      </c>
      <c r="D216" t="s">
        <v>250</v>
      </c>
      <c r="G216">
        <v>10</v>
      </c>
      <c r="H216">
        <v>34</v>
      </c>
      <c r="K216">
        <v>5</v>
      </c>
    </row>
    <row r="217" spans="1:11" x14ac:dyDescent="0.35">
      <c r="A217" t="s">
        <v>342</v>
      </c>
      <c r="B217" t="s">
        <v>536</v>
      </c>
      <c r="C217" t="s">
        <v>255</v>
      </c>
      <c r="D217" t="s">
        <v>256</v>
      </c>
      <c r="G217">
        <v>5</v>
      </c>
      <c r="H217">
        <v>13</v>
      </c>
      <c r="K217">
        <v>5</v>
      </c>
    </row>
    <row r="218" spans="1:11" x14ac:dyDescent="0.35">
      <c r="A218" t="s">
        <v>342</v>
      </c>
      <c r="B218" t="s">
        <v>536</v>
      </c>
      <c r="C218" t="s">
        <v>259</v>
      </c>
      <c r="D218" t="s">
        <v>260</v>
      </c>
      <c r="G218">
        <v>10</v>
      </c>
      <c r="H218">
        <v>30</v>
      </c>
      <c r="K218">
        <v>11</v>
      </c>
    </row>
    <row r="219" spans="1:11" x14ac:dyDescent="0.35">
      <c r="A219" t="s">
        <v>342</v>
      </c>
      <c r="B219" t="s">
        <v>536</v>
      </c>
      <c r="C219" t="s">
        <v>263</v>
      </c>
      <c r="D219" t="s">
        <v>264</v>
      </c>
      <c r="G219">
        <v>22</v>
      </c>
      <c r="H219">
        <v>49</v>
      </c>
      <c r="K219">
        <v>16</v>
      </c>
    </row>
    <row r="220" spans="1:11" x14ac:dyDescent="0.35">
      <c r="A220" t="s">
        <v>342</v>
      </c>
      <c r="B220" t="s">
        <v>536</v>
      </c>
      <c r="C220" t="s">
        <v>273</v>
      </c>
      <c r="D220" t="s">
        <v>274</v>
      </c>
      <c r="G220">
        <v>15</v>
      </c>
      <c r="H220">
        <v>49</v>
      </c>
      <c r="K220">
        <v>4</v>
      </c>
    </row>
    <row r="221" spans="1:11" x14ac:dyDescent="0.35">
      <c r="A221" t="s">
        <v>342</v>
      </c>
      <c r="B221" t="s">
        <v>536</v>
      </c>
      <c r="C221" t="s">
        <v>277</v>
      </c>
      <c r="D221" t="s">
        <v>278</v>
      </c>
      <c r="G221">
        <v>15</v>
      </c>
      <c r="H221">
        <v>44</v>
      </c>
      <c r="K221">
        <v>13</v>
      </c>
    </row>
    <row r="222" spans="1:11" x14ac:dyDescent="0.35">
      <c r="A222" t="s">
        <v>342</v>
      </c>
      <c r="B222" t="s">
        <v>536</v>
      </c>
      <c r="C222" t="s">
        <v>279</v>
      </c>
      <c r="D222" t="s">
        <v>280</v>
      </c>
      <c r="G222">
        <v>5</v>
      </c>
      <c r="H222">
        <v>18</v>
      </c>
      <c r="K222">
        <v>5</v>
      </c>
    </row>
    <row r="223" spans="1:11" x14ac:dyDescent="0.35">
      <c r="A223" t="s">
        <v>342</v>
      </c>
      <c r="B223" t="s">
        <v>536</v>
      </c>
      <c r="C223" t="s">
        <v>281</v>
      </c>
      <c r="D223" t="s">
        <v>282</v>
      </c>
      <c r="G223">
        <v>5</v>
      </c>
      <c r="H223">
        <v>19</v>
      </c>
      <c r="K223">
        <v>5</v>
      </c>
    </row>
    <row r="224" spans="1:11" x14ac:dyDescent="0.35">
      <c r="A224" t="s">
        <v>342</v>
      </c>
      <c r="B224" t="s">
        <v>536</v>
      </c>
      <c r="C224" t="s">
        <v>287</v>
      </c>
      <c r="D224" t="s">
        <v>288</v>
      </c>
      <c r="G224">
        <v>16</v>
      </c>
      <c r="H224">
        <v>45</v>
      </c>
      <c r="K224">
        <v>15</v>
      </c>
    </row>
    <row r="225" spans="1:11" x14ac:dyDescent="0.35">
      <c r="A225" t="s">
        <v>342</v>
      </c>
      <c r="B225" t="s">
        <v>536</v>
      </c>
      <c r="C225" t="s">
        <v>294</v>
      </c>
      <c r="D225" t="s">
        <v>295</v>
      </c>
      <c r="G225">
        <v>10</v>
      </c>
      <c r="H225">
        <v>54</v>
      </c>
      <c r="K225">
        <v>5</v>
      </c>
    </row>
    <row r="226" spans="1:11" x14ac:dyDescent="0.35">
      <c r="A226" t="s">
        <v>342</v>
      </c>
      <c r="B226" t="s">
        <v>536</v>
      </c>
      <c r="C226" t="s">
        <v>298</v>
      </c>
      <c r="D226" t="s">
        <v>299</v>
      </c>
      <c r="G226">
        <v>9</v>
      </c>
      <c r="H226">
        <v>32</v>
      </c>
      <c r="K226">
        <v>10</v>
      </c>
    </row>
    <row r="227" spans="1:11" x14ac:dyDescent="0.35">
      <c r="A227" t="s">
        <v>342</v>
      </c>
      <c r="B227" t="s">
        <v>536</v>
      </c>
      <c r="C227" t="s">
        <v>302</v>
      </c>
      <c r="D227" t="s">
        <v>303</v>
      </c>
      <c r="G227">
        <v>10</v>
      </c>
      <c r="H227">
        <v>35</v>
      </c>
      <c r="K227">
        <v>5</v>
      </c>
    </row>
    <row r="228" spans="1:11" x14ac:dyDescent="0.35">
      <c r="A228" t="s">
        <v>342</v>
      </c>
      <c r="B228" t="s">
        <v>536</v>
      </c>
      <c r="C228" t="s">
        <v>304</v>
      </c>
      <c r="D228" t="s">
        <v>305</v>
      </c>
      <c r="G228">
        <v>35</v>
      </c>
      <c r="H228">
        <v>111</v>
      </c>
      <c r="K228">
        <v>20</v>
      </c>
    </row>
    <row r="229" spans="1:11" x14ac:dyDescent="0.35">
      <c r="A229" t="s">
        <v>342</v>
      </c>
      <c r="B229" t="s">
        <v>536</v>
      </c>
      <c r="C229" t="s">
        <v>307</v>
      </c>
      <c r="D229" t="s">
        <v>308</v>
      </c>
      <c r="G229">
        <v>9</v>
      </c>
      <c r="H229">
        <v>34</v>
      </c>
      <c r="K229">
        <v>5</v>
      </c>
    </row>
    <row r="230" spans="1:11" x14ac:dyDescent="0.35">
      <c r="A230" t="s">
        <v>342</v>
      </c>
      <c r="B230" t="s">
        <v>536</v>
      </c>
      <c r="C230" t="s">
        <v>215</v>
      </c>
      <c r="D230" t="s">
        <v>216</v>
      </c>
      <c r="G230">
        <v>33</v>
      </c>
      <c r="H230">
        <v>97</v>
      </c>
      <c r="K230">
        <v>15</v>
      </c>
    </row>
    <row r="231" spans="1:11" x14ac:dyDescent="0.35">
      <c r="A231" t="s">
        <v>342</v>
      </c>
      <c r="B231" t="s">
        <v>536</v>
      </c>
      <c r="C231" t="s">
        <v>220</v>
      </c>
      <c r="D231" t="s">
        <v>221</v>
      </c>
      <c r="G231">
        <v>5</v>
      </c>
      <c r="H231">
        <v>14</v>
      </c>
      <c r="K231">
        <v>5</v>
      </c>
    </row>
    <row r="232" spans="1:11" x14ac:dyDescent="0.35">
      <c r="A232" t="s">
        <v>342</v>
      </c>
      <c r="B232" t="s">
        <v>536</v>
      </c>
      <c r="C232" t="s">
        <v>228</v>
      </c>
      <c r="D232" t="s">
        <v>229</v>
      </c>
      <c r="G232">
        <v>10</v>
      </c>
      <c r="H232">
        <v>30</v>
      </c>
      <c r="K232">
        <v>10</v>
      </c>
    </row>
    <row r="233" spans="1:11" x14ac:dyDescent="0.35">
      <c r="A233" t="s">
        <v>342</v>
      </c>
      <c r="B233" t="s">
        <v>536</v>
      </c>
      <c r="C233" t="s">
        <v>234</v>
      </c>
      <c r="D233" t="s">
        <v>235</v>
      </c>
      <c r="G233">
        <v>54</v>
      </c>
      <c r="H233">
        <v>204</v>
      </c>
      <c r="K233">
        <v>35</v>
      </c>
    </row>
    <row r="234" spans="1:11" x14ac:dyDescent="0.35">
      <c r="A234" t="s">
        <v>342</v>
      </c>
      <c r="B234" t="s">
        <v>536</v>
      </c>
      <c r="C234" t="s">
        <v>296</v>
      </c>
      <c r="D234" t="s">
        <v>297</v>
      </c>
      <c r="G234">
        <v>20</v>
      </c>
      <c r="H234">
        <v>59</v>
      </c>
      <c r="K234">
        <v>15</v>
      </c>
    </row>
    <row r="235" spans="1:11" x14ac:dyDescent="0.35">
      <c r="A235" t="s">
        <v>342</v>
      </c>
      <c r="B235" t="s">
        <v>536</v>
      </c>
      <c r="C235" t="s">
        <v>309</v>
      </c>
      <c r="D235" t="s">
        <v>310</v>
      </c>
      <c r="G235">
        <v>15</v>
      </c>
      <c r="H235">
        <v>43</v>
      </c>
      <c r="K235">
        <v>10</v>
      </c>
    </row>
    <row r="236" spans="1:11" x14ac:dyDescent="0.35">
      <c r="A236" t="s">
        <v>342</v>
      </c>
      <c r="B236" t="s">
        <v>536</v>
      </c>
      <c r="C236" t="s">
        <v>311</v>
      </c>
      <c r="D236" t="s">
        <v>312</v>
      </c>
      <c r="G236">
        <v>11</v>
      </c>
      <c r="H236">
        <v>37</v>
      </c>
      <c r="K236">
        <v>10</v>
      </c>
    </row>
    <row r="237" spans="1:11" x14ac:dyDescent="0.35">
      <c r="A237" t="s">
        <v>342</v>
      </c>
      <c r="B237" t="s">
        <v>536</v>
      </c>
      <c r="C237" t="s">
        <v>224</v>
      </c>
      <c r="D237" t="s">
        <v>225</v>
      </c>
      <c r="G237">
        <v>5</v>
      </c>
      <c r="H237">
        <v>18</v>
      </c>
      <c r="K237">
        <v>5</v>
      </c>
    </row>
    <row r="238" spans="1:11" x14ac:dyDescent="0.35">
      <c r="A238" t="s">
        <v>342</v>
      </c>
      <c r="B238" t="s">
        <v>536</v>
      </c>
      <c r="C238" t="s">
        <v>247</v>
      </c>
      <c r="D238" t="s">
        <v>248</v>
      </c>
      <c r="G238">
        <v>35</v>
      </c>
      <c r="H238">
        <v>122</v>
      </c>
      <c r="K238">
        <v>21</v>
      </c>
    </row>
    <row r="239" spans="1:11" x14ac:dyDescent="0.35">
      <c r="A239" t="s">
        <v>342</v>
      </c>
      <c r="B239" t="s">
        <v>536</v>
      </c>
      <c r="C239" t="s">
        <v>289</v>
      </c>
      <c r="D239" t="s">
        <v>290</v>
      </c>
      <c r="G239">
        <v>31</v>
      </c>
      <c r="H239">
        <v>113</v>
      </c>
      <c r="K239">
        <v>19</v>
      </c>
    </row>
    <row r="240" spans="1:11" x14ac:dyDescent="0.35">
      <c r="A240" t="s">
        <v>342</v>
      </c>
      <c r="B240" t="s">
        <v>536</v>
      </c>
      <c r="C240" t="s">
        <v>253</v>
      </c>
      <c r="D240" t="s">
        <v>254</v>
      </c>
      <c r="G240">
        <v>15</v>
      </c>
      <c r="H240">
        <v>48</v>
      </c>
      <c r="K240">
        <v>15</v>
      </c>
    </row>
    <row r="241" spans="1:11" x14ac:dyDescent="0.35">
      <c r="A241" t="s">
        <v>342</v>
      </c>
      <c r="B241" t="s">
        <v>536</v>
      </c>
      <c r="C241" t="s">
        <v>270</v>
      </c>
      <c r="D241" t="s">
        <v>271</v>
      </c>
      <c r="G241">
        <v>113</v>
      </c>
      <c r="H241">
        <v>319</v>
      </c>
      <c r="K241">
        <v>57</v>
      </c>
    </row>
    <row r="242" spans="1:11" x14ac:dyDescent="0.35">
      <c r="A242" t="s">
        <v>342</v>
      </c>
      <c r="B242" t="s">
        <v>536</v>
      </c>
      <c r="C242" t="s">
        <v>267</v>
      </c>
      <c r="D242" t="s">
        <v>268</v>
      </c>
      <c r="G242">
        <v>49</v>
      </c>
      <c r="H242">
        <v>181</v>
      </c>
      <c r="K242">
        <v>24</v>
      </c>
    </row>
    <row r="243" spans="1:11" x14ac:dyDescent="0.35">
      <c r="A243" t="s">
        <v>342</v>
      </c>
      <c r="B243" t="s">
        <v>539</v>
      </c>
      <c r="C243" t="s">
        <v>217</v>
      </c>
      <c r="D243" t="s">
        <v>216</v>
      </c>
      <c r="E243">
        <v>1</v>
      </c>
      <c r="G243">
        <v>2</v>
      </c>
      <c r="H243">
        <v>2</v>
      </c>
      <c r="I243">
        <v>2</v>
      </c>
      <c r="J243">
        <v>3</v>
      </c>
      <c r="K243">
        <v>5</v>
      </c>
    </row>
    <row r="244" spans="1:11" x14ac:dyDescent="0.35">
      <c r="A244" t="s">
        <v>342</v>
      </c>
      <c r="B244" t="s">
        <v>539</v>
      </c>
      <c r="C244" t="s">
        <v>222</v>
      </c>
      <c r="D244" t="s">
        <v>223</v>
      </c>
      <c r="E244">
        <v>1</v>
      </c>
      <c r="G244">
        <v>7</v>
      </c>
      <c r="I244">
        <v>2</v>
      </c>
      <c r="J244">
        <v>7</v>
      </c>
      <c r="K244">
        <v>8</v>
      </c>
    </row>
    <row r="245" spans="1:11" x14ac:dyDescent="0.35">
      <c r="A245" t="s">
        <v>342</v>
      </c>
      <c r="B245" t="s">
        <v>539</v>
      </c>
      <c r="C245" t="s">
        <v>230</v>
      </c>
      <c r="D245" t="s">
        <v>231</v>
      </c>
      <c r="E245">
        <v>1</v>
      </c>
      <c r="G245">
        <v>6</v>
      </c>
      <c r="H245">
        <v>1</v>
      </c>
      <c r="I245">
        <v>3</v>
      </c>
      <c r="J245">
        <v>9</v>
      </c>
      <c r="K245">
        <v>6</v>
      </c>
    </row>
    <row r="246" spans="1:11" x14ac:dyDescent="0.35">
      <c r="A246" t="s">
        <v>342</v>
      </c>
      <c r="B246" t="s">
        <v>539</v>
      </c>
      <c r="C246" t="s">
        <v>246</v>
      </c>
      <c r="D246" t="s">
        <v>245</v>
      </c>
      <c r="E246">
        <v>1</v>
      </c>
      <c r="G246">
        <v>4</v>
      </c>
      <c r="H246">
        <v>2</v>
      </c>
      <c r="I246">
        <v>2</v>
      </c>
      <c r="J246">
        <v>6</v>
      </c>
      <c r="K246">
        <v>7</v>
      </c>
    </row>
    <row r="247" spans="1:11" x14ac:dyDescent="0.35">
      <c r="A247" t="s">
        <v>342</v>
      </c>
      <c r="B247" t="s">
        <v>539</v>
      </c>
      <c r="C247" t="s">
        <v>251</v>
      </c>
      <c r="D247" t="s">
        <v>252</v>
      </c>
      <c r="E247">
        <v>1</v>
      </c>
      <c r="G247">
        <v>5</v>
      </c>
      <c r="H247">
        <v>1</v>
      </c>
      <c r="I247">
        <v>3</v>
      </c>
      <c r="J247">
        <v>9</v>
      </c>
      <c r="K247">
        <v>8</v>
      </c>
    </row>
    <row r="248" spans="1:11" x14ac:dyDescent="0.35">
      <c r="A248" t="s">
        <v>342</v>
      </c>
      <c r="B248" t="s">
        <v>539</v>
      </c>
      <c r="C248" t="s">
        <v>257</v>
      </c>
      <c r="D248" t="s">
        <v>258</v>
      </c>
      <c r="E248">
        <v>1</v>
      </c>
      <c r="G248">
        <v>3</v>
      </c>
      <c r="H248">
        <v>5</v>
      </c>
      <c r="I248">
        <v>3</v>
      </c>
      <c r="J248">
        <v>7</v>
      </c>
      <c r="K248">
        <v>8</v>
      </c>
    </row>
    <row r="249" spans="1:11" x14ac:dyDescent="0.35">
      <c r="A249" t="s">
        <v>342</v>
      </c>
      <c r="B249" t="s">
        <v>539</v>
      </c>
      <c r="C249" t="s">
        <v>261</v>
      </c>
      <c r="D249" t="s">
        <v>262</v>
      </c>
      <c r="E249">
        <v>1</v>
      </c>
      <c r="G249">
        <v>2</v>
      </c>
      <c r="H249">
        <v>2</v>
      </c>
      <c r="I249">
        <v>3</v>
      </c>
      <c r="J249">
        <v>4</v>
      </c>
      <c r="K249">
        <v>4</v>
      </c>
    </row>
    <row r="250" spans="1:11" x14ac:dyDescent="0.35">
      <c r="A250" t="s">
        <v>342</v>
      </c>
      <c r="B250" t="s">
        <v>539</v>
      </c>
      <c r="C250" t="s">
        <v>236</v>
      </c>
      <c r="D250" t="s">
        <v>237</v>
      </c>
      <c r="E250">
        <v>1</v>
      </c>
      <c r="G250">
        <v>6</v>
      </c>
      <c r="H250">
        <v>3</v>
      </c>
      <c r="I250">
        <v>3</v>
      </c>
      <c r="J250">
        <v>7</v>
      </c>
      <c r="K250">
        <v>11</v>
      </c>
    </row>
    <row r="251" spans="1:11" x14ac:dyDescent="0.35">
      <c r="A251" t="s">
        <v>342</v>
      </c>
      <c r="B251" t="s">
        <v>539</v>
      </c>
      <c r="C251" t="s">
        <v>265</v>
      </c>
      <c r="D251" t="s">
        <v>266</v>
      </c>
      <c r="E251">
        <v>1</v>
      </c>
      <c r="G251">
        <v>3</v>
      </c>
      <c r="H251">
        <v>2</v>
      </c>
      <c r="I251">
        <v>2</v>
      </c>
      <c r="J251">
        <v>5</v>
      </c>
      <c r="K251">
        <v>6</v>
      </c>
    </row>
    <row r="252" spans="1:11" x14ac:dyDescent="0.35">
      <c r="A252" t="s">
        <v>342</v>
      </c>
      <c r="B252" t="s">
        <v>539</v>
      </c>
      <c r="C252" t="s">
        <v>272</v>
      </c>
      <c r="D252" t="s">
        <v>271</v>
      </c>
      <c r="E252">
        <v>1</v>
      </c>
      <c r="G252">
        <v>2</v>
      </c>
      <c r="H252">
        <v>1</v>
      </c>
      <c r="I252">
        <v>4</v>
      </c>
      <c r="J252">
        <v>8</v>
      </c>
      <c r="K252">
        <v>6</v>
      </c>
    </row>
    <row r="253" spans="1:11" x14ac:dyDescent="0.35">
      <c r="A253" t="s">
        <v>342</v>
      </c>
      <c r="B253" t="s">
        <v>539</v>
      </c>
      <c r="C253" t="s">
        <v>275</v>
      </c>
      <c r="D253" t="s">
        <v>276</v>
      </c>
      <c r="E253">
        <v>1</v>
      </c>
      <c r="G253">
        <v>7</v>
      </c>
      <c r="H253">
        <v>1</v>
      </c>
      <c r="I253">
        <v>4</v>
      </c>
      <c r="J253">
        <v>12</v>
      </c>
      <c r="K253">
        <v>7</v>
      </c>
    </row>
    <row r="254" spans="1:11" x14ac:dyDescent="0.35">
      <c r="A254" t="s">
        <v>342</v>
      </c>
      <c r="B254" t="s">
        <v>539</v>
      </c>
      <c r="C254" t="s">
        <v>291</v>
      </c>
      <c r="D254" t="s">
        <v>290</v>
      </c>
      <c r="E254">
        <v>1</v>
      </c>
      <c r="G254">
        <v>2</v>
      </c>
      <c r="H254">
        <v>1</v>
      </c>
      <c r="I254">
        <v>2</v>
      </c>
      <c r="J254">
        <v>6</v>
      </c>
      <c r="K254">
        <v>5</v>
      </c>
    </row>
    <row r="255" spans="1:11" x14ac:dyDescent="0.35">
      <c r="A255" t="s">
        <v>342</v>
      </c>
      <c r="B255" t="s">
        <v>539</v>
      </c>
      <c r="C255" t="s">
        <v>306</v>
      </c>
      <c r="D255" t="s">
        <v>305</v>
      </c>
      <c r="E255">
        <v>1</v>
      </c>
      <c r="G255">
        <v>2</v>
      </c>
      <c r="H255">
        <v>1</v>
      </c>
      <c r="I255">
        <v>2</v>
      </c>
      <c r="J255">
        <v>6</v>
      </c>
      <c r="K255">
        <v>4</v>
      </c>
    </row>
    <row r="256" spans="1:11" x14ac:dyDescent="0.35">
      <c r="A256" t="s">
        <v>342</v>
      </c>
      <c r="B256" t="s">
        <v>539</v>
      </c>
      <c r="C256" t="s">
        <v>242</v>
      </c>
      <c r="D256" t="s">
        <v>243</v>
      </c>
      <c r="E256">
        <v>1</v>
      </c>
      <c r="G256">
        <v>3</v>
      </c>
      <c r="H256">
        <v>1</v>
      </c>
      <c r="I256">
        <v>3</v>
      </c>
      <c r="J256">
        <v>5</v>
      </c>
      <c r="K256">
        <v>5</v>
      </c>
    </row>
    <row r="257" spans="1:11" x14ac:dyDescent="0.35">
      <c r="A257" t="s">
        <v>342</v>
      </c>
      <c r="B257" t="s">
        <v>539</v>
      </c>
      <c r="C257" t="s">
        <v>285</v>
      </c>
      <c r="D257" t="s">
        <v>286</v>
      </c>
      <c r="E257">
        <v>1</v>
      </c>
      <c r="G257">
        <v>5</v>
      </c>
      <c r="I257">
        <v>2</v>
      </c>
      <c r="J257">
        <v>6</v>
      </c>
      <c r="K257">
        <v>5</v>
      </c>
    </row>
    <row r="258" spans="1:11" x14ac:dyDescent="0.35">
      <c r="A258" t="s">
        <v>342</v>
      </c>
      <c r="B258" t="s">
        <v>539</v>
      </c>
      <c r="C258" t="s">
        <v>226</v>
      </c>
      <c r="D258" t="s">
        <v>227</v>
      </c>
      <c r="E258">
        <v>1</v>
      </c>
      <c r="G258">
        <v>3</v>
      </c>
      <c r="H258">
        <v>2</v>
      </c>
      <c r="I258">
        <v>4</v>
      </c>
      <c r="J258">
        <v>9</v>
      </c>
      <c r="K258">
        <v>9</v>
      </c>
    </row>
    <row r="259" spans="1:11" x14ac:dyDescent="0.35">
      <c r="A259" t="s">
        <v>342</v>
      </c>
      <c r="B259" t="s">
        <v>539</v>
      </c>
      <c r="C259" t="s">
        <v>269</v>
      </c>
      <c r="D259" t="s">
        <v>268</v>
      </c>
      <c r="G259">
        <v>1</v>
      </c>
      <c r="H259">
        <v>4</v>
      </c>
      <c r="I259">
        <v>2</v>
      </c>
      <c r="J259">
        <v>6</v>
      </c>
      <c r="K259">
        <v>6</v>
      </c>
    </row>
    <row r="260" spans="1:11" x14ac:dyDescent="0.35">
      <c r="A260" t="s">
        <v>342</v>
      </c>
      <c r="B260" t="s">
        <v>541</v>
      </c>
      <c r="C260" t="s">
        <v>232</v>
      </c>
      <c r="D260" t="s">
        <v>233</v>
      </c>
      <c r="E260">
        <v>1</v>
      </c>
      <c r="G260">
        <v>18</v>
      </c>
      <c r="I260">
        <v>4</v>
      </c>
      <c r="J260">
        <v>13</v>
      </c>
      <c r="K260">
        <v>37</v>
      </c>
    </row>
    <row r="261" spans="1:11" x14ac:dyDescent="0.35">
      <c r="A261" t="s">
        <v>342</v>
      </c>
      <c r="B261" t="s">
        <v>541</v>
      </c>
      <c r="C261" t="s">
        <v>238</v>
      </c>
      <c r="D261" t="s">
        <v>239</v>
      </c>
      <c r="E261">
        <v>1</v>
      </c>
      <c r="G261">
        <v>9</v>
      </c>
      <c r="I261">
        <v>5</v>
      </c>
      <c r="J261">
        <v>6</v>
      </c>
      <c r="K261">
        <v>16</v>
      </c>
    </row>
    <row r="262" spans="1:11" x14ac:dyDescent="0.35">
      <c r="A262" t="s">
        <v>342</v>
      </c>
      <c r="B262" t="s">
        <v>541</v>
      </c>
      <c r="C262" t="s">
        <v>218</v>
      </c>
      <c r="D262" t="s">
        <v>219</v>
      </c>
      <c r="E262">
        <v>1</v>
      </c>
      <c r="G262">
        <v>11</v>
      </c>
      <c r="I262">
        <v>6</v>
      </c>
      <c r="J262">
        <v>10</v>
      </c>
      <c r="K262">
        <v>18</v>
      </c>
    </row>
    <row r="263" spans="1:11" x14ac:dyDescent="0.35">
      <c r="A263" t="s">
        <v>342</v>
      </c>
      <c r="B263" t="s">
        <v>543</v>
      </c>
      <c r="C263" t="s">
        <v>548</v>
      </c>
      <c r="D263" t="s">
        <v>544</v>
      </c>
      <c r="E263">
        <v>15</v>
      </c>
      <c r="F263">
        <v>4</v>
      </c>
      <c r="H263">
        <v>55</v>
      </c>
      <c r="I263">
        <v>13</v>
      </c>
      <c r="J263">
        <v>9</v>
      </c>
      <c r="K263">
        <v>47</v>
      </c>
    </row>
    <row r="264" spans="1:11" x14ac:dyDescent="0.35">
      <c r="A264" t="s">
        <v>214</v>
      </c>
      <c r="B264" t="s">
        <v>536</v>
      </c>
      <c r="C264" t="s">
        <v>244</v>
      </c>
      <c r="D264" t="s">
        <v>245</v>
      </c>
      <c r="E264">
        <v>0</v>
      </c>
      <c r="F264">
        <v>0</v>
      </c>
      <c r="G264">
        <v>10</v>
      </c>
      <c r="H264">
        <v>38</v>
      </c>
      <c r="I264">
        <v>0</v>
      </c>
      <c r="J264">
        <v>0</v>
      </c>
      <c r="K264">
        <v>5</v>
      </c>
    </row>
    <row r="265" spans="1:11" x14ac:dyDescent="0.35">
      <c r="A265" t="s">
        <v>214</v>
      </c>
      <c r="B265" t="s">
        <v>536</v>
      </c>
      <c r="C265" t="s">
        <v>249</v>
      </c>
      <c r="D265" t="s">
        <v>250</v>
      </c>
      <c r="E265">
        <v>0</v>
      </c>
      <c r="F265">
        <v>0</v>
      </c>
      <c r="G265">
        <v>10</v>
      </c>
      <c r="H265">
        <v>32</v>
      </c>
      <c r="I265">
        <v>0</v>
      </c>
      <c r="J265">
        <v>0</v>
      </c>
      <c r="K265">
        <v>5</v>
      </c>
    </row>
    <row r="266" spans="1:11" x14ac:dyDescent="0.35">
      <c r="A266" t="s">
        <v>214</v>
      </c>
      <c r="B266" t="s">
        <v>536</v>
      </c>
      <c r="C266" t="s">
        <v>259</v>
      </c>
      <c r="D266" t="s">
        <v>260</v>
      </c>
      <c r="E266">
        <v>0</v>
      </c>
      <c r="F266">
        <v>0</v>
      </c>
      <c r="G266">
        <v>10</v>
      </c>
      <c r="H266">
        <v>31</v>
      </c>
      <c r="I266">
        <v>0</v>
      </c>
      <c r="J266">
        <v>0</v>
      </c>
      <c r="K266">
        <v>11</v>
      </c>
    </row>
    <row r="267" spans="1:11" x14ac:dyDescent="0.35">
      <c r="A267" t="s">
        <v>214</v>
      </c>
      <c r="B267" t="s">
        <v>536</v>
      </c>
      <c r="C267" t="s">
        <v>273</v>
      </c>
      <c r="D267" t="s">
        <v>274</v>
      </c>
      <c r="E267">
        <v>0</v>
      </c>
      <c r="F267">
        <v>0</v>
      </c>
      <c r="G267">
        <v>15</v>
      </c>
      <c r="H267">
        <v>50</v>
      </c>
      <c r="I267">
        <v>0</v>
      </c>
      <c r="J267">
        <v>0</v>
      </c>
      <c r="K267">
        <v>5</v>
      </c>
    </row>
    <row r="268" spans="1:11" x14ac:dyDescent="0.35">
      <c r="A268" t="s">
        <v>214</v>
      </c>
      <c r="B268" t="s">
        <v>536</v>
      </c>
      <c r="C268" t="s">
        <v>277</v>
      </c>
      <c r="D268" t="s">
        <v>278</v>
      </c>
      <c r="E268">
        <v>0</v>
      </c>
      <c r="F268">
        <v>0</v>
      </c>
      <c r="G268">
        <v>15</v>
      </c>
      <c r="H268">
        <v>47</v>
      </c>
      <c r="I268">
        <v>0</v>
      </c>
      <c r="J268">
        <v>0</v>
      </c>
      <c r="K268">
        <v>10</v>
      </c>
    </row>
    <row r="269" spans="1:11" x14ac:dyDescent="0.35">
      <c r="A269" t="s">
        <v>214</v>
      </c>
      <c r="B269" t="s">
        <v>536</v>
      </c>
      <c r="C269" t="s">
        <v>281</v>
      </c>
      <c r="D269" t="s">
        <v>282</v>
      </c>
      <c r="E269">
        <v>0</v>
      </c>
      <c r="F269">
        <v>0</v>
      </c>
      <c r="G269">
        <v>5</v>
      </c>
      <c r="H269">
        <v>20</v>
      </c>
      <c r="I269">
        <v>0</v>
      </c>
      <c r="J269">
        <v>0</v>
      </c>
      <c r="K269">
        <v>5</v>
      </c>
    </row>
    <row r="270" spans="1:11" x14ac:dyDescent="0.35">
      <c r="A270" t="s">
        <v>214</v>
      </c>
      <c r="B270" t="s">
        <v>536</v>
      </c>
      <c r="C270" t="s">
        <v>287</v>
      </c>
      <c r="D270" t="s">
        <v>288</v>
      </c>
      <c r="E270">
        <v>0</v>
      </c>
      <c r="F270">
        <v>0</v>
      </c>
      <c r="G270">
        <v>15</v>
      </c>
      <c r="H270">
        <v>45</v>
      </c>
      <c r="I270">
        <v>0</v>
      </c>
      <c r="J270">
        <v>0</v>
      </c>
      <c r="K270">
        <v>16</v>
      </c>
    </row>
    <row r="271" spans="1:11" x14ac:dyDescent="0.35">
      <c r="A271" t="s">
        <v>214</v>
      </c>
      <c r="B271" t="s">
        <v>536</v>
      </c>
      <c r="C271" t="s">
        <v>302</v>
      </c>
      <c r="D271" t="s">
        <v>303</v>
      </c>
      <c r="E271">
        <v>0</v>
      </c>
      <c r="F271">
        <v>0</v>
      </c>
      <c r="G271">
        <v>11</v>
      </c>
      <c r="H271">
        <v>34</v>
      </c>
      <c r="I271">
        <v>0</v>
      </c>
      <c r="J271">
        <v>0</v>
      </c>
      <c r="K271">
        <v>5</v>
      </c>
    </row>
    <row r="272" spans="1:11" x14ac:dyDescent="0.35">
      <c r="A272" t="s">
        <v>214</v>
      </c>
      <c r="B272" t="s">
        <v>536</v>
      </c>
      <c r="C272" t="s">
        <v>304</v>
      </c>
      <c r="D272" t="s">
        <v>305</v>
      </c>
      <c r="E272">
        <v>0</v>
      </c>
      <c r="F272">
        <v>0</v>
      </c>
      <c r="G272">
        <v>36</v>
      </c>
      <c r="H272">
        <v>111</v>
      </c>
      <c r="I272">
        <v>0</v>
      </c>
      <c r="J272">
        <v>0</v>
      </c>
      <c r="K272">
        <v>20</v>
      </c>
    </row>
    <row r="273" spans="1:11" x14ac:dyDescent="0.35">
      <c r="A273" t="s">
        <v>214</v>
      </c>
      <c r="B273" t="s">
        <v>536</v>
      </c>
      <c r="C273" t="s">
        <v>215</v>
      </c>
      <c r="D273" t="s">
        <v>216</v>
      </c>
      <c r="E273">
        <v>0</v>
      </c>
      <c r="F273">
        <v>0</v>
      </c>
      <c r="G273">
        <v>35</v>
      </c>
      <c r="H273">
        <v>104</v>
      </c>
      <c r="I273">
        <v>0</v>
      </c>
      <c r="J273">
        <v>0</v>
      </c>
      <c r="K273">
        <v>15</v>
      </c>
    </row>
    <row r="274" spans="1:11" x14ac:dyDescent="0.35">
      <c r="A274" t="s">
        <v>214</v>
      </c>
      <c r="B274" t="s">
        <v>536</v>
      </c>
      <c r="C274" t="s">
        <v>220</v>
      </c>
      <c r="D274" t="s">
        <v>221</v>
      </c>
      <c r="E274">
        <v>0</v>
      </c>
      <c r="F274">
        <v>0</v>
      </c>
      <c r="G274">
        <v>5</v>
      </c>
      <c r="H274">
        <v>20</v>
      </c>
      <c r="I274">
        <v>0</v>
      </c>
      <c r="J274">
        <v>0</v>
      </c>
      <c r="K274">
        <v>5</v>
      </c>
    </row>
    <row r="275" spans="1:11" x14ac:dyDescent="0.35">
      <c r="A275" t="s">
        <v>214</v>
      </c>
      <c r="B275" t="s">
        <v>536</v>
      </c>
      <c r="C275" t="s">
        <v>228</v>
      </c>
      <c r="D275" t="s">
        <v>229</v>
      </c>
      <c r="E275">
        <v>0</v>
      </c>
      <c r="F275">
        <v>0</v>
      </c>
      <c r="G275">
        <v>11</v>
      </c>
      <c r="H275">
        <v>33</v>
      </c>
      <c r="I275">
        <v>0</v>
      </c>
      <c r="J275">
        <v>0</v>
      </c>
      <c r="K275">
        <v>10</v>
      </c>
    </row>
    <row r="276" spans="1:11" x14ac:dyDescent="0.35">
      <c r="A276" t="s">
        <v>214</v>
      </c>
      <c r="B276" t="s">
        <v>536</v>
      </c>
      <c r="C276" t="s">
        <v>296</v>
      </c>
      <c r="D276" t="s">
        <v>297</v>
      </c>
      <c r="E276">
        <v>0</v>
      </c>
      <c r="F276">
        <v>0</v>
      </c>
      <c r="G276">
        <v>18</v>
      </c>
      <c r="H276">
        <v>65</v>
      </c>
      <c r="I276">
        <v>0</v>
      </c>
      <c r="J276">
        <v>0</v>
      </c>
      <c r="K276">
        <v>16</v>
      </c>
    </row>
    <row r="277" spans="1:11" x14ac:dyDescent="0.35">
      <c r="A277" t="s">
        <v>214</v>
      </c>
      <c r="B277" t="s">
        <v>536</v>
      </c>
      <c r="C277" t="s">
        <v>309</v>
      </c>
      <c r="D277" t="s">
        <v>310</v>
      </c>
      <c r="E277">
        <v>0</v>
      </c>
      <c r="F277">
        <v>0</v>
      </c>
      <c r="G277">
        <v>15</v>
      </c>
      <c r="H277">
        <v>48</v>
      </c>
      <c r="I277">
        <v>0</v>
      </c>
      <c r="J277">
        <v>0</v>
      </c>
      <c r="K277">
        <v>10</v>
      </c>
    </row>
    <row r="278" spans="1:11" x14ac:dyDescent="0.35">
      <c r="A278" t="s">
        <v>214</v>
      </c>
      <c r="B278" t="s">
        <v>536</v>
      </c>
      <c r="C278" t="s">
        <v>224</v>
      </c>
      <c r="D278" t="s">
        <v>225</v>
      </c>
      <c r="E278">
        <v>0</v>
      </c>
      <c r="F278">
        <v>0</v>
      </c>
      <c r="G278">
        <v>5</v>
      </c>
      <c r="H278">
        <v>18</v>
      </c>
      <c r="I278">
        <v>0</v>
      </c>
      <c r="J278">
        <v>0</v>
      </c>
      <c r="K278">
        <v>5</v>
      </c>
    </row>
    <row r="279" spans="1:11" x14ac:dyDescent="0.35">
      <c r="A279" t="s">
        <v>214</v>
      </c>
      <c r="B279" t="s">
        <v>536</v>
      </c>
      <c r="C279" t="s">
        <v>247</v>
      </c>
      <c r="D279" t="s">
        <v>248</v>
      </c>
      <c r="E279">
        <v>0</v>
      </c>
      <c r="F279">
        <v>0</v>
      </c>
      <c r="G279">
        <v>35</v>
      </c>
      <c r="H279">
        <v>122</v>
      </c>
      <c r="I279">
        <v>0</v>
      </c>
      <c r="J279">
        <v>0</v>
      </c>
      <c r="K279">
        <v>20</v>
      </c>
    </row>
    <row r="280" spans="1:11" x14ac:dyDescent="0.35">
      <c r="A280" t="s">
        <v>214</v>
      </c>
      <c r="B280" t="s">
        <v>536</v>
      </c>
      <c r="C280" t="s">
        <v>289</v>
      </c>
      <c r="D280" t="s">
        <v>290</v>
      </c>
      <c r="E280">
        <v>0</v>
      </c>
      <c r="F280">
        <v>0</v>
      </c>
      <c r="G280">
        <v>35</v>
      </c>
      <c r="H280">
        <v>111</v>
      </c>
      <c r="I280">
        <v>0</v>
      </c>
      <c r="J280">
        <v>0</v>
      </c>
      <c r="K280">
        <v>20</v>
      </c>
    </row>
    <row r="281" spans="1:11" x14ac:dyDescent="0.35">
      <c r="A281" t="s">
        <v>214</v>
      </c>
      <c r="B281" t="s">
        <v>536</v>
      </c>
      <c r="C281" t="s">
        <v>253</v>
      </c>
      <c r="D281" t="s">
        <v>254</v>
      </c>
      <c r="E281">
        <v>0</v>
      </c>
      <c r="F281">
        <v>0</v>
      </c>
      <c r="G281">
        <v>15</v>
      </c>
      <c r="H281">
        <v>47</v>
      </c>
      <c r="I281">
        <v>0</v>
      </c>
      <c r="J281">
        <v>0</v>
      </c>
      <c r="K281">
        <v>16</v>
      </c>
    </row>
    <row r="282" spans="1:11" x14ac:dyDescent="0.35">
      <c r="A282" t="s">
        <v>214</v>
      </c>
      <c r="B282" t="s">
        <v>536</v>
      </c>
      <c r="C282" t="s">
        <v>270</v>
      </c>
      <c r="D282" t="s">
        <v>271</v>
      </c>
      <c r="E282">
        <v>0</v>
      </c>
      <c r="F282">
        <v>0</v>
      </c>
      <c r="G282">
        <v>110</v>
      </c>
      <c r="H282">
        <v>349</v>
      </c>
      <c r="I282">
        <v>0</v>
      </c>
      <c r="J282">
        <v>0</v>
      </c>
      <c r="K282">
        <v>56</v>
      </c>
    </row>
    <row r="283" spans="1:11" x14ac:dyDescent="0.35">
      <c r="A283" t="s">
        <v>214</v>
      </c>
      <c r="B283" t="s">
        <v>536</v>
      </c>
      <c r="C283" t="s">
        <v>494</v>
      </c>
      <c r="D283" t="s">
        <v>295</v>
      </c>
      <c r="E283">
        <v>0</v>
      </c>
      <c r="F283">
        <v>0</v>
      </c>
      <c r="G283">
        <v>10</v>
      </c>
      <c r="H283">
        <v>54</v>
      </c>
      <c r="I283">
        <v>0</v>
      </c>
      <c r="J283">
        <v>0</v>
      </c>
      <c r="K283">
        <v>5</v>
      </c>
    </row>
    <row r="284" spans="1:11" x14ac:dyDescent="0.35">
      <c r="A284" t="s">
        <v>214</v>
      </c>
      <c r="B284" t="s">
        <v>536</v>
      </c>
      <c r="C284" t="s">
        <v>238</v>
      </c>
      <c r="D284" t="s">
        <v>235</v>
      </c>
      <c r="E284">
        <v>0</v>
      </c>
      <c r="F284">
        <v>0</v>
      </c>
      <c r="G284">
        <v>59</v>
      </c>
      <c r="H284">
        <v>203</v>
      </c>
      <c r="I284">
        <v>0</v>
      </c>
      <c r="J284">
        <v>0</v>
      </c>
      <c r="K284">
        <v>35</v>
      </c>
    </row>
    <row r="285" spans="1:11" x14ac:dyDescent="0.35">
      <c r="A285" t="s">
        <v>214</v>
      </c>
      <c r="B285" t="s">
        <v>536</v>
      </c>
      <c r="C285" t="s">
        <v>238</v>
      </c>
      <c r="D285" t="s">
        <v>241</v>
      </c>
      <c r="E285">
        <v>0</v>
      </c>
      <c r="F285">
        <v>0</v>
      </c>
      <c r="G285">
        <v>5</v>
      </c>
      <c r="H285">
        <v>15</v>
      </c>
      <c r="I285">
        <v>0</v>
      </c>
      <c r="J285">
        <v>0</v>
      </c>
      <c r="K285">
        <v>5</v>
      </c>
    </row>
    <row r="286" spans="1:11" x14ac:dyDescent="0.35">
      <c r="A286" t="s">
        <v>214</v>
      </c>
      <c r="B286" t="s">
        <v>536</v>
      </c>
      <c r="C286" t="s">
        <v>238</v>
      </c>
      <c r="D286" t="s">
        <v>256</v>
      </c>
      <c r="E286">
        <v>0</v>
      </c>
      <c r="F286">
        <v>0</v>
      </c>
      <c r="G286">
        <v>5</v>
      </c>
      <c r="H286">
        <v>14</v>
      </c>
      <c r="I286">
        <v>0</v>
      </c>
      <c r="J286">
        <v>0</v>
      </c>
      <c r="K286">
        <v>5</v>
      </c>
    </row>
    <row r="287" spans="1:11" x14ac:dyDescent="0.35">
      <c r="A287" t="s">
        <v>214</v>
      </c>
      <c r="B287" t="s">
        <v>536</v>
      </c>
      <c r="C287" t="s">
        <v>238</v>
      </c>
      <c r="D287" t="s">
        <v>264</v>
      </c>
      <c r="E287">
        <v>0</v>
      </c>
      <c r="F287">
        <v>0</v>
      </c>
      <c r="G287">
        <v>20</v>
      </c>
      <c r="H287">
        <v>53</v>
      </c>
      <c r="I287">
        <v>0</v>
      </c>
      <c r="J287">
        <v>0</v>
      </c>
      <c r="K287">
        <v>15</v>
      </c>
    </row>
    <row r="288" spans="1:11" x14ac:dyDescent="0.35">
      <c r="A288" t="s">
        <v>214</v>
      </c>
      <c r="B288" t="s">
        <v>536</v>
      </c>
      <c r="C288" t="s">
        <v>238</v>
      </c>
      <c r="D288" t="s">
        <v>268</v>
      </c>
      <c r="E288">
        <v>0</v>
      </c>
      <c r="F288">
        <v>0</v>
      </c>
      <c r="G288">
        <v>48</v>
      </c>
      <c r="H288">
        <v>199</v>
      </c>
      <c r="I288">
        <v>0</v>
      </c>
      <c r="J288">
        <v>0</v>
      </c>
      <c r="K288">
        <v>27</v>
      </c>
    </row>
    <row r="289" spans="1:11" x14ac:dyDescent="0.35">
      <c r="A289" t="s">
        <v>214</v>
      </c>
      <c r="B289" t="s">
        <v>536</v>
      </c>
      <c r="C289" t="s">
        <v>238</v>
      </c>
      <c r="D289" t="s">
        <v>280</v>
      </c>
      <c r="E289">
        <v>0</v>
      </c>
      <c r="F289">
        <v>0</v>
      </c>
      <c r="G289">
        <v>4</v>
      </c>
      <c r="H289">
        <v>17</v>
      </c>
      <c r="I289">
        <v>0</v>
      </c>
      <c r="J289">
        <v>0</v>
      </c>
      <c r="K289">
        <v>5</v>
      </c>
    </row>
    <row r="290" spans="1:11" x14ac:dyDescent="0.35">
      <c r="A290" t="s">
        <v>214</v>
      </c>
      <c r="B290" t="s">
        <v>536</v>
      </c>
      <c r="C290" t="s">
        <v>238</v>
      </c>
      <c r="D290" t="s">
        <v>299</v>
      </c>
      <c r="E290">
        <v>0</v>
      </c>
      <c r="F290">
        <v>0</v>
      </c>
      <c r="G290">
        <v>10</v>
      </c>
      <c r="H290">
        <v>36</v>
      </c>
      <c r="I290">
        <v>0</v>
      </c>
      <c r="J290">
        <v>0</v>
      </c>
      <c r="K290">
        <v>10</v>
      </c>
    </row>
    <row r="291" spans="1:11" x14ac:dyDescent="0.35">
      <c r="A291" t="s">
        <v>214</v>
      </c>
      <c r="B291" t="s">
        <v>536</v>
      </c>
      <c r="C291" t="s">
        <v>238</v>
      </c>
      <c r="D291" t="s">
        <v>308</v>
      </c>
      <c r="E291">
        <v>0</v>
      </c>
      <c r="F291">
        <v>0</v>
      </c>
      <c r="G291">
        <v>10</v>
      </c>
      <c r="H291">
        <v>34</v>
      </c>
      <c r="I291">
        <v>0</v>
      </c>
      <c r="J291">
        <v>0</v>
      </c>
      <c r="K291">
        <v>5</v>
      </c>
    </row>
    <row r="292" spans="1:11" x14ac:dyDescent="0.35">
      <c r="A292" t="s">
        <v>214</v>
      </c>
      <c r="B292" t="s">
        <v>536</v>
      </c>
      <c r="C292" t="s">
        <v>238</v>
      </c>
      <c r="D292" t="s">
        <v>312</v>
      </c>
      <c r="E292">
        <v>0</v>
      </c>
      <c r="F292">
        <v>0</v>
      </c>
      <c r="G292">
        <v>10</v>
      </c>
      <c r="H292">
        <v>36</v>
      </c>
      <c r="I292">
        <v>0</v>
      </c>
      <c r="J292">
        <v>0</v>
      </c>
      <c r="K292">
        <v>10</v>
      </c>
    </row>
    <row r="293" spans="1:11" x14ac:dyDescent="0.35">
      <c r="A293" t="s">
        <v>214</v>
      </c>
      <c r="B293" t="s">
        <v>539</v>
      </c>
      <c r="C293" t="s">
        <v>217</v>
      </c>
      <c r="D293" t="s">
        <v>216</v>
      </c>
      <c r="E293">
        <v>1</v>
      </c>
      <c r="F293">
        <v>0</v>
      </c>
      <c r="G293">
        <v>2</v>
      </c>
      <c r="H293">
        <v>1</v>
      </c>
      <c r="I293">
        <v>2</v>
      </c>
      <c r="J293">
        <v>4</v>
      </c>
      <c r="K293">
        <v>6</v>
      </c>
    </row>
    <row r="294" spans="1:11" x14ac:dyDescent="0.35">
      <c r="A294" t="s">
        <v>214</v>
      </c>
      <c r="B294" t="s">
        <v>539</v>
      </c>
      <c r="C294" t="s">
        <v>222</v>
      </c>
      <c r="D294" t="s">
        <v>223</v>
      </c>
      <c r="E294">
        <v>1</v>
      </c>
      <c r="F294">
        <v>0</v>
      </c>
      <c r="G294">
        <v>6</v>
      </c>
      <c r="H294">
        <v>0</v>
      </c>
      <c r="I294">
        <v>2</v>
      </c>
      <c r="J294">
        <v>8</v>
      </c>
      <c r="K294">
        <v>8</v>
      </c>
    </row>
    <row r="295" spans="1:11" x14ac:dyDescent="0.35">
      <c r="A295" t="s">
        <v>214</v>
      </c>
      <c r="B295" t="s">
        <v>539</v>
      </c>
      <c r="C295" t="s">
        <v>230</v>
      </c>
      <c r="D295" t="s">
        <v>231</v>
      </c>
      <c r="E295">
        <v>1</v>
      </c>
      <c r="F295">
        <v>0</v>
      </c>
      <c r="G295">
        <v>6</v>
      </c>
      <c r="H295">
        <v>2</v>
      </c>
      <c r="I295">
        <v>3</v>
      </c>
      <c r="J295">
        <v>8</v>
      </c>
      <c r="K295">
        <v>6</v>
      </c>
    </row>
    <row r="296" spans="1:11" x14ac:dyDescent="0.35">
      <c r="A296" t="s">
        <v>214</v>
      </c>
      <c r="B296" t="s">
        <v>539</v>
      </c>
      <c r="C296" t="s">
        <v>246</v>
      </c>
      <c r="D296" t="s">
        <v>245</v>
      </c>
      <c r="E296">
        <v>1</v>
      </c>
      <c r="F296">
        <v>0</v>
      </c>
      <c r="G296">
        <v>4</v>
      </c>
      <c r="H296">
        <v>2</v>
      </c>
      <c r="I296">
        <v>2</v>
      </c>
      <c r="J296">
        <v>6</v>
      </c>
      <c r="K296">
        <v>7</v>
      </c>
    </row>
    <row r="297" spans="1:11" x14ac:dyDescent="0.35">
      <c r="A297" t="s">
        <v>214</v>
      </c>
      <c r="B297" t="s">
        <v>539</v>
      </c>
      <c r="C297" t="s">
        <v>251</v>
      </c>
      <c r="D297" t="s">
        <v>252</v>
      </c>
      <c r="E297">
        <v>1</v>
      </c>
      <c r="F297">
        <v>0</v>
      </c>
      <c r="G297">
        <v>2</v>
      </c>
      <c r="H297">
        <v>2</v>
      </c>
      <c r="I297">
        <v>3</v>
      </c>
      <c r="J297">
        <v>9</v>
      </c>
      <c r="K297">
        <v>8</v>
      </c>
    </row>
    <row r="298" spans="1:11" x14ac:dyDescent="0.35">
      <c r="A298" t="s">
        <v>214</v>
      </c>
      <c r="B298" t="s">
        <v>539</v>
      </c>
      <c r="C298" t="s">
        <v>257</v>
      </c>
      <c r="D298" t="s">
        <v>258</v>
      </c>
      <c r="E298">
        <v>1</v>
      </c>
      <c r="F298">
        <v>0</v>
      </c>
      <c r="G298">
        <v>2</v>
      </c>
      <c r="H298">
        <v>3</v>
      </c>
      <c r="I298">
        <v>3</v>
      </c>
      <c r="J298">
        <v>7</v>
      </c>
      <c r="K298">
        <v>9</v>
      </c>
    </row>
    <row r="299" spans="1:11" x14ac:dyDescent="0.35">
      <c r="A299" t="s">
        <v>214</v>
      </c>
      <c r="B299" t="s">
        <v>539</v>
      </c>
      <c r="C299" t="s">
        <v>261</v>
      </c>
      <c r="D299" t="s">
        <v>262</v>
      </c>
      <c r="E299">
        <v>1</v>
      </c>
      <c r="F299">
        <v>0</v>
      </c>
      <c r="G299">
        <v>0</v>
      </c>
      <c r="H299">
        <v>2</v>
      </c>
      <c r="I299">
        <v>4</v>
      </c>
      <c r="J299">
        <v>4</v>
      </c>
      <c r="K299">
        <v>3</v>
      </c>
    </row>
    <row r="300" spans="1:11" x14ac:dyDescent="0.35">
      <c r="A300" t="s">
        <v>214</v>
      </c>
      <c r="B300" t="s">
        <v>539</v>
      </c>
      <c r="C300" t="s">
        <v>236</v>
      </c>
      <c r="D300" t="s">
        <v>237</v>
      </c>
      <c r="E300">
        <v>1</v>
      </c>
      <c r="F300">
        <v>0</v>
      </c>
      <c r="G300">
        <v>5</v>
      </c>
      <c r="H300">
        <v>3</v>
      </c>
      <c r="I300">
        <v>5</v>
      </c>
      <c r="J300">
        <v>4</v>
      </c>
      <c r="K300">
        <v>12</v>
      </c>
    </row>
    <row r="301" spans="1:11" x14ac:dyDescent="0.35">
      <c r="A301" t="s">
        <v>214</v>
      </c>
      <c r="B301" t="s">
        <v>539</v>
      </c>
      <c r="C301" t="s">
        <v>265</v>
      </c>
      <c r="D301" t="s">
        <v>266</v>
      </c>
      <c r="E301">
        <v>1</v>
      </c>
      <c r="F301">
        <v>0</v>
      </c>
      <c r="G301">
        <v>3</v>
      </c>
      <c r="H301">
        <v>2</v>
      </c>
      <c r="I301">
        <v>2</v>
      </c>
      <c r="J301">
        <v>6</v>
      </c>
      <c r="K301">
        <v>6</v>
      </c>
    </row>
    <row r="302" spans="1:11" x14ac:dyDescent="0.35">
      <c r="A302" t="s">
        <v>214</v>
      </c>
      <c r="B302" t="s">
        <v>539</v>
      </c>
      <c r="C302" t="s">
        <v>272</v>
      </c>
      <c r="D302" t="s">
        <v>271</v>
      </c>
      <c r="E302">
        <v>1</v>
      </c>
      <c r="F302">
        <v>0</v>
      </c>
      <c r="G302">
        <v>2</v>
      </c>
      <c r="H302">
        <v>2</v>
      </c>
      <c r="I302">
        <v>4</v>
      </c>
      <c r="J302">
        <v>9</v>
      </c>
      <c r="K302">
        <v>7</v>
      </c>
    </row>
    <row r="303" spans="1:11" x14ac:dyDescent="0.35">
      <c r="A303" t="s">
        <v>214</v>
      </c>
      <c r="B303" t="s">
        <v>539</v>
      </c>
      <c r="C303" t="s">
        <v>275</v>
      </c>
      <c r="D303" t="s">
        <v>276</v>
      </c>
      <c r="E303">
        <v>1</v>
      </c>
      <c r="F303">
        <v>0</v>
      </c>
      <c r="G303">
        <v>9</v>
      </c>
      <c r="H303">
        <v>1</v>
      </c>
      <c r="I303">
        <v>4</v>
      </c>
      <c r="J303">
        <v>14</v>
      </c>
      <c r="K303">
        <v>16</v>
      </c>
    </row>
    <row r="304" spans="1:11" x14ac:dyDescent="0.35">
      <c r="A304" t="s">
        <v>214</v>
      </c>
      <c r="B304" t="s">
        <v>539</v>
      </c>
      <c r="C304" t="s">
        <v>291</v>
      </c>
      <c r="D304" t="s">
        <v>290</v>
      </c>
      <c r="E304">
        <v>1</v>
      </c>
      <c r="F304">
        <v>0</v>
      </c>
      <c r="G304">
        <v>2</v>
      </c>
      <c r="H304">
        <v>1</v>
      </c>
      <c r="I304">
        <v>2</v>
      </c>
      <c r="J304">
        <v>5</v>
      </c>
      <c r="K304">
        <v>6</v>
      </c>
    </row>
    <row r="305" spans="1:11" x14ac:dyDescent="0.35">
      <c r="A305" t="s">
        <v>214</v>
      </c>
      <c r="B305" t="s">
        <v>539</v>
      </c>
      <c r="C305" t="s">
        <v>306</v>
      </c>
      <c r="D305" t="s">
        <v>305</v>
      </c>
      <c r="E305">
        <v>1</v>
      </c>
      <c r="F305">
        <v>0</v>
      </c>
      <c r="G305">
        <v>2</v>
      </c>
      <c r="H305">
        <v>1</v>
      </c>
      <c r="I305">
        <v>2</v>
      </c>
      <c r="J305">
        <v>6</v>
      </c>
      <c r="K305">
        <v>4</v>
      </c>
    </row>
    <row r="306" spans="1:11" x14ac:dyDescent="0.35">
      <c r="A306" t="s">
        <v>214</v>
      </c>
      <c r="B306" t="s">
        <v>539</v>
      </c>
      <c r="C306" t="s">
        <v>242</v>
      </c>
      <c r="D306" t="s">
        <v>243</v>
      </c>
      <c r="E306">
        <v>1</v>
      </c>
      <c r="F306">
        <v>0</v>
      </c>
      <c r="G306">
        <v>3</v>
      </c>
      <c r="H306">
        <v>1</v>
      </c>
      <c r="I306">
        <v>2</v>
      </c>
      <c r="J306">
        <v>6</v>
      </c>
      <c r="K306">
        <v>5</v>
      </c>
    </row>
    <row r="307" spans="1:11" x14ac:dyDescent="0.35">
      <c r="A307" t="s">
        <v>214</v>
      </c>
      <c r="B307" t="s">
        <v>539</v>
      </c>
      <c r="C307" t="s">
        <v>285</v>
      </c>
      <c r="D307" t="s">
        <v>286</v>
      </c>
      <c r="E307">
        <v>1</v>
      </c>
      <c r="F307">
        <v>0</v>
      </c>
      <c r="G307">
        <v>3</v>
      </c>
      <c r="H307">
        <v>0</v>
      </c>
      <c r="I307">
        <v>3</v>
      </c>
      <c r="J307">
        <v>5</v>
      </c>
      <c r="K307">
        <v>4</v>
      </c>
    </row>
    <row r="308" spans="1:11" x14ac:dyDescent="0.35">
      <c r="A308" t="s">
        <v>214</v>
      </c>
      <c r="B308" t="s">
        <v>539</v>
      </c>
      <c r="C308" t="s">
        <v>226</v>
      </c>
      <c r="D308" t="s">
        <v>227</v>
      </c>
      <c r="E308">
        <v>1</v>
      </c>
      <c r="F308">
        <v>0</v>
      </c>
      <c r="G308">
        <v>3</v>
      </c>
      <c r="H308">
        <v>2</v>
      </c>
      <c r="I308">
        <v>4</v>
      </c>
      <c r="J308">
        <v>8</v>
      </c>
      <c r="K308">
        <v>11</v>
      </c>
    </row>
    <row r="309" spans="1:11" x14ac:dyDescent="0.35">
      <c r="A309" t="s">
        <v>214</v>
      </c>
      <c r="B309" t="s">
        <v>539</v>
      </c>
      <c r="C309" t="s">
        <v>269</v>
      </c>
      <c r="D309" t="s">
        <v>268</v>
      </c>
      <c r="E309">
        <v>0</v>
      </c>
      <c r="F309">
        <v>0</v>
      </c>
      <c r="G309">
        <v>0</v>
      </c>
      <c r="H309">
        <v>4</v>
      </c>
      <c r="I309">
        <v>2</v>
      </c>
      <c r="J309">
        <v>6</v>
      </c>
      <c r="K309">
        <v>6</v>
      </c>
    </row>
    <row r="310" spans="1:11" x14ac:dyDescent="0.35">
      <c r="A310" t="s">
        <v>214</v>
      </c>
      <c r="B310" t="s">
        <v>541</v>
      </c>
      <c r="C310" t="s">
        <v>232</v>
      </c>
      <c r="D310" t="s">
        <v>233</v>
      </c>
      <c r="E310">
        <v>1</v>
      </c>
      <c r="F310">
        <v>0</v>
      </c>
      <c r="G310">
        <v>26</v>
      </c>
      <c r="H310">
        <v>0</v>
      </c>
      <c r="I310">
        <v>5</v>
      </c>
      <c r="J310">
        <v>12</v>
      </c>
      <c r="K310">
        <v>35</v>
      </c>
    </row>
    <row r="311" spans="1:11" x14ac:dyDescent="0.35">
      <c r="A311" t="s">
        <v>214</v>
      </c>
      <c r="B311" t="s">
        <v>541</v>
      </c>
      <c r="C311" t="s">
        <v>238</v>
      </c>
      <c r="D311" t="s">
        <v>239</v>
      </c>
      <c r="E311">
        <v>1</v>
      </c>
      <c r="F311">
        <v>0</v>
      </c>
      <c r="G311">
        <v>8</v>
      </c>
      <c r="H311">
        <v>0</v>
      </c>
      <c r="I311">
        <v>5</v>
      </c>
      <c r="J311">
        <v>5</v>
      </c>
      <c r="K311">
        <v>18</v>
      </c>
    </row>
    <row r="312" spans="1:11" x14ac:dyDescent="0.35">
      <c r="A312" t="s">
        <v>214</v>
      </c>
      <c r="B312" t="s">
        <v>541</v>
      </c>
      <c r="C312" t="s">
        <v>218</v>
      </c>
      <c r="D312" t="s">
        <v>219</v>
      </c>
      <c r="E312">
        <v>1</v>
      </c>
      <c r="F312">
        <v>0</v>
      </c>
      <c r="G312">
        <v>7</v>
      </c>
      <c r="H312">
        <v>0</v>
      </c>
      <c r="I312">
        <v>4</v>
      </c>
      <c r="J312">
        <v>7</v>
      </c>
      <c r="K312">
        <v>11</v>
      </c>
    </row>
    <row r="313" spans="1:11" x14ac:dyDescent="0.35">
      <c r="A313" t="s">
        <v>214</v>
      </c>
      <c r="B313" t="s">
        <v>543</v>
      </c>
      <c r="C313" t="s">
        <v>548</v>
      </c>
      <c r="D313" t="s">
        <v>544</v>
      </c>
      <c r="E313">
        <v>14</v>
      </c>
      <c r="F313">
        <v>4</v>
      </c>
      <c r="G313">
        <v>0</v>
      </c>
      <c r="H313">
        <v>60</v>
      </c>
      <c r="I313">
        <v>17</v>
      </c>
      <c r="J313">
        <v>8</v>
      </c>
      <c r="K313">
        <v>46</v>
      </c>
    </row>
    <row r="314" spans="1:11" x14ac:dyDescent="0.35">
      <c r="A314" t="s">
        <v>313</v>
      </c>
      <c r="B314" t="s">
        <v>536</v>
      </c>
      <c r="C314" t="s">
        <v>232</v>
      </c>
      <c r="D314" t="s">
        <v>229</v>
      </c>
      <c r="E314">
        <v>0</v>
      </c>
      <c r="F314">
        <v>0</v>
      </c>
      <c r="G314">
        <v>10</v>
      </c>
      <c r="H314">
        <v>33</v>
      </c>
      <c r="I314">
        <v>0</v>
      </c>
      <c r="J314">
        <v>0</v>
      </c>
      <c r="K314">
        <v>10</v>
      </c>
    </row>
    <row r="315" spans="1:11" x14ac:dyDescent="0.35">
      <c r="A315" t="s">
        <v>313</v>
      </c>
      <c r="B315" t="s">
        <v>536</v>
      </c>
      <c r="C315" t="s">
        <v>232</v>
      </c>
      <c r="D315" t="s">
        <v>245</v>
      </c>
      <c r="E315">
        <v>0</v>
      </c>
      <c r="F315">
        <v>0</v>
      </c>
      <c r="G315">
        <v>10</v>
      </c>
      <c r="H315">
        <v>37</v>
      </c>
      <c r="I315">
        <v>0</v>
      </c>
      <c r="J315">
        <v>0</v>
      </c>
      <c r="K315">
        <v>5</v>
      </c>
    </row>
    <row r="316" spans="1:11" x14ac:dyDescent="0.35">
      <c r="A316" t="s">
        <v>313</v>
      </c>
      <c r="B316" t="s">
        <v>536</v>
      </c>
      <c r="C316" t="s">
        <v>232</v>
      </c>
      <c r="D316" t="s">
        <v>250</v>
      </c>
      <c r="E316">
        <v>0</v>
      </c>
      <c r="F316">
        <v>0</v>
      </c>
      <c r="G316">
        <v>10</v>
      </c>
      <c r="H316">
        <v>34</v>
      </c>
      <c r="I316">
        <v>0</v>
      </c>
      <c r="J316">
        <v>0</v>
      </c>
      <c r="K316">
        <v>5</v>
      </c>
    </row>
    <row r="317" spans="1:11" x14ac:dyDescent="0.35">
      <c r="A317" t="s">
        <v>313</v>
      </c>
      <c r="B317" t="s">
        <v>536</v>
      </c>
      <c r="C317" t="s">
        <v>232</v>
      </c>
      <c r="D317" t="s">
        <v>254</v>
      </c>
      <c r="E317">
        <v>0</v>
      </c>
      <c r="F317">
        <v>0</v>
      </c>
      <c r="G317">
        <v>15</v>
      </c>
      <c r="H317">
        <v>49</v>
      </c>
      <c r="I317">
        <v>0</v>
      </c>
      <c r="J317">
        <v>0</v>
      </c>
      <c r="K317">
        <v>15</v>
      </c>
    </row>
    <row r="318" spans="1:11" x14ac:dyDescent="0.35">
      <c r="A318" t="s">
        <v>313</v>
      </c>
      <c r="B318" t="s">
        <v>536</v>
      </c>
      <c r="C318" t="s">
        <v>232</v>
      </c>
      <c r="D318" t="s">
        <v>260</v>
      </c>
      <c r="E318">
        <v>0</v>
      </c>
      <c r="F318">
        <v>0</v>
      </c>
      <c r="G318">
        <v>10</v>
      </c>
      <c r="H318">
        <v>30</v>
      </c>
      <c r="I318">
        <v>0</v>
      </c>
      <c r="J318">
        <v>0</v>
      </c>
      <c r="K318">
        <v>10</v>
      </c>
    </row>
    <row r="319" spans="1:11" x14ac:dyDescent="0.35">
      <c r="A319" t="s">
        <v>313</v>
      </c>
      <c r="B319" t="s">
        <v>536</v>
      </c>
      <c r="C319" t="s">
        <v>232</v>
      </c>
      <c r="D319" t="s">
        <v>271</v>
      </c>
      <c r="E319">
        <v>0</v>
      </c>
      <c r="F319">
        <v>0</v>
      </c>
      <c r="G319">
        <v>114</v>
      </c>
      <c r="H319">
        <v>346</v>
      </c>
      <c r="I319">
        <v>0</v>
      </c>
      <c r="J319">
        <v>0</v>
      </c>
      <c r="K319">
        <v>57</v>
      </c>
    </row>
    <row r="320" spans="1:11" x14ac:dyDescent="0.35">
      <c r="A320" t="s">
        <v>313</v>
      </c>
      <c r="B320" t="s">
        <v>536</v>
      </c>
      <c r="C320" t="s">
        <v>232</v>
      </c>
      <c r="D320" t="s">
        <v>278</v>
      </c>
      <c r="E320">
        <v>0</v>
      </c>
      <c r="F320">
        <v>0</v>
      </c>
      <c r="G320">
        <v>15</v>
      </c>
      <c r="H320">
        <v>45</v>
      </c>
      <c r="I320">
        <v>0</v>
      </c>
      <c r="J320">
        <v>0</v>
      </c>
      <c r="K320">
        <v>10</v>
      </c>
    </row>
    <row r="321" spans="1:11" x14ac:dyDescent="0.35">
      <c r="A321" t="s">
        <v>313</v>
      </c>
      <c r="B321" t="s">
        <v>536</v>
      </c>
      <c r="C321" t="s">
        <v>232</v>
      </c>
      <c r="D321" t="s">
        <v>288</v>
      </c>
      <c r="E321">
        <v>0</v>
      </c>
      <c r="F321">
        <v>0</v>
      </c>
      <c r="G321">
        <v>15</v>
      </c>
      <c r="H321">
        <v>45</v>
      </c>
      <c r="I321">
        <v>0</v>
      </c>
      <c r="J321">
        <v>0</v>
      </c>
      <c r="K321">
        <v>15</v>
      </c>
    </row>
    <row r="322" spans="1:11" x14ac:dyDescent="0.35">
      <c r="A322" t="s">
        <v>313</v>
      </c>
      <c r="B322" t="s">
        <v>536</v>
      </c>
      <c r="C322" t="s">
        <v>232</v>
      </c>
      <c r="D322" t="s">
        <v>290</v>
      </c>
      <c r="E322">
        <v>0</v>
      </c>
      <c r="F322">
        <v>0</v>
      </c>
      <c r="G322">
        <v>37</v>
      </c>
      <c r="H322">
        <v>105</v>
      </c>
      <c r="I322">
        <v>0</v>
      </c>
      <c r="J322">
        <v>0</v>
      </c>
      <c r="K322">
        <v>21</v>
      </c>
    </row>
    <row r="323" spans="1:11" x14ac:dyDescent="0.35">
      <c r="A323" t="s">
        <v>313</v>
      </c>
      <c r="B323" t="s">
        <v>536</v>
      </c>
      <c r="C323" t="s">
        <v>232</v>
      </c>
      <c r="D323" t="s">
        <v>297</v>
      </c>
      <c r="E323">
        <v>0</v>
      </c>
      <c r="F323">
        <v>0</v>
      </c>
      <c r="G323">
        <v>21</v>
      </c>
      <c r="H323">
        <v>66</v>
      </c>
      <c r="I323">
        <v>0</v>
      </c>
      <c r="J323">
        <v>0</v>
      </c>
      <c r="K323">
        <v>15</v>
      </c>
    </row>
    <row r="324" spans="1:11" x14ac:dyDescent="0.35">
      <c r="A324" t="s">
        <v>313</v>
      </c>
      <c r="B324" t="s">
        <v>536</v>
      </c>
      <c r="C324" t="s">
        <v>232</v>
      </c>
      <c r="D324" t="s">
        <v>303</v>
      </c>
      <c r="E324">
        <v>0</v>
      </c>
      <c r="F324">
        <v>0</v>
      </c>
      <c r="G324">
        <v>9</v>
      </c>
      <c r="H324">
        <v>36</v>
      </c>
      <c r="I324">
        <v>0</v>
      </c>
      <c r="J324">
        <v>0</v>
      </c>
      <c r="K324">
        <v>5</v>
      </c>
    </row>
    <row r="325" spans="1:11" x14ac:dyDescent="0.35">
      <c r="A325" t="s">
        <v>313</v>
      </c>
      <c r="B325" t="s">
        <v>536</v>
      </c>
      <c r="C325" t="s">
        <v>232</v>
      </c>
      <c r="D325" t="s">
        <v>305</v>
      </c>
      <c r="E325">
        <v>0</v>
      </c>
      <c r="F325">
        <v>0</v>
      </c>
      <c r="G325">
        <v>37</v>
      </c>
      <c r="H325">
        <v>111</v>
      </c>
      <c r="I325">
        <v>0</v>
      </c>
      <c r="J325">
        <v>0</v>
      </c>
      <c r="K325">
        <v>20</v>
      </c>
    </row>
    <row r="326" spans="1:11" x14ac:dyDescent="0.35">
      <c r="A326" t="s">
        <v>313</v>
      </c>
      <c r="B326" t="s">
        <v>536</v>
      </c>
      <c r="C326" t="s">
        <v>232</v>
      </c>
      <c r="D326" t="s">
        <v>310</v>
      </c>
      <c r="E326">
        <v>0</v>
      </c>
      <c r="F326">
        <v>0</v>
      </c>
      <c r="G326">
        <v>15</v>
      </c>
      <c r="H326">
        <v>48</v>
      </c>
      <c r="I326">
        <v>0</v>
      </c>
      <c r="J326">
        <v>0</v>
      </c>
      <c r="K326">
        <v>10</v>
      </c>
    </row>
    <row r="327" spans="1:11" x14ac:dyDescent="0.35">
      <c r="A327" t="s">
        <v>313</v>
      </c>
      <c r="B327" t="s">
        <v>536</v>
      </c>
      <c r="C327" t="s">
        <v>238</v>
      </c>
      <c r="D327" t="s">
        <v>235</v>
      </c>
      <c r="E327">
        <v>0</v>
      </c>
      <c r="F327">
        <v>0</v>
      </c>
      <c r="G327">
        <v>56</v>
      </c>
      <c r="H327">
        <v>214</v>
      </c>
      <c r="I327">
        <v>0</v>
      </c>
      <c r="J327">
        <v>0</v>
      </c>
      <c r="K327">
        <v>36</v>
      </c>
    </row>
    <row r="328" spans="1:11" x14ac:dyDescent="0.35">
      <c r="A328" t="s">
        <v>313</v>
      </c>
      <c r="B328" t="s">
        <v>536</v>
      </c>
      <c r="C328" t="s">
        <v>238</v>
      </c>
      <c r="D328" t="s">
        <v>241</v>
      </c>
      <c r="E328">
        <v>0</v>
      </c>
      <c r="F328">
        <v>0</v>
      </c>
      <c r="G328">
        <v>5</v>
      </c>
      <c r="H328">
        <v>15</v>
      </c>
      <c r="I328">
        <v>0</v>
      </c>
      <c r="J328">
        <v>0</v>
      </c>
      <c r="K328">
        <v>5</v>
      </c>
    </row>
    <row r="329" spans="1:11" x14ac:dyDescent="0.35">
      <c r="A329" t="s">
        <v>313</v>
      </c>
      <c r="B329" t="s">
        <v>536</v>
      </c>
      <c r="C329" t="s">
        <v>238</v>
      </c>
      <c r="D329" t="s">
        <v>256</v>
      </c>
      <c r="E329">
        <v>0</v>
      </c>
      <c r="F329">
        <v>0</v>
      </c>
      <c r="G329">
        <v>5</v>
      </c>
      <c r="H329">
        <v>15</v>
      </c>
      <c r="I329">
        <v>0</v>
      </c>
      <c r="J329">
        <v>0</v>
      </c>
      <c r="K329">
        <v>5</v>
      </c>
    </row>
    <row r="330" spans="1:11" x14ac:dyDescent="0.35">
      <c r="A330" t="s">
        <v>313</v>
      </c>
      <c r="B330" t="s">
        <v>536</v>
      </c>
      <c r="C330" t="s">
        <v>238</v>
      </c>
      <c r="D330" t="s">
        <v>264</v>
      </c>
      <c r="E330">
        <v>0</v>
      </c>
      <c r="F330">
        <v>0</v>
      </c>
      <c r="G330">
        <v>19</v>
      </c>
      <c r="H330">
        <v>54</v>
      </c>
      <c r="I330">
        <v>0</v>
      </c>
      <c r="J330">
        <v>0</v>
      </c>
      <c r="K330">
        <v>15</v>
      </c>
    </row>
    <row r="331" spans="1:11" x14ac:dyDescent="0.35">
      <c r="A331" t="s">
        <v>313</v>
      </c>
      <c r="B331" t="s">
        <v>536</v>
      </c>
      <c r="C331" t="s">
        <v>238</v>
      </c>
      <c r="D331" t="s">
        <v>268</v>
      </c>
      <c r="E331">
        <v>0</v>
      </c>
      <c r="F331">
        <v>0</v>
      </c>
      <c r="G331">
        <v>51</v>
      </c>
      <c r="H331">
        <v>192</v>
      </c>
      <c r="I331">
        <v>0</v>
      </c>
      <c r="J331">
        <v>0</v>
      </c>
      <c r="K331">
        <v>26</v>
      </c>
    </row>
    <row r="332" spans="1:11" x14ac:dyDescent="0.35">
      <c r="A332" t="s">
        <v>313</v>
      </c>
      <c r="B332" t="s">
        <v>536</v>
      </c>
      <c r="C332" t="s">
        <v>238</v>
      </c>
      <c r="D332" t="s">
        <v>280</v>
      </c>
      <c r="E332">
        <v>0</v>
      </c>
      <c r="F332">
        <v>0</v>
      </c>
      <c r="G332">
        <v>4</v>
      </c>
      <c r="H332">
        <v>17</v>
      </c>
      <c r="I332">
        <v>0</v>
      </c>
      <c r="J332">
        <v>0</v>
      </c>
      <c r="K332">
        <v>5</v>
      </c>
    </row>
    <row r="333" spans="1:11" x14ac:dyDescent="0.35">
      <c r="A333" t="s">
        <v>313</v>
      </c>
      <c r="B333" t="s">
        <v>536</v>
      </c>
      <c r="C333" t="s">
        <v>238</v>
      </c>
      <c r="D333" t="s">
        <v>299</v>
      </c>
      <c r="E333">
        <v>0</v>
      </c>
      <c r="F333">
        <v>0</v>
      </c>
      <c r="G333">
        <v>10</v>
      </c>
      <c r="H333">
        <v>33</v>
      </c>
      <c r="I333">
        <v>0</v>
      </c>
      <c r="J333">
        <v>0</v>
      </c>
      <c r="K333">
        <v>10</v>
      </c>
    </row>
    <row r="334" spans="1:11" x14ac:dyDescent="0.35">
      <c r="A334" t="s">
        <v>313</v>
      </c>
      <c r="B334" t="s">
        <v>536</v>
      </c>
      <c r="C334" t="s">
        <v>238</v>
      </c>
      <c r="D334" t="s">
        <v>308</v>
      </c>
      <c r="E334">
        <v>0</v>
      </c>
      <c r="F334">
        <v>0</v>
      </c>
      <c r="G334">
        <v>10</v>
      </c>
      <c r="H334">
        <v>36</v>
      </c>
      <c r="I334">
        <v>0</v>
      </c>
      <c r="J334">
        <v>0</v>
      </c>
      <c r="K334">
        <v>5</v>
      </c>
    </row>
    <row r="335" spans="1:11" x14ac:dyDescent="0.35">
      <c r="A335" t="s">
        <v>313</v>
      </c>
      <c r="B335" t="s">
        <v>536</v>
      </c>
      <c r="C335" t="s">
        <v>238</v>
      </c>
      <c r="D335" t="s">
        <v>312</v>
      </c>
      <c r="E335">
        <v>0</v>
      </c>
      <c r="F335">
        <v>0</v>
      </c>
      <c r="G335">
        <v>10</v>
      </c>
      <c r="H335">
        <v>38</v>
      </c>
      <c r="I335">
        <v>0</v>
      </c>
      <c r="J335">
        <v>0</v>
      </c>
      <c r="K335">
        <v>10</v>
      </c>
    </row>
    <row r="336" spans="1:11" x14ac:dyDescent="0.35">
      <c r="A336" t="s">
        <v>313</v>
      </c>
      <c r="B336" t="s">
        <v>536</v>
      </c>
      <c r="C336" t="s">
        <v>218</v>
      </c>
      <c r="D336" t="s">
        <v>216</v>
      </c>
      <c r="E336">
        <v>0</v>
      </c>
      <c r="F336">
        <v>0</v>
      </c>
      <c r="G336">
        <v>35</v>
      </c>
      <c r="H336">
        <v>105</v>
      </c>
      <c r="I336">
        <v>0</v>
      </c>
      <c r="J336">
        <v>0</v>
      </c>
      <c r="K336">
        <v>15</v>
      </c>
    </row>
    <row r="337" spans="1:11" x14ac:dyDescent="0.35">
      <c r="A337" t="s">
        <v>313</v>
      </c>
      <c r="B337" t="s">
        <v>536</v>
      </c>
      <c r="C337" t="s">
        <v>218</v>
      </c>
      <c r="D337" t="s">
        <v>221</v>
      </c>
      <c r="E337">
        <v>0</v>
      </c>
      <c r="F337">
        <v>0</v>
      </c>
      <c r="G337">
        <v>4</v>
      </c>
      <c r="H337">
        <v>22</v>
      </c>
      <c r="I337">
        <v>0</v>
      </c>
      <c r="J337">
        <v>0</v>
      </c>
      <c r="K337">
        <v>6</v>
      </c>
    </row>
    <row r="338" spans="1:11" x14ac:dyDescent="0.35">
      <c r="A338" t="s">
        <v>313</v>
      </c>
      <c r="B338" t="s">
        <v>536</v>
      </c>
      <c r="C338" t="s">
        <v>218</v>
      </c>
      <c r="D338" t="s">
        <v>225</v>
      </c>
      <c r="E338">
        <v>0</v>
      </c>
      <c r="F338">
        <v>0</v>
      </c>
      <c r="G338">
        <v>5</v>
      </c>
      <c r="H338">
        <v>17</v>
      </c>
      <c r="I338">
        <v>0</v>
      </c>
      <c r="J338">
        <v>0</v>
      </c>
      <c r="K338">
        <v>5</v>
      </c>
    </row>
    <row r="339" spans="1:11" x14ac:dyDescent="0.35">
      <c r="A339" t="s">
        <v>313</v>
      </c>
      <c r="B339" t="s">
        <v>536</v>
      </c>
      <c r="C339" t="s">
        <v>218</v>
      </c>
      <c r="D339" t="s">
        <v>248</v>
      </c>
      <c r="E339">
        <v>0</v>
      </c>
      <c r="F339">
        <v>0</v>
      </c>
      <c r="G339">
        <v>36</v>
      </c>
      <c r="H339">
        <v>126</v>
      </c>
      <c r="I339">
        <v>0</v>
      </c>
      <c r="J339">
        <v>0</v>
      </c>
      <c r="K339">
        <v>20</v>
      </c>
    </row>
    <row r="340" spans="1:11" x14ac:dyDescent="0.35">
      <c r="A340" t="s">
        <v>313</v>
      </c>
      <c r="B340" t="s">
        <v>536</v>
      </c>
      <c r="C340" t="s">
        <v>218</v>
      </c>
      <c r="D340" t="s">
        <v>274</v>
      </c>
      <c r="E340">
        <v>0</v>
      </c>
      <c r="F340">
        <v>0</v>
      </c>
      <c r="G340">
        <v>14</v>
      </c>
      <c r="H340">
        <v>52</v>
      </c>
      <c r="I340">
        <v>0</v>
      </c>
      <c r="J340">
        <v>0</v>
      </c>
      <c r="K340">
        <v>5</v>
      </c>
    </row>
    <row r="341" spans="1:11" x14ac:dyDescent="0.35">
      <c r="A341" t="s">
        <v>313</v>
      </c>
      <c r="B341" t="s">
        <v>536</v>
      </c>
      <c r="C341" t="s">
        <v>218</v>
      </c>
      <c r="D341" t="s">
        <v>282</v>
      </c>
      <c r="E341">
        <v>0</v>
      </c>
      <c r="F341">
        <v>0</v>
      </c>
      <c r="G341">
        <v>5</v>
      </c>
      <c r="H341">
        <v>20</v>
      </c>
      <c r="I341">
        <v>0</v>
      </c>
      <c r="J341">
        <v>0</v>
      </c>
      <c r="K341">
        <v>5</v>
      </c>
    </row>
    <row r="342" spans="1:11" x14ac:dyDescent="0.35">
      <c r="A342" t="s">
        <v>313</v>
      </c>
      <c r="B342" t="s">
        <v>536</v>
      </c>
      <c r="C342" t="s">
        <v>218</v>
      </c>
      <c r="D342" t="s">
        <v>295</v>
      </c>
      <c r="E342">
        <v>0</v>
      </c>
      <c r="F342">
        <v>0</v>
      </c>
      <c r="G342">
        <v>10</v>
      </c>
      <c r="H342">
        <v>52</v>
      </c>
      <c r="I342">
        <v>0</v>
      </c>
      <c r="J342">
        <v>0</v>
      </c>
      <c r="K342">
        <v>5</v>
      </c>
    </row>
    <row r="343" spans="1:11" x14ac:dyDescent="0.35">
      <c r="A343" t="s">
        <v>313</v>
      </c>
      <c r="B343" t="s">
        <v>539</v>
      </c>
      <c r="D343" t="s">
        <v>314</v>
      </c>
      <c r="E343">
        <v>1</v>
      </c>
      <c r="F343">
        <v>0</v>
      </c>
      <c r="G343">
        <v>6</v>
      </c>
      <c r="H343">
        <v>4</v>
      </c>
      <c r="I343">
        <v>4</v>
      </c>
      <c r="J343">
        <v>12</v>
      </c>
      <c r="K343">
        <v>11</v>
      </c>
    </row>
    <row r="344" spans="1:11" x14ac:dyDescent="0.35">
      <c r="A344" t="s">
        <v>313</v>
      </c>
      <c r="B344" t="s">
        <v>539</v>
      </c>
      <c r="C344" t="s">
        <v>232</v>
      </c>
      <c r="D344" t="s">
        <v>231</v>
      </c>
      <c r="E344">
        <v>1</v>
      </c>
      <c r="F344">
        <v>0</v>
      </c>
      <c r="G344">
        <v>7</v>
      </c>
      <c r="H344">
        <v>2</v>
      </c>
      <c r="I344">
        <v>3</v>
      </c>
      <c r="J344">
        <v>8</v>
      </c>
      <c r="K344">
        <v>7</v>
      </c>
    </row>
    <row r="345" spans="1:11" x14ac:dyDescent="0.35">
      <c r="A345" t="s">
        <v>313</v>
      </c>
      <c r="B345" t="s">
        <v>539</v>
      </c>
      <c r="C345" t="s">
        <v>232</v>
      </c>
      <c r="D345" t="s">
        <v>245</v>
      </c>
      <c r="E345">
        <v>1</v>
      </c>
      <c r="F345">
        <v>0</v>
      </c>
      <c r="G345">
        <v>3</v>
      </c>
      <c r="H345">
        <v>2</v>
      </c>
      <c r="I345">
        <v>2</v>
      </c>
      <c r="J345">
        <v>6</v>
      </c>
      <c r="K345">
        <v>8</v>
      </c>
    </row>
    <row r="346" spans="1:11" x14ac:dyDescent="0.35">
      <c r="A346" t="s">
        <v>313</v>
      </c>
      <c r="B346" t="s">
        <v>539</v>
      </c>
      <c r="C346" t="s">
        <v>232</v>
      </c>
      <c r="D346" t="s">
        <v>252</v>
      </c>
      <c r="E346">
        <v>1</v>
      </c>
      <c r="F346">
        <v>0</v>
      </c>
      <c r="G346">
        <v>5</v>
      </c>
      <c r="H346">
        <v>1</v>
      </c>
      <c r="I346">
        <v>3</v>
      </c>
      <c r="J346">
        <v>10</v>
      </c>
      <c r="K346">
        <v>8</v>
      </c>
    </row>
    <row r="347" spans="1:11" x14ac:dyDescent="0.35">
      <c r="A347" t="s">
        <v>313</v>
      </c>
      <c r="B347" t="s">
        <v>539</v>
      </c>
      <c r="C347" t="s">
        <v>232</v>
      </c>
      <c r="D347" t="s">
        <v>262</v>
      </c>
      <c r="E347">
        <v>1</v>
      </c>
      <c r="F347">
        <v>0</v>
      </c>
      <c r="G347">
        <v>0</v>
      </c>
      <c r="H347">
        <v>1</v>
      </c>
      <c r="I347">
        <v>4</v>
      </c>
      <c r="J347">
        <v>4</v>
      </c>
      <c r="K347">
        <v>3</v>
      </c>
    </row>
    <row r="348" spans="1:11" x14ac:dyDescent="0.35">
      <c r="A348" t="s">
        <v>313</v>
      </c>
      <c r="B348" t="s">
        <v>539</v>
      </c>
      <c r="C348" t="s">
        <v>232</v>
      </c>
      <c r="D348" t="s">
        <v>271</v>
      </c>
      <c r="E348">
        <v>1</v>
      </c>
      <c r="F348">
        <v>0</v>
      </c>
      <c r="G348">
        <v>2</v>
      </c>
      <c r="H348">
        <v>2</v>
      </c>
      <c r="I348">
        <v>5</v>
      </c>
      <c r="J348">
        <v>10</v>
      </c>
      <c r="K348">
        <v>5</v>
      </c>
    </row>
    <row r="349" spans="1:11" x14ac:dyDescent="0.35">
      <c r="A349" t="s">
        <v>313</v>
      </c>
      <c r="B349" t="s">
        <v>539</v>
      </c>
      <c r="C349" t="s">
        <v>232</v>
      </c>
      <c r="D349" t="s">
        <v>290</v>
      </c>
      <c r="E349">
        <v>1</v>
      </c>
      <c r="F349">
        <v>0</v>
      </c>
      <c r="G349">
        <v>2</v>
      </c>
      <c r="H349">
        <v>1</v>
      </c>
      <c r="I349">
        <v>2</v>
      </c>
      <c r="J349">
        <v>5</v>
      </c>
      <c r="K349">
        <v>5</v>
      </c>
    </row>
    <row r="350" spans="1:11" x14ac:dyDescent="0.35">
      <c r="A350" t="s">
        <v>313</v>
      </c>
      <c r="B350" t="s">
        <v>539</v>
      </c>
      <c r="C350" t="s">
        <v>232</v>
      </c>
      <c r="D350" t="s">
        <v>305</v>
      </c>
      <c r="E350">
        <v>1</v>
      </c>
      <c r="F350">
        <v>0</v>
      </c>
      <c r="G350">
        <v>3</v>
      </c>
      <c r="H350">
        <v>0</v>
      </c>
      <c r="I350">
        <v>2</v>
      </c>
      <c r="J350">
        <v>6</v>
      </c>
      <c r="K350">
        <v>4</v>
      </c>
    </row>
    <row r="351" spans="1:11" x14ac:dyDescent="0.35">
      <c r="A351" t="s">
        <v>313</v>
      </c>
      <c r="B351" t="s">
        <v>539</v>
      </c>
      <c r="C351" t="s">
        <v>238</v>
      </c>
      <c r="D351" t="s">
        <v>258</v>
      </c>
      <c r="E351">
        <v>1</v>
      </c>
      <c r="F351">
        <v>0</v>
      </c>
      <c r="G351">
        <v>5</v>
      </c>
      <c r="H351">
        <v>4</v>
      </c>
      <c r="I351">
        <v>3</v>
      </c>
      <c r="J351">
        <v>7</v>
      </c>
      <c r="K351">
        <v>9</v>
      </c>
    </row>
    <row r="352" spans="1:11" x14ac:dyDescent="0.35">
      <c r="A352" t="s">
        <v>313</v>
      </c>
      <c r="B352" t="s">
        <v>539</v>
      </c>
      <c r="C352" t="s">
        <v>238</v>
      </c>
      <c r="D352" t="s">
        <v>237</v>
      </c>
      <c r="E352">
        <v>1</v>
      </c>
      <c r="F352">
        <v>0</v>
      </c>
      <c r="G352">
        <v>4</v>
      </c>
      <c r="H352">
        <v>4</v>
      </c>
      <c r="I352">
        <v>4</v>
      </c>
      <c r="J352">
        <v>5</v>
      </c>
      <c r="K352">
        <v>10</v>
      </c>
    </row>
    <row r="353" spans="1:11" x14ac:dyDescent="0.35">
      <c r="A353" t="s">
        <v>313</v>
      </c>
      <c r="B353" t="s">
        <v>539</v>
      </c>
      <c r="C353" t="s">
        <v>238</v>
      </c>
      <c r="D353" t="s">
        <v>266</v>
      </c>
      <c r="E353">
        <v>1</v>
      </c>
      <c r="F353">
        <v>0</v>
      </c>
      <c r="G353">
        <v>2</v>
      </c>
      <c r="H353">
        <v>2</v>
      </c>
      <c r="I353">
        <v>2</v>
      </c>
      <c r="J353">
        <v>6</v>
      </c>
      <c r="K353">
        <v>6</v>
      </c>
    </row>
    <row r="354" spans="1:11" x14ac:dyDescent="0.35">
      <c r="A354" t="s">
        <v>313</v>
      </c>
      <c r="B354" t="s">
        <v>539</v>
      </c>
      <c r="C354" t="s">
        <v>218</v>
      </c>
      <c r="D354" t="s">
        <v>216</v>
      </c>
      <c r="E354">
        <v>1</v>
      </c>
      <c r="F354">
        <v>0</v>
      </c>
      <c r="G354">
        <v>2</v>
      </c>
      <c r="H354">
        <v>1</v>
      </c>
      <c r="I354">
        <v>2</v>
      </c>
      <c r="J354">
        <v>3</v>
      </c>
      <c r="K354">
        <v>4</v>
      </c>
    </row>
    <row r="355" spans="1:11" x14ac:dyDescent="0.35">
      <c r="A355" t="s">
        <v>313</v>
      </c>
      <c r="B355" t="s">
        <v>539</v>
      </c>
      <c r="C355" t="s">
        <v>218</v>
      </c>
      <c r="D355" t="s">
        <v>223</v>
      </c>
      <c r="E355">
        <v>1</v>
      </c>
      <c r="F355">
        <v>0</v>
      </c>
      <c r="G355">
        <v>4</v>
      </c>
      <c r="H355">
        <v>1</v>
      </c>
      <c r="I355">
        <v>3</v>
      </c>
      <c r="J355">
        <v>9</v>
      </c>
      <c r="K355">
        <v>7</v>
      </c>
    </row>
    <row r="356" spans="1:11" x14ac:dyDescent="0.35">
      <c r="A356" t="s">
        <v>313</v>
      </c>
      <c r="B356" t="s">
        <v>539</v>
      </c>
      <c r="C356" t="s">
        <v>218</v>
      </c>
      <c r="D356" t="s">
        <v>227</v>
      </c>
      <c r="E356">
        <v>1</v>
      </c>
      <c r="F356">
        <v>0</v>
      </c>
      <c r="G356">
        <v>4</v>
      </c>
      <c r="H356">
        <v>2</v>
      </c>
      <c r="I356">
        <v>4</v>
      </c>
      <c r="J356">
        <v>9</v>
      </c>
      <c r="K356">
        <v>11</v>
      </c>
    </row>
    <row r="357" spans="1:11" x14ac:dyDescent="0.35">
      <c r="A357" t="s">
        <v>313</v>
      </c>
      <c r="B357" t="s">
        <v>539</v>
      </c>
      <c r="C357" t="s">
        <v>218</v>
      </c>
      <c r="D357" t="s">
        <v>276</v>
      </c>
      <c r="E357">
        <v>1</v>
      </c>
      <c r="F357">
        <v>0</v>
      </c>
      <c r="G357">
        <v>8</v>
      </c>
      <c r="H357">
        <v>1</v>
      </c>
      <c r="I357">
        <v>4</v>
      </c>
      <c r="J357">
        <v>13</v>
      </c>
      <c r="K357">
        <v>11</v>
      </c>
    </row>
    <row r="358" spans="1:11" x14ac:dyDescent="0.35">
      <c r="A358" t="s">
        <v>313</v>
      </c>
      <c r="B358" t="s">
        <v>539</v>
      </c>
      <c r="C358" t="s">
        <v>218</v>
      </c>
      <c r="D358" t="s">
        <v>286</v>
      </c>
      <c r="E358">
        <v>1</v>
      </c>
      <c r="F358">
        <v>0</v>
      </c>
      <c r="G358">
        <v>1</v>
      </c>
      <c r="H358">
        <v>0</v>
      </c>
      <c r="I358">
        <v>3</v>
      </c>
      <c r="J358">
        <v>5</v>
      </c>
      <c r="K358">
        <v>4</v>
      </c>
    </row>
    <row r="359" spans="1:11" x14ac:dyDescent="0.35">
      <c r="A359" t="s">
        <v>313</v>
      </c>
      <c r="B359" t="s">
        <v>541</v>
      </c>
      <c r="C359" t="s">
        <v>232</v>
      </c>
      <c r="D359" t="s">
        <v>233</v>
      </c>
      <c r="E359">
        <v>3</v>
      </c>
      <c r="F359">
        <v>0</v>
      </c>
      <c r="G359">
        <v>21</v>
      </c>
      <c r="H359">
        <v>0</v>
      </c>
      <c r="I359">
        <v>10</v>
      </c>
      <c r="J359">
        <v>14</v>
      </c>
      <c r="K359">
        <v>55</v>
      </c>
    </row>
    <row r="360" spans="1:11" x14ac:dyDescent="0.35">
      <c r="A360" t="s">
        <v>313</v>
      </c>
      <c r="B360" t="s">
        <v>541</v>
      </c>
      <c r="C360" t="s">
        <v>238</v>
      </c>
      <c r="D360" t="s">
        <v>239</v>
      </c>
      <c r="E360">
        <v>1</v>
      </c>
      <c r="F360">
        <v>0</v>
      </c>
      <c r="G360">
        <v>6</v>
      </c>
      <c r="H360">
        <v>0</v>
      </c>
      <c r="I360">
        <v>4</v>
      </c>
      <c r="J360">
        <v>8</v>
      </c>
      <c r="K360">
        <v>33</v>
      </c>
    </row>
    <row r="361" spans="1:11" x14ac:dyDescent="0.35">
      <c r="A361" t="s">
        <v>313</v>
      </c>
      <c r="B361" t="s">
        <v>541</v>
      </c>
      <c r="C361" t="s">
        <v>218</v>
      </c>
      <c r="D361" t="s">
        <v>219</v>
      </c>
      <c r="E361">
        <v>2</v>
      </c>
      <c r="F361">
        <v>0</v>
      </c>
      <c r="G361">
        <v>6</v>
      </c>
      <c r="H361">
        <v>0</v>
      </c>
      <c r="I361">
        <v>3</v>
      </c>
      <c r="J361">
        <v>7</v>
      </c>
      <c r="K361">
        <v>24</v>
      </c>
    </row>
    <row r="362" spans="1:11" x14ac:dyDescent="0.35">
      <c r="A362" t="s">
        <v>313</v>
      </c>
      <c r="B362" t="s">
        <v>543</v>
      </c>
      <c r="C362" t="s">
        <v>548</v>
      </c>
      <c r="D362" t="s">
        <v>544</v>
      </c>
      <c r="E362">
        <v>9</v>
      </c>
      <c r="F362">
        <v>6</v>
      </c>
      <c r="G362">
        <v>0</v>
      </c>
      <c r="H362">
        <v>49</v>
      </c>
      <c r="I362">
        <v>13</v>
      </c>
      <c r="J362">
        <v>6</v>
      </c>
      <c r="K362">
        <v>7</v>
      </c>
    </row>
    <row r="363" spans="1:11" x14ac:dyDescent="0.35">
      <c r="A363" t="s">
        <v>319</v>
      </c>
      <c r="B363" t="s">
        <v>536</v>
      </c>
      <c r="C363" t="s">
        <v>232</v>
      </c>
      <c r="D363" t="s">
        <v>229</v>
      </c>
      <c r="E363">
        <v>0</v>
      </c>
      <c r="F363">
        <v>0</v>
      </c>
      <c r="G363">
        <v>10</v>
      </c>
      <c r="H363">
        <v>32</v>
      </c>
      <c r="I363">
        <v>0</v>
      </c>
      <c r="J363">
        <v>0</v>
      </c>
      <c r="K363">
        <v>10</v>
      </c>
    </row>
    <row r="364" spans="1:11" x14ac:dyDescent="0.35">
      <c r="A364" t="s">
        <v>319</v>
      </c>
      <c r="B364" t="s">
        <v>536</v>
      </c>
      <c r="C364" t="s">
        <v>232</v>
      </c>
      <c r="D364" t="s">
        <v>245</v>
      </c>
      <c r="E364">
        <v>0</v>
      </c>
      <c r="F364">
        <v>0</v>
      </c>
      <c r="G364">
        <v>10</v>
      </c>
      <c r="H364">
        <v>36</v>
      </c>
      <c r="I364">
        <v>0</v>
      </c>
      <c r="J364">
        <v>0</v>
      </c>
      <c r="K364">
        <v>5</v>
      </c>
    </row>
    <row r="365" spans="1:11" x14ac:dyDescent="0.35">
      <c r="A365" t="s">
        <v>319</v>
      </c>
      <c r="B365" t="s">
        <v>536</v>
      </c>
      <c r="C365" t="s">
        <v>232</v>
      </c>
      <c r="D365" t="s">
        <v>250</v>
      </c>
      <c r="E365">
        <v>0</v>
      </c>
      <c r="F365">
        <v>0</v>
      </c>
      <c r="G365">
        <v>10</v>
      </c>
      <c r="H365">
        <v>32</v>
      </c>
      <c r="I365">
        <v>0</v>
      </c>
      <c r="J365">
        <v>0</v>
      </c>
      <c r="K365">
        <v>5</v>
      </c>
    </row>
    <row r="366" spans="1:11" x14ac:dyDescent="0.35">
      <c r="A366" t="s">
        <v>319</v>
      </c>
      <c r="B366" t="s">
        <v>536</v>
      </c>
      <c r="C366" t="s">
        <v>232</v>
      </c>
      <c r="D366" t="s">
        <v>254</v>
      </c>
      <c r="E366">
        <v>0</v>
      </c>
      <c r="F366">
        <v>0</v>
      </c>
      <c r="G366">
        <v>14</v>
      </c>
      <c r="H366">
        <v>46</v>
      </c>
      <c r="I366">
        <v>0</v>
      </c>
      <c r="J366">
        <v>0</v>
      </c>
      <c r="K366">
        <v>16</v>
      </c>
    </row>
    <row r="367" spans="1:11" x14ac:dyDescent="0.35">
      <c r="A367" t="s">
        <v>319</v>
      </c>
      <c r="B367" t="s">
        <v>536</v>
      </c>
      <c r="C367" t="s">
        <v>232</v>
      </c>
      <c r="D367" t="s">
        <v>260</v>
      </c>
      <c r="E367">
        <v>0</v>
      </c>
      <c r="F367">
        <v>0</v>
      </c>
      <c r="G367">
        <v>10</v>
      </c>
      <c r="H367">
        <v>28</v>
      </c>
      <c r="I367">
        <v>0</v>
      </c>
      <c r="J367">
        <v>0</v>
      </c>
      <c r="K367">
        <v>10</v>
      </c>
    </row>
    <row r="368" spans="1:11" x14ac:dyDescent="0.35">
      <c r="A368" t="s">
        <v>319</v>
      </c>
      <c r="B368" t="s">
        <v>536</v>
      </c>
      <c r="C368" t="s">
        <v>232</v>
      </c>
      <c r="D368" t="s">
        <v>271</v>
      </c>
      <c r="E368">
        <v>0</v>
      </c>
      <c r="F368">
        <v>0</v>
      </c>
      <c r="G368">
        <v>109</v>
      </c>
      <c r="H368">
        <v>335</v>
      </c>
      <c r="I368">
        <v>0</v>
      </c>
      <c r="J368">
        <v>0</v>
      </c>
      <c r="K368">
        <v>55</v>
      </c>
    </row>
    <row r="369" spans="1:11" x14ac:dyDescent="0.35">
      <c r="A369" t="s">
        <v>319</v>
      </c>
      <c r="B369" t="s">
        <v>536</v>
      </c>
      <c r="C369" t="s">
        <v>232</v>
      </c>
      <c r="D369" t="s">
        <v>278</v>
      </c>
      <c r="E369">
        <v>0</v>
      </c>
      <c r="F369">
        <v>0</v>
      </c>
      <c r="G369">
        <v>15</v>
      </c>
      <c r="H369">
        <v>45</v>
      </c>
      <c r="I369">
        <v>0</v>
      </c>
      <c r="J369">
        <v>0</v>
      </c>
      <c r="K369">
        <v>10</v>
      </c>
    </row>
    <row r="370" spans="1:11" x14ac:dyDescent="0.35">
      <c r="A370" t="s">
        <v>319</v>
      </c>
      <c r="B370" t="s">
        <v>536</v>
      </c>
      <c r="C370" t="s">
        <v>232</v>
      </c>
      <c r="D370" t="s">
        <v>288</v>
      </c>
      <c r="E370">
        <v>0</v>
      </c>
      <c r="F370">
        <v>0</v>
      </c>
      <c r="G370">
        <v>15</v>
      </c>
      <c r="H370">
        <v>45</v>
      </c>
      <c r="I370">
        <v>0</v>
      </c>
      <c r="J370">
        <v>0</v>
      </c>
      <c r="K370">
        <v>15</v>
      </c>
    </row>
    <row r="371" spans="1:11" x14ac:dyDescent="0.35">
      <c r="A371" t="s">
        <v>319</v>
      </c>
      <c r="B371" t="s">
        <v>536</v>
      </c>
      <c r="C371" t="s">
        <v>232</v>
      </c>
      <c r="D371" t="s">
        <v>290</v>
      </c>
      <c r="E371">
        <v>0</v>
      </c>
      <c r="F371">
        <v>0</v>
      </c>
      <c r="G371">
        <v>35</v>
      </c>
      <c r="H371">
        <v>105</v>
      </c>
      <c r="I371">
        <v>0</v>
      </c>
      <c r="J371">
        <v>0</v>
      </c>
      <c r="K371">
        <v>20</v>
      </c>
    </row>
    <row r="372" spans="1:11" x14ac:dyDescent="0.35">
      <c r="A372" t="s">
        <v>319</v>
      </c>
      <c r="B372" t="s">
        <v>536</v>
      </c>
      <c r="C372" t="s">
        <v>232</v>
      </c>
      <c r="D372" t="s">
        <v>297</v>
      </c>
      <c r="E372">
        <v>0</v>
      </c>
      <c r="F372">
        <v>0</v>
      </c>
      <c r="G372">
        <v>21</v>
      </c>
      <c r="H372">
        <v>64</v>
      </c>
      <c r="I372">
        <v>0</v>
      </c>
      <c r="J372">
        <v>0</v>
      </c>
      <c r="K372">
        <v>15</v>
      </c>
    </row>
    <row r="373" spans="1:11" x14ac:dyDescent="0.35">
      <c r="A373" t="s">
        <v>319</v>
      </c>
      <c r="B373" t="s">
        <v>536</v>
      </c>
      <c r="C373" t="s">
        <v>232</v>
      </c>
      <c r="D373" t="s">
        <v>303</v>
      </c>
      <c r="E373">
        <v>0</v>
      </c>
      <c r="F373">
        <v>0</v>
      </c>
      <c r="G373">
        <v>10</v>
      </c>
      <c r="H373">
        <v>36</v>
      </c>
      <c r="I373">
        <v>0</v>
      </c>
      <c r="J373">
        <v>0</v>
      </c>
      <c r="K373">
        <v>5</v>
      </c>
    </row>
    <row r="374" spans="1:11" x14ac:dyDescent="0.35">
      <c r="A374" t="s">
        <v>319</v>
      </c>
      <c r="B374" t="s">
        <v>536</v>
      </c>
      <c r="C374" t="s">
        <v>232</v>
      </c>
      <c r="D374" t="s">
        <v>305</v>
      </c>
      <c r="E374">
        <v>0</v>
      </c>
      <c r="F374">
        <v>0</v>
      </c>
      <c r="G374">
        <v>37</v>
      </c>
      <c r="H374">
        <v>111</v>
      </c>
      <c r="I374">
        <v>0</v>
      </c>
      <c r="J374">
        <v>0</v>
      </c>
      <c r="K374">
        <v>20</v>
      </c>
    </row>
    <row r="375" spans="1:11" x14ac:dyDescent="0.35">
      <c r="A375" t="s">
        <v>319</v>
      </c>
      <c r="B375" t="s">
        <v>536</v>
      </c>
      <c r="C375" t="s">
        <v>232</v>
      </c>
      <c r="D375" t="s">
        <v>310</v>
      </c>
      <c r="E375">
        <v>0</v>
      </c>
      <c r="F375">
        <v>0</v>
      </c>
      <c r="G375">
        <v>17</v>
      </c>
      <c r="H375">
        <v>46</v>
      </c>
      <c r="I375">
        <v>0</v>
      </c>
      <c r="J375">
        <v>0</v>
      </c>
      <c r="K375">
        <v>10</v>
      </c>
    </row>
    <row r="376" spans="1:11" x14ac:dyDescent="0.35">
      <c r="A376" t="s">
        <v>319</v>
      </c>
      <c r="B376" t="s">
        <v>536</v>
      </c>
      <c r="C376" t="s">
        <v>238</v>
      </c>
      <c r="D376" t="s">
        <v>235</v>
      </c>
      <c r="E376">
        <v>0</v>
      </c>
      <c r="F376">
        <v>0</v>
      </c>
      <c r="G376">
        <v>58</v>
      </c>
      <c r="H376">
        <v>206</v>
      </c>
      <c r="I376">
        <v>0</v>
      </c>
      <c r="J376">
        <v>0</v>
      </c>
      <c r="K376">
        <v>36</v>
      </c>
    </row>
    <row r="377" spans="1:11" x14ac:dyDescent="0.35">
      <c r="A377" t="s">
        <v>319</v>
      </c>
      <c r="B377" t="s">
        <v>536</v>
      </c>
      <c r="C377" t="s">
        <v>238</v>
      </c>
      <c r="D377" t="s">
        <v>241</v>
      </c>
      <c r="E377">
        <v>0</v>
      </c>
      <c r="F377">
        <v>0</v>
      </c>
      <c r="G377">
        <v>5</v>
      </c>
      <c r="H377">
        <v>13</v>
      </c>
      <c r="I377">
        <v>0</v>
      </c>
      <c r="J377">
        <v>0</v>
      </c>
      <c r="K377">
        <v>6</v>
      </c>
    </row>
    <row r="378" spans="1:11" x14ac:dyDescent="0.35">
      <c r="A378" t="s">
        <v>319</v>
      </c>
      <c r="B378" t="s">
        <v>536</v>
      </c>
      <c r="C378" t="s">
        <v>238</v>
      </c>
      <c r="D378" t="s">
        <v>256</v>
      </c>
      <c r="E378">
        <v>0</v>
      </c>
      <c r="F378">
        <v>0</v>
      </c>
      <c r="G378">
        <v>5</v>
      </c>
      <c r="H378">
        <v>16</v>
      </c>
      <c r="I378">
        <v>0</v>
      </c>
      <c r="J378">
        <v>0</v>
      </c>
      <c r="K378">
        <v>5</v>
      </c>
    </row>
    <row r="379" spans="1:11" x14ac:dyDescent="0.35">
      <c r="A379" t="s">
        <v>319</v>
      </c>
      <c r="B379" t="s">
        <v>536</v>
      </c>
      <c r="C379" t="s">
        <v>238</v>
      </c>
      <c r="D379" t="s">
        <v>264</v>
      </c>
      <c r="E379">
        <v>0</v>
      </c>
      <c r="F379">
        <v>0</v>
      </c>
      <c r="G379">
        <v>20</v>
      </c>
      <c r="H379">
        <v>53</v>
      </c>
      <c r="I379">
        <v>0</v>
      </c>
      <c r="J379">
        <v>0</v>
      </c>
      <c r="K379">
        <v>15</v>
      </c>
    </row>
    <row r="380" spans="1:11" x14ac:dyDescent="0.35">
      <c r="A380" t="s">
        <v>319</v>
      </c>
      <c r="B380" t="s">
        <v>536</v>
      </c>
      <c r="C380" t="s">
        <v>238</v>
      </c>
      <c r="D380" t="s">
        <v>268</v>
      </c>
      <c r="E380">
        <v>0</v>
      </c>
      <c r="F380">
        <v>0</v>
      </c>
      <c r="G380">
        <v>50</v>
      </c>
      <c r="H380">
        <v>179</v>
      </c>
      <c r="I380">
        <v>0</v>
      </c>
      <c r="J380">
        <v>0</v>
      </c>
      <c r="K380">
        <v>25</v>
      </c>
    </row>
    <row r="381" spans="1:11" x14ac:dyDescent="0.35">
      <c r="A381" t="s">
        <v>319</v>
      </c>
      <c r="B381" t="s">
        <v>536</v>
      </c>
      <c r="C381" t="s">
        <v>238</v>
      </c>
      <c r="D381" t="s">
        <v>280</v>
      </c>
      <c r="E381">
        <v>0</v>
      </c>
      <c r="F381">
        <v>0</v>
      </c>
      <c r="G381">
        <v>5</v>
      </c>
      <c r="H381">
        <v>17</v>
      </c>
      <c r="I381">
        <v>0</v>
      </c>
      <c r="J381">
        <v>0</v>
      </c>
      <c r="K381">
        <v>5</v>
      </c>
    </row>
    <row r="382" spans="1:11" x14ac:dyDescent="0.35">
      <c r="A382" t="s">
        <v>319</v>
      </c>
      <c r="B382" t="s">
        <v>536</v>
      </c>
      <c r="C382" t="s">
        <v>238</v>
      </c>
      <c r="D382" t="s">
        <v>299</v>
      </c>
      <c r="E382">
        <v>0</v>
      </c>
      <c r="F382">
        <v>0</v>
      </c>
      <c r="G382">
        <v>8</v>
      </c>
      <c r="H382">
        <v>33</v>
      </c>
      <c r="I382">
        <v>0</v>
      </c>
      <c r="J382">
        <v>0</v>
      </c>
      <c r="K382">
        <v>10</v>
      </c>
    </row>
    <row r="383" spans="1:11" x14ac:dyDescent="0.35">
      <c r="A383" t="s">
        <v>319</v>
      </c>
      <c r="B383" t="s">
        <v>536</v>
      </c>
      <c r="C383" t="s">
        <v>238</v>
      </c>
      <c r="D383" t="s">
        <v>308</v>
      </c>
      <c r="E383">
        <v>0</v>
      </c>
      <c r="F383">
        <v>0</v>
      </c>
      <c r="G383">
        <v>10</v>
      </c>
      <c r="H383">
        <v>37</v>
      </c>
      <c r="I383">
        <v>0</v>
      </c>
      <c r="J383">
        <v>0</v>
      </c>
      <c r="K383">
        <v>5</v>
      </c>
    </row>
    <row r="384" spans="1:11" x14ac:dyDescent="0.35">
      <c r="A384" t="s">
        <v>319</v>
      </c>
      <c r="B384" t="s">
        <v>536</v>
      </c>
      <c r="C384" t="s">
        <v>238</v>
      </c>
      <c r="D384" t="s">
        <v>312</v>
      </c>
      <c r="E384">
        <v>0</v>
      </c>
      <c r="F384">
        <v>0</v>
      </c>
      <c r="G384">
        <v>11</v>
      </c>
      <c r="H384">
        <v>36</v>
      </c>
      <c r="I384">
        <v>0</v>
      </c>
      <c r="J384">
        <v>0</v>
      </c>
      <c r="K384">
        <v>10</v>
      </c>
    </row>
    <row r="385" spans="1:11" x14ac:dyDescent="0.35">
      <c r="A385" t="s">
        <v>319</v>
      </c>
      <c r="B385" t="s">
        <v>536</v>
      </c>
      <c r="C385" t="s">
        <v>218</v>
      </c>
      <c r="D385" t="s">
        <v>216</v>
      </c>
      <c r="E385">
        <v>0</v>
      </c>
      <c r="F385">
        <v>0</v>
      </c>
      <c r="G385">
        <v>35</v>
      </c>
      <c r="H385">
        <v>99</v>
      </c>
      <c r="I385">
        <v>0</v>
      </c>
      <c r="J385">
        <v>0</v>
      </c>
      <c r="K385">
        <v>15</v>
      </c>
    </row>
    <row r="386" spans="1:11" x14ac:dyDescent="0.35">
      <c r="A386" t="s">
        <v>319</v>
      </c>
      <c r="B386" t="s">
        <v>536</v>
      </c>
      <c r="C386" t="s">
        <v>218</v>
      </c>
      <c r="D386" t="s">
        <v>221</v>
      </c>
      <c r="E386">
        <v>0</v>
      </c>
      <c r="F386">
        <v>0</v>
      </c>
      <c r="G386">
        <v>5</v>
      </c>
      <c r="H386">
        <v>19</v>
      </c>
      <c r="I386">
        <v>0</v>
      </c>
      <c r="J386">
        <v>0</v>
      </c>
      <c r="K386">
        <v>5</v>
      </c>
    </row>
    <row r="387" spans="1:11" x14ac:dyDescent="0.35">
      <c r="A387" t="s">
        <v>319</v>
      </c>
      <c r="B387" t="s">
        <v>536</v>
      </c>
      <c r="C387" t="s">
        <v>218</v>
      </c>
      <c r="D387" t="s">
        <v>225</v>
      </c>
      <c r="E387">
        <v>0</v>
      </c>
      <c r="F387">
        <v>0</v>
      </c>
      <c r="G387">
        <v>5</v>
      </c>
      <c r="H387">
        <v>17</v>
      </c>
      <c r="I387">
        <v>0</v>
      </c>
      <c r="J387">
        <v>0</v>
      </c>
      <c r="K387">
        <v>5</v>
      </c>
    </row>
    <row r="388" spans="1:11" x14ac:dyDescent="0.35">
      <c r="A388" t="s">
        <v>319</v>
      </c>
      <c r="B388" t="s">
        <v>536</v>
      </c>
      <c r="C388" t="s">
        <v>218</v>
      </c>
      <c r="D388" t="s">
        <v>248</v>
      </c>
      <c r="E388">
        <v>0</v>
      </c>
      <c r="F388">
        <v>0</v>
      </c>
      <c r="G388">
        <v>36</v>
      </c>
      <c r="H388">
        <v>127</v>
      </c>
      <c r="I388">
        <v>0</v>
      </c>
      <c r="J388">
        <v>0</v>
      </c>
      <c r="K388">
        <v>19</v>
      </c>
    </row>
    <row r="389" spans="1:11" x14ac:dyDescent="0.35">
      <c r="A389" t="s">
        <v>319</v>
      </c>
      <c r="B389" t="s">
        <v>536</v>
      </c>
      <c r="C389" t="s">
        <v>218</v>
      </c>
      <c r="D389" t="s">
        <v>274</v>
      </c>
      <c r="E389">
        <v>0</v>
      </c>
      <c r="F389">
        <v>0</v>
      </c>
      <c r="G389">
        <v>15</v>
      </c>
      <c r="H389">
        <v>54</v>
      </c>
      <c r="I389">
        <v>0</v>
      </c>
      <c r="J389">
        <v>0</v>
      </c>
      <c r="K389">
        <v>5</v>
      </c>
    </row>
    <row r="390" spans="1:11" x14ac:dyDescent="0.35">
      <c r="A390" t="s">
        <v>319</v>
      </c>
      <c r="B390" t="s">
        <v>536</v>
      </c>
      <c r="C390" t="s">
        <v>218</v>
      </c>
      <c r="D390" t="s">
        <v>282</v>
      </c>
      <c r="E390">
        <v>0</v>
      </c>
      <c r="F390">
        <v>0</v>
      </c>
      <c r="G390">
        <v>5</v>
      </c>
      <c r="H390">
        <v>20</v>
      </c>
      <c r="I390">
        <v>0</v>
      </c>
      <c r="J390">
        <v>0</v>
      </c>
      <c r="K390">
        <v>5</v>
      </c>
    </row>
    <row r="391" spans="1:11" x14ac:dyDescent="0.35">
      <c r="A391" t="s">
        <v>319</v>
      </c>
      <c r="B391" t="s">
        <v>536</v>
      </c>
      <c r="C391" t="s">
        <v>218</v>
      </c>
      <c r="D391" t="s">
        <v>295</v>
      </c>
      <c r="E391">
        <v>0</v>
      </c>
      <c r="F391">
        <v>0</v>
      </c>
      <c r="G391">
        <v>10</v>
      </c>
      <c r="H391">
        <v>48</v>
      </c>
      <c r="I391">
        <v>0</v>
      </c>
      <c r="J391">
        <v>0</v>
      </c>
      <c r="K391">
        <v>5</v>
      </c>
    </row>
    <row r="392" spans="1:11" x14ac:dyDescent="0.35">
      <c r="A392" t="s">
        <v>319</v>
      </c>
      <c r="B392" t="s">
        <v>539</v>
      </c>
      <c r="D392" t="s">
        <v>314</v>
      </c>
      <c r="E392">
        <v>1</v>
      </c>
      <c r="F392">
        <v>0</v>
      </c>
      <c r="G392">
        <v>6</v>
      </c>
      <c r="H392">
        <v>4</v>
      </c>
      <c r="I392">
        <v>4</v>
      </c>
      <c r="J392">
        <v>11</v>
      </c>
      <c r="K392">
        <v>11</v>
      </c>
    </row>
    <row r="393" spans="1:11" x14ac:dyDescent="0.35">
      <c r="A393" t="s">
        <v>319</v>
      </c>
      <c r="B393" t="s">
        <v>539</v>
      </c>
      <c r="C393" t="s">
        <v>232</v>
      </c>
      <c r="D393" t="s">
        <v>231</v>
      </c>
      <c r="E393">
        <v>1</v>
      </c>
      <c r="F393">
        <v>0</v>
      </c>
      <c r="G393">
        <v>6</v>
      </c>
      <c r="H393">
        <v>2</v>
      </c>
      <c r="I393">
        <v>3</v>
      </c>
      <c r="J393">
        <v>7</v>
      </c>
      <c r="K393">
        <v>7</v>
      </c>
    </row>
    <row r="394" spans="1:11" x14ac:dyDescent="0.35">
      <c r="A394" t="s">
        <v>319</v>
      </c>
      <c r="B394" t="s">
        <v>539</v>
      </c>
      <c r="C394" t="s">
        <v>232</v>
      </c>
      <c r="D394" t="s">
        <v>245</v>
      </c>
      <c r="E394">
        <v>1</v>
      </c>
      <c r="F394">
        <v>0</v>
      </c>
      <c r="G394">
        <v>4</v>
      </c>
      <c r="H394">
        <v>2</v>
      </c>
      <c r="I394">
        <v>2</v>
      </c>
      <c r="J394">
        <v>6</v>
      </c>
      <c r="K394">
        <v>6</v>
      </c>
    </row>
    <row r="395" spans="1:11" x14ac:dyDescent="0.35">
      <c r="A395" t="s">
        <v>319</v>
      </c>
      <c r="B395" t="s">
        <v>539</v>
      </c>
      <c r="C395" t="s">
        <v>232</v>
      </c>
      <c r="D395" t="s">
        <v>252</v>
      </c>
      <c r="E395">
        <v>1</v>
      </c>
      <c r="F395">
        <v>0</v>
      </c>
      <c r="G395">
        <v>5</v>
      </c>
      <c r="H395">
        <v>1</v>
      </c>
      <c r="I395">
        <v>3</v>
      </c>
      <c r="J395">
        <v>9</v>
      </c>
      <c r="K395">
        <v>8</v>
      </c>
    </row>
    <row r="396" spans="1:11" x14ac:dyDescent="0.35">
      <c r="A396" t="s">
        <v>319</v>
      </c>
      <c r="B396" t="s">
        <v>539</v>
      </c>
      <c r="C396" t="s">
        <v>232</v>
      </c>
      <c r="D396" t="s">
        <v>262</v>
      </c>
      <c r="E396">
        <v>1</v>
      </c>
      <c r="F396">
        <v>0</v>
      </c>
      <c r="G396">
        <v>2</v>
      </c>
      <c r="H396">
        <v>1</v>
      </c>
      <c r="I396">
        <v>4</v>
      </c>
      <c r="J396">
        <v>5</v>
      </c>
      <c r="K396">
        <v>4</v>
      </c>
    </row>
    <row r="397" spans="1:11" x14ac:dyDescent="0.35">
      <c r="A397" t="s">
        <v>319</v>
      </c>
      <c r="B397" t="s">
        <v>539</v>
      </c>
      <c r="C397" t="s">
        <v>232</v>
      </c>
      <c r="D397" t="s">
        <v>271</v>
      </c>
      <c r="E397">
        <v>1</v>
      </c>
      <c r="F397">
        <v>0</v>
      </c>
      <c r="G397">
        <v>2</v>
      </c>
      <c r="H397">
        <v>2</v>
      </c>
      <c r="I397">
        <v>5</v>
      </c>
      <c r="J397">
        <v>9</v>
      </c>
      <c r="K397">
        <v>7</v>
      </c>
    </row>
    <row r="398" spans="1:11" x14ac:dyDescent="0.35">
      <c r="A398" t="s">
        <v>319</v>
      </c>
      <c r="B398" t="s">
        <v>539</v>
      </c>
      <c r="C398" t="s">
        <v>232</v>
      </c>
      <c r="D398" t="s">
        <v>290</v>
      </c>
      <c r="E398">
        <v>1</v>
      </c>
      <c r="F398">
        <v>0</v>
      </c>
      <c r="G398">
        <v>2</v>
      </c>
      <c r="H398">
        <v>0</v>
      </c>
      <c r="I398">
        <v>2</v>
      </c>
      <c r="J398">
        <v>5</v>
      </c>
      <c r="K398">
        <v>5</v>
      </c>
    </row>
    <row r="399" spans="1:11" x14ac:dyDescent="0.35">
      <c r="A399" t="s">
        <v>319</v>
      </c>
      <c r="B399" t="s">
        <v>539</v>
      </c>
      <c r="C399" t="s">
        <v>232</v>
      </c>
      <c r="D399" t="s">
        <v>305</v>
      </c>
      <c r="E399">
        <v>1</v>
      </c>
      <c r="F399">
        <v>0</v>
      </c>
      <c r="G399">
        <v>3</v>
      </c>
      <c r="H399">
        <v>0</v>
      </c>
      <c r="I399">
        <v>2</v>
      </c>
      <c r="J399">
        <v>6</v>
      </c>
      <c r="K399">
        <v>4</v>
      </c>
    </row>
    <row r="400" spans="1:11" x14ac:dyDescent="0.35">
      <c r="A400" t="s">
        <v>319</v>
      </c>
      <c r="B400" t="s">
        <v>539</v>
      </c>
      <c r="C400" t="s">
        <v>238</v>
      </c>
      <c r="D400" t="s">
        <v>258</v>
      </c>
      <c r="E400">
        <v>1</v>
      </c>
      <c r="F400">
        <v>0</v>
      </c>
      <c r="G400">
        <v>3</v>
      </c>
      <c r="H400">
        <v>4</v>
      </c>
      <c r="I400">
        <v>3</v>
      </c>
      <c r="J400">
        <v>7</v>
      </c>
      <c r="K400">
        <v>10</v>
      </c>
    </row>
    <row r="401" spans="1:11" x14ac:dyDescent="0.35">
      <c r="A401" t="s">
        <v>319</v>
      </c>
      <c r="B401" t="s">
        <v>539</v>
      </c>
      <c r="C401" t="s">
        <v>238</v>
      </c>
      <c r="D401" t="s">
        <v>237</v>
      </c>
      <c r="E401">
        <v>1</v>
      </c>
      <c r="F401">
        <v>0</v>
      </c>
      <c r="G401">
        <v>3</v>
      </c>
      <c r="H401">
        <v>4</v>
      </c>
      <c r="I401">
        <v>3</v>
      </c>
      <c r="J401">
        <v>7</v>
      </c>
      <c r="K401">
        <v>10</v>
      </c>
    </row>
    <row r="402" spans="1:11" x14ac:dyDescent="0.35">
      <c r="A402" t="s">
        <v>319</v>
      </c>
      <c r="B402" t="s">
        <v>539</v>
      </c>
      <c r="C402" t="s">
        <v>238</v>
      </c>
      <c r="D402" t="s">
        <v>266</v>
      </c>
      <c r="E402">
        <v>1</v>
      </c>
      <c r="F402">
        <v>0</v>
      </c>
      <c r="G402">
        <v>3</v>
      </c>
      <c r="H402">
        <v>2</v>
      </c>
      <c r="I402">
        <v>2</v>
      </c>
      <c r="J402">
        <v>5</v>
      </c>
      <c r="K402">
        <v>6</v>
      </c>
    </row>
    <row r="403" spans="1:11" x14ac:dyDescent="0.35">
      <c r="A403" t="s">
        <v>319</v>
      </c>
      <c r="B403" t="s">
        <v>539</v>
      </c>
      <c r="C403" t="s">
        <v>218</v>
      </c>
      <c r="D403" t="s">
        <v>216</v>
      </c>
      <c r="E403">
        <v>1</v>
      </c>
      <c r="F403">
        <v>0</v>
      </c>
      <c r="G403">
        <v>1</v>
      </c>
      <c r="H403">
        <v>1</v>
      </c>
      <c r="I403">
        <v>2</v>
      </c>
      <c r="J403">
        <v>3</v>
      </c>
      <c r="K403">
        <v>4</v>
      </c>
    </row>
    <row r="404" spans="1:11" x14ac:dyDescent="0.35">
      <c r="A404" t="s">
        <v>319</v>
      </c>
      <c r="B404" t="s">
        <v>539</v>
      </c>
      <c r="C404" t="s">
        <v>218</v>
      </c>
      <c r="D404" t="s">
        <v>223</v>
      </c>
      <c r="E404">
        <v>1</v>
      </c>
      <c r="F404">
        <v>0</v>
      </c>
      <c r="G404">
        <v>4</v>
      </c>
      <c r="H404">
        <v>1</v>
      </c>
      <c r="I404">
        <v>3</v>
      </c>
      <c r="J404">
        <v>9</v>
      </c>
      <c r="K404">
        <v>8</v>
      </c>
    </row>
    <row r="405" spans="1:11" x14ac:dyDescent="0.35">
      <c r="A405" t="s">
        <v>319</v>
      </c>
      <c r="B405" t="s">
        <v>539</v>
      </c>
      <c r="C405" t="s">
        <v>218</v>
      </c>
      <c r="D405" t="s">
        <v>227</v>
      </c>
      <c r="E405">
        <v>1</v>
      </c>
      <c r="F405">
        <v>0</v>
      </c>
      <c r="G405">
        <v>4</v>
      </c>
      <c r="H405">
        <v>1</v>
      </c>
      <c r="I405">
        <v>4</v>
      </c>
      <c r="J405">
        <v>8</v>
      </c>
      <c r="K405">
        <v>10</v>
      </c>
    </row>
    <row r="406" spans="1:11" x14ac:dyDescent="0.35">
      <c r="A406" t="s">
        <v>319</v>
      </c>
      <c r="B406" t="s">
        <v>539</v>
      </c>
      <c r="C406" t="s">
        <v>218</v>
      </c>
      <c r="D406" t="s">
        <v>276</v>
      </c>
      <c r="E406">
        <v>1</v>
      </c>
      <c r="F406">
        <v>0</v>
      </c>
      <c r="G406">
        <v>7</v>
      </c>
      <c r="H406">
        <v>1</v>
      </c>
      <c r="I406">
        <v>4</v>
      </c>
      <c r="J406">
        <v>12</v>
      </c>
      <c r="K406">
        <v>10</v>
      </c>
    </row>
    <row r="407" spans="1:11" x14ac:dyDescent="0.35">
      <c r="A407" t="s">
        <v>319</v>
      </c>
      <c r="B407" t="s">
        <v>539</v>
      </c>
      <c r="C407" t="s">
        <v>218</v>
      </c>
      <c r="D407" t="s">
        <v>286</v>
      </c>
      <c r="E407">
        <v>1</v>
      </c>
      <c r="F407">
        <v>0</v>
      </c>
      <c r="G407">
        <v>0</v>
      </c>
      <c r="H407">
        <v>0</v>
      </c>
      <c r="I407">
        <v>3</v>
      </c>
      <c r="J407">
        <v>7</v>
      </c>
      <c r="K407">
        <v>4</v>
      </c>
    </row>
    <row r="408" spans="1:11" x14ac:dyDescent="0.35">
      <c r="A408" t="s">
        <v>319</v>
      </c>
      <c r="B408" t="s">
        <v>541</v>
      </c>
      <c r="C408" t="s">
        <v>232</v>
      </c>
      <c r="D408" t="s">
        <v>233</v>
      </c>
      <c r="E408">
        <v>3</v>
      </c>
      <c r="F408">
        <v>0</v>
      </c>
      <c r="G408">
        <v>17</v>
      </c>
      <c r="H408">
        <v>25</v>
      </c>
      <c r="I408">
        <v>5</v>
      </c>
      <c r="J408">
        <v>5</v>
      </c>
      <c r="K408">
        <v>36</v>
      </c>
    </row>
    <row r="409" spans="1:11" x14ac:dyDescent="0.35">
      <c r="A409" t="s">
        <v>319</v>
      </c>
      <c r="B409" t="s">
        <v>541</v>
      </c>
      <c r="C409" t="s">
        <v>238</v>
      </c>
      <c r="D409" t="s">
        <v>239</v>
      </c>
      <c r="E409">
        <v>1</v>
      </c>
      <c r="F409">
        <v>0</v>
      </c>
      <c r="G409">
        <v>6</v>
      </c>
      <c r="H409">
        <v>20</v>
      </c>
      <c r="I409">
        <v>2</v>
      </c>
      <c r="J409">
        <v>5</v>
      </c>
      <c r="K409">
        <v>32</v>
      </c>
    </row>
    <row r="410" spans="1:11" x14ac:dyDescent="0.35">
      <c r="A410" t="s">
        <v>319</v>
      </c>
      <c r="B410" t="s">
        <v>541</v>
      </c>
      <c r="C410" t="s">
        <v>218</v>
      </c>
      <c r="D410" t="s">
        <v>219</v>
      </c>
      <c r="E410">
        <v>2</v>
      </c>
      <c r="F410">
        <v>0</v>
      </c>
      <c r="G410">
        <v>13</v>
      </c>
      <c r="H410">
        <v>13</v>
      </c>
      <c r="I410">
        <v>2</v>
      </c>
      <c r="J410">
        <v>6</v>
      </c>
      <c r="K410">
        <v>19</v>
      </c>
    </row>
    <row r="411" spans="1:11" x14ac:dyDescent="0.35">
      <c r="A411" t="s">
        <v>319</v>
      </c>
      <c r="B411" t="s">
        <v>543</v>
      </c>
      <c r="C411" t="s">
        <v>548</v>
      </c>
      <c r="D411" t="s">
        <v>544</v>
      </c>
      <c r="E411">
        <v>13</v>
      </c>
      <c r="F411">
        <v>5</v>
      </c>
      <c r="G411">
        <v>0</v>
      </c>
      <c r="H411">
        <v>1</v>
      </c>
      <c r="I411">
        <v>21</v>
      </c>
      <c r="J411">
        <v>20</v>
      </c>
      <c r="K411">
        <v>30</v>
      </c>
    </row>
    <row r="412" spans="1:11" x14ac:dyDescent="0.35">
      <c r="A412" t="s">
        <v>321</v>
      </c>
      <c r="B412" t="s">
        <v>536</v>
      </c>
      <c r="D412" t="s">
        <v>216</v>
      </c>
      <c r="E412">
        <v>0</v>
      </c>
      <c r="F412">
        <v>0</v>
      </c>
      <c r="G412">
        <v>35</v>
      </c>
      <c r="H412">
        <v>103</v>
      </c>
      <c r="I412">
        <v>0</v>
      </c>
      <c r="J412">
        <v>0</v>
      </c>
      <c r="K412">
        <v>16</v>
      </c>
    </row>
    <row r="413" spans="1:11" x14ac:dyDescent="0.35">
      <c r="A413" t="s">
        <v>321</v>
      </c>
      <c r="B413" t="s">
        <v>536</v>
      </c>
      <c r="D413" t="s">
        <v>221</v>
      </c>
      <c r="E413">
        <v>0</v>
      </c>
      <c r="F413">
        <v>0</v>
      </c>
      <c r="G413">
        <v>5</v>
      </c>
      <c r="H413">
        <v>18</v>
      </c>
      <c r="I413">
        <v>0</v>
      </c>
      <c r="J413">
        <v>0</v>
      </c>
      <c r="K413">
        <v>5</v>
      </c>
    </row>
    <row r="414" spans="1:11" x14ac:dyDescent="0.35">
      <c r="A414" t="s">
        <v>321</v>
      </c>
      <c r="B414" t="s">
        <v>536</v>
      </c>
      <c r="D414" t="s">
        <v>225</v>
      </c>
      <c r="E414">
        <v>0</v>
      </c>
      <c r="F414">
        <v>0</v>
      </c>
      <c r="G414">
        <v>5</v>
      </c>
      <c r="H414">
        <v>16</v>
      </c>
      <c r="I414">
        <v>0</v>
      </c>
      <c r="J414">
        <v>0</v>
      </c>
      <c r="K414">
        <v>5</v>
      </c>
    </row>
    <row r="415" spans="1:11" x14ac:dyDescent="0.35">
      <c r="A415" t="s">
        <v>321</v>
      </c>
      <c r="B415" t="s">
        <v>536</v>
      </c>
      <c r="D415" t="s">
        <v>229</v>
      </c>
      <c r="E415">
        <v>0</v>
      </c>
      <c r="F415">
        <v>0</v>
      </c>
      <c r="G415">
        <v>8</v>
      </c>
      <c r="H415">
        <v>28</v>
      </c>
      <c r="I415">
        <v>0</v>
      </c>
      <c r="J415">
        <v>0</v>
      </c>
      <c r="K415">
        <v>10</v>
      </c>
    </row>
    <row r="416" spans="1:11" x14ac:dyDescent="0.35">
      <c r="A416" t="s">
        <v>321</v>
      </c>
      <c r="B416" t="s">
        <v>536</v>
      </c>
      <c r="D416" t="s">
        <v>245</v>
      </c>
      <c r="E416">
        <v>0</v>
      </c>
      <c r="F416">
        <v>0</v>
      </c>
      <c r="G416">
        <v>10</v>
      </c>
      <c r="H416">
        <v>35</v>
      </c>
      <c r="I416">
        <v>0</v>
      </c>
      <c r="J416">
        <v>0</v>
      </c>
      <c r="K416">
        <v>5</v>
      </c>
    </row>
    <row r="417" spans="1:11" x14ac:dyDescent="0.35">
      <c r="A417" t="s">
        <v>321</v>
      </c>
      <c r="B417" t="s">
        <v>536</v>
      </c>
      <c r="D417" t="s">
        <v>248</v>
      </c>
      <c r="E417">
        <v>0</v>
      </c>
      <c r="F417">
        <v>0</v>
      </c>
      <c r="G417">
        <v>35</v>
      </c>
      <c r="H417">
        <v>119</v>
      </c>
      <c r="I417">
        <v>0</v>
      </c>
      <c r="J417">
        <v>0</v>
      </c>
      <c r="K417">
        <v>20</v>
      </c>
    </row>
    <row r="418" spans="1:11" x14ac:dyDescent="0.35">
      <c r="A418" t="s">
        <v>321</v>
      </c>
      <c r="B418" t="s">
        <v>536</v>
      </c>
      <c r="D418" t="s">
        <v>250</v>
      </c>
      <c r="E418">
        <v>0</v>
      </c>
      <c r="F418">
        <v>0</v>
      </c>
      <c r="G418">
        <v>10</v>
      </c>
      <c r="H418">
        <v>31</v>
      </c>
      <c r="I418">
        <v>0</v>
      </c>
      <c r="J418">
        <v>0</v>
      </c>
      <c r="K418">
        <v>5</v>
      </c>
    </row>
    <row r="419" spans="1:11" x14ac:dyDescent="0.35">
      <c r="A419" t="s">
        <v>321</v>
      </c>
      <c r="B419" t="s">
        <v>536</v>
      </c>
      <c r="D419" t="s">
        <v>254</v>
      </c>
      <c r="E419">
        <v>0</v>
      </c>
      <c r="F419">
        <v>0</v>
      </c>
      <c r="G419">
        <v>13</v>
      </c>
      <c r="H419">
        <v>46</v>
      </c>
      <c r="I419">
        <v>0</v>
      </c>
      <c r="J419">
        <v>0</v>
      </c>
      <c r="K419">
        <v>16</v>
      </c>
    </row>
    <row r="420" spans="1:11" x14ac:dyDescent="0.35">
      <c r="A420" t="s">
        <v>321</v>
      </c>
      <c r="B420" t="s">
        <v>536</v>
      </c>
      <c r="D420" t="s">
        <v>260</v>
      </c>
      <c r="E420">
        <v>0</v>
      </c>
      <c r="F420">
        <v>0</v>
      </c>
      <c r="G420">
        <v>7</v>
      </c>
      <c r="H420">
        <v>30</v>
      </c>
      <c r="I420">
        <v>0</v>
      </c>
      <c r="J420">
        <v>0</v>
      </c>
      <c r="K420">
        <v>10</v>
      </c>
    </row>
    <row r="421" spans="1:11" x14ac:dyDescent="0.35">
      <c r="A421" t="s">
        <v>321</v>
      </c>
      <c r="B421" t="s">
        <v>536</v>
      </c>
      <c r="D421" t="s">
        <v>271</v>
      </c>
      <c r="E421">
        <v>0</v>
      </c>
      <c r="F421">
        <v>0</v>
      </c>
      <c r="G421">
        <v>106</v>
      </c>
      <c r="H421">
        <v>332</v>
      </c>
      <c r="I421">
        <v>0</v>
      </c>
      <c r="J421">
        <v>0</v>
      </c>
      <c r="K421">
        <v>55</v>
      </c>
    </row>
    <row r="422" spans="1:11" x14ac:dyDescent="0.35">
      <c r="A422" t="s">
        <v>321</v>
      </c>
      <c r="B422" t="s">
        <v>536</v>
      </c>
      <c r="D422" t="s">
        <v>274</v>
      </c>
      <c r="E422">
        <v>0</v>
      </c>
      <c r="F422">
        <v>0</v>
      </c>
      <c r="G422">
        <v>15</v>
      </c>
      <c r="H422">
        <v>50</v>
      </c>
      <c r="I422">
        <v>0</v>
      </c>
      <c r="J422">
        <v>0</v>
      </c>
      <c r="K422">
        <v>5</v>
      </c>
    </row>
    <row r="423" spans="1:11" x14ac:dyDescent="0.35">
      <c r="A423" t="s">
        <v>321</v>
      </c>
      <c r="B423" t="s">
        <v>536</v>
      </c>
      <c r="D423" t="s">
        <v>278</v>
      </c>
      <c r="E423">
        <v>0</v>
      </c>
      <c r="F423">
        <v>0</v>
      </c>
      <c r="G423">
        <v>12</v>
      </c>
      <c r="H423">
        <v>46</v>
      </c>
      <c r="I423">
        <v>0</v>
      </c>
      <c r="J423">
        <v>0</v>
      </c>
      <c r="K423">
        <v>10</v>
      </c>
    </row>
    <row r="424" spans="1:11" x14ac:dyDescent="0.35">
      <c r="A424" t="s">
        <v>321</v>
      </c>
      <c r="B424" t="s">
        <v>536</v>
      </c>
      <c r="D424" t="s">
        <v>282</v>
      </c>
      <c r="E424">
        <v>0</v>
      </c>
      <c r="F424">
        <v>0</v>
      </c>
      <c r="G424">
        <v>5</v>
      </c>
      <c r="H424">
        <v>20</v>
      </c>
      <c r="I424">
        <v>0</v>
      </c>
      <c r="J424">
        <v>0</v>
      </c>
      <c r="K424">
        <v>5</v>
      </c>
    </row>
    <row r="425" spans="1:11" x14ac:dyDescent="0.35">
      <c r="A425" t="s">
        <v>321</v>
      </c>
      <c r="B425" t="s">
        <v>536</v>
      </c>
      <c r="D425" t="s">
        <v>288</v>
      </c>
      <c r="E425">
        <v>0</v>
      </c>
      <c r="F425">
        <v>0</v>
      </c>
      <c r="G425">
        <v>14</v>
      </c>
      <c r="H425">
        <v>46</v>
      </c>
      <c r="I425">
        <v>0</v>
      </c>
      <c r="J425">
        <v>0</v>
      </c>
      <c r="K425">
        <v>14</v>
      </c>
    </row>
    <row r="426" spans="1:11" x14ac:dyDescent="0.35">
      <c r="A426" t="s">
        <v>321</v>
      </c>
      <c r="B426" t="s">
        <v>536</v>
      </c>
      <c r="D426" t="s">
        <v>290</v>
      </c>
      <c r="E426">
        <v>0</v>
      </c>
      <c r="F426">
        <v>0</v>
      </c>
      <c r="G426">
        <v>37</v>
      </c>
      <c r="H426">
        <v>100</v>
      </c>
      <c r="I426">
        <v>0</v>
      </c>
      <c r="J426">
        <v>0</v>
      </c>
      <c r="K426">
        <v>19</v>
      </c>
    </row>
    <row r="427" spans="1:11" x14ac:dyDescent="0.35">
      <c r="A427" t="s">
        <v>321</v>
      </c>
      <c r="B427" t="s">
        <v>536</v>
      </c>
      <c r="D427" t="s">
        <v>295</v>
      </c>
      <c r="E427">
        <v>0</v>
      </c>
      <c r="F427">
        <v>0</v>
      </c>
      <c r="G427">
        <v>9</v>
      </c>
      <c r="H427">
        <v>53</v>
      </c>
      <c r="I427">
        <v>0</v>
      </c>
      <c r="J427">
        <v>0</v>
      </c>
      <c r="K427">
        <v>4</v>
      </c>
    </row>
    <row r="428" spans="1:11" x14ac:dyDescent="0.35">
      <c r="A428" t="s">
        <v>321</v>
      </c>
      <c r="B428" t="s">
        <v>536</v>
      </c>
      <c r="D428" t="s">
        <v>297</v>
      </c>
      <c r="E428">
        <v>0</v>
      </c>
      <c r="F428">
        <v>0</v>
      </c>
      <c r="G428">
        <v>19</v>
      </c>
      <c r="H428">
        <v>63</v>
      </c>
      <c r="I428">
        <v>0</v>
      </c>
      <c r="J428">
        <v>0</v>
      </c>
      <c r="K428">
        <v>17</v>
      </c>
    </row>
    <row r="429" spans="1:11" x14ac:dyDescent="0.35">
      <c r="A429" t="s">
        <v>321</v>
      </c>
      <c r="B429" t="s">
        <v>536</v>
      </c>
      <c r="D429" t="s">
        <v>303</v>
      </c>
      <c r="E429">
        <v>0</v>
      </c>
      <c r="F429">
        <v>0</v>
      </c>
      <c r="G429">
        <v>10</v>
      </c>
      <c r="H429">
        <v>32</v>
      </c>
      <c r="I429">
        <v>0</v>
      </c>
      <c r="J429">
        <v>0</v>
      </c>
      <c r="K429">
        <v>5</v>
      </c>
    </row>
    <row r="430" spans="1:11" x14ac:dyDescent="0.35">
      <c r="A430" t="s">
        <v>321</v>
      </c>
      <c r="B430" t="s">
        <v>536</v>
      </c>
      <c r="D430" t="s">
        <v>305</v>
      </c>
      <c r="E430">
        <v>0</v>
      </c>
      <c r="F430">
        <v>0</v>
      </c>
      <c r="G430">
        <v>36</v>
      </c>
      <c r="H430">
        <v>99</v>
      </c>
      <c r="I430">
        <v>0</v>
      </c>
      <c r="J430">
        <v>0</v>
      </c>
      <c r="K430">
        <v>20</v>
      </c>
    </row>
    <row r="431" spans="1:11" x14ac:dyDescent="0.35">
      <c r="A431" t="s">
        <v>321</v>
      </c>
      <c r="B431" t="s">
        <v>536</v>
      </c>
      <c r="D431" t="s">
        <v>308</v>
      </c>
      <c r="E431">
        <v>0</v>
      </c>
      <c r="F431">
        <v>0</v>
      </c>
      <c r="G431">
        <v>1</v>
      </c>
      <c r="H431">
        <v>0</v>
      </c>
      <c r="I431">
        <v>0</v>
      </c>
      <c r="J431">
        <v>0</v>
      </c>
      <c r="K431">
        <v>0</v>
      </c>
    </row>
    <row r="432" spans="1:11" x14ac:dyDescent="0.35">
      <c r="A432" t="s">
        <v>321</v>
      </c>
      <c r="B432" t="s">
        <v>536</v>
      </c>
      <c r="D432" t="s">
        <v>310</v>
      </c>
      <c r="E432">
        <v>0</v>
      </c>
      <c r="F432">
        <v>0</v>
      </c>
      <c r="G432">
        <v>11</v>
      </c>
      <c r="H432">
        <v>47</v>
      </c>
      <c r="I432">
        <v>0</v>
      </c>
      <c r="J432">
        <v>0</v>
      </c>
      <c r="K432">
        <v>11</v>
      </c>
    </row>
    <row r="433" spans="1:11" x14ac:dyDescent="0.35">
      <c r="A433" t="s">
        <v>321</v>
      </c>
      <c r="B433" t="s">
        <v>536</v>
      </c>
      <c r="C433" t="s">
        <v>238</v>
      </c>
      <c r="D433" t="s">
        <v>235</v>
      </c>
      <c r="E433">
        <v>0</v>
      </c>
      <c r="F433">
        <v>0</v>
      </c>
      <c r="G433">
        <v>58</v>
      </c>
      <c r="H433">
        <v>202</v>
      </c>
      <c r="I433">
        <v>0</v>
      </c>
      <c r="J433">
        <v>0</v>
      </c>
      <c r="K433">
        <v>35</v>
      </c>
    </row>
    <row r="434" spans="1:11" x14ac:dyDescent="0.35">
      <c r="A434" t="s">
        <v>321</v>
      </c>
      <c r="B434" t="s">
        <v>536</v>
      </c>
      <c r="C434" t="s">
        <v>238</v>
      </c>
      <c r="D434" t="s">
        <v>241</v>
      </c>
      <c r="E434">
        <v>0</v>
      </c>
      <c r="F434">
        <v>0</v>
      </c>
      <c r="G434">
        <v>4</v>
      </c>
      <c r="H434">
        <v>15</v>
      </c>
      <c r="I434">
        <v>0</v>
      </c>
      <c r="J434">
        <v>0</v>
      </c>
      <c r="K434">
        <v>5</v>
      </c>
    </row>
    <row r="435" spans="1:11" x14ac:dyDescent="0.35">
      <c r="A435" t="s">
        <v>321</v>
      </c>
      <c r="B435" t="s">
        <v>536</v>
      </c>
      <c r="C435" t="s">
        <v>238</v>
      </c>
      <c r="D435" t="s">
        <v>256</v>
      </c>
      <c r="E435">
        <v>0</v>
      </c>
      <c r="F435">
        <v>0</v>
      </c>
      <c r="G435">
        <v>4</v>
      </c>
      <c r="H435">
        <v>14</v>
      </c>
      <c r="I435">
        <v>0</v>
      </c>
      <c r="J435">
        <v>0</v>
      </c>
      <c r="K435">
        <v>6</v>
      </c>
    </row>
    <row r="436" spans="1:11" x14ac:dyDescent="0.35">
      <c r="A436" t="s">
        <v>321</v>
      </c>
      <c r="B436" t="s">
        <v>536</v>
      </c>
      <c r="C436" t="s">
        <v>238</v>
      </c>
      <c r="D436" t="s">
        <v>264</v>
      </c>
      <c r="E436">
        <v>0</v>
      </c>
      <c r="F436">
        <v>0</v>
      </c>
      <c r="G436">
        <v>19</v>
      </c>
      <c r="H436">
        <v>53</v>
      </c>
      <c r="I436">
        <v>0</v>
      </c>
      <c r="J436">
        <v>0</v>
      </c>
      <c r="K436">
        <v>15</v>
      </c>
    </row>
    <row r="437" spans="1:11" x14ac:dyDescent="0.35">
      <c r="A437" t="s">
        <v>321</v>
      </c>
      <c r="B437" t="s">
        <v>536</v>
      </c>
      <c r="C437" t="s">
        <v>238</v>
      </c>
      <c r="D437" t="s">
        <v>268</v>
      </c>
      <c r="E437">
        <v>0</v>
      </c>
      <c r="F437">
        <v>0</v>
      </c>
      <c r="G437">
        <v>50</v>
      </c>
      <c r="H437">
        <v>179</v>
      </c>
      <c r="I437">
        <v>0</v>
      </c>
      <c r="J437">
        <v>0</v>
      </c>
      <c r="K437">
        <v>25</v>
      </c>
    </row>
    <row r="438" spans="1:11" x14ac:dyDescent="0.35">
      <c r="A438" t="s">
        <v>321</v>
      </c>
      <c r="B438" t="s">
        <v>536</v>
      </c>
      <c r="C438" t="s">
        <v>238</v>
      </c>
      <c r="D438" t="s">
        <v>280</v>
      </c>
      <c r="E438">
        <v>0</v>
      </c>
      <c r="F438">
        <v>0</v>
      </c>
      <c r="G438">
        <v>4</v>
      </c>
      <c r="H438">
        <v>17</v>
      </c>
      <c r="I438">
        <v>0</v>
      </c>
      <c r="J438">
        <v>0</v>
      </c>
      <c r="K438">
        <v>5</v>
      </c>
    </row>
    <row r="439" spans="1:11" x14ac:dyDescent="0.35">
      <c r="A439" t="s">
        <v>321</v>
      </c>
      <c r="B439" t="s">
        <v>536</v>
      </c>
      <c r="C439" t="s">
        <v>238</v>
      </c>
      <c r="D439" t="s">
        <v>299</v>
      </c>
      <c r="E439">
        <v>0</v>
      </c>
      <c r="F439">
        <v>0</v>
      </c>
      <c r="G439">
        <v>10</v>
      </c>
      <c r="H439">
        <v>33</v>
      </c>
      <c r="I439">
        <v>0</v>
      </c>
      <c r="J439">
        <v>0</v>
      </c>
      <c r="K439">
        <v>10</v>
      </c>
    </row>
    <row r="440" spans="1:11" x14ac:dyDescent="0.35">
      <c r="A440" t="s">
        <v>321</v>
      </c>
      <c r="B440" t="s">
        <v>536</v>
      </c>
      <c r="C440" t="s">
        <v>238</v>
      </c>
      <c r="D440" t="s">
        <v>308</v>
      </c>
      <c r="E440">
        <v>0</v>
      </c>
      <c r="F440">
        <v>0</v>
      </c>
      <c r="G440">
        <v>10</v>
      </c>
      <c r="H440">
        <v>33</v>
      </c>
      <c r="I440">
        <v>0</v>
      </c>
      <c r="J440">
        <v>0</v>
      </c>
      <c r="K440">
        <v>5</v>
      </c>
    </row>
    <row r="441" spans="1:11" x14ac:dyDescent="0.35">
      <c r="A441" t="s">
        <v>321</v>
      </c>
      <c r="B441" t="s">
        <v>536</v>
      </c>
      <c r="C441" t="s">
        <v>238</v>
      </c>
      <c r="D441" t="s">
        <v>312</v>
      </c>
      <c r="E441">
        <v>0</v>
      </c>
      <c r="F441">
        <v>0</v>
      </c>
      <c r="G441">
        <v>10</v>
      </c>
      <c r="H441">
        <v>38</v>
      </c>
      <c r="I441">
        <v>0</v>
      </c>
      <c r="J441">
        <v>0</v>
      </c>
      <c r="K441">
        <v>10</v>
      </c>
    </row>
    <row r="442" spans="1:11" x14ac:dyDescent="0.35">
      <c r="A442" t="s">
        <v>321</v>
      </c>
      <c r="B442" t="s">
        <v>539</v>
      </c>
      <c r="D442" t="s">
        <v>323</v>
      </c>
      <c r="E442">
        <v>1</v>
      </c>
      <c r="F442">
        <v>0</v>
      </c>
      <c r="G442">
        <v>5</v>
      </c>
      <c r="H442">
        <v>2</v>
      </c>
      <c r="I442">
        <v>4</v>
      </c>
      <c r="J442">
        <v>12</v>
      </c>
      <c r="K442">
        <v>12</v>
      </c>
    </row>
    <row r="443" spans="1:11" x14ac:dyDescent="0.35">
      <c r="A443" t="s">
        <v>321</v>
      </c>
      <c r="B443" t="s">
        <v>539</v>
      </c>
      <c r="D443" t="s">
        <v>231</v>
      </c>
      <c r="E443">
        <v>1</v>
      </c>
      <c r="F443">
        <v>0</v>
      </c>
      <c r="G443">
        <v>6</v>
      </c>
      <c r="H443">
        <v>2</v>
      </c>
      <c r="I443">
        <v>4</v>
      </c>
      <c r="J443">
        <v>8</v>
      </c>
      <c r="K443">
        <v>7</v>
      </c>
    </row>
    <row r="444" spans="1:11" x14ac:dyDescent="0.35">
      <c r="A444" t="s">
        <v>321</v>
      </c>
      <c r="B444" t="s">
        <v>539</v>
      </c>
      <c r="D444" t="s">
        <v>245</v>
      </c>
      <c r="E444">
        <v>1</v>
      </c>
      <c r="F444">
        <v>0</v>
      </c>
      <c r="G444">
        <v>4</v>
      </c>
      <c r="H444">
        <v>2</v>
      </c>
      <c r="I444">
        <v>2</v>
      </c>
      <c r="J444">
        <v>6</v>
      </c>
      <c r="K444">
        <v>7</v>
      </c>
    </row>
    <row r="445" spans="1:11" x14ac:dyDescent="0.35">
      <c r="A445" t="s">
        <v>321</v>
      </c>
      <c r="B445" t="s">
        <v>539</v>
      </c>
      <c r="D445" t="s">
        <v>227</v>
      </c>
      <c r="E445">
        <v>1</v>
      </c>
      <c r="F445">
        <v>0</v>
      </c>
      <c r="G445">
        <v>5</v>
      </c>
      <c r="H445">
        <v>2</v>
      </c>
      <c r="I445">
        <v>4</v>
      </c>
      <c r="J445">
        <v>8</v>
      </c>
      <c r="K445">
        <v>11</v>
      </c>
    </row>
    <row r="446" spans="1:11" x14ac:dyDescent="0.35">
      <c r="A446" t="s">
        <v>321</v>
      </c>
      <c r="B446" t="s">
        <v>539</v>
      </c>
      <c r="D446" t="s">
        <v>252</v>
      </c>
      <c r="E446">
        <v>1</v>
      </c>
      <c r="F446">
        <v>0</v>
      </c>
      <c r="G446">
        <v>3</v>
      </c>
      <c r="H446">
        <v>1</v>
      </c>
      <c r="I446">
        <v>3</v>
      </c>
      <c r="J446">
        <v>11</v>
      </c>
      <c r="K446">
        <v>8</v>
      </c>
    </row>
    <row r="447" spans="1:11" x14ac:dyDescent="0.35">
      <c r="A447" t="s">
        <v>321</v>
      </c>
      <c r="B447" t="s">
        <v>539</v>
      </c>
      <c r="D447" t="s">
        <v>258</v>
      </c>
      <c r="E447">
        <v>1</v>
      </c>
      <c r="F447">
        <v>0</v>
      </c>
      <c r="G447">
        <v>6</v>
      </c>
      <c r="H447">
        <v>4</v>
      </c>
      <c r="I447">
        <v>3</v>
      </c>
      <c r="J447">
        <v>7</v>
      </c>
      <c r="K447">
        <v>8</v>
      </c>
    </row>
    <row r="448" spans="1:11" x14ac:dyDescent="0.35">
      <c r="A448" t="s">
        <v>321</v>
      </c>
      <c r="B448" t="s">
        <v>539</v>
      </c>
      <c r="D448" t="s">
        <v>262</v>
      </c>
      <c r="E448">
        <v>1</v>
      </c>
      <c r="F448">
        <v>0</v>
      </c>
      <c r="G448">
        <v>3</v>
      </c>
      <c r="H448">
        <v>1</v>
      </c>
      <c r="I448">
        <v>3</v>
      </c>
      <c r="J448">
        <v>6</v>
      </c>
      <c r="K448">
        <v>5</v>
      </c>
    </row>
    <row r="449" spans="1:11" x14ac:dyDescent="0.35">
      <c r="A449" t="s">
        <v>321</v>
      </c>
      <c r="B449" t="s">
        <v>539</v>
      </c>
      <c r="D449" t="s">
        <v>237</v>
      </c>
      <c r="E449">
        <v>1</v>
      </c>
      <c r="F449">
        <v>0</v>
      </c>
      <c r="G449">
        <v>3</v>
      </c>
      <c r="H449">
        <v>4</v>
      </c>
      <c r="I449">
        <v>3</v>
      </c>
      <c r="J449">
        <v>7</v>
      </c>
      <c r="K449">
        <v>9</v>
      </c>
    </row>
    <row r="450" spans="1:11" x14ac:dyDescent="0.35">
      <c r="A450" t="s">
        <v>321</v>
      </c>
      <c r="B450" t="s">
        <v>539</v>
      </c>
      <c r="D450" t="s">
        <v>266</v>
      </c>
      <c r="E450">
        <v>1</v>
      </c>
      <c r="F450">
        <v>0</v>
      </c>
      <c r="G450">
        <v>3</v>
      </c>
      <c r="H450">
        <v>2</v>
      </c>
      <c r="I450">
        <v>2</v>
      </c>
      <c r="J450">
        <v>4</v>
      </c>
      <c r="K450">
        <v>6</v>
      </c>
    </row>
    <row r="451" spans="1:11" x14ac:dyDescent="0.35">
      <c r="A451" t="s">
        <v>321</v>
      </c>
      <c r="B451" t="s">
        <v>539</v>
      </c>
      <c r="D451" t="s">
        <v>271</v>
      </c>
      <c r="E451">
        <v>1</v>
      </c>
      <c r="F451">
        <v>0</v>
      </c>
      <c r="G451">
        <v>1</v>
      </c>
      <c r="H451">
        <v>1</v>
      </c>
      <c r="I451">
        <v>4</v>
      </c>
      <c r="J451">
        <v>9</v>
      </c>
      <c r="K451">
        <v>7</v>
      </c>
    </row>
    <row r="452" spans="1:11" x14ac:dyDescent="0.35">
      <c r="A452" t="s">
        <v>321</v>
      </c>
      <c r="B452" t="s">
        <v>539</v>
      </c>
      <c r="D452" t="s">
        <v>276</v>
      </c>
      <c r="E452">
        <v>1</v>
      </c>
      <c r="F452">
        <v>0</v>
      </c>
      <c r="G452">
        <v>6</v>
      </c>
      <c r="H452">
        <v>2</v>
      </c>
      <c r="I452">
        <v>4</v>
      </c>
      <c r="J452">
        <v>10</v>
      </c>
      <c r="K452">
        <v>10</v>
      </c>
    </row>
    <row r="453" spans="1:11" x14ac:dyDescent="0.35">
      <c r="A453" t="s">
        <v>321</v>
      </c>
      <c r="B453" t="s">
        <v>539</v>
      </c>
      <c r="D453" t="s">
        <v>325</v>
      </c>
      <c r="E453">
        <v>1</v>
      </c>
      <c r="F453">
        <v>0</v>
      </c>
      <c r="G453">
        <v>4</v>
      </c>
      <c r="H453">
        <v>1</v>
      </c>
      <c r="I453">
        <v>3</v>
      </c>
      <c r="J453">
        <v>11</v>
      </c>
      <c r="K453">
        <v>10</v>
      </c>
    </row>
    <row r="454" spans="1:11" x14ac:dyDescent="0.35">
      <c r="A454" t="s">
        <v>321</v>
      </c>
      <c r="B454" t="s">
        <v>539</v>
      </c>
      <c r="D454" t="s">
        <v>314</v>
      </c>
      <c r="E454">
        <v>1</v>
      </c>
      <c r="F454">
        <v>0</v>
      </c>
      <c r="G454">
        <v>7</v>
      </c>
      <c r="H454">
        <v>3</v>
      </c>
      <c r="I454">
        <v>4</v>
      </c>
      <c r="J454">
        <v>13</v>
      </c>
      <c r="K454">
        <v>10</v>
      </c>
    </row>
    <row r="455" spans="1:11" x14ac:dyDescent="0.35">
      <c r="A455" t="s">
        <v>321</v>
      </c>
      <c r="B455" t="s">
        <v>539</v>
      </c>
      <c r="D455" t="s">
        <v>286</v>
      </c>
      <c r="E455">
        <v>1</v>
      </c>
      <c r="F455">
        <v>0</v>
      </c>
      <c r="G455">
        <v>0</v>
      </c>
      <c r="H455">
        <v>0</v>
      </c>
      <c r="I455">
        <v>4</v>
      </c>
      <c r="J455">
        <v>7</v>
      </c>
      <c r="K455">
        <v>5</v>
      </c>
    </row>
    <row r="456" spans="1:11" x14ac:dyDescent="0.35">
      <c r="A456" t="s">
        <v>321</v>
      </c>
      <c r="B456" t="s">
        <v>541</v>
      </c>
      <c r="D456" t="s">
        <v>219</v>
      </c>
      <c r="E456">
        <v>2</v>
      </c>
      <c r="F456">
        <v>0</v>
      </c>
      <c r="G456">
        <v>10</v>
      </c>
      <c r="H456">
        <v>10</v>
      </c>
      <c r="I456">
        <v>2</v>
      </c>
      <c r="J456">
        <v>7</v>
      </c>
      <c r="K456">
        <v>17</v>
      </c>
    </row>
    <row r="457" spans="1:11" x14ac:dyDescent="0.35">
      <c r="A457" t="s">
        <v>321</v>
      </c>
      <c r="B457" t="s">
        <v>541</v>
      </c>
      <c r="D457" t="s">
        <v>233</v>
      </c>
      <c r="E457">
        <v>2</v>
      </c>
      <c r="F457">
        <v>0</v>
      </c>
      <c r="G457">
        <v>16</v>
      </c>
      <c r="H457">
        <v>34</v>
      </c>
      <c r="I457">
        <v>5</v>
      </c>
      <c r="J457">
        <v>7</v>
      </c>
      <c r="K457">
        <v>43</v>
      </c>
    </row>
    <row r="458" spans="1:11" x14ac:dyDescent="0.35">
      <c r="A458" t="s">
        <v>321</v>
      </c>
      <c r="B458" t="s">
        <v>541</v>
      </c>
      <c r="C458" t="s">
        <v>238</v>
      </c>
      <c r="D458" t="s">
        <v>239</v>
      </c>
      <c r="E458">
        <v>1</v>
      </c>
      <c r="F458">
        <v>0</v>
      </c>
      <c r="G458">
        <v>6</v>
      </c>
      <c r="H458">
        <v>21</v>
      </c>
      <c r="I458">
        <v>2</v>
      </c>
      <c r="J458">
        <v>5</v>
      </c>
      <c r="K458">
        <v>31</v>
      </c>
    </row>
    <row r="459" spans="1:11" x14ac:dyDescent="0.35">
      <c r="A459" t="s">
        <v>321</v>
      </c>
      <c r="B459" t="s">
        <v>543</v>
      </c>
      <c r="C459" t="s">
        <v>548</v>
      </c>
      <c r="D459" t="s">
        <v>544</v>
      </c>
      <c r="E459">
        <v>16</v>
      </c>
      <c r="F459">
        <v>5</v>
      </c>
      <c r="G459">
        <v>0</v>
      </c>
      <c r="H459">
        <v>0</v>
      </c>
      <c r="I459">
        <v>20</v>
      </c>
      <c r="J459">
        <v>19</v>
      </c>
      <c r="K459">
        <v>28</v>
      </c>
    </row>
    <row r="460" spans="1:11" x14ac:dyDescent="0.35">
      <c r="A460" t="s">
        <v>326</v>
      </c>
      <c r="B460" t="s">
        <v>536</v>
      </c>
      <c r="D460" t="s">
        <v>216</v>
      </c>
      <c r="E460">
        <v>0</v>
      </c>
      <c r="F460">
        <v>0</v>
      </c>
      <c r="G460">
        <v>32</v>
      </c>
      <c r="H460">
        <v>103</v>
      </c>
      <c r="I460">
        <v>0</v>
      </c>
      <c r="J460">
        <v>0</v>
      </c>
      <c r="K460">
        <v>20</v>
      </c>
    </row>
    <row r="461" spans="1:11" x14ac:dyDescent="0.35">
      <c r="A461" t="s">
        <v>326</v>
      </c>
      <c r="B461" t="s">
        <v>536</v>
      </c>
      <c r="D461" t="s">
        <v>221</v>
      </c>
      <c r="E461">
        <v>0</v>
      </c>
      <c r="F461">
        <v>0</v>
      </c>
      <c r="G461">
        <v>5</v>
      </c>
      <c r="H461">
        <v>18</v>
      </c>
      <c r="I461">
        <v>0</v>
      </c>
      <c r="J461">
        <v>0</v>
      </c>
      <c r="K461">
        <v>5</v>
      </c>
    </row>
    <row r="462" spans="1:11" x14ac:dyDescent="0.35">
      <c r="A462" t="s">
        <v>326</v>
      </c>
      <c r="B462" t="s">
        <v>536</v>
      </c>
      <c r="D462" t="s">
        <v>225</v>
      </c>
      <c r="E462">
        <v>0</v>
      </c>
      <c r="F462">
        <v>0</v>
      </c>
      <c r="G462">
        <v>5</v>
      </c>
      <c r="H462">
        <v>14</v>
      </c>
      <c r="I462">
        <v>0</v>
      </c>
      <c r="J462">
        <v>0</v>
      </c>
      <c r="K462">
        <v>5</v>
      </c>
    </row>
    <row r="463" spans="1:11" x14ac:dyDescent="0.35">
      <c r="A463" t="s">
        <v>326</v>
      </c>
      <c r="B463" t="s">
        <v>536</v>
      </c>
      <c r="D463" t="s">
        <v>229</v>
      </c>
      <c r="E463">
        <v>0</v>
      </c>
      <c r="F463">
        <v>0</v>
      </c>
      <c r="G463">
        <v>11</v>
      </c>
      <c r="H463">
        <v>29</v>
      </c>
      <c r="I463">
        <v>0</v>
      </c>
      <c r="J463">
        <v>0</v>
      </c>
      <c r="K463">
        <v>10</v>
      </c>
    </row>
    <row r="464" spans="1:11" x14ac:dyDescent="0.35">
      <c r="A464" t="s">
        <v>326</v>
      </c>
      <c r="B464" t="s">
        <v>536</v>
      </c>
      <c r="D464" t="s">
        <v>245</v>
      </c>
      <c r="E464">
        <v>0</v>
      </c>
      <c r="F464">
        <v>0</v>
      </c>
      <c r="G464">
        <v>9</v>
      </c>
      <c r="H464">
        <v>37</v>
      </c>
      <c r="I464">
        <v>0</v>
      </c>
      <c r="J464">
        <v>0</v>
      </c>
      <c r="K464">
        <v>5</v>
      </c>
    </row>
    <row r="465" spans="1:11" x14ac:dyDescent="0.35">
      <c r="A465" t="s">
        <v>326</v>
      </c>
      <c r="B465" t="s">
        <v>536</v>
      </c>
      <c r="D465" t="s">
        <v>248</v>
      </c>
      <c r="E465">
        <v>0</v>
      </c>
      <c r="F465">
        <v>0</v>
      </c>
      <c r="G465">
        <v>37</v>
      </c>
      <c r="H465">
        <v>112</v>
      </c>
      <c r="I465">
        <v>0</v>
      </c>
      <c r="J465">
        <v>0</v>
      </c>
      <c r="K465">
        <v>20</v>
      </c>
    </row>
    <row r="466" spans="1:11" x14ac:dyDescent="0.35">
      <c r="A466" t="s">
        <v>326</v>
      </c>
      <c r="B466" t="s">
        <v>536</v>
      </c>
      <c r="D466" t="s">
        <v>250</v>
      </c>
      <c r="E466">
        <v>0</v>
      </c>
      <c r="F466">
        <v>0</v>
      </c>
      <c r="G466">
        <v>8</v>
      </c>
      <c r="H466">
        <v>34</v>
      </c>
      <c r="I466">
        <v>0</v>
      </c>
      <c r="J466">
        <v>0</v>
      </c>
      <c r="K466">
        <v>5</v>
      </c>
    </row>
    <row r="467" spans="1:11" x14ac:dyDescent="0.35">
      <c r="A467" t="s">
        <v>326</v>
      </c>
      <c r="B467" t="s">
        <v>536</v>
      </c>
      <c r="D467" t="s">
        <v>254</v>
      </c>
      <c r="E467">
        <v>0</v>
      </c>
      <c r="F467">
        <v>0</v>
      </c>
      <c r="G467">
        <v>12</v>
      </c>
      <c r="H467">
        <v>44</v>
      </c>
      <c r="I467">
        <v>0</v>
      </c>
      <c r="J467">
        <v>0</v>
      </c>
      <c r="K467">
        <v>15</v>
      </c>
    </row>
    <row r="468" spans="1:11" x14ac:dyDescent="0.35">
      <c r="A468" t="s">
        <v>326</v>
      </c>
      <c r="B468" t="s">
        <v>536</v>
      </c>
      <c r="D468" t="s">
        <v>260</v>
      </c>
      <c r="E468">
        <v>0</v>
      </c>
      <c r="F468">
        <v>0</v>
      </c>
      <c r="G468">
        <v>10</v>
      </c>
      <c r="H468">
        <v>27</v>
      </c>
      <c r="I468">
        <v>0</v>
      </c>
      <c r="J468">
        <v>0</v>
      </c>
      <c r="K468">
        <v>10</v>
      </c>
    </row>
    <row r="469" spans="1:11" x14ac:dyDescent="0.35">
      <c r="A469" t="s">
        <v>326</v>
      </c>
      <c r="B469" t="s">
        <v>536</v>
      </c>
      <c r="D469" t="s">
        <v>271</v>
      </c>
      <c r="E469">
        <v>0</v>
      </c>
      <c r="F469">
        <v>0</v>
      </c>
      <c r="G469">
        <v>108</v>
      </c>
      <c r="H469">
        <v>317</v>
      </c>
      <c r="I469">
        <v>0</v>
      </c>
      <c r="J469">
        <v>0</v>
      </c>
      <c r="K469">
        <v>66</v>
      </c>
    </row>
    <row r="470" spans="1:11" x14ac:dyDescent="0.35">
      <c r="A470" t="s">
        <v>326</v>
      </c>
      <c r="B470" t="s">
        <v>536</v>
      </c>
      <c r="D470" t="s">
        <v>274</v>
      </c>
      <c r="E470">
        <v>0</v>
      </c>
      <c r="F470">
        <v>0</v>
      </c>
      <c r="G470">
        <v>7</v>
      </c>
      <c r="H470">
        <v>0</v>
      </c>
      <c r="I470">
        <v>0</v>
      </c>
      <c r="J470">
        <v>0</v>
      </c>
      <c r="K470">
        <v>4</v>
      </c>
    </row>
    <row r="471" spans="1:11" x14ac:dyDescent="0.35">
      <c r="A471" t="s">
        <v>326</v>
      </c>
      <c r="B471" t="s">
        <v>536</v>
      </c>
      <c r="D471" t="s">
        <v>274</v>
      </c>
      <c r="E471">
        <v>0</v>
      </c>
      <c r="F471">
        <v>0</v>
      </c>
      <c r="G471">
        <v>16</v>
      </c>
      <c r="H471">
        <v>51</v>
      </c>
      <c r="I471">
        <v>0</v>
      </c>
      <c r="J471">
        <v>0</v>
      </c>
      <c r="K471">
        <v>6</v>
      </c>
    </row>
    <row r="472" spans="1:11" x14ac:dyDescent="0.35">
      <c r="A472" t="s">
        <v>326</v>
      </c>
      <c r="B472" t="s">
        <v>536</v>
      </c>
      <c r="D472" t="s">
        <v>278</v>
      </c>
      <c r="E472">
        <v>0</v>
      </c>
      <c r="F472">
        <v>0</v>
      </c>
      <c r="G472">
        <v>14</v>
      </c>
      <c r="H472">
        <v>43</v>
      </c>
      <c r="I472">
        <v>0</v>
      </c>
      <c r="J472">
        <v>0</v>
      </c>
      <c r="K472">
        <v>10</v>
      </c>
    </row>
    <row r="473" spans="1:11" x14ac:dyDescent="0.35">
      <c r="A473" t="s">
        <v>326</v>
      </c>
      <c r="B473" t="s">
        <v>536</v>
      </c>
      <c r="D473" t="s">
        <v>282</v>
      </c>
      <c r="E473">
        <v>0</v>
      </c>
      <c r="F473">
        <v>0</v>
      </c>
      <c r="G473">
        <v>4</v>
      </c>
      <c r="H473">
        <v>20</v>
      </c>
      <c r="I473">
        <v>0</v>
      </c>
      <c r="J473">
        <v>0</v>
      </c>
      <c r="K473">
        <v>5</v>
      </c>
    </row>
    <row r="474" spans="1:11" x14ac:dyDescent="0.35">
      <c r="A474" t="s">
        <v>326</v>
      </c>
      <c r="B474" t="s">
        <v>536</v>
      </c>
      <c r="D474" t="s">
        <v>284</v>
      </c>
      <c r="E474">
        <v>0</v>
      </c>
      <c r="F474">
        <v>0</v>
      </c>
      <c r="G474">
        <v>0</v>
      </c>
      <c r="H474">
        <v>0</v>
      </c>
      <c r="I474">
        <v>0</v>
      </c>
      <c r="J474">
        <v>0</v>
      </c>
      <c r="K474">
        <v>3</v>
      </c>
    </row>
    <row r="475" spans="1:11" x14ac:dyDescent="0.35">
      <c r="A475" t="s">
        <v>326</v>
      </c>
      <c r="B475" t="s">
        <v>536</v>
      </c>
      <c r="D475" t="s">
        <v>288</v>
      </c>
      <c r="E475">
        <v>0</v>
      </c>
      <c r="F475">
        <v>0</v>
      </c>
      <c r="G475">
        <v>16</v>
      </c>
      <c r="H475">
        <v>44</v>
      </c>
      <c r="I475">
        <v>0</v>
      </c>
      <c r="J475">
        <v>0</v>
      </c>
      <c r="K475">
        <v>15</v>
      </c>
    </row>
    <row r="476" spans="1:11" x14ac:dyDescent="0.35">
      <c r="A476" t="s">
        <v>326</v>
      </c>
      <c r="B476" t="s">
        <v>536</v>
      </c>
      <c r="D476" t="s">
        <v>290</v>
      </c>
      <c r="E476">
        <v>0</v>
      </c>
      <c r="F476">
        <v>0</v>
      </c>
      <c r="G476">
        <v>36</v>
      </c>
      <c r="H476">
        <v>102</v>
      </c>
      <c r="I476">
        <v>0</v>
      </c>
      <c r="J476">
        <v>0</v>
      </c>
      <c r="K476">
        <v>21</v>
      </c>
    </row>
    <row r="477" spans="1:11" x14ac:dyDescent="0.35">
      <c r="A477" t="s">
        <v>326</v>
      </c>
      <c r="B477" t="s">
        <v>536</v>
      </c>
      <c r="D477" t="s">
        <v>293</v>
      </c>
      <c r="E477">
        <v>0</v>
      </c>
      <c r="F477">
        <v>0</v>
      </c>
      <c r="G477">
        <v>0</v>
      </c>
      <c r="H477">
        <v>0</v>
      </c>
      <c r="I477">
        <v>0</v>
      </c>
      <c r="J477">
        <v>0</v>
      </c>
      <c r="K477">
        <v>1</v>
      </c>
    </row>
    <row r="478" spans="1:11" x14ac:dyDescent="0.35">
      <c r="A478" t="s">
        <v>326</v>
      </c>
      <c r="B478" t="s">
        <v>536</v>
      </c>
      <c r="D478" t="s">
        <v>295</v>
      </c>
      <c r="E478">
        <v>0</v>
      </c>
      <c r="F478">
        <v>0</v>
      </c>
      <c r="G478">
        <v>11</v>
      </c>
      <c r="H478">
        <v>53</v>
      </c>
      <c r="I478">
        <v>0</v>
      </c>
      <c r="J478">
        <v>0</v>
      </c>
      <c r="K478">
        <v>5</v>
      </c>
    </row>
    <row r="479" spans="1:11" x14ac:dyDescent="0.35">
      <c r="A479" t="s">
        <v>326</v>
      </c>
      <c r="B479" t="s">
        <v>536</v>
      </c>
      <c r="D479" t="s">
        <v>297</v>
      </c>
      <c r="E479">
        <v>0</v>
      </c>
      <c r="F479">
        <v>0</v>
      </c>
      <c r="G479">
        <v>20</v>
      </c>
      <c r="H479">
        <v>60</v>
      </c>
      <c r="I479">
        <v>0</v>
      </c>
      <c r="J479">
        <v>0</v>
      </c>
      <c r="K479">
        <v>15</v>
      </c>
    </row>
    <row r="480" spans="1:11" x14ac:dyDescent="0.35">
      <c r="A480" t="s">
        <v>326</v>
      </c>
      <c r="B480" t="s">
        <v>536</v>
      </c>
      <c r="D480" t="s">
        <v>301</v>
      </c>
      <c r="E480">
        <v>0</v>
      </c>
      <c r="F480">
        <v>0</v>
      </c>
      <c r="G480">
        <v>0</v>
      </c>
      <c r="H480">
        <v>0</v>
      </c>
      <c r="I480">
        <v>0</v>
      </c>
      <c r="J480">
        <v>0</v>
      </c>
      <c r="K480">
        <v>1</v>
      </c>
    </row>
    <row r="481" spans="1:11" x14ac:dyDescent="0.35">
      <c r="A481" t="s">
        <v>326</v>
      </c>
      <c r="B481" t="s">
        <v>536</v>
      </c>
      <c r="D481" t="s">
        <v>303</v>
      </c>
      <c r="E481">
        <v>0</v>
      </c>
      <c r="F481">
        <v>0</v>
      </c>
      <c r="G481">
        <v>9</v>
      </c>
      <c r="H481">
        <v>34</v>
      </c>
      <c r="I481">
        <v>0</v>
      </c>
      <c r="J481">
        <v>0</v>
      </c>
      <c r="K481">
        <v>5</v>
      </c>
    </row>
    <row r="482" spans="1:11" x14ac:dyDescent="0.35">
      <c r="A482" t="s">
        <v>326</v>
      </c>
      <c r="B482" t="s">
        <v>536</v>
      </c>
      <c r="D482" t="s">
        <v>305</v>
      </c>
      <c r="E482">
        <v>0</v>
      </c>
      <c r="F482">
        <v>0</v>
      </c>
      <c r="G482">
        <v>35</v>
      </c>
      <c r="H482">
        <v>109</v>
      </c>
      <c r="I482">
        <v>0</v>
      </c>
      <c r="J482">
        <v>0</v>
      </c>
      <c r="K482">
        <v>20</v>
      </c>
    </row>
    <row r="483" spans="1:11" x14ac:dyDescent="0.35">
      <c r="A483" t="s">
        <v>326</v>
      </c>
      <c r="B483" t="s">
        <v>536</v>
      </c>
      <c r="D483" t="s">
        <v>310</v>
      </c>
      <c r="E483">
        <v>0</v>
      </c>
      <c r="F483">
        <v>0</v>
      </c>
      <c r="G483">
        <v>15</v>
      </c>
      <c r="H483">
        <v>43</v>
      </c>
      <c r="I483">
        <v>0</v>
      </c>
      <c r="J483">
        <v>0</v>
      </c>
      <c r="K483">
        <v>10</v>
      </c>
    </row>
    <row r="484" spans="1:11" x14ac:dyDescent="0.35">
      <c r="A484" t="s">
        <v>326</v>
      </c>
      <c r="B484" t="s">
        <v>536</v>
      </c>
      <c r="D484" t="s">
        <v>312</v>
      </c>
      <c r="E484">
        <v>0</v>
      </c>
      <c r="F484">
        <v>0</v>
      </c>
      <c r="G484">
        <v>0</v>
      </c>
      <c r="H484">
        <v>0</v>
      </c>
      <c r="I484">
        <v>0</v>
      </c>
      <c r="J484">
        <v>0</v>
      </c>
      <c r="K484">
        <v>2</v>
      </c>
    </row>
    <row r="485" spans="1:11" x14ac:dyDescent="0.35">
      <c r="A485" t="s">
        <v>326</v>
      </c>
      <c r="B485" t="s">
        <v>536</v>
      </c>
      <c r="C485" t="s">
        <v>238</v>
      </c>
      <c r="D485" t="s">
        <v>235</v>
      </c>
      <c r="E485">
        <v>0</v>
      </c>
      <c r="F485">
        <v>0</v>
      </c>
      <c r="G485">
        <v>53</v>
      </c>
      <c r="H485">
        <v>192</v>
      </c>
      <c r="I485">
        <v>0</v>
      </c>
      <c r="J485">
        <v>0</v>
      </c>
      <c r="K485">
        <v>38</v>
      </c>
    </row>
    <row r="486" spans="1:11" x14ac:dyDescent="0.35">
      <c r="A486" t="s">
        <v>326</v>
      </c>
      <c r="B486" t="s">
        <v>536</v>
      </c>
      <c r="C486" t="s">
        <v>238</v>
      </c>
      <c r="D486" t="s">
        <v>241</v>
      </c>
      <c r="E486">
        <v>0</v>
      </c>
      <c r="F486">
        <v>0</v>
      </c>
      <c r="G486">
        <v>6</v>
      </c>
      <c r="H486">
        <v>14</v>
      </c>
      <c r="I486">
        <v>0</v>
      </c>
      <c r="J486">
        <v>0</v>
      </c>
      <c r="K486">
        <v>5</v>
      </c>
    </row>
    <row r="487" spans="1:11" x14ac:dyDescent="0.35">
      <c r="A487" t="s">
        <v>326</v>
      </c>
      <c r="B487" t="s">
        <v>536</v>
      </c>
      <c r="C487" t="s">
        <v>238</v>
      </c>
      <c r="D487" t="s">
        <v>256</v>
      </c>
      <c r="E487">
        <v>0</v>
      </c>
      <c r="F487">
        <v>0</v>
      </c>
      <c r="G487">
        <v>4</v>
      </c>
      <c r="H487">
        <v>15</v>
      </c>
      <c r="I487">
        <v>0</v>
      </c>
      <c r="J487">
        <v>0</v>
      </c>
      <c r="K487">
        <v>5</v>
      </c>
    </row>
    <row r="488" spans="1:11" x14ac:dyDescent="0.35">
      <c r="A488" t="s">
        <v>326</v>
      </c>
      <c r="B488" t="s">
        <v>536</v>
      </c>
      <c r="C488" t="s">
        <v>238</v>
      </c>
      <c r="D488" t="s">
        <v>264</v>
      </c>
      <c r="E488">
        <v>0</v>
      </c>
      <c r="F488">
        <v>0</v>
      </c>
      <c r="G488">
        <v>19</v>
      </c>
      <c r="H488">
        <v>50</v>
      </c>
      <c r="I488">
        <v>0</v>
      </c>
      <c r="J488">
        <v>0</v>
      </c>
      <c r="K488">
        <v>15</v>
      </c>
    </row>
    <row r="489" spans="1:11" x14ac:dyDescent="0.35">
      <c r="A489" t="s">
        <v>326</v>
      </c>
      <c r="B489" t="s">
        <v>536</v>
      </c>
      <c r="C489" t="s">
        <v>238</v>
      </c>
      <c r="D489" t="s">
        <v>268</v>
      </c>
      <c r="E489">
        <v>0</v>
      </c>
      <c r="F489">
        <v>0</v>
      </c>
      <c r="G489">
        <v>51</v>
      </c>
      <c r="H489">
        <v>163</v>
      </c>
      <c r="I489">
        <v>0</v>
      </c>
      <c r="J489">
        <v>0</v>
      </c>
      <c r="K489">
        <v>25</v>
      </c>
    </row>
    <row r="490" spans="1:11" x14ac:dyDescent="0.35">
      <c r="A490" t="s">
        <v>326</v>
      </c>
      <c r="B490" t="s">
        <v>536</v>
      </c>
      <c r="C490" t="s">
        <v>238</v>
      </c>
      <c r="D490" t="s">
        <v>280</v>
      </c>
      <c r="E490">
        <v>0</v>
      </c>
      <c r="F490">
        <v>0</v>
      </c>
      <c r="G490">
        <v>4</v>
      </c>
      <c r="H490">
        <v>15</v>
      </c>
      <c r="I490">
        <v>0</v>
      </c>
      <c r="J490">
        <v>0</v>
      </c>
      <c r="K490">
        <v>6</v>
      </c>
    </row>
    <row r="491" spans="1:11" x14ac:dyDescent="0.35">
      <c r="A491" t="s">
        <v>326</v>
      </c>
      <c r="B491" t="s">
        <v>536</v>
      </c>
      <c r="C491" t="s">
        <v>238</v>
      </c>
      <c r="D491" t="s">
        <v>299</v>
      </c>
      <c r="E491">
        <v>0</v>
      </c>
      <c r="F491">
        <v>0</v>
      </c>
      <c r="G491">
        <v>9</v>
      </c>
      <c r="H491">
        <v>37</v>
      </c>
      <c r="I491">
        <v>0</v>
      </c>
      <c r="J491">
        <v>0</v>
      </c>
      <c r="K491">
        <v>10</v>
      </c>
    </row>
    <row r="492" spans="1:11" x14ac:dyDescent="0.35">
      <c r="A492" t="s">
        <v>326</v>
      </c>
      <c r="B492" t="s">
        <v>536</v>
      </c>
      <c r="C492" t="s">
        <v>238</v>
      </c>
      <c r="D492" t="s">
        <v>308</v>
      </c>
      <c r="E492">
        <v>0</v>
      </c>
      <c r="F492">
        <v>0</v>
      </c>
      <c r="G492">
        <v>9</v>
      </c>
      <c r="H492">
        <v>32</v>
      </c>
      <c r="I492">
        <v>0</v>
      </c>
      <c r="J492">
        <v>0</v>
      </c>
      <c r="K492">
        <v>5</v>
      </c>
    </row>
    <row r="493" spans="1:11" x14ac:dyDescent="0.35">
      <c r="A493" t="s">
        <v>326</v>
      </c>
      <c r="B493" t="s">
        <v>536</v>
      </c>
      <c r="C493" t="s">
        <v>238</v>
      </c>
      <c r="D493" t="s">
        <v>312</v>
      </c>
      <c r="E493">
        <v>0</v>
      </c>
      <c r="F493">
        <v>0</v>
      </c>
      <c r="G493">
        <v>10</v>
      </c>
      <c r="H493">
        <v>37</v>
      </c>
      <c r="I493">
        <v>0</v>
      </c>
      <c r="J493">
        <v>0</v>
      </c>
      <c r="K493">
        <v>10</v>
      </c>
    </row>
    <row r="494" spans="1:11" x14ac:dyDescent="0.35">
      <c r="A494" t="s">
        <v>326</v>
      </c>
      <c r="B494" t="s">
        <v>539</v>
      </c>
      <c r="D494" t="s">
        <v>323</v>
      </c>
      <c r="E494">
        <v>1</v>
      </c>
      <c r="F494">
        <v>0</v>
      </c>
      <c r="G494">
        <v>0</v>
      </c>
      <c r="H494">
        <v>0</v>
      </c>
      <c r="I494">
        <v>4</v>
      </c>
      <c r="J494">
        <v>10</v>
      </c>
      <c r="K494">
        <v>9</v>
      </c>
    </row>
    <row r="495" spans="1:11" x14ac:dyDescent="0.35">
      <c r="A495" t="s">
        <v>326</v>
      </c>
      <c r="B495" t="s">
        <v>539</v>
      </c>
      <c r="D495" t="s">
        <v>231</v>
      </c>
      <c r="E495">
        <v>1</v>
      </c>
      <c r="F495">
        <v>0</v>
      </c>
      <c r="G495">
        <v>6</v>
      </c>
      <c r="H495">
        <v>2</v>
      </c>
      <c r="I495">
        <v>4</v>
      </c>
      <c r="J495">
        <v>10</v>
      </c>
      <c r="K495">
        <v>7</v>
      </c>
    </row>
    <row r="496" spans="1:11" x14ac:dyDescent="0.35">
      <c r="A496" t="s">
        <v>326</v>
      </c>
      <c r="B496" t="s">
        <v>539</v>
      </c>
      <c r="D496" t="s">
        <v>245</v>
      </c>
      <c r="E496">
        <v>1</v>
      </c>
      <c r="F496">
        <v>0</v>
      </c>
      <c r="G496">
        <v>4</v>
      </c>
      <c r="H496">
        <v>2</v>
      </c>
      <c r="I496">
        <v>2</v>
      </c>
      <c r="J496">
        <v>6</v>
      </c>
      <c r="K496">
        <v>3</v>
      </c>
    </row>
    <row r="497" spans="1:11" x14ac:dyDescent="0.35">
      <c r="A497" t="s">
        <v>326</v>
      </c>
      <c r="B497" t="s">
        <v>539</v>
      </c>
      <c r="D497" t="s">
        <v>227</v>
      </c>
      <c r="E497">
        <v>1</v>
      </c>
      <c r="F497">
        <v>0</v>
      </c>
      <c r="G497">
        <v>0</v>
      </c>
      <c r="H497">
        <v>2</v>
      </c>
      <c r="I497">
        <v>4</v>
      </c>
      <c r="J497">
        <v>7</v>
      </c>
      <c r="K497">
        <v>9</v>
      </c>
    </row>
    <row r="498" spans="1:11" x14ac:dyDescent="0.35">
      <c r="A498" t="s">
        <v>326</v>
      </c>
      <c r="B498" t="s">
        <v>539</v>
      </c>
      <c r="D498" t="s">
        <v>252</v>
      </c>
      <c r="E498">
        <v>1</v>
      </c>
      <c r="F498">
        <v>0</v>
      </c>
      <c r="G498">
        <v>4</v>
      </c>
      <c r="H498">
        <v>0</v>
      </c>
      <c r="I498">
        <v>4</v>
      </c>
      <c r="J498">
        <v>10</v>
      </c>
      <c r="K498">
        <v>7</v>
      </c>
    </row>
    <row r="499" spans="1:11" x14ac:dyDescent="0.35">
      <c r="A499" t="s">
        <v>326</v>
      </c>
      <c r="B499" t="s">
        <v>539</v>
      </c>
      <c r="D499" t="s">
        <v>258</v>
      </c>
      <c r="E499">
        <v>1</v>
      </c>
      <c r="F499">
        <v>0</v>
      </c>
      <c r="G499">
        <v>6</v>
      </c>
      <c r="H499">
        <v>4</v>
      </c>
      <c r="I499">
        <v>4</v>
      </c>
      <c r="J499">
        <v>6</v>
      </c>
      <c r="K499">
        <v>11</v>
      </c>
    </row>
    <row r="500" spans="1:11" x14ac:dyDescent="0.35">
      <c r="A500" t="s">
        <v>326</v>
      </c>
      <c r="B500" t="s">
        <v>539</v>
      </c>
      <c r="D500" t="s">
        <v>262</v>
      </c>
      <c r="E500">
        <v>1</v>
      </c>
      <c r="F500">
        <v>0</v>
      </c>
      <c r="G500">
        <v>4</v>
      </c>
      <c r="H500">
        <v>1</v>
      </c>
      <c r="I500">
        <v>3</v>
      </c>
      <c r="J500">
        <v>6</v>
      </c>
      <c r="K500">
        <v>4</v>
      </c>
    </row>
    <row r="501" spans="1:11" x14ac:dyDescent="0.35">
      <c r="A501" t="s">
        <v>326</v>
      </c>
      <c r="B501" t="s">
        <v>539</v>
      </c>
      <c r="D501" t="s">
        <v>237</v>
      </c>
      <c r="E501">
        <v>1</v>
      </c>
      <c r="F501">
        <v>0</v>
      </c>
      <c r="G501">
        <v>3</v>
      </c>
      <c r="H501">
        <v>3</v>
      </c>
      <c r="I501">
        <v>3</v>
      </c>
      <c r="J501">
        <v>8</v>
      </c>
      <c r="K501">
        <v>8</v>
      </c>
    </row>
    <row r="502" spans="1:11" x14ac:dyDescent="0.35">
      <c r="A502" t="s">
        <v>326</v>
      </c>
      <c r="B502" t="s">
        <v>539</v>
      </c>
      <c r="D502" t="s">
        <v>266</v>
      </c>
      <c r="E502">
        <v>1</v>
      </c>
      <c r="F502">
        <v>0</v>
      </c>
      <c r="G502">
        <v>4</v>
      </c>
      <c r="H502">
        <v>1</v>
      </c>
      <c r="I502">
        <v>1</v>
      </c>
      <c r="J502">
        <v>6</v>
      </c>
      <c r="K502">
        <v>6</v>
      </c>
    </row>
    <row r="503" spans="1:11" x14ac:dyDescent="0.35">
      <c r="A503" t="s">
        <v>326</v>
      </c>
      <c r="B503" t="s">
        <v>539</v>
      </c>
      <c r="D503" t="s">
        <v>271</v>
      </c>
      <c r="E503">
        <v>1</v>
      </c>
      <c r="F503">
        <v>0</v>
      </c>
      <c r="G503">
        <v>2</v>
      </c>
      <c r="H503">
        <v>1</v>
      </c>
      <c r="I503">
        <v>4</v>
      </c>
      <c r="J503">
        <v>9</v>
      </c>
      <c r="K503">
        <v>6</v>
      </c>
    </row>
    <row r="504" spans="1:11" x14ac:dyDescent="0.35">
      <c r="A504" t="s">
        <v>326</v>
      </c>
      <c r="B504" t="s">
        <v>539</v>
      </c>
      <c r="D504" t="s">
        <v>276</v>
      </c>
      <c r="E504">
        <v>1</v>
      </c>
      <c r="F504">
        <v>0</v>
      </c>
      <c r="G504">
        <v>0</v>
      </c>
      <c r="H504">
        <v>1</v>
      </c>
      <c r="I504">
        <v>4</v>
      </c>
      <c r="J504">
        <v>10</v>
      </c>
      <c r="K504">
        <v>4</v>
      </c>
    </row>
    <row r="505" spans="1:11" x14ac:dyDescent="0.35">
      <c r="A505" t="s">
        <v>326</v>
      </c>
      <c r="B505" t="s">
        <v>539</v>
      </c>
      <c r="D505" t="s">
        <v>325</v>
      </c>
      <c r="E505">
        <v>1</v>
      </c>
      <c r="F505">
        <v>0</v>
      </c>
      <c r="G505">
        <v>4</v>
      </c>
      <c r="H505">
        <v>1</v>
      </c>
      <c r="I505">
        <v>3</v>
      </c>
      <c r="J505">
        <v>8</v>
      </c>
      <c r="K505">
        <v>10</v>
      </c>
    </row>
    <row r="506" spans="1:11" x14ac:dyDescent="0.35">
      <c r="A506" t="s">
        <v>326</v>
      </c>
      <c r="B506" t="s">
        <v>539</v>
      </c>
      <c r="D506" t="s">
        <v>314</v>
      </c>
      <c r="E506">
        <v>1</v>
      </c>
      <c r="F506">
        <v>0</v>
      </c>
      <c r="G506">
        <v>6</v>
      </c>
      <c r="H506">
        <v>2</v>
      </c>
      <c r="I506">
        <v>4</v>
      </c>
      <c r="J506">
        <v>10</v>
      </c>
      <c r="K506">
        <v>8</v>
      </c>
    </row>
    <row r="507" spans="1:11" x14ac:dyDescent="0.35">
      <c r="A507" t="s">
        <v>326</v>
      </c>
      <c r="B507" t="s">
        <v>539</v>
      </c>
      <c r="D507" t="s">
        <v>286</v>
      </c>
      <c r="E507">
        <v>0</v>
      </c>
      <c r="F507">
        <v>0</v>
      </c>
      <c r="G507">
        <v>0</v>
      </c>
      <c r="H507">
        <v>0</v>
      </c>
      <c r="I507">
        <v>1</v>
      </c>
      <c r="J507">
        <v>0</v>
      </c>
      <c r="K507">
        <v>0</v>
      </c>
    </row>
    <row r="508" spans="1:11" x14ac:dyDescent="0.35">
      <c r="A508" t="s">
        <v>326</v>
      </c>
      <c r="B508" t="s">
        <v>539</v>
      </c>
      <c r="D508" t="s">
        <v>286</v>
      </c>
      <c r="E508">
        <v>1</v>
      </c>
      <c r="F508">
        <v>0</v>
      </c>
      <c r="G508">
        <v>0</v>
      </c>
      <c r="H508">
        <v>0</v>
      </c>
      <c r="I508">
        <v>3</v>
      </c>
      <c r="J508">
        <v>5</v>
      </c>
      <c r="K508">
        <v>0</v>
      </c>
    </row>
    <row r="509" spans="1:11" x14ac:dyDescent="0.35">
      <c r="A509" t="s">
        <v>326</v>
      </c>
      <c r="B509" t="s">
        <v>541</v>
      </c>
      <c r="D509" t="s">
        <v>219</v>
      </c>
      <c r="E509">
        <v>2</v>
      </c>
      <c r="F509">
        <v>0</v>
      </c>
      <c r="G509">
        <v>12</v>
      </c>
      <c r="H509">
        <v>25</v>
      </c>
      <c r="I509">
        <v>3</v>
      </c>
      <c r="J509">
        <v>6</v>
      </c>
      <c r="K509">
        <v>22</v>
      </c>
    </row>
    <row r="510" spans="1:11" x14ac:dyDescent="0.35">
      <c r="A510" t="s">
        <v>326</v>
      </c>
      <c r="B510" t="s">
        <v>541</v>
      </c>
      <c r="D510" t="s">
        <v>233</v>
      </c>
      <c r="E510">
        <v>2</v>
      </c>
      <c r="F510">
        <v>0</v>
      </c>
      <c r="G510">
        <v>10</v>
      </c>
      <c r="H510">
        <v>48</v>
      </c>
      <c r="I510">
        <v>5</v>
      </c>
      <c r="J510">
        <v>11</v>
      </c>
      <c r="K510">
        <v>43</v>
      </c>
    </row>
    <row r="511" spans="1:11" x14ac:dyDescent="0.35">
      <c r="A511" t="s">
        <v>326</v>
      </c>
      <c r="B511" t="s">
        <v>541</v>
      </c>
      <c r="C511" t="s">
        <v>238</v>
      </c>
      <c r="D511" t="s">
        <v>239</v>
      </c>
      <c r="E511">
        <v>1</v>
      </c>
      <c r="F511">
        <v>0</v>
      </c>
      <c r="G511">
        <v>4</v>
      </c>
      <c r="H511">
        <v>30</v>
      </c>
      <c r="I511">
        <v>3</v>
      </c>
      <c r="J511">
        <v>4</v>
      </c>
      <c r="K511">
        <v>25</v>
      </c>
    </row>
    <row r="512" spans="1:11" x14ac:dyDescent="0.35">
      <c r="A512" t="s">
        <v>326</v>
      </c>
      <c r="B512" t="s">
        <v>543</v>
      </c>
      <c r="C512" t="s">
        <v>548</v>
      </c>
      <c r="D512" t="s">
        <v>544</v>
      </c>
      <c r="E512">
        <v>12</v>
      </c>
      <c r="F512">
        <v>5</v>
      </c>
      <c r="G512">
        <v>1</v>
      </c>
      <c r="H512">
        <v>0</v>
      </c>
      <c r="I512">
        <v>19</v>
      </c>
      <c r="J512">
        <v>16</v>
      </c>
      <c r="K512">
        <v>16</v>
      </c>
    </row>
    <row r="513" spans="1:11" x14ac:dyDescent="0.35">
      <c r="A513" t="s">
        <v>327</v>
      </c>
      <c r="B513" t="s">
        <v>536</v>
      </c>
      <c r="D513" t="s">
        <v>216</v>
      </c>
      <c r="E513">
        <v>0</v>
      </c>
      <c r="F513">
        <v>0</v>
      </c>
      <c r="G513">
        <v>34</v>
      </c>
      <c r="H513">
        <v>106</v>
      </c>
      <c r="I513">
        <v>0</v>
      </c>
      <c r="J513">
        <v>0</v>
      </c>
      <c r="K513">
        <v>22</v>
      </c>
    </row>
    <row r="514" spans="1:11" x14ac:dyDescent="0.35">
      <c r="A514" t="s">
        <v>327</v>
      </c>
      <c r="B514" t="s">
        <v>536</v>
      </c>
      <c r="D514" t="s">
        <v>221</v>
      </c>
      <c r="E514">
        <v>0</v>
      </c>
      <c r="F514">
        <v>0</v>
      </c>
      <c r="G514">
        <v>6</v>
      </c>
      <c r="H514">
        <v>17</v>
      </c>
      <c r="I514">
        <v>0</v>
      </c>
      <c r="J514">
        <v>0</v>
      </c>
      <c r="K514">
        <v>5</v>
      </c>
    </row>
    <row r="515" spans="1:11" x14ac:dyDescent="0.35">
      <c r="A515" t="s">
        <v>327</v>
      </c>
      <c r="B515" t="s">
        <v>536</v>
      </c>
      <c r="D515" t="s">
        <v>225</v>
      </c>
      <c r="E515">
        <v>0</v>
      </c>
      <c r="F515">
        <v>0</v>
      </c>
      <c r="G515">
        <v>5</v>
      </c>
      <c r="H515">
        <v>17</v>
      </c>
      <c r="I515">
        <v>0</v>
      </c>
      <c r="J515">
        <v>0</v>
      </c>
      <c r="K515">
        <v>5</v>
      </c>
    </row>
    <row r="516" spans="1:11" x14ac:dyDescent="0.35">
      <c r="A516" t="s">
        <v>327</v>
      </c>
      <c r="B516" t="s">
        <v>536</v>
      </c>
      <c r="D516" t="s">
        <v>229</v>
      </c>
      <c r="E516">
        <v>0</v>
      </c>
      <c r="F516">
        <v>0</v>
      </c>
      <c r="G516">
        <v>10</v>
      </c>
      <c r="H516">
        <v>34</v>
      </c>
      <c r="I516">
        <v>0</v>
      </c>
      <c r="J516">
        <v>0</v>
      </c>
      <c r="K516">
        <v>11</v>
      </c>
    </row>
    <row r="517" spans="1:11" x14ac:dyDescent="0.35">
      <c r="A517" t="s">
        <v>327</v>
      </c>
      <c r="B517" t="s">
        <v>536</v>
      </c>
      <c r="D517" t="s">
        <v>245</v>
      </c>
      <c r="E517">
        <v>0</v>
      </c>
      <c r="F517">
        <v>0</v>
      </c>
      <c r="G517">
        <v>10</v>
      </c>
      <c r="H517">
        <v>38</v>
      </c>
      <c r="I517">
        <v>0</v>
      </c>
      <c r="J517">
        <v>0</v>
      </c>
      <c r="K517">
        <v>5</v>
      </c>
    </row>
    <row r="518" spans="1:11" x14ac:dyDescent="0.35">
      <c r="A518" t="s">
        <v>327</v>
      </c>
      <c r="B518" t="s">
        <v>536</v>
      </c>
      <c r="D518" t="s">
        <v>248</v>
      </c>
      <c r="E518">
        <v>0</v>
      </c>
      <c r="F518">
        <v>0</v>
      </c>
      <c r="G518">
        <v>30</v>
      </c>
      <c r="H518">
        <v>118</v>
      </c>
      <c r="I518">
        <v>0</v>
      </c>
      <c r="J518">
        <v>0</v>
      </c>
      <c r="K518">
        <v>20</v>
      </c>
    </row>
    <row r="519" spans="1:11" x14ac:dyDescent="0.35">
      <c r="A519" t="s">
        <v>327</v>
      </c>
      <c r="B519" t="s">
        <v>536</v>
      </c>
      <c r="D519" t="s">
        <v>250</v>
      </c>
      <c r="E519">
        <v>0</v>
      </c>
      <c r="F519">
        <v>0</v>
      </c>
      <c r="G519">
        <v>10</v>
      </c>
      <c r="H519">
        <v>32</v>
      </c>
      <c r="I519">
        <v>0</v>
      </c>
      <c r="J519">
        <v>0</v>
      </c>
      <c r="K519">
        <v>6</v>
      </c>
    </row>
    <row r="520" spans="1:11" x14ac:dyDescent="0.35">
      <c r="A520" t="s">
        <v>327</v>
      </c>
      <c r="B520" t="s">
        <v>536</v>
      </c>
      <c r="D520" t="s">
        <v>254</v>
      </c>
      <c r="E520">
        <v>0</v>
      </c>
      <c r="F520">
        <v>0</v>
      </c>
      <c r="G520">
        <v>15</v>
      </c>
      <c r="H520">
        <v>46</v>
      </c>
      <c r="I520">
        <v>0</v>
      </c>
      <c r="J520">
        <v>0</v>
      </c>
      <c r="K520">
        <v>15</v>
      </c>
    </row>
    <row r="521" spans="1:11" x14ac:dyDescent="0.35">
      <c r="A521" t="s">
        <v>327</v>
      </c>
      <c r="B521" t="s">
        <v>536</v>
      </c>
      <c r="D521" t="s">
        <v>260</v>
      </c>
      <c r="E521">
        <v>0</v>
      </c>
      <c r="F521">
        <v>0</v>
      </c>
      <c r="G521">
        <v>10</v>
      </c>
      <c r="H521">
        <v>33</v>
      </c>
      <c r="I521">
        <v>0</v>
      </c>
      <c r="J521">
        <v>0</v>
      </c>
      <c r="K521">
        <v>10</v>
      </c>
    </row>
    <row r="522" spans="1:11" x14ac:dyDescent="0.35">
      <c r="A522" t="s">
        <v>327</v>
      </c>
      <c r="B522" t="s">
        <v>536</v>
      </c>
      <c r="D522" t="s">
        <v>271</v>
      </c>
      <c r="E522">
        <v>0</v>
      </c>
      <c r="F522">
        <v>0</v>
      </c>
      <c r="G522">
        <v>94</v>
      </c>
      <c r="H522">
        <v>302</v>
      </c>
      <c r="I522">
        <v>0</v>
      </c>
      <c r="J522">
        <v>0</v>
      </c>
      <c r="K522">
        <v>67</v>
      </c>
    </row>
    <row r="523" spans="1:11" x14ac:dyDescent="0.35">
      <c r="A523" t="s">
        <v>327</v>
      </c>
      <c r="B523" t="s">
        <v>536</v>
      </c>
      <c r="D523" t="s">
        <v>274</v>
      </c>
      <c r="E523">
        <v>0</v>
      </c>
      <c r="F523">
        <v>0</v>
      </c>
      <c r="G523">
        <v>20</v>
      </c>
      <c r="H523">
        <v>52</v>
      </c>
      <c r="I523">
        <v>0</v>
      </c>
      <c r="J523">
        <v>0</v>
      </c>
      <c r="K523">
        <v>8</v>
      </c>
    </row>
    <row r="524" spans="1:11" x14ac:dyDescent="0.35">
      <c r="A524" t="s">
        <v>327</v>
      </c>
      <c r="B524" t="s">
        <v>536</v>
      </c>
      <c r="D524" t="s">
        <v>278</v>
      </c>
      <c r="E524">
        <v>0</v>
      </c>
      <c r="F524">
        <v>0</v>
      </c>
      <c r="G524">
        <v>14</v>
      </c>
      <c r="H524">
        <v>39</v>
      </c>
      <c r="I524">
        <v>0</v>
      </c>
      <c r="J524">
        <v>0</v>
      </c>
      <c r="K524">
        <v>10</v>
      </c>
    </row>
    <row r="525" spans="1:11" x14ac:dyDescent="0.35">
      <c r="A525" t="s">
        <v>327</v>
      </c>
      <c r="B525" t="s">
        <v>536</v>
      </c>
      <c r="D525" t="s">
        <v>282</v>
      </c>
      <c r="E525">
        <v>0</v>
      </c>
      <c r="F525">
        <v>0</v>
      </c>
      <c r="G525">
        <v>4</v>
      </c>
      <c r="H525">
        <v>21</v>
      </c>
      <c r="I525">
        <v>0</v>
      </c>
      <c r="J525">
        <v>0</v>
      </c>
      <c r="K525">
        <v>5</v>
      </c>
    </row>
    <row r="526" spans="1:11" x14ac:dyDescent="0.35">
      <c r="A526" t="s">
        <v>327</v>
      </c>
      <c r="B526" t="s">
        <v>536</v>
      </c>
      <c r="D526" t="s">
        <v>284</v>
      </c>
      <c r="E526">
        <v>0</v>
      </c>
      <c r="F526">
        <v>0</v>
      </c>
      <c r="G526">
        <v>0</v>
      </c>
      <c r="H526">
        <v>0</v>
      </c>
      <c r="I526">
        <v>0</v>
      </c>
      <c r="J526">
        <v>0</v>
      </c>
      <c r="K526">
        <v>3</v>
      </c>
    </row>
    <row r="527" spans="1:11" x14ac:dyDescent="0.35">
      <c r="A527" t="s">
        <v>327</v>
      </c>
      <c r="B527" t="s">
        <v>536</v>
      </c>
      <c r="D527" t="s">
        <v>288</v>
      </c>
      <c r="E527">
        <v>0</v>
      </c>
      <c r="F527">
        <v>0</v>
      </c>
      <c r="G527">
        <v>16</v>
      </c>
      <c r="H527">
        <v>54</v>
      </c>
      <c r="I527">
        <v>0</v>
      </c>
      <c r="J527">
        <v>0</v>
      </c>
      <c r="K527">
        <v>15</v>
      </c>
    </row>
    <row r="528" spans="1:11" x14ac:dyDescent="0.35">
      <c r="A528" t="s">
        <v>327</v>
      </c>
      <c r="B528" t="s">
        <v>536</v>
      </c>
      <c r="D528" t="s">
        <v>290</v>
      </c>
      <c r="E528">
        <v>0</v>
      </c>
      <c r="F528">
        <v>0</v>
      </c>
      <c r="G528">
        <v>36</v>
      </c>
      <c r="H528">
        <v>112</v>
      </c>
      <c r="I528">
        <v>0</v>
      </c>
      <c r="J528">
        <v>0</v>
      </c>
      <c r="K528">
        <v>21</v>
      </c>
    </row>
    <row r="529" spans="1:11" x14ac:dyDescent="0.35">
      <c r="A529" t="s">
        <v>327</v>
      </c>
      <c r="B529" t="s">
        <v>536</v>
      </c>
      <c r="D529" t="s">
        <v>295</v>
      </c>
      <c r="E529">
        <v>0</v>
      </c>
      <c r="F529">
        <v>0</v>
      </c>
      <c r="G529">
        <v>12</v>
      </c>
      <c r="H529">
        <v>49</v>
      </c>
      <c r="I529">
        <v>0</v>
      </c>
      <c r="J529">
        <v>0</v>
      </c>
      <c r="K529">
        <v>5</v>
      </c>
    </row>
    <row r="530" spans="1:11" x14ac:dyDescent="0.35">
      <c r="A530" t="s">
        <v>327</v>
      </c>
      <c r="B530" t="s">
        <v>536</v>
      </c>
      <c r="D530" t="s">
        <v>297</v>
      </c>
      <c r="E530">
        <v>0</v>
      </c>
      <c r="F530">
        <v>0</v>
      </c>
      <c r="G530">
        <v>21</v>
      </c>
      <c r="H530">
        <v>66</v>
      </c>
      <c r="I530">
        <v>0</v>
      </c>
      <c r="J530">
        <v>0</v>
      </c>
      <c r="K530">
        <v>15</v>
      </c>
    </row>
    <row r="531" spans="1:11" x14ac:dyDescent="0.35">
      <c r="A531" t="s">
        <v>327</v>
      </c>
      <c r="B531" t="s">
        <v>536</v>
      </c>
      <c r="D531" t="s">
        <v>301</v>
      </c>
      <c r="E531">
        <v>0</v>
      </c>
      <c r="F531">
        <v>0</v>
      </c>
      <c r="G531">
        <v>0</v>
      </c>
      <c r="H531">
        <v>0</v>
      </c>
      <c r="I531">
        <v>0</v>
      </c>
      <c r="J531">
        <v>0</v>
      </c>
      <c r="K531">
        <v>1</v>
      </c>
    </row>
    <row r="532" spans="1:11" x14ac:dyDescent="0.35">
      <c r="A532" t="s">
        <v>327</v>
      </c>
      <c r="B532" t="s">
        <v>536</v>
      </c>
      <c r="D532" t="s">
        <v>303</v>
      </c>
      <c r="E532">
        <v>0</v>
      </c>
      <c r="F532">
        <v>0</v>
      </c>
      <c r="G532">
        <v>10</v>
      </c>
      <c r="H532">
        <v>36</v>
      </c>
      <c r="I532">
        <v>0</v>
      </c>
      <c r="J532">
        <v>0</v>
      </c>
      <c r="K532">
        <v>6</v>
      </c>
    </row>
    <row r="533" spans="1:11" x14ac:dyDescent="0.35">
      <c r="A533" t="s">
        <v>327</v>
      </c>
      <c r="B533" t="s">
        <v>536</v>
      </c>
      <c r="D533" t="s">
        <v>305</v>
      </c>
      <c r="E533">
        <v>0</v>
      </c>
      <c r="F533">
        <v>0</v>
      </c>
      <c r="G533">
        <v>30</v>
      </c>
      <c r="H533">
        <v>111</v>
      </c>
      <c r="I533">
        <v>0</v>
      </c>
      <c r="J533">
        <v>0</v>
      </c>
      <c r="K533">
        <v>20</v>
      </c>
    </row>
    <row r="534" spans="1:11" x14ac:dyDescent="0.35">
      <c r="A534" t="s">
        <v>327</v>
      </c>
      <c r="B534" t="s">
        <v>536</v>
      </c>
      <c r="D534" t="s">
        <v>310</v>
      </c>
      <c r="E534">
        <v>0</v>
      </c>
      <c r="F534">
        <v>0</v>
      </c>
      <c r="G534">
        <v>13</v>
      </c>
      <c r="H534">
        <v>51</v>
      </c>
      <c r="I534">
        <v>0</v>
      </c>
      <c r="J534">
        <v>0</v>
      </c>
      <c r="K534">
        <v>11</v>
      </c>
    </row>
    <row r="535" spans="1:11" x14ac:dyDescent="0.35">
      <c r="A535" t="s">
        <v>327</v>
      </c>
      <c r="B535" t="s">
        <v>536</v>
      </c>
      <c r="C535" t="s">
        <v>238</v>
      </c>
      <c r="D535" t="s">
        <v>235</v>
      </c>
      <c r="E535">
        <v>0</v>
      </c>
      <c r="F535">
        <v>0</v>
      </c>
      <c r="G535">
        <v>59</v>
      </c>
      <c r="H535">
        <v>199</v>
      </c>
      <c r="I535">
        <v>0</v>
      </c>
      <c r="J535">
        <v>0</v>
      </c>
      <c r="K535">
        <v>35</v>
      </c>
    </row>
    <row r="536" spans="1:11" x14ac:dyDescent="0.35">
      <c r="A536" t="s">
        <v>327</v>
      </c>
      <c r="B536" t="s">
        <v>536</v>
      </c>
      <c r="C536" t="s">
        <v>238</v>
      </c>
      <c r="D536" t="s">
        <v>241</v>
      </c>
      <c r="E536">
        <v>0</v>
      </c>
      <c r="F536">
        <v>0</v>
      </c>
      <c r="G536">
        <v>5</v>
      </c>
      <c r="H536">
        <v>16</v>
      </c>
      <c r="I536">
        <v>0</v>
      </c>
      <c r="J536">
        <v>0</v>
      </c>
      <c r="K536">
        <v>6</v>
      </c>
    </row>
    <row r="537" spans="1:11" x14ac:dyDescent="0.35">
      <c r="A537" t="s">
        <v>327</v>
      </c>
      <c r="B537" t="s">
        <v>536</v>
      </c>
      <c r="C537" t="s">
        <v>238</v>
      </c>
      <c r="D537" t="s">
        <v>256</v>
      </c>
      <c r="E537">
        <v>0</v>
      </c>
      <c r="F537">
        <v>0</v>
      </c>
      <c r="G537">
        <v>5</v>
      </c>
      <c r="H537">
        <v>15</v>
      </c>
      <c r="I537">
        <v>0</v>
      </c>
      <c r="J537">
        <v>0</v>
      </c>
      <c r="K537">
        <v>5</v>
      </c>
    </row>
    <row r="538" spans="1:11" x14ac:dyDescent="0.35">
      <c r="A538" t="s">
        <v>327</v>
      </c>
      <c r="B538" t="s">
        <v>536</v>
      </c>
      <c r="C538" t="s">
        <v>238</v>
      </c>
      <c r="D538" t="s">
        <v>264</v>
      </c>
      <c r="E538">
        <v>0</v>
      </c>
      <c r="F538">
        <v>0</v>
      </c>
      <c r="G538">
        <v>20</v>
      </c>
      <c r="H538">
        <v>56</v>
      </c>
      <c r="I538">
        <v>0</v>
      </c>
      <c r="J538">
        <v>0</v>
      </c>
      <c r="K538">
        <v>15</v>
      </c>
    </row>
    <row r="539" spans="1:11" x14ac:dyDescent="0.35">
      <c r="A539" t="s">
        <v>327</v>
      </c>
      <c r="B539" t="s">
        <v>536</v>
      </c>
      <c r="C539" t="s">
        <v>238</v>
      </c>
      <c r="D539" t="s">
        <v>268</v>
      </c>
      <c r="E539">
        <v>0</v>
      </c>
      <c r="F539">
        <v>0</v>
      </c>
      <c r="G539">
        <v>43</v>
      </c>
      <c r="H539">
        <v>146</v>
      </c>
      <c r="I539">
        <v>0</v>
      </c>
      <c r="J539">
        <v>0</v>
      </c>
      <c r="K539">
        <v>27</v>
      </c>
    </row>
    <row r="540" spans="1:11" x14ac:dyDescent="0.35">
      <c r="A540" t="s">
        <v>327</v>
      </c>
      <c r="B540" t="s">
        <v>536</v>
      </c>
      <c r="C540" t="s">
        <v>238</v>
      </c>
      <c r="D540" t="s">
        <v>280</v>
      </c>
      <c r="E540">
        <v>0</v>
      </c>
      <c r="F540">
        <v>0</v>
      </c>
      <c r="G540">
        <v>7</v>
      </c>
      <c r="H540">
        <v>16</v>
      </c>
      <c r="I540">
        <v>0</v>
      </c>
      <c r="J540">
        <v>0</v>
      </c>
      <c r="K540">
        <v>6</v>
      </c>
    </row>
    <row r="541" spans="1:11" x14ac:dyDescent="0.35">
      <c r="A541" t="s">
        <v>327</v>
      </c>
      <c r="B541" t="s">
        <v>536</v>
      </c>
      <c r="C541" t="s">
        <v>238</v>
      </c>
      <c r="D541" t="s">
        <v>299</v>
      </c>
      <c r="E541">
        <v>0</v>
      </c>
      <c r="F541">
        <v>0</v>
      </c>
      <c r="G541">
        <v>9</v>
      </c>
      <c r="H541">
        <v>38</v>
      </c>
      <c r="I541">
        <v>0</v>
      </c>
      <c r="J541">
        <v>0</v>
      </c>
      <c r="K541">
        <v>10</v>
      </c>
    </row>
    <row r="542" spans="1:11" x14ac:dyDescent="0.35">
      <c r="A542" t="s">
        <v>327</v>
      </c>
      <c r="B542" t="s">
        <v>536</v>
      </c>
      <c r="C542" t="s">
        <v>238</v>
      </c>
      <c r="D542" t="s">
        <v>308</v>
      </c>
      <c r="E542">
        <v>0</v>
      </c>
      <c r="F542">
        <v>0</v>
      </c>
      <c r="G542">
        <v>10</v>
      </c>
      <c r="H542">
        <v>34</v>
      </c>
      <c r="I542">
        <v>0</v>
      </c>
      <c r="J542">
        <v>0</v>
      </c>
      <c r="K542">
        <v>5</v>
      </c>
    </row>
    <row r="543" spans="1:11" x14ac:dyDescent="0.35">
      <c r="A543" t="s">
        <v>327</v>
      </c>
      <c r="B543" t="s">
        <v>536</v>
      </c>
      <c r="C543" t="s">
        <v>238</v>
      </c>
      <c r="D543" t="s">
        <v>312</v>
      </c>
      <c r="E543">
        <v>0</v>
      </c>
      <c r="F543">
        <v>0</v>
      </c>
      <c r="G543">
        <v>11</v>
      </c>
      <c r="H543">
        <v>39</v>
      </c>
      <c r="I543">
        <v>0</v>
      </c>
      <c r="J543">
        <v>0</v>
      </c>
      <c r="K543">
        <v>13</v>
      </c>
    </row>
    <row r="544" spans="1:11" x14ac:dyDescent="0.35">
      <c r="A544" t="s">
        <v>327</v>
      </c>
      <c r="B544" t="s">
        <v>539</v>
      </c>
      <c r="D544" t="s">
        <v>323</v>
      </c>
      <c r="E544">
        <v>1</v>
      </c>
      <c r="F544">
        <v>0</v>
      </c>
      <c r="G544">
        <v>0</v>
      </c>
      <c r="H544">
        <v>0</v>
      </c>
      <c r="I544">
        <v>4</v>
      </c>
      <c r="J544">
        <v>11</v>
      </c>
      <c r="K544">
        <v>6</v>
      </c>
    </row>
    <row r="545" spans="1:11" x14ac:dyDescent="0.35">
      <c r="A545" t="s">
        <v>327</v>
      </c>
      <c r="B545" t="s">
        <v>539</v>
      </c>
      <c r="D545" t="s">
        <v>231</v>
      </c>
      <c r="E545">
        <v>1</v>
      </c>
      <c r="F545">
        <v>0</v>
      </c>
      <c r="G545">
        <v>6</v>
      </c>
      <c r="H545">
        <v>2</v>
      </c>
      <c r="I545">
        <v>4</v>
      </c>
      <c r="J545">
        <v>9</v>
      </c>
      <c r="K545">
        <v>6</v>
      </c>
    </row>
    <row r="546" spans="1:11" x14ac:dyDescent="0.35">
      <c r="A546" t="s">
        <v>327</v>
      </c>
      <c r="B546" t="s">
        <v>539</v>
      </c>
      <c r="D546" t="s">
        <v>245</v>
      </c>
      <c r="E546">
        <v>1</v>
      </c>
      <c r="F546">
        <v>0</v>
      </c>
      <c r="G546">
        <v>5</v>
      </c>
      <c r="H546">
        <v>2</v>
      </c>
      <c r="I546">
        <v>2</v>
      </c>
      <c r="J546">
        <v>5</v>
      </c>
      <c r="K546">
        <v>7</v>
      </c>
    </row>
    <row r="547" spans="1:11" x14ac:dyDescent="0.35">
      <c r="A547" t="s">
        <v>327</v>
      </c>
      <c r="B547" t="s">
        <v>539</v>
      </c>
      <c r="D547" t="s">
        <v>227</v>
      </c>
      <c r="E547">
        <v>2</v>
      </c>
      <c r="F547">
        <v>0</v>
      </c>
      <c r="G547">
        <v>0</v>
      </c>
      <c r="H547">
        <v>0</v>
      </c>
      <c r="I547">
        <v>4</v>
      </c>
      <c r="J547">
        <v>8</v>
      </c>
      <c r="K547">
        <v>9</v>
      </c>
    </row>
    <row r="548" spans="1:11" x14ac:dyDescent="0.35">
      <c r="A548" t="s">
        <v>327</v>
      </c>
      <c r="B548" t="s">
        <v>539</v>
      </c>
      <c r="D548" t="s">
        <v>252</v>
      </c>
      <c r="E548">
        <v>1</v>
      </c>
      <c r="F548">
        <v>0</v>
      </c>
      <c r="G548">
        <v>5</v>
      </c>
      <c r="H548">
        <v>0</v>
      </c>
      <c r="I548">
        <v>3</v>
      </c>
      <c r="J548">
        <v>9</v>
      </c>
      <c r="K548">
        <v>7</v>
      </c>
    </row>
    <row r="549" spans="1:11" x14ac:dyDescent="0.35">
      <c r="A549" t="s">
        <v>327</v>
      </c>
      <c r="B549" t="s">
        <v>539</v>
      </c>
      <c r="D549" t="s">
        <v>258</v>
      </c>
      <c r="E549">
        <v>1</v>
      </c>
      <c r="F549">
        <v>0</v>
      </c>
      <c r="G549">
        <v>3</v>
      </c>
      <c r="H549">
        <v>4</v>
      </c>
      <c r="I549">
        <v>3</v>
      </c>
      <c r="J549">
        <v>6</v>
      </c>
      <c r="K549">
        <v>9</v>
      </c>
    </row>
    <row r="550" spans="1:11" x14ac:dyDescent="0.35">
      <c r="A550" t="s">
        <v>327</v>
      </c>
      <c r="B550" t="s">
        <v>539</v>
      </c>
      <c r="D550" t="s">
        <v>262</v>
      </c>
      <c r="E550">
        <v>1</v>
      </c>
      <c r="F550">
        <v>0</v>
      </c>
      <c r="G550">
        <v>3</v>
      </c>
      <c r="H550">
        <v>1</v>
      </c>
      <c r="I550">
        <v>3</v>
      </c>
      <c r="J550">
        <v>6</v>
      </c>
      <c r="K550">
        <v>4</v>
      </c>
    </row>
    <row r="551" spans="1:11" x14ac:dyDescent="0.35">
      <c r="A551" t="s">
        <v>327</v>
      </c>
      <c r="B551" t="s">
        <v>539</v>
      </c>
      <c r="D551" t="s">
        <v>237</v>
      </c>
      <c r="E551">
        <v>1</v>
      </c>
      <c r="F551">
        <v>0</v>
      </c>
      <c r="G551">
        <v>4</v>
      </c>
      <c r="H551">
        <v>3</v>
      </c>
      <c r="I551">
        <v>3</v>
      </c>
      <c r="J551">
        <v>7</v>
      </c>
      <c r="K551">
        <v>9</v>
      </c>
    </row>
    <row r="552" spans="1:11" x14ac:dyDescent="0.35">
      <c r="A552" t="s">
        <v>327</v>
      </c>
      <c r="B552" t="s">
        <v>539</v>
      </c>
      <c r="D552" t="s">
        <v>266</v>
      </c>
      <c r="E552">
        <v>1</v>
      </c>
      <c r="F552">
        <v>0</v>
      </c>
      <c r="G552">
        <v>3</v>
      </c>
      <c r="H552">
        <v>1</v>
      </c>
      <c r="I552">
        <v>2</v>
      </c>
      <c r="J552">
        <v>6</v>
      </c>
      <c r="K552">
        <v>6</v>
      </c>
    </row>
    <row r="553" spans="1:11" x14ac:dyDescent="0.35">
      <c r="A553" t="s">
        <v>327</v>
      </c>
      <c r="B553" t="s">
        <v>539</v>
      </c>
      <c r="D553" t="s">
        <v>271</v>
      </c>
      <c r="E553">
        <v>1</v>
      </c>
      <c r="F553">
        <v>0</v>
      </c>
      <c r="G553">
        <v>2</v>
      </c>
      <c r="H553">
        <v>1</v>
      </c>
      <c r="I553">
        <v>4</v>
      </c>
      <c r="J553">
        <v>8</v>
      </c>
      <c r="K553">
        <v>7</v>
      </c>
    </row>
    <row r="554" spans="1:11" x14ac:dyDescent="0.35">
      <c r="A554" t="s">
        <v>327</v>
      </c>
      <c r="B554" t="s">
        <v>539</v>
      </c>
      <c r="D554" t="s">
        <v>276</v>
      </c>
      <c r="E554">
        <v>1</v>
      </c>
      <c r="F554">
        <v>0</v>
      </c>
      <c r="G554">
        <v>1</v>
      </c>
      <c r="H554">
        <v>1</v>
      </c>
      <c r="I554">
        <v>4</v>
      </c>
      <c r="J554">
        <v>12</v>
      </c>
      <c r="K554">
        <v>4</v>
      </c>
    </row>
    <row r="555" spans="1:11" x14ac:dyDescent="0.35">
      <c r="A555" t="s">
        <v>327</v>
      </c>
      <c r="B555" t="s">
        <v>539</v>
      </c>
      <c r="D555" t="s">
        <v>325</v>
      </c>
      <c r="E555">
        <v>1</v>
      </c>
      <c r="F555">
        <v>0</v>
      </c>
      <c r="G555">
        <v>3</v>
      </c>
      <c r="H555">
        <v>1</v>
      </c>
      <c r="I555">
        <v>3</v>
      </c>
      <c r="J555">
        <v>10</v>
      </c>
      <c r="K555">
        <v>9</v>
      </c>
    </row>
    <row r="556" spans="1:11" x14ac:dyDescent="0.35">
      <c r="A556" t="s">
        <v>327</v>
      </c>
      <c r="B556" t="s">
        <v>539</v>
      </c>
      <c r="D556" t="s">
        <v>314</v>
      </c>
      <c r="E556">
        <v>1</v>
      </c>
      <c r="F556">
        <v>0</v>
      </c>
      <c r="G556">
        <v>7</v>
      </c>
      <c r="H556">
        <v>2</v>
      </c>
      <c r="I556">
        <v>4</v>
      </c>
      <c r="J556">
        <v>9</v>
      </c>
      <c r="K556">
        <v>10</v>
      </c>
    </row>
    <row r="557" spans="1:11" x14ac:dyDescent="0.35">
      <c r="A557" t="s">
        <v>327</v>
      </c>
      <c r="B557" t="s">
        <v>539</v>
      </c>
      <c r="D557" t="s">
        <v>286</v>
      </c>
      <c r="E557">
        <v>0</v>
      </c>
      <c r="F557">
        <v>0</v>
      </c>
      <c r="G557">
        <v>0</v>
      </c>
      <c r="H557">
        <v>0</v>
      </c>
      <c r="I557">
        <v>1</v>
      </c>
      <c r="J557">
        <v>0</v>
      </c>
      <c r="K557">
        <v>0</v>
      </c>
    </row>
    <row r="558" spans="1:11" x14ac:dyDescent="0.35">
      <c r="A558" t="s">
        <v>327</v>
      </c>
      <c r="B558" t="s">
        <v>539</v>
      </c>
      <c r="D558" t="s">
        <v>286</v>
      </c>
      <c r="E558">
        <v>1</v>
      </c>
      <c r="F558">
        <v>0</v>
      </c>
      <c r="G558">
        <v>0</v>
      </c>
      <c r="H558">
        <v>0</v>
      </c>
      <c r="I558">
        <v>3</v>
      </c>
      <c r="J558">
        <v>6</v>
      </c>
      <c r="K558">
        <v>0</v>
      </c>
    </row>
    <row r="559" spans="1:11" x14ac:dyDescent="0.35">
      <c r="A559" t="s">
        <v>327</v>
      </c>
      <c r="B559" t="s">
        <v>541</v>
      </c>
      <c r="D559" t="s">
        <v>219</v>
      </c>
      <c r="E559">
        <v>2</v>
      </c>
      <c r="F559">
        <v>0</v>
      </c>
      <c r="G559">
        <v>17</v>
      </c>
      <c r="H559">
        <v>0</v>
      </c>
      <c r="I559">
        <v>2</v>
      </c>
      <c r="J559">
        <v>8</v>
      </c>
      <c r="K559">
        <v>23</v>
      </c>
    </row>
    <row r="560" spans="1:11" x14ac:dyDescent="0.35">
      <c r="A560" t="s">
        <v>327</v>
      </c>
      <c r="B560" t="s">
        <v>541</v>
      </c>
      <c r="D560" t="s">
        <v>233</v>
      </c>
      <c r="E560">
        <v>2</v>
      </c>
      <c r="F560">
        <v>0</v>
      </c>
      <c r="G560">
        <v>8</v>
      </c>
      <c r="H560">
        <v>1</v>
      </c>
      <c r="I560">
        <v>4</v>
      </c>
      <c r="J560">
        <v>7</v>
      </c>
      <c r="K560">
        <v>38</v>
      </c>
    </row>
    <row r="561" spans="1:11" x14ac:dyDescent="0.35">
      <c r="A561" t="s">
        <v>327</v>
      </c>
      <c r="B561" t="s">
        <v>541</v>
      </c>
      <c r="C561" t="s">
        <v>238</v>
      </c>
      <c r="D561" t="s">
        <v>239</v>
      </c>
      <c r="E561">
        <v>1</v>
      </c>
      <c r="F561">
        <v>0</v>
      </c>
      <c r="G561">
        <v>3</v>
      </c>
      <c r="H561">
        <v>0</v>
      </c>
      <c r="I561">
        <v>2</v>
      </c>
      <c r="J561">
        <v>5</v>
      </c>
      <c r="K561">
        <v>18</v>
      </c>
    </row>
    <row r="562" spans="1:11" x14ac:dyDescent="0.35">
      <c r="A562" t="s">
        <v>327</v>
      </c>
      <c r="B562" t="s">
        <v>543</v>
      </c>
      <c r="C562" t="s">
        <v>548</v>
      </c>
      <c r="D562" t="s">
        <v>544</v>
      </c>
      <c r="E562">
        <v>11</v>
      </c>
      <c r="F562">
        <v>5</v>
      </c>
      <c r="G562">
        <v>1</v>
      </c>
      <c r="H562">
        <v>0</v>
      </c>
      <c r="I562">
        <v>16</v>
      </c>
      <c r="J562">
        <v>24</v>
      </c>
      <c r="K562">
        <v>27</v>
      </c>
    </row>
    <row r="563" spans="1:11" x14ac:dyDescent="0.35">
      <c r="A563" t="s">
        <v>466</v>
      </c>
      <c r="B563" t="s">
        <v>536</v>
      </c>
      <c r="D563" t="s">
        <v>216</v>
      </c>
      <c r="E563">
        <v>0</v>
      </c>
      <c r="F563">
        <v>0</v>
      </c>
      <c r="G563">
        <v>35</v>
      </c>
      <c r="H563">
        <v>102</v>
      </c>
      <c r="I563">
        <v>0</v>
      </c>
      <c r="J563">
        <v>0</v>
      </c>
      <c r="K563">
        <v>20</v>
      </c>
    </row>
    <row r="564" spans="1:11" x14ac:dyDescent="0.35">
      <c r="A564" t="s">
        <v>466</v>
      </c>
      <c r="B564" t="s">
        <v>536</v>
      </c>
      <c r="D564" t="s">
        <v>221</v>
      </c>
      <c r="E564">
        <v>0</v>
      </c>
      <c r="F564">
        <v>0</v>
      </c>
      <c r="G564">
        <v>6</v>
      </c>
      <c r="H564">
        <v>20</v>
      </c>
      <c r="I564">
        <v>0</v>
      </c>
      <c r="J564">
        <v>0</v>
      </c>
      <c r="K564">
        <v>5</v>
      </c>
    </row>
    <row r="565" spans="1:11" x14ac:dyDescent="0.35">
      <c r="A565" t="s">
        <v>466</v>
      </c>
      <c r="B565" t="s">
        <v>536</v>
      </c>
      <c r="D565" t="s">
        <v>225</v>
      </c>
      <c r="E565">
        <v>0</v>
      </c>
      <c r="F565">
        <v>0</v>
      </c>
      <c r="G565">
        <v>5</v>
      </c>
      <c r="H565">
        <v>15</v>
      </c>
      <c r="I565">
        <v>0</v>
      </c>
      <c r="J565">
        <v>0</v>
      </c>
      <c r="K565">
        <v>6</v>
      </c>
    </row>
    <row r="566" spans="1:11" x14ac:dyDescent="0.35">
      <c r="A566" t="s">
        <v>466</v>
      </c>
      <c r="B566" t="s">
        <v>536</v>
      </c>
      <c r="D566" t="s">
        <v>229</v>
      </c>
      <c r="E566">
        <v>0</v>
      </c>
      <c r="F566">
        <v>0</v>
      </c>
      <c r="G566">
        <v>10</v>
      </c>
      <c r="H566">
        <v>32</v>
      </c>
      <c r="I566">
        <v>0</v>
      </c>
      <c r="J566">
        <v>0</v>
      </c>
      <c r="K566">
        <v>11</v>
      </c>
    </row>
    <row r="567" spans="1:11" x14ac:dyDescent="0.35">
      <c r="A567" t="s">
        <v>466</v>
      </c>
      <c r="B567" t="s">
        <v>536</v>
      </c>
      <c r="D567" t="s">
        <v>245</v>
      </c>
      <c r="E567">
        <v>0</v>
      </c>
      <c r="F567">
        <v>0</v>
      </c>
      <c r="G567">
        <v>9</v>
      </c>
      <c r="H567">
        <v>37</v>
      </c>
      <c r="I567">
        <v>0</v>
      </c>
      <c r="J567">
        <v>0</v>
      </c>
      <c r="K567">
        <v>6</v>
      </c>
    </row>
    <row r="568" spans="1:11" x14ac:dyDescent="0.35">
      <c r="A568" t="s">
        <v>466</v>
      </c>
      <c r="B568" t="s">
        <v>536</v>
      </c>
      <c r="D568" t="s">
        <v>248</v>
      </c>
      <c r="E568">
        <v>0</v>
      </c>
      <c r="F568">
        <v>0</v>
      </c>
      <c r="G568">
        <v>29</v>
      </c>
      <c r="H568">
        <v>112</v>
      </c>
      <c r="I568">
        <v>0</v>
      </c>
      <c r="J568">
        <v>0</v>
      </c>
      <c r="K568">
        <v>21</v>
      </c>
    </row>
    <row r="569" spans="1:11" x14ac:dyDescent="0.35">
      <c r="A569" t="s">
        <v>466</v>
      </c>
      <c r="B569" t="s">
        <v>536</v>
      </c>
      <c r="D569" t="s">
        <v>250</v>
      </c>
      <c r="E569">
        <v>0</v>
      </c>
      <c r="F569">
        <v>0</v>
      </c>
      <c r="G569">
        <v>10</v>
      </c>
      <c r="H569">
        <v>39</v>
      </c>
      <c r="I569">
        <v>0</v>
      </c>
      <c r="J569">
        <v>0</v>
      </c>
      <c r="K569">
        <v>6</v>
      </c>
    </row>
    <row r="570" spans="1:11" x14ac:dyDescent="0.35">
      <c r="A570" t="s">
        <v>466</v>
      </c>
      <c r="B570" t="s">
        <v>536</v>
      </c>
      <c r="D570" t="s">
        <v>254</v>
      </c>
      <c r="E570">
        <v>0</v>
      </c>
      <c r="F570">
        <v>0</v>
      </c>
      <c r="G570">
        <v>14</v>
      </c>
      <c r="H570">
        <v>46</v>
      </c>
      <c r="I570">
        <v>0</v>
      </c>
      <c r="J570">
        <v>0</v>
      </c>
      <c r="K570">
        <v>15</v>
      </c>
    </row>
    <row r="571" spans="1:11" x14ac:dyDescent="0.35">
      <c r="A571" t="s">
        <v>466</v>
      </c>
      <c r="B571" t="s">
        <v>536</v>
      </c>
      <c r="D571" t="s">
        <v>260</v>
      </c>
      <c r="E571">
        <v>0</v>
      </c>
      <c r="F571">
        <v>0</v>
      </c>
      <c r="G571">
        <v>10</v>
      </c>
      <c r="H571">
        <v>32</v>
      </c>
      <c r="I571">
        <v>0</v>
      </c>
      <c r="J571">
        <v>0</v>
      </c>
      <c r="K571">
        <v>10</v>
      </c>
    </row>
    <row r="572" spans="1:11" x14ac:dyDescent="0.35">
      <c r="A572" t="s">
        <v>466</v>
      </c>
      <c r="B572" t="s">
        <v>536</v>
      </c>
      <c r="D572" t="s">
        <v>271</v>
      </c>
      <c r="E572">
        <v>0</v>
      </c>
      <c r="F572">
        <v>0</v>
      </c>
      <c r="G572">
        <v>91</v>
      </c>
      <c r="H572">
        <v>290</v>
      </c>
      <c r="I572">
        <v>0</v>
      </c>
      <c r="J572">
        <v>0</v>
      </c>
      <c r="K572">
        <v>67</v>
      </c>
    </row>
    <row r="573" spans="1:11" x14ac:dyDescent="0.35">
      <c r="A573" t="s">
        <v>466</v>
      </c>
      <c r="B573" t="s">
        <v>536</v>
      </c>
      <c r="D573" t="s">
        <v>274</v>
      </c>
      <c r="E573">
        <v>0</v>
      </c>
      <c r="F573">
        <v>0</v>
      </c>
      <c r="G573">
        <v>17</v>
      </c>
      <c r="H573">
        <v>51</v>
      </c>
      <c r="I573">
        <v>0</v>
      </c>
      <c r="J573">
        <v>0</v>
      </c>
      <c r="K573">
        <v>5</v>
      </c>
    </row>
    <row r="574" spans="1:11" x14ac:dyDescent="0.35">
      <c r="A574" t="s">
        <v>466</v>
      </c>
      <c r="B574" t="s">
        <v>536</v>
      </c>
      <c r="D574" t="s">
        <v>278</v>
      </c>
      <c r="E574">
        <v>0</v>
      </c>
      <c r="F574">
        <v>0</v>
      </c>
      <c r="G574">
        <v>15</v>
      </c>
      <c r="H574">
        <v>39</v>
      </c>
      <c r="I574">
        <v>0</v>
      </c>
      <c r="J574">
        <v>0</v>
      </c>
      <c r="K574">
        <v>10</v>
      </c>
    </row>
    <row r="575" spans="1:11" x14ac:dyDescent="0.35">
      <c r="A575" t="s">
        <v>466</v>
      </c>
      <c r="B575" t="s">
        <v>536</v>
      </c>
      <c r="D575" t="s">
        <v>280</v>
      </c>
      <c r="E575">
        <v>0</v>
      </c>
      <c r="F575">
        <v>0</v>
      </c>
      <c r="G575">
        <v>0</v>
      </c>
      <c r="H575">
        <v>1</v>
      </c>
      <c r="I575">
        <v>0</v>
      </c>
      <c r="J575">
        <v>0</v>
      </c>
      <c r="K575">
        <v>0</v>
      </c>
    </row>
    <row r="576" spans="1:11" x14ac:dyDescent="0.35">
      <c r="A576" t="s">
        <v>466</v>
      </c>
      <c r="B576" t="s">
        <v>536</v>
      </c>
      <c r="D576" t="s">
        <v>282</v>
      </c>
      <c r="E576">
        <v>0</v>
      </c>
      <c r="F576">
        <v>0</v>
      </c>
      <c r="G576">
        <v>5</v>
      </c>
      <c r="H576">
        <v>20</v>
      </c>
      <c r="I576">
        <v>0</v>
      </c>
      <c r="J576">
        <v>0</v>
      </c>
      <c r="K576">
        <v>5</v>
      </c>
    </row>
    <row r="577" spans="1:11" x14ac:dyDescent="0.35">
      <c r="A577" t="s">
        <v>466</v>
      </c>
      <c r="B577" t="s">
        <v>536</v>
      </c>
      <c r="D577" t="s">
        <v>284</v>
      </c>
      <c r="E577">
        <v>0</v>
      </c>
      <c r="F577">
        <v>0</v>
      </c>
      <c r="G577">
        <v>0</v>
      </c>
      <c r="H577">
        <v>0</v>
      </c>
      <c r="I577">
        <v>0</v>
      </c>
      <c r="J577">
        <v>0</v>
      </c>
      <c r="K577">
        <v>3</v>
      </c>
    </row>
    <row r="578" spans="1:11" x14ac:dyDescent="0.35">
      <c r="A578" t="s">
        <v>466</v>
      </c>
      <c r="B578" t="s">
        <v>536</v>
      </c>
      <c r="D578" t="s">
        <v>288</v>
      </c>
      <c r="E578">
        <v>0</v>
      </c>
      <c r="F578">
        <v>0</v>
      </c>
      <c r="G578">
        <v>15</v>
      </c>
      <c r="H578">
        <v>42</v>
      </c>
      <c r="I578">
        <v>0</v>
      </c>
      <c r="J578">
        <v>0</v>
      </c>
      <c r="K578">
        <v>15</v>
      </c>
    </row>
    <row r="579" spans="1:11" x14ac:dyDescent="0.35">
      <c r="A579" t="s">
        <v>466</v>
      </c>
      <c r="B579" t="s">
        <v>536</v>
      </c>
      <c r="D579" t="s">
        <v>290</v>
      </c>
      <c r="E579">
        <v>0</v>
      </c>
      <c r="F579">
        <v>0</v>
      </c>
      <c r="G579">
        <v>31</v>
      </c>
      <c r="H579">
        <v>112</v>
      </c>
      <c r="I579">
        <v>0</v>
      </c>
      <c r="J579">
        <v>0</v>
      </c>
      <c r="K579">
        <v>20</v>
      </c>
    </row>
    <row r="580" spans="1:11" x14ac:dyDescent="0.35">
      <c r="A580" t="s">
        <v>466</v>
      </c>
      <c r="B580" t="s">
        <v>536</v>
      </c>
      <c r="D580" t="s">
        <v>295</v>
      </c>
      <c r="E580">
        <v>0</v>
      </c>
      <c r="F580">
        <v>0</v>
      </c>
      <c r="G580">
        <v>11</v>
      </c>
      <c r="H580">
        <v>43</v>
      </c>
      <c r="I580">
        <v>0</v>
      </c>
      <c r="J580">
        <v>0</v>
      </c>
      <c r="K580">
        <v>5</v>
      </c>
    </row>
    <row r="581" spans="1:11" x14ac:dyDescent="0.35">
      <c r="A581" t="s">
        <v>466</v>
      </c>
      <c r="B581" t="s">
        <v>536</v>
      </c>
      <c r="D581" t="s">
        <v>297</v>
      </c>
      <c r="E581">
        <v>0</v>
      </c>
      <c r="F581">
        <v>0</v>
      </c>
      <c r="G581">
        <v>21</v>
      </c>
      <c r="H581">
        <v>66</v>
      </c>
      <c r="I581">
        <v>0</v>
      </c>
      <c r="J581">
        <v>0</v>
      </c>
      <c r="K581">
        <v>15</v>
      </c>
    </row>
    <row r="582" spans="1:11" x14ac:dyDescent="0.35">
      <c r="A582" t="s">
        <v>466</v>
      </c>
      <c r="B582" t="s">
        <v>536</v>
      </c>
      <c r="D582" t="s">
        <v>303</v>
      </c>
      <c r="E582">
        <v>0</v>
      </c>
      <c r="F582">
        <v>0</v>
      </c>
      <c r="G582">
        <v>11</v>
      </c>
      <c r="H582">
        <v>36</v>
      </c>
      <c r="I582">
        <v>0</v>
      </c>
      <c r="J582">
        <v>0</v>
      </c>
      <c r="K582">
        <v>6</v>
      </c>
    </row>
    <row r="583" spans="1:11" x14ac:dyDescent="0.35">
      <c r="A583" t="s">
        <v>466</v>
      </c>
      <c r="B583" t="s">
        <v>536</v>
      </c>
      <c r="D583" t="s">
        <v>305</v>
      </c>
      <c r="E583">
        <v>0</v>
      </c>
      <c r="F583">
        <v>0</v>
      </c>
      <c r="G583">
        <v>28</v>
      </c>
      <c r="H583">
        <v>108</v>
      </c>
      <c r="I583">
        <v>0</v>
      </c>
      <c r="J583">
        <v>0</v>
      </c>
      <c r="K583">
        <v>19</v>
      </c>
    </row>
    <row r="584" spans="1:11" x14ac:dyDescent="0.35">
      <c r="A584" t="s">
        <v>466</v>
      </c>
      <c r="B584" t="s">
        <v>536</v>
      </c>
      <c r="D584" t="s">
        <v>310</v>
      </c>
      <c r="E584">
        <v>0</v>
      </c>
      <c r="F584">
        <v>0</v>
      </c>
      <c r="G584">
        <v>15</v>
      </c>
      <c r="H584">
        <v>50</v>
      </c>
      <c r="I584">
        <v>0</v>
      </c>
      <c r="J584">
        <v>0</v>
      </c>
      <c r="K584">
        <v>10</v>
      </c>
    </row>
    <row r="585" spans="1:11" x14ac:dyDescent="0.35">
      <c r="A585" t="s">
        <v>466</v>
      </c>
      <c r="B585" t="s">
        <v>536</v>
      </c>
      <c r="C585" t="s">
        <v>238</v>
      </c>
      <c r="D585" t="s">
        <v>235</v>
      </c>
      <c r="E585">
        <v>0</v>
      </c>
      <c r="F585">
        <v>0</v>
      </c>
      <c r="G585">
        <v>56</v>
      </c>
      <c r="H585">
        <v>198</v>
      </c>
      <c r="I585">
        <v>0</v>
      </c>
      <c r="J585">
        <v>0</v>
      </c>
      <c r="K585">
        <v>34</v>
      </c>
    </row>
    <row r="586" spans="1:11" x14ac:dyDescent="0.35">
      <c r="A586" t="s">
        <v>466</v>
      </c>
      <c r="B586" t="s">
        <v>536</v>
      </c>
      <c r="C586" t="s">
        <v>238</v>
      </c>
      <c r="D586" t="s">
        <v>241</v>
      </c>
      <c r="E586">
        <v>0</v>
      </c>
      <c r="F586">
        <v>0</v>
      </c>
      <c r="G586">
        <v>5</v>
      </c>
      <c r="H586">
        <v>16</v>
      </c>
      <c r="I586">
        <v>0</v>
      </c>
      <c r="J586">
        <v>0</v>
      </c>
      <c r="K586">
        <v>5</v>
      </c>
    </row>
    <row r="587" spans="1:11" x14ac:dyDescent="0.35">
      <c r="A587" t="s">
        <v>466</v>
      </c>
      <c r="B587" t="s">
        <v>536</v>
      </c>
      <c r="C587" t="s">
        <v>238</v>
      </c>
      <c r="D587" t="s">
        <v>256</v>
      </c>
      <c r="E587">
        <v>0</v>
      </c>
      <c r="F587">
        <v>0</v>
      </c>
      <c r="G587">
        <v>5</v>
      </c>
      <c r="H587">
        <v>16</v>
      </c>
      <c r="I587">
        <v>0</v>
      </c>
      <c r="J587">
        <v>0</v>
      </c>
      <c r="K587">
        <v>5</v>
      </c>
    </row>
    <row r="588" spans="1:11" x14ac:dyDescent="0.35">
      <c r="A588" t="s">
        <v>466</v>
      </c>
      <c r="B588" t="s">
        <v>536</v>
      </c>
      <c r="C588" t="s">
        <v>238</v>
      </c>
      <c r="D588" t="s">
        <v>264</v>
      </c>
      <c r="E588">
        <v>0</v>
      </c>
      <c r="F588">
        <v>0</v>
      </c>
      <c r="G588">
        <v>19</v>
      </c>
      <c r="H588">
        <v>50</v>
      </c>
      <c r="I588">
        <v>0</v>
      </c>
      <c r="J588">
        <v>0</v>
      </c>
      <c r="K588">
        <v>14</v>
      </c>
    </row>
    <row r="589" spans="1:11" x14ac:dyDescent="0.35">
      <c r="A589" t="s">
        <v>466</v>
      </c>
      <c r="B589" t="s">
        <v>536</v>
      </c>
      <c r="C589" t="s">
        <v>238</v>
      </c>
      <c r="D589" t="s">
        <v>268</v>
      </c>
      <c r="E589">
        <v>0</v>
      </c>
      <c r="F589">
        <v>0</v>
      </c>
      <c r="G589">
        <v>43</v>
      </c>
      <c r="H589">
        <v>143</v>
      </c>
      <c r="I589">
        <v>0</v>
      </c>
      <c r="J589">
        <v>0</v>
      </c>
      <c r="K589">
        <v>25</v>
      </c>
    </row>
    <row r="590" spans="1:11" x14ac:dyDescent="0.35">
      <c r="A590" t="s">
        <v>466</v>
      </c>
      <c r="B590" t="s">
        <v>536</v>
      </c>
      <c r="C590" t="s">
        <v>238</v>
      </c>
      <c r="D590" t="s">
        <v>280</v>
      </c>
      <c r="E590">
        <v>0</v>
      </c>
      <c r="F590">
        <v>0</v>
      </c>
      <c r="G590">
        <v>4</v>
      </c>
      <c r="H590">
        <v>20</v>
      </c>
      <c r="I590">
        <v>0</v>
      </c>
      <c r="J590">
        <v>0</v>
      </c>
      <c r="K590">
        <v>4</v>
      </c>
    </row>
    <row r="591" spans="1:11" x14ac:dyDescent="0.35">
      <c r="A591" t="s">
        <v>466</v>
      </c>
      <c r="B591" t="s">
        <v>536</v>
      </c>
      <c r="C591" t="s">
        <v>238</v>
      </c>
      <c r="D591" t="s">
        <v>299</v>
      </c>
      <c r="E591">
        <v>0</v>
      </c>
      <c r="F591">
        <v>0</v>
      </c>
      <c r="G591">
        <v>10</v>
      </c>
      <c r="H591">
        <v>38</v>
      </c>
      <c r="I591">
        <v>0</v>
      </c>
      <c r="J591">
        <v>0</v>
      </c>
      <c r="K591">
        <v>10</v>
      </c>
    </row>
    <row r="592" spans="1:11" x14ac:dyDescent="0.35">
      <c r="A592" t="s">
        <v>466</v>
      </c>
      <c r="B592" t="s">
        <v>536</v>
      </c>
      <c r="C592" t="s">
        <v>238</v>
      </c>
      <c r="D592" t="s">
        <v>308</v>
      </c>
      <c r="E592">
        <v>0</v>
      </c>
      <c r="F592">
        <v>0</v>
      </c>
      <c r="G592">
        <v>10</v>
      </c>
      <c r="H592">
        <v>32</v>
      </c>
      <c r="I592">
        <v>0</v>
      </c>
      <c r="J592">
        <v>0</v>
      </c>
      <c r="K592">
        <v>5</v>
      </c>
    </row>
    <row r="593" spans="1:11" x14ac:dyDescent="0.35">
      <c r="A593" t="s">
        <v>466</v>
      </c>
      <c r="B593" t="s">
        <v>536</v>
      </c>
      <c r="C593" t="s">
        <v>238</v>
      </c>
      <c r="D593" t="s">
        <v>312</v>
      </c>
      <c r="E593">
        <v>0</v>
      </c>
      <c r="F593">
        <v>0</v>
      </c>
      <c r="G593">
        <v>11</v>
      </c>
      <c r="H593">
        <v>39</v>
      </c>
      <c r="I593">
        <v>0</v>
      </c>
      <c r="J593">
        <v>0</v>
      </c>
      <c r="K593">
        <v>14</v>
      </c>
    </row>
    <row r="594" spans="1:11" x14ac:dyDescent="0.35">
      <c r="A594" t="s">
        <v>466</v>
      </c>
      <c r="B594" t="s">
        <v>539</v>
      </c>
      <c r="D594" t="s">
        <v>323</v>
      </c>
      <c r="E594">
        <v>1</v>
      </c>
      <c r="F594">
        <v>0</v>
      </c>
      <c r="G594">
        <v>0</v>
      </c>
      <c r="H594">
        <v>0</v>
      </c>
      <c r="I594">
        <v>4</v>
      </c>
      <c r="J594">
        <v>10</v>
      </c>
      <c r="K594">
        <v>5</v>
      </c>
    </row>
    <row r="595" spans="1:11" x14ac:dyDescent="0.35">
      <c r="A595" t="s">
        <v>466</v>
      </c>
      <c r="B595" t="s">
        <v>539</v>
      </c>
      <c r="D595" t="s">
        <v>231</v>
      </c>
      <c r="E595">
        <v>1</v>
      </c>
      <c r="F595">
        <v>0</v>
      </c>
      <c r="G595">
        <v>0</v>
      </c>
      <c r="H595">
        <v>2</v>
      </c>
      <c r="I595">
        <v>4</v>
      </c>
      <c r="J595">
        <v>9</v>
      </c>
      <c r="K595">
        <v>4</v>
      </c>
    </row>
    <row r="596" spans="1:11" x14ac:dyDescent="0.35">
      <c r="A596" t="s">
        <v>466</v>
      </c>
      <c r="B596" t="s">
        <v>539</v>
      </c>
      <c r="D596" t="s">
        <v>245</v>
      </c>
      <c r="E596">
        <v>0</v>
      </c>
      <c r="F596">
        <v>0</v>
      </c>
      <c r="G596">
        <v>0</v>
      </c>
      <c r="H596">
        <v>0</v>
      </c>
      <c r="I596">
        <v>0</v>
      </c>
      <c r="J596">
        <v>1</v>
      </c>
      <c r="K596">
        <v>0</v>
      </c>
    </row>
    <row r="597" spans="1:11" x14ac:dyDescent="0.35">
      <c r="A597" t="s">
        <v>466</v>
      </c>
      <c r="B597" t="s">
        <v>539</v>
      </c>
      <c r="D597" t="s">
        <v>245</v>
      </c>
      <c r="E597">
        <v>1</v>
      </c>
      <c r="F597">
        <v>0</v>
      </c>
      <c r="G597">
        <v>0</v>
      </c>
      <c r="H597">
        <v>2</v>
      </c>
      <c r="I597">
        <v>2</v>
      </c>
      <c r="J597">
        <v>5</v>
      </c>
      <c r="K597">
        <v>5</v>
      </c>
    </row>
    <row r="598" spans="1:11" x14ac:dyDescent="0.35">
      <c r="A598" t="s">
        <v>466</v>
      </c>
      <c r="B598" t="s">
        <v>539</v>
      </c>
      <c r="D598" t="s">
        <v>227</v>
      </c>
      <c r="E598">
        <v>1</v>
      </c>
      <c r="F598">
        <v>0</v>
      </c>
      <c r="G598">
        <v>0</v>
      </c>
      <c r="H598">
        <v>4</v>
      </c>
      <c r="I598">
        <v>4</v>
      </c>
      <c r="J598">
        <v>8</v>
      </c>
      <c r="K598">
        <v>8</v>
      </c>
    </row>
    <row r="599" spans="1:11" x14ac:dyDescent="0.35">
      <c r="A599" t="s">
        <v>466</v>
      </c>
      <c r="B599" t="s">
        <v>539</v>
      </c>
      <c r="D599" t="s">
        <v>252</v>
      </c>
      <c r="E599">
        <v>1</v>
      </c>
      <c r="F599">
        <v>0</v>
      </c>
      <c r="G599">
        <v>0</v>
      </c>
      <c r="H599">
        <v>0</v>
      </c>
      <c r="I599">
        <v>3</v>
      </c>
      <c r="J599">
        <v>9</v>
      </c>
      <c r="K599">
        <v>5</v>
      </c>
    </row>
    <row r="600" spans="1:11" x14ac:dyDescent="0.35">
      <c r="A600" t="s">
        <v>466</v>
      </c>
      <c r="B600" t="s">
        <v>539</v>
      </c>
      <c r="D600" t="s">
        <v>258</v>
      </c>
      <c r="E600">
        <v>1</v>
      </c>
      <c r="F600">
        <v>0</v>
      </c>
      <c r="G600">
        <v>0</v>
      </c>
      <c r="H600">
        <v>4</v>
      </c>
      <c r="I600">
        <v>3</v>
      </c>
      <c r="J600">
        <v>6</v>
      </c>
      <c r="K600">
        <v>6</v>
      </c>
    </row>
    <row r="601" spans="1:11" x14ac:dyDescent="0.35">
      <c r="A601" t="s">
        <v>466</v>
      </c>
      <c r="B601" t="s">
        <v>539</v>
      </c>
      <c r="D601" t="s">
        <v>262</v>
      </c>
      <c r="E601">
        <v>1</v>
      </c>
      <c r="F601">
        <v>0</v>
      </c>
      <c r="G601">
        <v>2</v>
      </c>
      <c r="H601">
        <v>1</v>
      </c>
      <c r="I601">
        <v>3</v>
      </c>
      <c r="J601">
        <v>5</v>
      </c>
      <c r="K601">
        <v>3</v>
      </c>
    </row>
    <row r="602" spans="1:11" x14ac:dyDescent="0.35">
      <c r="A602" t="s">
        <v>466</v>
      </c>
      <c r="B602" t="s">
        <v>539</v>
      </c>
      <c r="D602" t="s">
        <v>237</v>
      </c>
      <c r="E602">
        <v>1</v>
      </c>
      <c r="F602">
        <v>0</v>
      </c>
      <c r="G602">
        <v>2</v>
      </c>
      <c r="H602">
        <v>3</v>
      </c>
      <c r="I602">
        <v>3</v>
      </c>
      <c r="J602">
        <v>6</v>
      </c>
      <c r="K602">
        <v>10</v>
      </c>
    </row>
    <row r="603" spans="1:11" x14ac:dyDescent="0.35">
      <c r="A603" t="s">
        <v>466</v>
      </c>
      <c r="B603" t="s">
        <v>539</v>
      </c>
      <c r="D603" t="s">
        <v>266</v>
      </c>
      <c r="E603">
        <v>1</v>
      </c>
      <c r="F603">
        <v>0</v>
      </c>
      <c r="G603">
        <v>1</v>
      </c>
      <c r="H603">
        <v>0</v>
      </c>
      <c r="I603">
        <v>2</v>
      </c>
      <c r="J603">
        <v>6</v>
      </c>
      <c r="K603">
        <v>5</v>
      </c>
    </row>
    <row r="604" spans="1:11" x14ac:dyDescent="0.35">
      <c r="A604" t="s">
        <v>466</v>
      </c>
      <c r="B604" t="s">
        <v>539</v>
      </c>
      <c r="D604" t="s">
        <v>271</v>
      </c>
      <c r="E604">
        <v>1</v>
      </c>
      <c r="F604">
        <v>0</v>
      </c>
      <c r="G604">
        <v>0</v>
      </c>
      <c r="H604">
        <v>1</v>
      </c>
      <c r="I604">
        <v>4</v>
      </c>
      <c r="J604">
        <v>8</v>
      </c>
      <c r="K604">
        <v>6</v>
      </c>
    </row>
    <row r="605" spans="1:11" x14ac:dyDescent="0.35">
      <c r="A605" t="s">
        <v>466</v>
      </c>
      <c r="B605" t="s">
        <v>539</v>
      </c>
      <c r="D605" t="s">
        <v>276</v>
      </c>
      <c r="E605">
        <v>1</v>
      </c>
      <c r="F605">
        <v>0</v>
      </c>
      <c r="G605">
        <v>1</v>
      </c>
      <c r="H605">
        <v>0</v>
      </c>
      <c r="I605">
        <v>4</v>
      </c>
      <c r="J605">
        <v>14</v>
      </c>
      <c r="K605">
        <v>5</v>
      </c>
    </row>
    <row r="606" spans="1:11" x14ac:dyDescent="0.35">
      <c r="A606" t="s">
        <v>466</v>
      </c>
      <c r="B606" t="s">
        <v>539</v>
      </c>
      <c r="D606" t="s">
        <v>325</v>
      </c>
      <c r="E606">
        <v>1</v>
      </c>
      <c r="F606">
        <v>0</v>
      </c>
      <c r="G606">
        <v>1</v>
      </c>
      <c r="H606">
        <v>2</v>
      </c>
      <c r="I606">
        <v>3</v>
      </c>
      <c r="J606">
        <v>9</v>
      </c>
      <c r="K606">
        <v>7</v>
      </c>
    </row>
    <row r="607" spans="1:11" x14ac:dyDescent="0.35">
      <c r="A607" t="s">
        <v>466</v>
      </c>
      <c r="B607" t="s">
        <v>539</v>
      </c>
      <c r="D607" t="s">
        <v>314</v>
      </c>
      <c r="E607">
        <v>1</v>
      </c>
      <c r="F607">
        <v>0</v>
      </c>
      <c r="G607">
        <v>1</v>
      </c>
      <c r="H607">
        <v>2</v>
      </c>
      <c r="I607">
        <v>4</v>
      </c>
      <c r="J607">
        <v>10</v>
      </c>
      <c r="K607">
        <v>8</v>
      </c>
    </row>
    <row r="608" spans="1:11" x14ac:dyDescent="0.35">
      <c r="A608" t="s">
        <v>466</v>
      </c>
      <c r="B608" t="s">
        <v>539</v>
      </c>
      <c r="D608" t="s">
        <v>286</v>
      </c>
      <c r="E608">
        <v>1</v>
      </c>
      <c r="F608">
        <v>0</v>
      </c>
      <c r="G608">
        <v>0</v>
      </c>
      <c r="H608">
        <v>0</v>
      </c>
      <c r="I608">
        <v>4</v>
      </c>
      <c r="J608">
        <v>6</v>
      </c>
      <c r="K608">
        <v>0</v>
      </c>
    </row>
    <row r="609" spans="1:11" x14ac:dyDescent="0.35">
      <c r="A609" t="s">
        <v>466</v>
      </c>
      <c r="B609" t="s">
        <v>541</v>
      </c>
      <c r="D609" t="s">
        <v>219</v>
      </c>
      <c r="E609">
        <v>2</v>
      </c>
      <c r="F609">
        <v>0</v>
      </c>
      <c r="G609">
        <v>18</v>
      </c>
      <c r="H609">
        <v>6</v>
      </c>
      <c r="I609">
        <v>3</v>
      </c>
      <c r="J609">
        <v>9</v>
      </c>
      <c r="K609">
        <v>26</v>
      </c>
    </row>
    <row r="610" spans="1:11" x14ac:dyDescent="0.35">
      <c r="A610" t="s">
        <v>466</v>
      </c>
      <c r="B610" t="s">
        <v>541</v>
      </c>
      <c r="D610" t="s">
        <v>233</v>
      </c>
      <c r="E610">
        <v>1</v>
      </c>
      <c r="F610">
        <v>0</v>
      </c>
      <c r="G610">
        <v>26</v>
      </c>
      <c r="H610">
        <v>47</v>
      </c>
      <c r="I610">
        <v>4</v>
      </c>
      <c r="J610">
        <v>7</v>
      </c>
      <c r="K610">
        <v>47</v>
      </c>
    </row>
    <row r="611" spans="1:11" x14ac:dyDescent="0.35">
      <c r="A611" t="s">
        <v>466</v>
      </c>
      <c r="B611" t="s">
        <v>541</v>
      </c>
      <c r="C611" t="s">
        <v>238</v>
      </c>
      <c r="D611" t="s">
        <v>239</v>
      </c>
      <c r="E611">
        <v>1</v>
      </c>
      <c r="F611">
        <v>0</v>
      </c>
      <c r="G611">
        <v>18</v>
      </c>
      <c r="H611">
        <v>16</v>
      </c>
      <c r="I611">
        <v>2</v>
      </c>
      <c r="J611">
        <v>8</v>
      </c>
      <c r="K611">
        <v>28</v>
      </c>
    </row>
    <row r="612" spans="1:11" x14ac:dyDescent="0.35">
      <c r="A612" t="s">
        <v>466</v>
      </c>
      <c r="B612" t="s">
        <v>543</v>
      </c>
      <c r="C612" t="s">
        <v>548</v>
      </c>
      <c r="D612" t="s">
        <v>544</v>
      </c>
      <c r="E612">
        <v>12</v>
      </c>
      <c r="F612">
        <v>5</v>
      </c>
      <c r="G612">
        <v>1</v>
      </c>
      <c r="H612">
        <v>1</v>
      </c>
      <c r="I612">
        <v>16</v>
      </c>
      <c r="J612">
        <v>24</v>
      </c>
      <c r="K612">
        <v>31</v>
      </c>
    </row>
  </sheetData>
  <pageMargins left="0.7" right="0.7" top="0.75" bottom="0.75" header="0.3" footer="0.3"/>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tabColor theme="9" tint="0.39997558519241921"/>
    <pageSetUpPr fitToPage="1"/>
  </sheetPr>
  <dimension ref="A1:L78"/>
  <sheetViews>
    <sheetView showGridLines="0" zoomScaleNormal="100" workbookViewId="0">
      <pane ySplit="2" topLeftCell="A3" activePane="bottomLeft" state="frozen"/>
      <selection pane="bottomLeft" sqref="A1:H1"/>
    </sheetView>
  </sheetViews>
  <sheetFormatPr defaultRowHeight="14.5" x14ac:dyDescent="0.35"/>
  <cols>
    <col min="1" max="1" width="17.1796875" customWidth="1"/>
    <col min="2" max="2" width="60.7265625" customWidth="1"/>
    <col min="3" max="3" width="13.26953125" customWidth="1"/>
    <col min="4" max="4" width="14" customWidth="1"/>
    <col min="5" max="6" width="12.81640625" customWidth="1"/>
    <col min="7" max="7" width="14.26953125" customWidth="1"/>
    <col min="8" max="8" width="12.81640625" customWidth="1"/>
    <col min="9" max="9" width="12.1796875" customWidth="1"/>
    <col min="10" max="10" width="13.26953125" customWidth="1"/>
  </cols>
  <sheetData>
    <row r="1" spans="1:10" ht="27.65" customHeight="1" x14ac:dyDescent="0.35">
      <c r="A1" s="1011" t="s">
        <v>513</v>
      </c>
      <c r="B1" s="1011"/>
      <c r="C1" s="1011"/>
      <c r="D1" s="1011"/>
      <c r="E1" s="1011"/>
      <c r="F1" s="1011"/>
      <c r="G1" s="1011"/>
      <c r="H1" s="1011"/>
      <c r="I1" s="25"/>
      <c r="J1" s="25"/>
    </row>
    <row r="2" spans="1:10" ht="15" customHeight="1" x14ac:dyDescent="0.35">
      <c r="A2" s="499" t="s">
        <v>201</v>
      </c>
      <c r="C2" s="441"/>
      <c r="D2" s="441"/>
      <c r="E2" s="441"/>
      <c r="F2" s="441"/>
      <c r="G2" s="441"/>
      <c r="H2" s="441"/>
      <c r="I2" s="25"/>
      <c r="J2" s="25"/>
    </row>
    <row r="3" spans="1:10" ht="15" customHeight="1" x14ac:dyDescent="0.35">
      <c r="C3" s="441"/>
      <c r="D3" s="441"/>
      <c r="E3" s="441"/>
      <c r="F3" s="441"/>
      <c r="G3" s="441"/>
      <c r="H3" s="441"/>
      <c r="I3" s="25"/>
      <c r="J3" s="25"/>
    </row>
    <row r="4" spans="1:10" ht="30" customHeight="1" x14ac:dyDescent="0.35">
      <c r="A4" s="1021" t="s">
        <v>674</v>
      </c>
      <c r="B4" s="1021"/>
      <c r="C4" s="1021"/>
      <c r="D4" s="1021"/>
      <c r="E4" s="1021"/>
      <c r="F4" s="1021"/>
      <c r="G4" s="1021"/>
      <c r="H4" s="1021"/>
      <c r="I4" s="1021"/>
      <c r="J4" s="1021"/>
    </row>
    <row r="5" spans="1:10" ht="15" customHeight="1" x14ac:dyDescent="0.35">
      <c r="A5" t="s">
        <v>202</v>
      </c>
      <c r="B5" t="s">
        <v>72</v>
      </c>
      <c r="C5" s="231"/>
      <c r="D5" s="231"/>
      <c r="E5" s="231"/>
      <c r="F5" s="231"/>
      <c r="G5" s="231"/>
      <c r="H5" s="231"/>
      <c r="I5" s="231"/>
      <c r="J5" s="231"/>
    </row>
    <row r="6" spans="1:10" ht="15.75" customHeight="1" x14ac:dyDescent="0.35">
      <c r="A6" t="s">
        <v>203</v>
      </c>
      <c r="B6" t="s">
        <v>204</v>
      </c>
      <c r="C6" s="231"/>
      <c r="D6" s="231"/>
      <c r="E6" s="231"/>
      <c r="F6" s="231"/>
      <c r="G6" s="231"/>
      <c r="H6" s="231"/>
      <c r="I6" s="231"/>
      <c r="J6" s="231"/>
    </row>
    <row r="7" spans="1:10" ht="15.75" customHeight="1" x14ac:dyDescent="0.35">
      <c r="A7" t="s">
        <v>205</v>
      </c>
      <c r="B7" t="s">
        <v>206</v>
      </c>
      <c r="C7" s="231"/>
      <c r="D7" s="231"/>
      <c r="E7" s="231"/>
      <c r="F7" s="231"/>
      <c r="G7" s="231"/>
      <c r="H7" s="231"/>
      <c r="I7" s="231"/>
      <c r="J7" s="231"/>
    </row>
    <row r="8" spans="1:10" ht="43" customHeight="1" x14ac:dyDescent="0.35">
      <c r="A8" s="36" t="s">
        <v>207</v>
      </c>
      <c r="B8" s="36" t="s">
        <v>550</v>
      </c>
      <c r="C8" s="40" t="s">
        <v>643</v>
      </c>
      <c r="D8" s="40" t="s">
        <v>644</v>
      </c>
      <c r="E8" s="40" t="s">
        <v>645</v>
      </c>
      <c r="F8" s="40" t="s">
        <v>646</v>
      </c>
      <c r="G8" s="40" t="s">
        <v>647</v>
      </c>
      <c r="H8" s="40" t="s">
        <v>648</v>
      </c>
      <c r="I8" s="40" t="s">
        <v>632</v>
      </c>
      <c r="J8" s="438" t="s">
        <v>551</v>
      </c>
    </row>
    <row r="9" spans="1:10" ht="15" thickBot="1" x14ac:dyDescent="0.4">
      <c r="A9" s="38" t="str">
        <f>wtroleareapivot!B1</f>
        <v>2024-25</v>
      </c>
      <c r="B9" s="38" t="s">
        <v>551</v>
      </c>
      <c r="C9" s="64">
        <f>C44+C64+C70+C72</f>
        <v>5</v>
      </c>
      <c r="D9" s="64">
        <f>D44+D64+D70+D72</f>
        <v>30</v>
      </c>
      <c r="E9" s="64">
        <f t="shared" ref="E9:J9" si="0">E44+E64+E70+E72</f>
        <v>72</v>
      </c>
      <c r="F9" s="64">
        <f t="shared" si="0"/>
        <v>160</v>
      </c>
      <c r="G9" s="64">
        <f t="shared" si="0"/>
        <v>605</v>
      </c>
      <c r="H9" s="64">
        <f t="shared" si="0"/>
        <v>622</v>
      </c>
      <c r="I9" s="64">
        <f t="shared" si="0"/>
        <v>1936</v>
      </c>
      <c r="J9" s="64">
        <f t="shared" si="0"/>
        <v>3430</v>
      </c>
    </row>
    <row r="10" spans="1:10" x14ac:dyDescent="0.35">
      <c r="B10" s="39"/>
      <c r="C10" s="44"/>
      <c r="D10" s="44"/>
      <c r="E10" s="44"/>
      <c r="F10" s="44"/>
      <c r="G10" s="44"/>
      <c r="H10" s="44"/>
      <c r="I10" s="44"/>
      <c r="J10" s="65"/>
    </row>
    <row r="11" spans="1:10" x14ac:dyDescent="0.35">
      <c r="A11" s="42" t="s">
        <v>208</v>
      </c>
      <c r="B11" s="42" t="s">
        <v>347</v>
      </c>
      <c r="C11" s="15"/>
      <c r="D11" s="20"/>
      <c r="E11" s="20"/>
      <c r="F11" s="20"/>
      <c r="G11" s="20"/>
      <c r="H11" s="20"/>
      <c r="I11" s="20"/>
      <c r="J11" s="20"/>
    </row>
    <row r="12" spans="1:10" ht="19.5" customHeight="1" x14ac:dyDescent="0.35">
      <c r="A12" s="391" t="s">
        <v>215</v>
      </c>
      <c r="B12" s="45" t="s">
        <v>216</v>
      </c>
      <c r="C12" s="435">
        <f>GETPIVOTDATA("Sum of Brigade Manager",wtroleareapivot!$A$3,"ReportingLevel","1:LA","lvl","Aberdeen City")</f>
        <v>0</v>
      </c>
      <c r="D12" s="435">
        <f>GETPIVOTDATA("Sum of Area Manager",wtroleareapivot!$A$3,"ReportingLevel","1:LA","lvl","Aberdeen City")</f>
        <v>0</v>
      </c>
      <c r="E12" s="435">
        <f>GETPIVOTDATA("Sum of Group Manager",wtroleareapivot!$A$3,"ReportingLevel","1:LA","lvl","Aberdeen City")</f>
        <v>0</v>
      </c>
      <c r="F12" s="435">
        <f>GETPIVOTDATA("Sum of Station Manager",wtroleareapivot!$A$3,"ReportingLevel","1:LA","lvl","Aberdeen City")</f>
        <v>0</v>
      </c>
      <c r="G12" s="298">
        <f>GETPIVOTDATA("Sum of Watch Manager",wtroleareapivot!$A$3,"ReportingLevel","1:LA","lvl","Aberdeen City")</f>
        <v>20</v>
      </c>
      <c r="H12" s="298">
        <f>GETPIVOTDATA("Sum of Crew Manager",wtroleareapivot!$A$3,"ReportingLevel","1:LA","lvl","Aberdeen City")</f>
        <v>35</v>
      </c>
      <c r="I12" s="298">
        <f>GETPIVOTDATA("Sum of Firefighter",wtroleareapivot!$A$3,"ReportingLevel","1:LA","lvl","Aberdeen City")</f>
        <v>102</v>
      </c>
      <c r="J12" s="66">
        <f>SUM(C12:I12)</f>
        <v>157</v>
      </c>
    </row>
    <row r="13" spans="1:10" x14ac:dyDescent="0.35">
      <c r="A13" s="89" t="s">
        <v>220</v>
      </c>
      <c r="B13" s="48" t="s">
        <v>221</v>
      </c>
      <c r="C13" s="676">
        <f>GETPIVOTDATA("Sum of Brigade Manager",wtroleareapivot!$A$3,"ReportingLevel","1:LA","lvl","Aberdeenshire")</f>
        <v>0</v>
      </c>
      <c r="D13" s="676">
        <f>GETPIVOTDATA("Sum of Area Manager",wtroleareapivot!$A$3,"ReportingLevel","1:LA","lvl","Aberdeenshire")</f>
        <v>0</v>
      </c>
      <c r="E13" s="676">
        <f>GETPIVOTDATA("Sum of Group Manager",wtroleareapivot!$A$3,"ReportingLevel","1:LA","lvl","Aberdeenshire")</f>
        <v>0</v>
      </c>
      <c r="F13" s="676">
        <f>GETPIVOTDATA("Sum of Station Manager",wtroleareapivot!$A$3,"ReportingLevel","1:LA","lvl","Aberdeenshire")</f>
        <v>0</v>
      </c>
      <c r="G13" s="668">
        <f>GETPIVOTDATA("Sum of Watch Manager",wtroleareapivot!$A$3,"ReportingLevel","1:LA","lvl","Aberdeenshire")</f>
        <v>5</v>
      </c>
      <c r="H13" s="668">
        <f>GETPIVOTDATA("Sum of Crew Manager",wtroleareapivot!$A$3,"ReportingLevel","1:LA","lvl","Aberdeenshire")</f>
        <v>6</v>
      </c>
      <c r="I13" s="668">
        <f>GETPIVOTDATA("Sum of Firefighter",wtroleareapivot!$A$3,"ReportingLevel","1:LA","lvl","Aberdeenshire")</f>
        <v>20</v>
      </c>
      <c r="J13" s="66">
        <f t="shared" ref="J13:J43" si="1">SUM(C13:I13)</f>
        <v>31</v>
      </c>
    </row>
    <row r="14" spans="1:10" x14ac:dyDescent="0.35">
      <c r="A14" s="89" t="s">
        <v>224</v>
      </c>
      <c r="B14" s="48" t="s">
        <v>225</v>
      </c>
      <c r="C14" s="676">
        <f>GETPIVOTDATA("Sum of Brigade Manager",wtroleareapivot!$A$3,"ReportingLevel","1:LA","lvl","Angus")</f>
        <v>0</v>
      </c>
      <c r="D14" s="676">
        <f>GETPIVOTDATA("Sum of Area Manager",wtroleareapivot!$A$3,"ReportingLevel","1:LA","lvl","Angus")</f>
        <v>0</v>
      </c>
      <c r="E14" s="676">
        <f>GETPIVOTDATA("Sum of Group Manager",wtroleareapivot!$A$3,"ReportingLevel","1:LA","lvl","Angus")</f>
        <v>0</v>
      </c>
      <c r="F14" s="676">
        <f>GETPIVOTDATA("Sum of Station Manager",wtroleareapivot!$A$3,"ReportingLevel","1:LA","lvl","Angus")</f>
        <v>0</v>
      </c>
      <c r="G14" s="668">
        <f>GETPIVOTDATA("Sum of Watch Manager",wtroleareapivot!$A$3,"ReportingLevel","1:LA","lvl","Angus")</f>
        <v>6</v>
      </c>
      <c r="H14" s="668">
        <f>GETPIVOTDATA("Sum of Crew Manager",wtroleareapivot!$A$3,"ReportingLevel","1:LA","lvl","Angus")</f>
        <v>5</v>
      </c>
      <c r="I14" s="668">
        <f>GETPIVOTDATA("Sum of Firefighter",wtroleareapivot!$A$3,"ReportingLevel","1:LA","lvl","Angus")</f>
        <v>15</v>
      </c>
      <c r="J14" s="66">
        <f t="shared" si="1"/>
        <v>26</v>
      </c>
    </row>
    <row r="15" spans="1:10" x14ac:dyDescent="0.35">
      <c r="A15" s="89" t="s">
        <v>228</v>
      </c>
      <c r="B15" s="48" t="s">
        <v>229</v>
      </c>
      <c r="C15" s="676">
        <f>GETPIVOTDATA("Sum of Brigade Manager",wtroleareapivot!$A$3,"ReportingLevel","1:LA","lvl","Argyll and Bute")</f>
        <v>0</v>
      </c>
      <c r="D15" s="676">
        <f>GETPIVOTDATA("Sum of Area Manager",wtroleareapivot!$A$3,"ReportingLevel","1:LA","lvl","Argyll and Bute")</f>
        <v>0</v>
      </c>
      <c r="E15" s="676">
        <f>GETPIVOTDATA("Sum of Group Manager",wtroleareapivot!$A$3,"ReportingLevel","1:LA","lvl","Argyll and Bute")</f>
        <v>0</v>
      </c>
      <c r="F15" s="676">
        <f>GETPIVOTDATA("Sum of Station Manager",wtroleareapivot!$A$3,"ReportingLevel","1:LA","lvl","Argyll and Bute")</f>
        <v>0</v>
      </c>
      <c r="G15" s="668">
        <f>GETPIVOTDATA("Sum of Watch Manager",wtroleareapivot!$A$3,"ReportingLevel","1:LA","lvl","Argyll and Bute")</f>
        <v>11</v>
      </c>
      <c r="H15" s="668">
        <f>GETPIVOTDATA("Sum of Crew Manager",wtroleareapivot!$A$3,"ReportingLevel","1:LA","lvl","Argyll and Bute")</f>
        <v>10</v>
      </c>
      <c r="I15" s="668">
        <f>GETPIVOTDATA("Sum of Firefighter",wtroleareapivot!$A$3,"ReportingLevel","1:LA","lvl","Argyll and Bute")</f>
        <v>32</v>
      </c>
      <c r="J15" s="66">
        <f t="shared" si="1"/>
        <v>53</v>
      </c>
    </row>
    <row r="16" spans="1:10" x14ac:dyDescent="0.35">
      <c r="A16" s="89" t="s">
        <v>234</v>
      </c>
      <c r="B16" s="48" t="s">
        <v>235</v>
      </c>
      <c r="C16" s="676">
        <f>GETPIVOTDATA("Sum of Brigade Manager",wtroleareapivot!$A$3,"ReportingLevel","1:LA","lvl","City of Edinburgh")</f>
        <v>0</v>
      </c>
      <c r="D16" s="676">
        <f>GETPIVOTDATA("Sum of Area Manager",wtroleareapivot!$A$3,"ReportingLevel","1:LA","lvl","City of Edinburgh")</f>
        <v>0</v>
      </c>
      <c r="E16" s="676">
        <f>GETPIVOTDATA("Sum of Group Manager",wtroleareapivot!$A$3,"ReportingLevel","1:LA","lvl","City of Edinburgh")</f>
        <v>0</v>
      </c>
      <c r="F16" s="676">
        <f>GETPIVOTDATA("Sum of Station Manager",wtroleareapivot!$A$3,"ReportingLevel","1:LA","lvl","City of Edinburgh")</f>
        <v>0</v>
      </c>
      <c r="G16" s="668">
        <f>GETPIVOTDATA("Sum of Watch Manager",wtroleareapivot!$A$3,"ReportingLevel","1:LA","lvl","City of Edinburgh")</f>
        <v>34</v>
      </c>
      <c r="H16" s="668">
        <f>GETPIVOTDATA("Sum of Crew Manager",wtroleareapivot!$A$3,"ReportingLevel","1:LA","lvl","City of Edinburgh")</f>
        <v>56</v>
      </c>
      <c r="I16" s="668">
        <f>GETPIVOTDATA("Sum of Firefighter",wtroleareapivot!$A$3,"ReportingLevel","1:LA","lvl","City of Edinburgh")</f>
        <v>198</v>
      </c>
      <c r="J16" s="66">
        <f t="shared" si="1"/>
        <v>288</v>
      </c>
    </row>
    <row r="17" spans="1:10" x14ac:dyDescent="0.35">
      <c r="A17" s="89" t="s">
        <v>240</v>
      </c>
      <c r="B17" s="48" t="s">
        <v>241</v>
      </c>
      <c r="C17" s="676">
        <f>GETPIVOTDATA("Sum of Brigade Manager",wtroleareapivot!$A$3,"ReportingLevel","1:LA","lvl","Clackmannanshire")</f>
        <v>0</v>
      </c>
      <c r="D17" s="676">
        <f>GETPIVOTDATA("Sum of Area Manager",wtroleareapivot!$A$3,"ReportingLevel","1:LA","lvl","Clackmannanshire")</f>
        <v>0</v>
      </c>
      <c r="E17" s="676">
        <f>GETPIVOTDATA("Sum of Group Manager",wtroleareapivot!$A$3,"ReportingLevel","1:LA","lvl","Clackmannanshire")</f>
        <v>0</v>
      </c>
      <c r="F17" s="676">
        <f>GETPIVOTDATA("Sum of Station Manager",wtroleareapivot!$A$3,"ReportingLevel","1:LA","lvl","Clackmannanshire")</f>
        <v>0</v>
      </c>
      <c r="G17" s="668">
        <f>GETPIVOTDATA("Sum of Watch Manager",wtroleareapivot!$A$3,"ReportingLevel","1:LA","lvl","Clackmannanshire")</f>
        <v>5</v>
      </c>
      <c r="H17" s="668">
        <f>GETPIVOTDATA("Sum of Crew Manager",wtroleareapivot!$A$3,"ReportingLevel","1:LA","lvl","Clackmannanshire")</f>
        <v>5</v>
      </c>
      <c r="I17" s="668">
        <f>GETPIVOTDATA("Sum of Firefighter",wtroleareapivot!$A$3,"ReportingLevel","1:LA","lvl","Clackmannanshire")</f>
        <v>16</v>
      </c>
      <c r="J17" s="66">
        <f t="shared" si="1"/>
        <v>26</v>
      </c>
    </row>
    <row r="18" spans="1:10" x14ac:dyDescent="0.35">
      <c r="A18" s="89" t="s">
        <v>244</v>
      </c>
      <c r="B18" s="48" t="s">
        <v>245</v>
      </c>
      <c r="C18" s="676">
        <f>GETPIVOTDATA("Sum of Brigade Manager",wtroleareapivot!$A$3,"ReportingLevel","1:LA","lvl","Dumfries and Galloway")</f>
        <v>0</v>
      </c>
      <c r="D18" s="676">
        <f>GETPIVOTDATA("Sum of Area Manager",wtroleareapivot!$A$3,"ReportingLevel","1:LA","lvl","Dumfries and Galloway")</f>
        <v>0</v>
      </c>
      <c r="E18" s="676">
        <f>GETPIVOTDATA("Sum of Group Manager",wtroleareapivot!$A$3,"ReportingLevel","1:LA","lvl","Dumfries and Galloway")</f>
        <v>0</v>
      </c>
      <c r="F18" s="676">
        <f>GETPIVOTDATA("Sum of Station Manager",wtroleareapivot!$A$3,"ReportingLevel","1:LA","lvl","Dumfries and Galloway")</f>
        <v>0</v>
      </c>
      <c r="G18" s="668">
        <f>GETPIVOTDATA("Sum of Watch Manager",wtroleareapivot!$A$3,"ReportingLevel","1:LA","lvl","Dumfries and Galloway")</f>
        <v>6</v>
      </c>
      <c r="H18" s="668">
        <f>GETPIVOTDATA("Sum of Crew Manager",wtroleareapivot!$A$3,"ReportingLevel","1:LA","lvl","Dumfries and Galloway")</f>
        <v>9</v>
      </c>
      <c r="I18" s="668">
        <f>GETPIVOTDATA("Sum of Firefighter",wtroleareapivot!$A$3,"ReportingLevel","1:LA","lvl","Dumfries and Galloway")</f>
        <v>37</v>
      </c>
      <c r="J18" s="66">
        <f t="shared" si="1"/>
        <v>52</v>
      </c>
    </row>
    <row r="19" spans="1:10" x14ac:dyDescent="0.35">
      <c r="A19" s="89" t="s">
        <v>247</v>
      </c>
      <c r="B19" s="48" t="s">
        <v>248</v>
      </c>
      <c r="C19" s="676">
        <f>GETPIVOTDATA("Sum of Brigade Manager",wtroleareapivot!$A$3,"ReportingLevel","1:LA","lvl","Dundee City")</f>
        <v>0</v>
      </c>
      <c r="D19" s="676">
        <f>GETPIVOTDATA("Sum of Area Manager",wtroleareapivot!$A$3,"ReportingLevel","1:LA","lvl","Dundee City")</f>
        <v>0</v>
      </c>
      <c r="E19" s="676">
        <f>GETPIVOTDATA("Sum of Group Manager",wtroleareapivot!$A$3,"ReportingLevel","1:LA","lvl","Dundee City")</f>
        <v>0</v>
      </c>
      <c r="F19" s="676">
        <f>GETPIVOTDATA("Sum of Station Manager",wtroleareapivot!$A$3,"ReportingLevel","1:LA","lvl","Dundee City")</f>
        <v>0</v>
      </c>
      <c r="G19" s="668">
        <f>GETPIVOTDATA("Sum of Watch Manager",wtroleareapivot!$A$3,"ReportingLevel","1:LA","lvl","Dundee City")</f>
        <v>21</v>
      </c>
      <c r="H19" s="668">
        <f>GETPIVOTDATA("Sum of Crew Manager",wtroleareapivot!$A$3,"ReportingLevel","1:LA","lvl","Dundee City")</f>
        <v>29</v>
      </c>
      <c r="I19" s="668">
        <f>GETPIVOTDATA("Sum of Firefighter",wtroleareapivot!$A$3,"ReportingLevel","1:LA","lvl","Dundee City")</f>
        <v>112</v>
      </c>
      <c r="J19" s="66">
        <f t="shared" si="1"/>
        <v>162</v>
      </c>
    </row>
    <row r="20" spans="1:10" x14ac:dyDescent="0.35">
      <c r="A20" s="89" t="s">
        <v>249</v>
      </c>
      <c r="B20" s="48" t="s">
        <v>250</v>
      </c>
      <c r="C20" s="676">
        <f>GETPIVOTDATA("Sum of Brigade Manager",wtroleareapivot!$A$3,"ReportingLevel","1:LA","lvl","East Ayrshire")</f>
        <v>0</v>
      </c>
      <c r="D20" s="676">
        <f>GETPIVOTDATA("Sum of Area Manager",wtroleareapivot!$A$3,"ReportingLevel","1:LA","lvl","East Ayrshire")</f>
        <v>0</v>
      </c>
      <c r="E20" s="676">
        <f>GETPIVOTDATA("Sum of Group Manager",wtroleareapivot!$A$3,"ReportingLevel","1:LA","lvl","East Ayrshire")</f>
        <v>0</v>
      </c>
      <c r="F20" s="676">
        <f>GETPIVOTDATA("Sum of Station Manager",wtroleareapivot!$A$3,"ReportingLevel","1:LA","lvl","East Ayrshire")</f>
        <v>0</v>
      </c>
      <c r="G20" s="668">
        <f>GETPIVOTDATA("Sum of Watch Manager",wtroleareapivot!$A$3,"ReportingLevel","1:LA","lvl","East Ayrshire")</f>
        <v>6</v>
      </c>
      <c r="H20" s="668">
        <f>GETPIVOTDATA("Sum of Crew Manager",wtroleareapivot!$A$3,"ReportingLevel","1:LA","lvl","East Ayrshire")</f>
        <v>10</v>
      </c>
      <c r="I20" s="668">
        <f>GETPIVOTDATA("Sum of Firefighter",wtroleareapivot!$A$3,"ReportingLevel","1:LA","lvl","East Ayrshire")</f>
        <v>39</v>
      </c>
      <c r="J20" s="66">
        <f t="shared" si="1"/>
        <v>55</v>
      </c>
    </row>
    <row r="21" spans="1:10" x14ac:dyDescent="0.35">
      <c r="A21" s="89" t="s">
        <v>253</v>
      </c>
      <c r="B21" s="48" t="s">
        <v>254</v>
      </c>
      <c r="C21" s="676">
        <f>GETPIVOTDATA("Sum of Brigade Manager",wtroleareapivot!$A$3,"ReportingLevel","1:LA","lvl","East Dunbartonshire")</f>
        <v>0</v>
      </c>
      <c r="D21" s="676">
        <f>GETPIVOTDATA("Sum of Area Manager",wtroleareapivot!$A$3,"ReportingLevel","1:LA","lvl","East Dunbartonshire")</f>
        <v>0</v>
      </c>
      <c r="E21" s="676">
        <f>GETPIVOTDATA("Sum of Group Manager",wtroleareapivot!$A$3,"ReportingLevel","1:LA","lvl","East Dunbartonshire")</f>
        <v>0</v>
      </c>
      <c r="F21" s="676">
        <f>GETPIVOTDATA("Sum of Station Manager",wtroleareapivot!$A$3,"ReportingLevel","1:LA","lvl","East Dunbartonshire")</f>
        <v>0</v>
      </c>
      <c r="G21" s="668">
        <f>GETPIVOTDATA("Sum of Watch Manager",wtroleareapivot!$A$3,"ReportingLevel","1:LA","lvl","East Dunbartonshire")</f>
        <v>15</v>
      </c>
      <c r="H21" s="668">
        <f>GETPIVOTDATA("Sum of Crew Manager",wtroleareapivot!$A$3,"ReportingLevel","1:LA","lvl","East Dunbartonshire")</f>
        <v>14</v>
      </c>
      <c r="I21" s="668">
        <f>GETPIVOTDATA("Sum of Firefighter",wtroleareapivot!$A$3,"ReportingLevel","1:LA","lvl","East Dunbartonshire")</f>
        <v>46</v>
      </c>
      <c r="J21" s="66">
        <f t="shared" si="1"/>
        <v>75</v>
      </c>
    </row>
    <row r="22" spans="1:10" x14ac:dyDescent="0.35">
      <c r="A22" s="89" t="s">
        <v>255</v>
      </c>
      <c r="B22" s="48" t="s">
        <v>256</v>
      </c>
      <c r="C22" s="676">
        <f>GETPIVOTDATA("Sum of Brigade Manager",wtroleareapivot!$A$3,"ReportingLevel","1:LA","lvl","East Lothian")</f>
        <v>0</v>
      </c>
      <c r="D22" s="676">
        <f>GETPIVOTDATA("Sum of Area Manager",wtroleareapivot!$A$3,"ReportingLevel","1:LA","lvl","East Lothian")</f>
        <v>0</v>
      </c>
      <c r="E22" s="676">
        <f>GETPIVOTDATA("Sum of Group Manager",wtroleareapivot!$A$3,"ReportingLevel","1:LA","lvl","East Lothian")</f>
        <v>0</v>
      </c>
      <c r="F22" s="676">
        <f>GETPIVOTDATA("Sum of Station Manager",wtroleareapivot!$A$3,"ReportingLevel","1:LA","lvl","East Lothian")</f>
        <v>0</v>
      </c>
      <c r="G22" s="668">
        <f>GETPIVOTDATA("Sum of Watch Manager",wtroleareapivot!$A$3,"ReportingLevel","1:LA","lvl","East Lothian")</f>
        <v>5</v>
      </c>
      <c r="H22" s="668">
        <f>GETPIVOTDATA("Sum of Crew Manager",wtroleareapivot!$A$3,"ReportingLevel","1:LA","lvl","East Lothian")</f>
        <v>5</v>
      </c>
      <c r="I22" s="668">
        <f>GETPIVOTDATA("Sum of Firefighter",wtroleareapivot!$A$3,"ReportingLevel","1:LA","lvl","East Lothian")</f>
        <v>16</v>
      </c>
      <c r="J22" s="66">
        <f t="shared" si="1"/>
        <v>26</v>
      </c>
    </row>
    <row r="23" spans="1:10" x14ac:dyDescent="0.35">
      <c r="A23" s="89" t="s">
        <v>259</v>
      </c>
      <c r="B23" s="48" t="s">
        <v>260</v>
      </c>
      <c r="C23" s="676">
        <f>GETPIVOTDATA("Sum of Brigade Manager",wtroleareapivot!$A$3,"ReportingLevel","1:LA","lvl","East Renfrewshire")</f>
        <v>0</v>
      </c>
      <c r="D23" s="676">
        <f>GETPIVOTDATA("Sum of Area Manager",wtroleareapivot!$A$3,"ReportingLevel","1:LA","lvl","East Renfrewshire")</f>
        <v>0</v>
      </c>
      <c r="E23" s="676">
        <f>GETPIVOTDATA("Sum of Group Manager",wtroleareapivot!$A$3,"ReportingLevel","1:LA","lvl","East Renfrewshire")</f>
        <v>0</v>
      </c>
      <c r="F23" s="676">
        <f>GETPIVOTDATA("Sum of Station Manager",wtroleareapivot!$A$3,"ReportingLevel","1:LA","lvl","East Renfrewshire")</f>
        <v>0</v>
      </c>
      <c r="G23" s="668">
        <f>GETPIVOTDATA("Sum of Watch Manager",wtroleareapivot!$A$3,"ReportingLevel","1:LA","lvl","East Renfrewshire")</f>
        <v>10</v>
      </c>
      <c r="H23" s="668">
        <f>GETPIVOTDATA("Sum of Crew Manager",wtroleareapivot!$A$3,"ReportingLevel","1:LA","lvl","East Renfrewshire")</f>
        <v>10</v>
      </c>
      <c r="I23" s="668">
        <f>GETPIVOTDATA("Sum of Firefighter",wtroleareapivot!$A$3,"ReportingLevel","1:LA","lvl","East Renfrewshire")</f>
        <v>32</v>
      </c>
      <c r="J23" s="66">
        <f t="shared" si="1"/>
        <v>52</v>
      </c>
    </row>
    <row r="24" spans="1:10" x14ac:dyDescent="0.35">
      <c r="A24" s="89" t="s">
        <v>263</v>
      </c>
      <c r="B24" s="48" t="s">
        <v>264</v>
      </c>
      <c r="C24" s="676">
        <f>GETPIVOTDATA("Sum of Brigade Manager",wtroleareapivot!$A$3,"ReportingLevel","1:LA","lvl","Falkirk")</f>
        <v>0</v>
      </c>
      <c r="D24" s="676">
        <f>GETPIVOTDATA("Sum of Area Manager",wtroleareapivot!$A$3,"ReportingLevel","1:LA","lvl","Falkirk")</f>
        <v>0</v>
      </c>
      <c r="E24" s="676">
        <f>GETPIVOTDATA("Sum of Group Manager",wtroleareapivot!$A$3,"ReportingLevel","1:LA","lvl","Falkirk")</f>
        <v>0</v>
      </c>
      <c r="F24" s="676">
        <f>GETPIVOTDATA("Sum of Station Manager",wtroleareapivot!$A$3,"ReportingLevel","1:LA","lvl","Falkirk")</f>
        <v>0</v>
      </c>
      <c r="G24" s="668">
        <f>GETPIVOTDATA("Sum of Watch Manager",wtroleareapivot!$A$3,"ReportingLevel","1:LA","lvl","Falkirk")</f>
        <v>14</v>
      </c>
      <c r="H24" s="668">
        <f>GETPIVOTDATA("Sum of Crew Manager",wtroleareapivot!$A$3,"ReportingLevel","1:LA","lvl","Falkirk")</f>
        <v>19</v>
      </c>
      <c r="I24" s="668">
        <f>GETPIVOTDATA("Sum of Firefighter",wtroleareapivot!$A$3,"ReportingLevel","1:LA","lvl","Falkirk")</f>
        <v>50</v>
      </c>
      <c r="J24" s="66">
        <f t="shared" si="1"/>
        <v>83</v>
      </c>
    </row>
    <row r="25" spans="1:10" x14ac:dyDescent="0.35">
      <c r="A25" s="89" t="s">
        <v>267</v>
      </c>
      <c r="B25" s="48" t="s">
        <v>268</v>
      </c>
      <c r="C25" s="676">
        <f>GETPIVOTDATA("Sum of Brigade Manager",wtroleareapivot!$A$3,"ReportingLevel","1:LA","lvl","Fife")</f>
        <v>0</v>
      </c>
      <c r="D25" s="676">
        <f>GETPIVOTDATA("Sum of Area Manager",wtroleareapivot!$A$3,"ReportingLevel","1:LA","lvl","Fife")</f>
        <v>0</v>
      </c>
      <c r="E25" s="676">
        <f>GETPIVOTDATA("Sum of Group Manager",wtroleareapivot!$A$3,"ReportingLevel","1:LA","lvl","Fife")</f>
        <v>0</v>
      </c>
      <c r="F25" s="676">
        <f>GETPIVOTDATA("Sum of Station Manager",wtroleareapivot!$A$3,"ReportingLevel","1:LA","lvl","Fife")</f>
        <v>0</v>
      </c>
      <c r="G25" s="668">
        <f>GETPIVOTDATA("Sum of Watch Manager",wtroleareapivot!$A$3,"ReportingLevel","1:LA","lvl","Fife")</f>
        <v>25</v>
      </c>
      <c r="H25" s="668">
        <f>GETPIVOTDATA("Sum of Crew Manager",wtroleareapivot!$A$3,"ReportingLevel","1:LA","lvl","Fife")</f>
        <v>43</v>
      </c>
      <c r="I25" s="668">
        <f>GETPIVOTDATA("Sum of Firefighter",wtroleareapivot!$A$3,"ReportingLevel","1:LA","lvl","Fife")</f>
        <v>143</v>
      </c>
      <c r="J25" s="66">
        <f t="shared" si="1"/>
        <v>211</v>
      </c>
    </row>
    <row r="26" spans="1:10" x14ac:dyDescent="0.35">
      <c r="A26" s="89" t="str">
        <f>IF(OR(A9 = "2018-19", A9 = "2017-18", A9 = "2016-17", A9 = "2015-16", A9 = "2014-15", A9 = "2013-14"),"S12000049","S12000046")</f>
        <v>S12000046</v>
      </c>
      <c r="B26" s="48" t="s">
        <v>271</v>
      </c>
      <c r="C26" s="676">
        <f>GETPIVOTDATA("Sum of Brigade Manager",wtroleareapivot!$A$3,"ReportingLevel","1:LA","lvl","Glasgow City")</f>
        <v>0</v>
      </c>
      <c r="D26" s="676">
        <f>GETPIVOTDATA("Sum of Area Manager",wtroleareapivot!$A$3,"ReportingLevel","1:LA","lvl","Glasgow City")</f>
        <v>0</v>
      </c>
      <c r="E26" s="676">
        <f>GETPIVOTDATA("Sum of Group Manager",wtroleareapivot!$A$3,"ReportingLevel","1:LA","lvl","Glasgow City")</f>
        <v>0</v>
      </c>
      <c r="F26" s="676">
        <f>GETPIVOTDATA("Sum of Station Manager",wtroleareapivot!$A$3,"ReportingLevel","1:LA","lvl","Glasgow City")</f>
        <v>0</v>
      </c>
      <c r="G26" s="668">
        <f>GETPIVOTDATA("Sum of Watch Manager",wtroleareapivot!$A$3,"ReportingLevel","1:LA","lvl","Glasgow City")</f>
        <v>67</v>
      </c>
      <c r="H26" s="668">
        <f>GETPIVOTDATA("Sum of Crew Manager",wtroleareapivot!$A$3,"ReportingLevel","1:LA","lvl","Glasgow City")</f>
        <v>91</v>
      </c>
      <c r="I26" s="668">
        <f>GETPIVOTDATA("Sum of Firefighter",wtroleareapivot!$A$3,"ReportingLevel","1:LA","lvl","Glasgow City")</f>
        <v>290</v>
      </c>
      <c r="J26" s="66">
        <f t="shared" si="1"/>
        <v>448</v>
      </c>
    </row>
    <row r="27" spans="1:10" x14ac:dyDescent="0.35">
      <c r="A27" s="89" t="s">
        <v>273</v>
      </c>
      <c r="B27" s="48" t="s">
        <v>274</v>
      </c>
      <c r="C27" s="676">
        <f>GETPIVOTDATA("Sum of Brigade Manager",wtroleareapivot!$A$3,"ReportingLevel","1:LA","lvl","Highland")</f>
        <v>0</v>
      </c>
      <c r="D27" s="676">
        <f>GETPIVOTDATA("Sum of Area Manager",wtroleareapivot!$A$3,"ReportingLevel","1:LA","lvl","Highland")</f>
        <v>0</v>
      </c>
      <c r="E27" s="676">
        <f>GETPIVOTDATA("Sum of Group Manager",wtroleareapivot!$A$3,"ReportingLevel","1:LA","lvl","Highland")</f>
        <v>0</v>
      </c>
      <c r="F27" s="676">
        <f>GETPIVOTDATA("Sum of Station Manager",wtroleareapivot!$A$3,"ReportingLevel","1:LA","lvl","Highland")</f>
        <v>0</v>
      </c>
      <c r="G27" s="668">
        <f>GETPIVOTDATA("Sum of Watch Manager",wtroleareapivot!$A$3,"ReportingLevel","1:LA","lvl","Highland")</f>
        <v>5</v>
      </c>
      <c r="H27" s="668">
        <f>GETPIVOTDATA("Sum of Crew Manager",wtroleareapivot!$A$3,"ReportingLevel","1:LA","lvl","Highland")</f>
        <v>17</v>
      </c>
      <c r="I27" s="668">
        <f>GETPIVOTDATA("Sum of Firefighter",wtroleareapivot!$A$3,"ReportingLevel","1:LA","lvl","Highland")</f>
        <v>51</v>
      </c>
      <c r="J27" s="66">
        <f t="shared" si="1"/>
        <v>73</v>
      </c>
    </row>
    <row r="28" spans="1:10" x14ac:dyDescent="0.35">
      <c r="A28" s="89" t="s">
        <v>277</v>
      </c>
      <c r="B28" s="48" t="s">
        <v>278</v>
      </c>
      <c r="C28" s="676">
        <f>GETPIVOTDATA("Sum of Brigade Manager",wtroleareapivot!$A$3,"ReportingLevel","1:LA","lvl","Inverclyde")</f>
        <v>0</v>
      </c>
      <c r="D28" s="676">
        <f>GETPIVOTDATA("Sum of Area Manager",wtroleareapivot!$A$3,"ReportingLevel","1:LA","lvl","Inverclyde")</f>
        <v>0</v>
      </c>
      <c r="E28" s="676">
        <f>GETPIVOTDATA("Sum of Group Manager",wtroleareapivot!$A$3,"ReportingLevel","1:LA","lvl","Inverclyde")</f>
        <v>0</v>
      </c>
      <c r="F28" s="676">
        <f>GETPIVOTDATA("Sum of Station Manager",wtroleareapivot!$A$3,"ReportingLevel","1:LA","lvl","Inverclyde")</f>
        <v>0</v>
      </c>
      <c r="G28" s="668">
        <f>GETPIVOTDATA("Sum of Watch Manager",wtroleareapivot!$A$3,"ReportingLevel","1:LA","lvl","Inverclyde")</f>
        <v>10</v>
      </c>
      <c r="H28" s="668">
        <f>GETPIVOTDATA("Sum of Crew Manager",wtroleareapivot!$A$3,"ReportingLevel","1:LA","lvl","Inverclyde")</f>
        <v>15</v>
      </c>
      <c r="I28" s="668">
        <f>GETPIVOTDATA("Sum of Firefighter",wtroleareapivot!$A$3,"ReportingLevel","1:LA","lvl","Inverclyde")</f>
        <v>39</v>
      </c>
      <c r="J28" s="66">
        <f t="shared" si="1"/>
        <v>64</v>
      </c>
    </row>
    <row r="29" spans="1:10" x14ac:dyDescent="0.35">
      <c r="A29" s="89" t="s">
        <v>279</v>
      </c>
      <c r="B29" s="48" t="s">
        <v>280</v>
      </c>
      <c r="C29" s="676">
        <f>GETPIVOTDATA("Sum of Brigade Manager",wtroleareapivot!$A$3,"ReportingLevel","1:LA","lvl","Midlothian")</f>
        <v>0</v>
      </c>
      <c r="D29" s="676">
        <f>GETPIVOTDATA("Sum of Area Manager",wtroleareapivot!$A$3,"ReportingLevel","1:LA","lvl","Midlothian")</f>
        <v>0</v>
      </c>
      <c r="E29" s="676">
        <f>GETPIVOTDATA("Sum of Group Manager",wtroleareapivot!$A$3,"ReportingLevel","1:LA","lvl","Midlothian")</f>
        <v>0</v>
      </c>
      <c r="F29" s="676">
        <f>GETPIVOTDATA("Sum of Station Manager",wtroleareapivot!$A$3,"ReportingLevel","1:LA","lvl","Midlothian")</f>
        <v>0</v>
      </c>
      <c r="G29" s="668">
        <f>GETPIVOTDATA("Sum of Watch Manager",wtroleareapivot!$A$3,"ReportingLevel","1:LA","lvl","Midlothian")</f>
        <v>4</v>
      </c>
      <c r="H29" s="668">
        <f>GETPIVOTDATA("Sum of Crew Manager",wtroleareapivot!$A$3,"ReportingLevel","1:LA","lvl","Midlothian")</f>
        <v>4</v>
      </c>
      <c r="I29" s="668">
        <f>GETPIVOTDATA("Sum of Firefighter",wtroleareapivot!$A$3,"ReportingLevel","1:LA","lvl","Midlothian")</f>
        <v>21</v>
      </c>
      <c r="J29" s="66">
        <f t="shared" si="1"/>
        <v>29</v>
      </c>
    </row>
    <row r="30" spans="1:10" x14ac:dyDescent="0.35">
      <c r="A30" s="89" t="s">
        <v>281</v>
      </c>
      <c r="B30" s="48" t="s">
        <v>282</v>
      </c>
      <c r="C30" s="676">
        <f>GETPIVOTDATA("Sum of Brigade Manager",wtroleareapivot!$A$3,"ReportingLevel","1:LA","lvl","Moray")</f>
        <v>0</v>
      </c>
      <c r="D30" s="676">
        <f>GETPIVOTDATA("Sum of Area Manager",wtroleareapivot!$A$3,"ReportingLevel","1:LA","lvl","Moray")</f>
        <v>0</v>
      </c>
      <c r="E30" s="676">
        <f>GETPIVOTDATA("Sum of Group Manager",wtroleareapivot!$A$3,"ReportingLevel","1:LA","lvl","Moray")</f>
        <v>0</v>
      </c>
      <c r="F30" s="676">
        <f>GETPIVOTDATA("Sum of Station Manager",wtroleareapivot!$A$3,"ReportingLevel","1:LA","lvl","Moray")</f>
        <v>0</v>
      </c>
      <c r="G30" s="668">
        <f>GETPIVOTDATA("Sum of Watch Manager",wtroleareapivot!$A$3,"ReportingLevel","1:LA","lvl","Moray")</f>
        <v>5</v>
      </c>
      <c r="H30" s="668">
        <f>GETPIVOTDATA("Sum of Crew Manager",wtroleareapivot!$A$3,"ReportingLevel","1:LA","lvl","Moray")</f>
        <v>5</v>
      </c>
      <c r="I30" s="668">
        <f>GETPIVOTDATA("Sum of Firefighter",wtroleareapivot!$A$3,"ReportingLevel","1:LA","lvl","Moray")</f>
        <v>20</v>
      </c>
      <c r="J30" s="66">
        <f t="shared" si="1"/>
        <v>30</v>
      </c>
    </row>
    <row r="31" spans="1:10" x14ac:dyDescent="0.35">
      <c r="A31" s="89" t="s">
        <v>283</v>
      </c>
      <c r="B31" s="48" t="s">
        <v>284</v>
      </c>
      <c r="C31" s="676">
        <f>IFERROR(GETPIVOTDATA("Sum of Brigade Manager",wtroleareapivot!$A$3,"ReportingLevel","1:LA","lvl","Na h-Eileanan Siar"), "-")</f>
        <v>0</v>
      </c>
      <c r="D31" s="676">
        <f>IFERROR(GETPIVOTDATA("Sum of Area Manager",wtroleareapivot!$A$3,"ReportingLevel","1:LA","lvl","Na h-Eileanan Siar"), "-")</f>
        <v>0</v>
      </c>
      <c r="E31" s="676">
        <f>IFERROR(GETPIVOTDATA("Sum of Group Manager",wtroleareapivot!$A$3,"ReportingLevel","1:LA","lvl","Na h-Eileanan Siar"), "-")</f>
        <v>0</v>
      </c>
      <c r="F31" s="676">
        <f>IFERROR(GETPIVOTDATA("Sum of Station Manager",wtroleareapivot!$A$3,"ReportingLevel","1:LA","lvl","Na h-Eileanan Siar"), "-")</f>
        <v>0</v>
      </c>
      <c r="G31" s="668">
        <f>IFERROR(GETPIVOTDATA("Sum of Watch Manager",wtroleareapivot!$A$3,"ReportingLevel","1:LA","lvl","Na h-Eileanan Siar"), "-")</f>
        <v>3</v>
      </c>
      <c r="H31" s="668">
        <f>IFERROR(GETPIVOTDATA("Sum of Crew Manager",wtroleareapivot!$A$3,"ReportingLevel","1:LA","lvl","Na h-Eileanan Siar"), "-")</f>
        <v>0</v>
      </c>
      <c r="I31" s="668">
        <f>IFERROR(GETPIVOTDATA("Sum of Firefighter",wtroleareapivot!$A$3,"ReportingLevel","1:LA","lvl","Na h-Eileanan Siar"), "-")</f>
        <v>0</v>
      </c>
      <c r="J31" s="66">
        <f t="shared" si="1"/>
        <v>3</v>
      </c>
    </row>
    <row r="32" spans="1:10" x14ac:dyDescent="0.35">
      <c r="A32" s="89" t="s">
        <v>287</v>
      </c>
      <c r="B32" s="48" t="s">
        <v>288</v>
      </c>
      <c r="C32" s="676">
        <f>GETPIVOTDATA("Sum of Brigade Manager",wtroleareapivot!$A$3,"ReportingLevel","1:LA","lvl","North Ayrshire")</f>
        <v>0</v>
      </c>
      <c r="D32" s="676">
        <f>GETPIVOTDATA("Sum of Area Manager",wtroleareapivot!$A$3,"ReportingLevel","1:LA","lvl","North Ayrshire")</f>
        <v>0</v>
      </c>
      <c r="E32" s="676">
        <f>GETPIVOTDATA("Sum of Group Manager",wtroleareapivot!$A$3,"ReportingLevel","1:LA","lvl","North Ayrshire")</f>
        <v>0</v>
      </c>
      <c r="F32" s="676">
        <f>GETPIVOTDATA("Sum of Station Manager",wtroleareapivot!$A$3,"ReportingLevel","1:LA","lvl","North Ayrshire")</f>
        <v>0</v>
      </c>
      <c r="G32" s="668">
        <f>GETPIVOTDATA("Sum of Watch Manager",wtroleareapivot!$A$3,"ReportingLevel","1:LA","lvl","North Ayrshire")</f>
        <v>15</v>
      </c>
      <c r="H32" s="668">
        <f>GETPIVOTDATA("Sum of Crew Manager",wtroleareapivot!$A$3,"ReportingLevel","1:LA","lvl","North Ayrshire")</f>
        <v>15</v>
      </c>
      <c r="I32" s="668">
        <f>GETPIVOTDATA("Sum of Firefighter",wtroleareapivot!$A$3,"ReportingLevel","1:LA","lvl","North Ayrshire")</f>
        <v>42</v>
      </c>
      <c r="J32" s="66">
        <f t="shared" si="1"/>
        <v>72</v>
      </c>
    </row>
    <row r="33" spans="1:10" x14ac:dyDescent="0.35">
      <c r="A33" s="89" t="str">
        <f>IF(OR(A9 = "2018-19", A9 = "2017-18", A9 = "2016-17", A9 = "2015-16", A9 = "2014-15", A9 = "2013-14"),"S12000050","S12000044")</f>
        <v>S12000044</v>
      </c>
      <c r="B33" s="48" t="s">
        <v>290</v>
      </c>
      <c r="C33" s="676">
        <f>GETPIVOTDATA("Sum of Brigade Manager",wtroleareapivot!$A$3,"ReportingLevel","1:LA","lvl","North Lanarkshire")</f>
        <v>0</v>
      </c>
      <c r="D33" s="676">
        <f>GETPIVOTDATA("Sum of Area Manager",wtroleareapivot!$A$3,"ReportingLevel","1:LA","lvl","North Lanarkshire")</f>
        <v>0</v>
      </c>
      <c r="E33" s="676">
        <f>GETPIVOTDATA("Sum of Group Manager",wtroleareapivot!$A$3,"ReportingLevel","1:LA","lvl","North Lanarkshire")</f>
        <v>0</v>
      </c>
      <c r="F33" s="676">
        <f>GETPIVOTDATA("Sum of Station Manager",wtroleareapivot!$A$3,"ReportingLevel","1:LA","lvl","North Lanarkshire")</f>
        <v>0</v>
      </c>
      <c r="G33" s="668">
        <f>GETPIVOTDATA("Sum of Watch Manager",wtroleareapivot!$A$3,"ReportingLevel","1:LA","lvl","North Lanarkshire")</f>
        <v>20</v>
      </c>
      <c r="H33" s="668">
        <f>GETPIVOTDATA("Sum of Crew Manager",wtroleareapivot!$A$3,"ReportingLevel","1:LA","lvl","North Lanarkshire")</f>
        <v>31</v>
      </c>
      <c r="I33" s="668">
        <f>GETPIVOTDATA("Sum of Firefighter",wtroleareapivot!$A$3,"ReportingLevel","1:LA","lvl","North Lanarkshire")</f>
        <v>112</v>
      </c>
      <c r="J33" s="66">
        <f t="shared" si="1"/>
        <v>163</v>
      </c>
    </row>
    <row r="34" spans="1:10" x14ac:dyDescent="0.35">
      <c r="A34" s="89" t="s">
        <v>292</v>
      </c>
      <c r="B34" s="48" t="s">
        <v>293</v>
      </c>
      <c r="C34" s="676" t="str">
        <f>IFERROR(GETPIVOTDATA("Sum of Brigade Manager",wtroleareapivot!$A$3,"ReportingLevel","1:LA","lvl","Orkney Islands"),"-")</f>
        <v>-</v>
      </c>
      <c r="D34" s="676" t="str">
        <f>IFERROR(GETPIVOTDATA("Sum of Area Manager",wtroleareapivot!$A$3,"ReportingLevel","1:LA","lvl","Orkney Islands"),"-")</f>
        <v>-</v>
      </c>
      <c r="E34" s="676" t="str">
        <f>IFERROR(GETPIVOTDATA("Sum of Group Manager",wtroleareapivot!$A$3,"ReportingLevel","1:LA","lvl","Orkney Islands"),"-")</f>
        <v>-</v>
      </c>
      <c r="F34" s="676" t="str">
        <f>IFERROR(GETPIVOTDATA("Sum of Station Manager",wtroleareapivot!$A$3,"ReportingLevel","1:LA","lvl","Orkney Islands"),"-")</f>
        <v>-</v>
      </c>
      <c r="G34" s="668" t="str">
        <f>IFERROR(GETPIVOTDATA("Sum of Watch Manager",wtroleareapivot!$A$3,"ReportingLevel","1:LA","lvl","Orkney Islands"),"-")</f>
        <v>-</v>
      </c>
      <c r="H34" s="668" t="str">
        <f>IFERROR(GETPIVOTDATA("Sum of Crew Manager",wtroleareapivot!$A$3,"ReportingLevel","1:LA","lvl","Orkney Islands"),"-")</f>
        <v>-</v>
      </c>
      <c r="I34" s="668" t="str">
        <f>IFERROR(GETPIVOTDATA("Sum of Firefighter",wtroleareapivot!$A$3,"ReportingLevel","1:LA","lvl","Orkney Islands"),"-")</f>
        <v>-</v>
      </c>
      <c r="J34" s="66">
        <f t="shared" si="1"/>
        <v>0</v>
      </c>
    </row>
    <row r="35" spans="1:10" x14ac:dyDescent="0.35">
      <c r="A35" s="89" t="s">
        <v>294</v>
      </c>
      <c r="B35" s="48" t="s">
        <v>295</v>
      </c>
      <c r="C35" s="676">
        <f>GETPIVOTDATA("Sum of Brigade Manager",wtroleareapivot!$A$3,"ReportingLevel","1:LA","lvl","Perth and Kinross")</f>
        <v>0</v>
      </c>
      <c r="D35" s="676">
        <f>GETPIVOTDATA("Sum of Area Manager",wtroleareapivot!$A$3,"ReportingLevel","1:LA","lvl","Perth and Kinross")</f>
        <v>0</v>
      </c>
      <c r="E35" s="676">
        <f>GETPIVOTDATA("Sum of Group Manager",wtroleareapivot!$A$3,"ReportingLevel","1:LA","lvl","Perth and Kinross")</f>
        <v>0</v>
      </c>
      <c r="F35" s="676">
        <f>GETPIVOTDATA("Sum of Station Manager",wtroleareapivot!$A$3,"ReportingLevel","1:LA","lvl","Perth and Kinross")</f>
        <v>0</v>
      </c>
      <c r="G35" s="668">
        <f>GETPIVOTDATA("Sum of Watch Manager",wtroleareapivot!$A$3,"ReportingLevel","1:LA","lvl","Perth and Kinross")</f>
        <v>5</v>
      </c>
      <c r="H35" s="668">
        <f>GETPIVOTDATA("Sum of Crew Manager",wtroleareapivot!$A$3,"ReportingLevel","1:LA","lvl","Perth and Kinross")</f>
        <v>11</v>
      </c>
      <c r="I35" s="668">
        <f>GETPIVOTDATA("Sum of Firefighter",wtroleareapivot!$A$3,"ReportingLevel","1:LA","lvl","Perth and Kinross")</f>
        <v>43</v>
      </c>
      <c r="J35" s="66">
        <f t="shared" si="1"/>
        <v>59</v>
      </c>
    </row>
    <row r="36" spans="1:10" x14ac:dyDescent="0.35">
      <c r="A36" s="89" t="s">
        <v>296</v>
      </c>
      <c r="B36" s="48" t="s">
        <v>297</v>
      </c>
      <c r="C36" s="676">
        <f>GETPIVOTDATA("Sum of Brigade Manager",wtroleareapivot!$A$3,"ReportingLevel","1:LA","lvl","Renfrewshire")</f>
        <v>0</v>
      </c>
      <c r="D36" s="676">
        <f>GETPIVOTDATA("Sum of Area Manager",wtroleareapivot!$A$3,"ReportingLevel","1:LA","lvl","Renfrewshire")</f>
        <v>0</v>
      </c>
      <c r="E36" s="676">
        <f>GETPIVOTDATA("Sum of Group Manager",wtroleareapivot!$A$3,"ReportingLevel","1:LA","lvl","Renfrewshire")</f>
        <v>0</v>
      </c>
      <c r="F36" s="676">
        <f>GETPIVOTDATA("Sum of Station Manager",wtroleareapivot!$A$3,"ReportingLevel","1:LA","lvl","Renfrewshire")</f>
        <v>0</v>
      </c>
      <c r="G36" s="668">
        <f>GETPIVOTDATA("Sum of Watch Manager",wtroleareapivot!$A$3,"ReportingLevel","1:LA","lvl","Renfrewshire")</f>
        <v>15</v>
      </c>
      <c r="H36" s="668">
        <f>GETPIVOTDATA("Sum of Crew Manager",wtroleareapivot!$A$3,"ReportingLevel","1:LA","lvl","Renfrewshire")</f>
        <v>21</v>
      </c>
      <c r="I36" s="668">
        <f>GETPIVOTDATA("Sum of Firefighter",wtroleareapivot!$A$3,"ReportingLevel","1:LA","lvl","Renfrewshire")</f>
        <v>66</v>
      </c>
      <c r="J36" s="66">
        <f t="shared" si="1"/>
        <v>102</v>
      </c>
    </row>
    <row r="37" spans="1:10" x14ac:dyDescent="0.35">
      <c r="A37" s="89" t="s">
        <v>298</v>
      </c>
      <c r="B37" s="48" t="s">
        <v>299</v>
      </c>
      <c r="C37" s="676">
        <f>GETPIVOTDATA("Sum of Brigade Manager",wtroleareapivot!$A$3,"ReportingLevel","1:LA","lvl","Scottish Borders")</f>
        <v>0</v>
      </c>
      <c r="D37" s="676">
        <f>GETPIVOTDATA("Sum of Area Manager",wtroleareapivot!$A$3,"ReportingLevel","1:LA","lvl","Scottish Borders")</f>
        <v>0</v>
      </c>
      <c r="E37" s="676">
        <f>GETPIVOTDATA("Sum of Group Manager",wtroleareapivot!$A$3,"ReportingLevel","1:LA","lvl","Scottish Borders")</f>
        <v>0</v>
      </c>
      <c r="F37" s="676">
        <f>GETPIVOTDATA("Sum of Station Manager",wtroleareapivot!$A$3,"ReportingLevel","1:LA","lvl","Scottish Borders")</f>
        <v>0</v>
      </c>
      <c r="G37" s="668">
        <f>GETPIVOTDATA("Sum of Watch Manager",wtroleareapivot!$A$3,"ReportingLevel","1:LA","lvl","Scottish Borders")</f>
        <v>10</v>
      </c>
      <c r="H37" s="668">
        <f>GETPIVOTDATA("Sum of Crew Manager",wtroleareapivot!$A$3,"ReportingLevel","1:LA","lvl","Scottish Borders")</f>
        <v>10</v>
      </c>
      <c r="I37" s="668">
        <f>GETPIVOTDATA("Sum of Firefighter",wtroleareapivot!$A$3,"ReportingLevel","1:LA","lvl","Scottish Borders")</f>
        <v>38</v>
      </c>
      <c r="J37" s="66">
        <f t="shared" si="1"/>
        <v>58</v>
      </c>
    </row>
    <row r="38" spans="1:10" x14ac:dyDescent="0.35">
      <c r="A38" s="89" t="s">
        <v>300</v>
      </c>
      <c r="B38" s="48" t="s">
        <v>301</v>
      </c>
      <c r="C38" s="676" t="str">
        <f>IFERROR(GETPIVOTDATA("Sum of Brigade Manager",wtroleareapivot!$A$3,"ReportingLevel","1:LA","lvl","Shetland Islands"),"-")</f>
        <v>-</v>
      </c>
      <c r="D38" s="676" t="str">
        <f>IFERROR(GETPIVOTDATA("Sum of Area Manager",wtroleareapivot!$A$3,"ReportingLevel","1:LA","lvl","Shetland Islands"),"-")</f>
        <v>-</v>
      </c>
      <c r="E38" s="676" t="str">
        <f>IFERROR(GETPIVOTDATA("Sum of Group Manager",wtroleareapivot!$A$3,"ReportingLevel","1:LA","lvl","Shetland Islands"),"-")</f>
        <v>-</v>
      </c>
      <c r="F38" s="676" t="str">
        <f>IFERROR(GETPIVOTDATA("Sum of Station Manager",wtroleareapivot!$A$3,"ReportingLevel","1:LA","lvl","Shetland Islands"),"-")</f>
        <v>-</v>
      </c>
      <c r="G38" s="668" t="str">
        <f>IFERROR(GETPIVOTDATA("Sum of Watch Manager",wtroleareapivot!$A$3,"ReportingLevel","1:LA","lvl","Shetland Islands"),"-")</f>
        <v>-</v>
      </c>
      <c r="H38" s="668" t="str">
        <f>IFERROR(GETPIVOTDATA("Sum of Crew Manager",wtroleareapivot!$A$3,"ReportingLevel","1:LA","lvl","Shetland Islands"),"-")</f>
        <v>-</v>
      </c>
      <c r="I38" s="668" t="str">
        <f>IFERROR(GETPIVOTDATA("Sum of Firefighter",wtroleareapivot!$A$3,"ReportingLevel","1:LA","lvl","Shetland Islands"),"-")</f>
        <v>-</v>
      </c>
      <c r="J38" s="66">
        <f t="shared" si="1"/>
        <v>0</v>
      </c>
    </row>
    <row r="39" spans="1:10" x14ac:dyDescent="0.35">
      <c r="A39" s="89" t="s">
        <v>302</v>
      </c>
      <c r="B39" s="48" t="s">
        <v>303</v>
      </c>
      <c r="C39" s="676">
        <f>GETPIVOTDATA("Sum of Brigade Manager",wtroleareapivot!$A$3,"ReportingLevel","1:LA","lvl","South Ayrshire")</f>
        <v>0</v>
      </c>
      <c r="D39" s="676">
        <f>GETPIVOTDATA("Sum of Area Manager",wtroleareapivot!$A$3,"ReportingLevel","1:LA","lvl","South Ayrshire")</f>
        <v>0</v>
      </c>
      <c r="E39" s="676">
        <f>GETPIVOTDATA("Sum of Group Manager",wtroleareapivot!$A$3,"ReportingLevel","1:LA","lvl","South Ayrshire")</f>
        <v>0</v>
      </c>
      <c r="F39" s="676">
        <f>GETPIVOTDATA("Sum of Station Manager",wtroleareapivot!$A$3,"ReportingLevel","1:LA","lvl","South Ayrshire")</f>
        <v>0</v>
      </c>
      <c r="G39" s="668">
        <f>GETPIVOTDATA("Sum of Watch Manager",wtroleareapivot!$A$3,"ReportingLevel","1:LA","lvl","South Ayrshire")</f>
        <v>6</v>
      </c>
      <c r="H39" s="668">
        <f>GETPIVOTDATA("Sum of Crew Manager",wtroleareapivot!$A$3,"ReportingLevel","1:LA","lvl","South Ayrshire")</f>
        <v>11</v>
      </c>
      <c r="I39" s="668">
        <f>GETPIVOTDATA("Sum of Firefighter",wtroleareapivot!$A$3,"ReportingLevel","1:LA","lvl","South Ayrshire")</f>
        <v>36</v>
      </c>
      <c r="J39" s="66">
        <f t="shared" si="1"/>
        <v>53</v>
      </c>
    </row>
    <row r="40" spans="1:10" x14ac:dyDescent="0.35">
      <c r="A40" s="89" t="s">
        <v>304</v>
      </c>
      <c r="B40" s="48" t="s">
        <v>305</v>
      </c>
      <c r="C40" s="676">
        <f>GETPIVOTDATA("Sum of Brigade Manager",wtroleareapivot!$A$3,"ReportingLevel","1:LA","lvl","South Lanarkshire")</f>
        <v>0</v>
      </c>
      <c r="D40" s="676">
        <f>GETPIVOTDATA("Sum of Area Manager",wtroleareapivot!$A$3,"ReportingLevel","1:LA","lvl","South Lanarkshire")</f>
        <v>0</v>
      </c>
      <c r="E40" s="676">
        <f>GETPIVOTDATA("Sum of Group Manager",wtroleareapivot!$A$3,"ReportingLevel","1:LA","lvl","South Lanarkshire")</f>
        <v>0</v>
      </c>
      <c r="F40" s="676">
        <f>GETPIVOTDATA("Sum of Station Manager",wtroleareapivot!$A$3,"ReportingLevel","1:LA","lvl","South Lanarkshire")</f>
        <v>0</v>
      </c>
      <c r="G40" s="668">
        <f>GETPIVOTDATA("Sum of Watch Manager",wtroleareapivot!$A$3,"ReportingLevel","1:LA","lvl","South Lanarkshire")</f>
        <v>19</v>
      </c>
      <c r="H40" s="668">
        <f>GETPIVOTDATA("Sum of Crew Manager",wtroleareapivot!$A$3,"ReportingLevel","1:LA","lvl","South Lanarkshire")</f>
        <v>28</v>
      </c>
      <c r="I40" s="668">
        <f>GETPIVOTDATA("Sum of Firefighter",wtroleareapivot!$A$3,"ReportingLevel","1:LA","lvl","South Lanarkshire")</f>
        <v>108</v>
      </c>
      <c r="J40" s="66">
        <f t="shared" si="1"/>
        <v>155</v>
      </c>
    </row>
    <row r="41" spans="1:10" x14ac:dyDescent="0.35">
      <c r="A41" s="89" t="s">
        <v>307</v>
      </c>
      <c r="B41" s="48" t="s">
        <v>308</v>
      </c>
      <c r="C41" s="676">
        <f>GETPIVOTDATA("Sum of Brigade Manager",wtroleareapivot!$A$3,"ReportingLevel","1:LA","lvl","Stirling")</f>
        <v>0</v>
      </c>
      <c r="D41" s="676">
        <f>GETPIVOTDATA("Sum of Area Manager",wtroleareapivot!$A$3,"ReportingLevel","1:LA","lvl","Stirling")</f>
        <v>0</v>
      </c>
      <c r="E41" s="676">
        <f>GETPIVOTDATA("Sum of Group Manager",wtroleareapivot!$A$3,"ReportingLevel","1:LA","lvl","Stirling")</f>
        <v>0</v>
      </c>
      <c r="F41" s="676">
        <f>GETPIVOTDATA("Sum of Station Manager",wtroleareapivot!$A$3,"ReportingLevel","1:LA","lvl","Stirling")</f>
        <v>0</v>
      </c>
      <c r="G41" s="668">
        <f>GETPIVOTDATA("Sum of Watch Manager",wtroleareapivot!$A$3,"ReportingLevel","1:LA","lvl","Stirling")</f>
        <v>5</v>
      </c>
      <c r="H41" s="668">
        <f>GETPIVOTDATA("Sum of Crew Manager",wtroleareapivot!$A$3,"ReportingLevel","1:LA","lvl","Stirling")</f>
        <v>10</v>
      </c>
      <c r="I41" s="668">
        <f>GETPIVOTDATA("Sum of Firefighter",wtroleareapivot!$A$3,"ReportingLevel","1:LA","lvl","Stirling")</f>
        <v>32</v>
      </c>
      <c r="J41" s="66">
        <f t="shared" si="1"/>
        <v>47</v>
      </c>
    </row>
    <row r="42" spans="1:10" x14ac:dyDescent="0.35">
      <c r="A42" s="89" t="s">
        <v>309</v>
      </c>
      <c r="B42" s="48" t="s">
        <v>310</v>
      </c>
      <c r="C42" s="676">
        <f>GETPIVOTDATA("Sum of Brigade Manager",wtroleareapivot!$A$3,"ReportingLevel","1:LA","lvl","West Dunbartonshire")</f>
        <v>0</v>
      </c>
      <c r="D42" s="676">
        <f>GETPIVOTDATA("Sum of Area Manager",wtroleareapivot!$A$3,"ReportingLevel","1:LA","lvl","West Dunbartonshire")</f>
        <v>0</v>
      </c>
      <c r="E42" s="676">
        <f>GETPIVOTDATA("Sum of Group Manager",wtroleareapivot!$A$3,"ReportingLevel","1:LA","lvl","West Dunbartonshire")</f>
        <v>0</v>
      </c>
      <c r="F42" s="676">
        <f>GETPIVOTDATA("Sum of Station Manager",wtroleareapivot!$A$3,"ReportingLevel","1:LA","lvl","West Dunbartonshire")</f>
        <v>0</v>
      </c>
      <c r="G42" s="668">
        <f>GETPIVOTDATA("Sum of Watch Manager",wtroleareapivot!$A$3,"ReportingLevel","1:LA","lvl","West Dunbartonshire")</f>
        <v>10</v>
      </c>
      <c r="H42" s="668">
        <f>GETPIVOTDATA("Sum of Crew Manager",wtroleareapivot!$A$3,"ReportingLevel","1:LA","lvl","West Dunbartonshire")</f>
        <v>15</v>
      </c>
      <c r="I42" s="668">
        <f>GETPIVOTDATA("Sum of Firefighter",wtroleareapivot!$A$3,"ReportingLevel","1:LA","lvl","West Dunbartonshire")</f>
        <v>50</v>
      </c>
      <c r="J42" s="66">
        <f t="shared" si="1"/>
        <v>75</v>
      </c>
    </row>
    <row r="43" spans="1:10" x14ac:dyDescent="0.35">
      <c r="A43" s="89" t="s">
        <v>311</v>
      </c>
      <c r="B43" s="48" t="s">
        <v>312</v>
      </c>
      <c r="C43" s="676">
        <f>GETPIVOTDATA("Sum of Brigade Manager",wtroleareapivot!$A$3,"ReportingLevel","1:LA","lvl","West Lothian")</f>
        <v>0</v>
      </c>
      <c r="D43" s="676">
        <f>GETPIVOTDATA("Sum of Area Manager",wtroleareapivot!$A$3,"ReportingLevel","1:LA","lvl","West Lothian")</f>
        <v>0</v>
      </c>
      <c r="E43" s="676">
        <f>GETPIVOTDATA("Sum of Group Manager",wtroleareapivot!$A$3,"ReportingLevel","1:LA","lvl","West Lothian")</f>
        <v>0</v>
      </c>
      <c r="F43" s="676">
        <f>GETPIVOTDATA("Sum of Station Manager",wtroleareapivot!$A$3,"ReportingLevel","1:LA","lvl","West Lothian")</f>
        <v>0</v>
      </c>
      <c r="G43" s="668">
        <f>GETPIVOTDATA("Sum of Watch Manager",wtroleareapivot!$A$3,"ReportingLevel","1:LA","lvl","West Lothian")</f>
        <v>14</v>
      </c>
      <c r="H43" s="668">
        <f>GETPIVOTDATA("Sum of Crew Manager",wtroleareapivot!$A$3,"ReportingLevel","1:LA","lvl","West Lothian")</f>
        <v>11</v>
      </c>
      <c r="I43" s="668">
        <f>GETPIVOTDATA("Sum of Firefighter",wtroleareapivot!$A$3,"ReportingLevel","1:LA","lvl","West Lothian")</f>
        <v>39</v>
      </c>
      <c r="J43" s="66">
        <f t="shared" si="1"/>
        <v>64</v>
      </c>
    </row>
    <row r="44" spans="1:10" ht="19.5" customHeight="1" thickBot="1" x14ac:dyDescent="0.4">
      <c r="A44" s="52"/>
      <c r="B44" s="52" t="s">
        <v>552</v>
      </c>
      <c r="C44" s="437">
        <f t="shared" ref="C44:J44" si="2">SUM(C12:C43)</f>
        <v>0</v>
      </c>
      <c r="D44" s="437">
        <f t="shared" si="2"/>
        <v>0</v>
      </c>
      <c r="E44" s="437">
        <f t="shared" si="2"/>
        <v>0</v>
      </c>
      <c r="F44" s="437">
        <f t="shared" si="2"/>
        <v>0</v>
      </c>
      <c r="G44" s="630">
        <f t="shared" si="2"/>
        <v>396</v>
      </c>
      <c r="H44" s="630">
        <f t="shared" si="2"/>
        <v>551</v>
      </c>
      <c r="I44" s="630">
        <f t="shared" si="2"/>
        <v>1845</v>
      </c>
      <c r="J44" s="630">
        <f t="shared" si="2"/>
        <v>2792</v>
      </c>
    </row>
    <row r="45" spans="1:10" x14ac:dyDescent="0.35">
      <c r="A45" s="48"/>
      <c r="B45" s="48"/>
      <c r="C45" s="71"/>
      <c r="D45" s="71"/>
      <c r="E45" s="71"/>
      <c r="F45" s="55"/>
      <c r="G45" s="55"/>
      <c r="H45" s="55"/>
      <c r="I45" s="55"/>
      <c r="J45" s="41"/>
    </row>
    <row r="46" spans="1:10" x14ac:dyDescent="0.35">
      <c r="A46" s="54" t="s">
        <v>209</v>
      </c>
      <c r="B46" s="54" t="s">
        <v>553</v>
      </c>
      <c r="C46" s="44"/>
      <c r="D46" s="44"/>
      <c r="E46" s="44"/>
      <c r="F46" s="44"/>
      <c r="G46" s="44"/>
      <c r="H46" s="44"/>
      <c r="I46" s="44"/>
      <c r="J46" s="72"/>
    </row>
    <row r="47" spans="1:10" ht="19.5" customHeight="1" x14ac:dyDescent="0.35">
      <c r="A47" s="392" t="str">
        <f>IF(OR(A9="2021-22", A9 = "2022-23", A9 = "2023-24"), "S39000023", "S39000001")</f>
        <v>S39000001</v>
      </c>
      <c r="B47" s="670" t="str">
        <f>IF(OR(A9="2021-22", A9 = "2022-23", A9 = "2023-24", A9 = "2024-25"), "Abderdeen City, Aberdeenshire and Moray", "Aberdeen City")</f>
        <v>Abderdeen City, Aberdeenshire and Moray</v>
      </c>
      <c r="C47" s="435">
        <f>IF(OR(A9="2021-22", A9 = "2022-23", A9 = "2023-24", A9 = "2024-25"),GETPIVOTDATA("Sum of Brigade Manager",wtroleareapivot!$A$3,"ReportingLevel","2:LSO","lvl","Aberdeen City, Aberdeenshire and Moray"), GETPIVOTDATA("Sum of Brigade Manager",wtroleareapivot!$A$3,"ReportingLevel","2:LSO","lvl","Aberdeen City"))</f>
        <v>0</v>
      </c>
      <c r="D47" s="298">
        <f>IF(OR(A9="2021-22", A9 = "2022-23", A9 = "2023-24", A9 = "2024-25"),GETPIVOTDATA("Sum of Area Manager",wtroleareapivot!$A$3,"ReportingLevel","2:LSO","lvl","Aberdeen City, Aberdeenshire and Moray"), GETPIVOTDATA("Sum of Area Manager",wtroleareapivot!$A$3,"ReportingLevel","2:LSO","lvl","Aberdeen City"))</f>
        <v>1</v>
      </c>
      <c r="E47" s="298">
        <f>IF(OR(A9="2021-22", A9 = "2022-23", A9 = "2023-24", A9 = "2024-25"),GETPIVOTDATA("Sum of Group Manager",wtroleareapivot!$A$3,"ReportingLevel","2:LSO","lvl","Aberdeen City, Aberdeenshire and Moray"), GETPIVOTDATA("Sum of Group Manager",wtroleareapivot!$A$3,"ReportingLevel","2:LSO","lvl","Aberdeen City"))</f>
        <v>4</v>
      </c>
      <c r="F47" s="298">
        <f>IF(OR(A9="2021-22", A9 = "2022-23", A9 = "2023-24", A9 = "2024-25"),GETPIVOTDATA("Sum of Station Manager",wtroleareapivot!$A$3,"ReportingLevel","2:LSO","lvl","Aberdeen City, Aberdeenshire and Moray"), GETPIVOTDATA("Sum of Station Manager",wtroleareapivot!$A$3,"ReportingLevel","2:LSO","lvl","Aberdeen City"))</f>
        <v>10</v>
      </c>
      <c r="G47" s="298">
        <f>IF(OR(A9="2021-22", A9 = "2022-23", A9 = "2023-24", A9 = "2024-25"),GETPIVOTDATA("Sum of Watch Manager",wtroleareapivot!$A$3,"ReportingLevel","2:LSO","lvl","Aberdeen City, Aberdeenshire and Moray"), GETPIVOTDATA("Sum of Watch Manager",wtroleareapivot!$A$3,"ReportingLevel","2:LSO","lvl","Aberdeen City"))</f>
        <v>5</v>
      </c>
      <c r="H47" s="298">
        <f>IF(OR(A9="2021-22", A9 = "2022-23", A9 = "2023-24", A9 = "2024-25"),GETPIVOTDATA("Sum of Crew Manager",wtroleareapivot!$A$3,"ReportingLevel","2:LSO","lvl","Aberdeen City, Aberdeenshire and Moray"), GETPIVOTDATA("Sum of Crew Manager",wtroleareapivot!$A$3,"ReportingLevel","2:LSO","lvl","Aberdeen City"))</f>
        <v>0</v>
      </c>
      <c r="I47" s="298">
        <f>IF(OR(A9="2021-22", A9 = "2022-23", A9 = "2023-24", A9 = "2024-25"),GETPIVOTDATA("Sum of Firefighter",wtroleareapivot!$A$3,"ReportingLevel","2:LSO","lvl","Aberdeen City, Aberdeenshire and Moray"), GETPIVOTDATA("Sum of Firefighter",wtroleareapivot!$A$3,"ReportingLevel","2:LSO","lvl","Aberdeen City"))</f>
        <v>0</v>
      </c>
      <c r="J47" s="67">
        <f t="shared" ref="J47:J63" si="3">SUM(C47:I47)</f>
        <v>20</v>
      </c>
    </row>
    <row r="48" spans="1:10" x14ac:dyDescent="0.35">
      <c r="A48" s="672" t="str">
        <f>IF(OR(A9="2021-22", A9 = "2022-23", A9 = "2023-24"), "", "S39000002")</f>
        <v>S39000002</v>
      </c>
      <c r="B48" s="667" t="str">
        <f>IF(OR(A9="2021-22", A9 = "2022-23", A9 = "2023-24", A9 = "2024-25"), "", "Aberdeenshire and Moray")</f>
        <v/>
      </c>
      <c r="C48" s="436" t="str">
        <f>IF(OR(A9="2021-22", A9 = "2022-23", A9 = "2023-24", A9 = "2024-25"),"", GETPIVOTDATA("Sum of Brigade Manager",wtroleareapivot!$A$3,"ReportingLevel","2:LSO","lvl","Aberdeenshire and Moray"))</f>
        <v/>
      </c>
      <c r="D48" s="66" t="str">
        <f>IF(OR(A9="2021-22", A9 = "2022-23", A9 = "2023-24", A9 = "2024-25"),"", GETPIVOTDATA("Sum of Area Manager",wtroleareapivot!$A$3,"ReportingLevel","2:LSO","lvl","Aberdeenshire and Moray"))</f>
        <v/>
      </c>
      <c r="E48" s="66" t="str">
        <f>IF(OR(A9="2021-22", A9 = "2022-23", A9 = "2023-24", A9 = "2024-25"),"", GETPIVOTDATA("Sum of Group Manager",wtroleareapivot!$A$3,"ReportingLevel","2:LSO","lvl","Aberdeenshire and Moray"))</f>
        <v/>
      </c>
      <c r="F48" s="66" t="str">
        <f>IF(OR(A9="2021-22", A9 = "2022-23", A9 = "2023-24", A9 = "2024-25"),"", GETPIVOTDATA("Sum of Station Manager",wtroleareapivot!$A$3,"ReportingLevel","2:LSO","lvl","Aberdeenshire and Moray"))</f>
        <v/>
      </c>
      <c r="G48" s="66" t="str">
        <f>IF(OR(A9="2021-22", A9 = "2022-23", A9 = "2023-24", A9 = "2024-25"),"", GETPIVOTDATA("Sum of Watch Manager",wtroleareapivot!$A$3,"ReportingLevel","2:LSO","lvl","Aberdeenshire and Moray"))</f>
        <v/>
      </c>
      <c r="H48" s="66" t="str">
        <f>IF(OR(A9="2021-22", A9 = "2022-23", A9 = "2023-24", A9 = "2024-25"),"", GETPIVOTDATA("Sum of Crew Manager",wtroleareapivot!$A$3,"ReportingLevel","2:LSO","lvl","Aberdeenshire and Moray"))</f>
        <v/>
      </c>
      <c r="I48" s="66" t="str">
        <f>IF(OR(A9="2021-22", A9 = "2022-23", A9 = "2023-24", A9 = "2024-25"),"", GETPIVOTDATA("Sum of Firefighter",wtroleareapivot!$A$3,"ReportingLevel","2:LSO","lvl","Aberdeenshire and Moray"))</f>
        <v/>
      </c>
      <c r="J48" s="67">
        <f t="shared" si="3"/>
        <v>0</v>
      </c>
    </row>
    <row r="49" spans="1:10" x14ac:dyDescent="0.35">
      <c r="A49" s="672" t="s">
        <v>230</v>
      </c>
      <c r="B49" s="667" t="s">
        <v>231</v>
      </c>
      <c r="C49" s="436">
        <f>GETPIVOTDATA("Sum of Brigade Manager",wtroleareapivot!$A$3,"ReportingLevel","2:LSO","lvl","Argyll and Bute, East Dunbartonshire and West Dunbartonshire")</f>
        <v>0</v>
      </c>
      <c r="D49" s="66">
        <f>GETPIVOTDATA("Sum of Area Manager",wtroleareapivot!$A$3,"ReportingLevel","2:LSO","lvl","Argyll and Bute, East Dunbartonshire and West Dunbartonshire")</f>
        <v>1</v>
      </c>
      <c r="E49" s="66">
        <f>GETPIVOTDATA("Sum of Group Manager",wtroleareapivot!$A$3,"ReportingLevel","2:LSO","lvl","Argyll and Bute, East Dunbartonshire and West Dunbartonshire")</f>
        <v>4</v>
      </c>
      <c r="F49" s="66">
        <f>GETPIVOTDATA("Sum of Station Manager",wtroleareapivot!$A$3,"ReportingLevel","2:LSO","lvl","Argyll and Bute, East Dunbartonshire and West Dunbartonshire")</f>
        <v>9</v>
      </c>
      <c r="G49" s="66">
        <f>GETPIVOTDATA("Sum of Watch Manager",wtroleareapivot!$A$3,"ReportingLevel","2:LSO","lvl","Argyll and Bute, East Dunbartonshire and West Dunbartonshire")</f>
        <v>4</v>
      </c>
      <c r="H49" s="66">
        <f>GETPIVOTDATA("Sum of Crew Manager",wtroleareapivot!$A$3,"ReportingLevel","2:LSO","lvl","Argyll and Bute, East Dunbartonshire and West Dunbartonshire")</f>
        <v>0</v>
      </c>
      <c r="I49" s="66">
        <f>GETPIVOTDATA("Sum of Firefighter",wtroleareapivot!$A$3,"ReportingLevel","2:LSO","lvl","Argyll and Bute, East Dunbartonshire and West Dunbartonshire")</f>
        <v>2</v>
      </c>
      <c r="J49" s="67">
        <f t="shared" si="3"/>
        <v>20</v>
      </c>
    </row>
    <row r="50" spans="1:10" x14ac:dyDescent="0.35">
      <c r="A50" s="393" t="s">
        <v>246</v>
      </c>
      <c r="B50" s="667" t="s">
        <v>245</v>
      </c>
      <c r="C50" s="436">
        <f>GETPIVOTDATA("Sum of Brigade Manager",wtroleareapivot!$A$3,"ReportingLevel","2:LSO","lvl","Dumfries and Galloway")</f>
        <v>0</v>
      </c>
      <c r="D50" s="66">
        <f>GETPIVOTDATA("Sum of Area Manager",wtroleareapivot!$A$3,"ReportingLevel","2:LSO","lvl","Dumfries and Galloway")</f>
        <v>1</v>
      </c>
      <c r="E50" s="66">
        <f>GETPIVOTDATA("Sum of Group Manager",wtroleareapivot!$A$3,"ReportingLevel","2:LSO","lvl","Dumfries and Galloway")</f>
        <v>2</v>
      </c>
      <c r="F50" s="66">
        <f>GETPIVOTDATA("Sum of Station Manager",wtroleareapivot!$A$3,"ReportingLevel","2:LSO","lvl","Dumfries and Galloway")</f>
        <v>6</v>
      </c>
      <c r="G50" s="66">
        <f>GETPIVOTDATA("Sum of Watch Manager",wtroleareapivot!$A$3,"ReportingLevel","2:LSO","lvl","Dumfries and Galloway")</f>
        <v>5</v>
      </c>
      <c r="H50" s="66">
        <f>GETPIVOTDATA("Sum of Crew Manager",wtroleareapivot!$A$3,"ReportingLevel","2:LSO","lvl","Dumfries and Galloway")</f>
        <v>0</v>
      </c>
      <c r="I50" s="66">
        <f>GETPIVOTDATA("Sum of Firefighter",wtroleareapivot!$A$3,"ReportingLevel","2:LSO","lvl","Dumfries and Galloway")</f>
        <v>2</v>
      </c>
      <c r="J50" s="67">
        <f t="shared" si="3"/>
        <v>16</v>
      </c>
    </row>
    <row r="51" spans="1:10" x14ac:dyDescent="0.35">
      <c r="A51" s="393" t="s">
        <v>226</v>
      </c>
      <c r="B51" s="667" t="s">
        <v>227</v>
      </c>
      <c r="C51" s="436">
        <f>GETPIVOTDATA("Sum of Brigade Manager",wtroleareapivot!$A$3,"ReportingLevel","2:LSO","lvl","Dundee, Angus, Perth and Kinross")</f>
        <v>0</v>
      </c>
      <c r="D51" s="66">
        <f>GETPIVOTDATA("Sum of Area Manager",wtroleareapivot!$A$3,"ReportingLevel","2:LSO","lvl","Dundee, Angus, Perth and Kinross")</f>
        <v>1</v>
      </c>
      <c r="E51" s="66">
        <f>GETPIVOTDATA("Sum of Group Manager",wtroleareapivot!$A$3,"ReportingLevel","2:LSO","lvl","Dundee, Angus, Perth and Kinross")</f>
        <v>4</v>
      </c>
      <c r="F51" s="66">
        <f>GETPIVOTDATA("Sum of Station Manager",wtroleareapivot!$A$3,"ReportingLevel","2:LSO","lvl","Dundee, Angus, Perth and Kinross")</f>
        <v>8</v>
      </c>
      <c r="G51" s="66">
        <f>GETPIVOTDATA("Sum of Watch Manager",wtroleareapivot!$A$3,"ReportingLevel","2:LSO","lvl","Dundee, Angus, Perth and Kinross")</f>
        <v>8</v>
      </c>
      <c r="H51" s="66">
        <f>GETPIVOTDATA("Sum of Crew Manager",wtroleareapivot!$A$3,"ReportingLevel","2:LSO","lvl","Dundee, Angus, Perth and Kinross")</f>
        <v>0</v>
      </c>
      <c r="I51" s="66">
        <f>GETPIVOTDATA("Sum of Firefighter",wtroleareapivot!$A$3,"ReportingLevel","2:LSO","lvl","Dundee, Angus, Perth and Kinross")</f>
        <v>4</v>
      </c>
      <c r="J51" s="67">
        <f t="shared" si="3"/>
        <v>25</v>
      </c>
    </row>
    <row r="52" spans="1:10" x14ac:dyDescent="0.35">
      <c r="A52" s="393" t="s">
        <v>251</v>
      </c>
      <c r="B52" s="667" t="s">
        <v>252</v>
      </c>
      <c r="C52" s="436">
        <f>GETPIVOTDATA("Sum of Brigade Manager",wtroleareapivot!$A$3,"ReportingLevel","2:LSO","lvl","East Ayrshire, North Ayrshire and South Ayrshire")</f>
        <v>0</v>
      </c>
      <c r="D52" s="66">
        <f>GETPIVOTDATA("Sum of Area Manager",wtroleareapivot!$A$3,"ReportingLevel","2:LSO","lvl","East Ayrshire, North Ayrshire and South Ayrshire")</f>
        <v>1</v>
      </c>
      <c r="E52" s="66">
        <f>GETPIVOTDATA("Sum of Group Manager",wtroleareapivot!$A$3,"ReportingLevel","2:LSO","lvl","East Ayrshire, North Ayrshire and South Ayrshire")</f>
        <v>3</v>
      </c>
      <c r="F52" s="66">
        <f>GETPIVOTDATA("Sum of Station Manager",wtroleareapivot!$A$3,"ReportingLevel","2:LSO","lvl","East Ayrshire, North Ayrshire and South Ayrshire")</f>
        <v>9</v>
      </c>
      <c r="G52" s="66">
        <f>GETPIVOTDATA("Sum of Watch Manager",wtroleareapivot!$A$3,"ReportingLevel","2:LSO","lvl","East Ayrshire, North Ayrshire and South Ayrshire")</f>
        <v>5</v>
      </c>
      <c r="H52" s="66">
        <f>GETPIVOTDATA("Sum of Crew Manager",wtroleareapivot!$A$3,"ReportingLevel","2:LSO","lvl","East Ayrshire, North Ayrshire and South Ayrshire")</f>
        <v>0</v>
      </c>
      <c r="I52" s="66">
        <f>GETPIVOTDATA("Sum of Firefighter",wtroleareapivot!$A$3,"ReportingLevel","2:LSO","lvl","East Ayrshire, North Ayrshire and South Ayrshire")</f>
        <v>0</v>
      </c>
      <c r="J52" s="67">
        <f t="shared" si="3"/>
        <v>18</v>
      </c>
    </row>
    <row r="53" spans="1:10" x14ac:dyDescent="0.35">
      <c r="A53" s="393" t="s">
        <v>257</v>
      </c>
      <c r="B53" s="667" t="s">
        <v>258</v>
      </c>
      <c r="C53" s="436">
        <f>GETPIVOTDATA("Sum of Brigade Manager",wtroleareapivot!$A$3,"ReportingLevel","2:LSO","lvl","East Lothian, Midlothian and the Scottish Borders")</f>
        <v>0</v>
      </c>
      <c r="D53" s="66">
        <f>GETPIVOTDATA("Sum of Area Manager",wtroleareapivot!$A$3,"ReportingLevel","2:LSO","lvl","East Lothian, Midlothian and the Scottish Borders")</f>
        <v>1</v>
      </c>
      <c r="E53" s="66">
        <f>GETPIVOTDATA("Sum of Group Manager",wtroleareapivot!$A$3,"ReportingLevel","2:LSO","lvl","East Lothian, Midlothian and the Scottish Borders")</f>
        <v>3</v>
      </c>
      <c r="F53" s="66">
        <f>GETPIVOTDATA("Sum of Station Manager",wtroleareapivot!$A$3,"ReportingLevel","2:LSO","lvl","East Lothian, Midlothian and the Scottish Borders")</f>
        <v>6</v>
      </c>
      <c r="G53" s="66">
        <f>GETPIVOTDATA("Sum of Watch Manager",wtroleareapivot!$A$3,"ReportingLevel","2:LSO","lvl","East Lothian, Midlothian and the Scottish Borders")</f>
        <v>6</v>
      </c>
      <c r="H53" s="66">
        <f>GETPIVOTDATA("Sum of Crew Manager",wtroleareapivot!$A$3,"ReportingLevel","2:LSO","lvl","East Lothian, Midlothian and the Scottish Borders")</f>
        <v>0</v>
      </c>
      <c r="I53" s="66">
        <f>GETPIVOTDATA("Sum of Firefighter",wtroleareapivot!$A$3,"ReportingLevel","2:LSO","lvl","East Lothian, Midlothian and the Scottish Borders")</f>
        <v>4</v>
      </c>
      <c r="J53" s="67">
        <f t="shared" si="3"/>
        <v>20</v>
      </c>
    </row>
    <row r="54" spans="1:10" x14ac:dyDescent="0.35">
      <c r="A54" s="338" t="s">
        <v>261</v>
      </c>
      <c r="B54" s="667" t="s">
        <v>262</v>
      </c>
      <c r="C54" s="436">
        <f>GETPIVOTDATA("Sum of Brigade Manager",wtroleareapivot!$A$3,"ReportingLevel","2:LSO","lvl","East Renfrewshire, Renfrewshire and Inverclyde")</f>
        <v>0</v>
      </c>
      <c r="D54" s="66">
        <f>GETPIVOTDATA("Sum of Area Manager",wtroleareapivot!$A$3,"ReportingLevel","2:LSO","lvl","East Renfrewshire, Renfrewshire and Inverclyde")</f>
        <v>1</v>
      </c>
      <c r="E54" s="66">
        <f>GETPIVOTDATA("Sum of Group Manager",wtroleareapivot!$A$3,"ReportingLevel","2:LSO","lvl","East Renfrewshire, Renfrewshire and Inverclyde")</f>
        <v>3</v>
      </c>
      <c r="F54" s="66">
        <f>GETPIVOTDATA("Sum of Station Manager",wtroleareapivot!$A$3,"ReportingLevel","2:LSO","lvl","East Renfrewshire, Renfrewshire and Inverclyde")</f>
        <v>5</v>
      </c>
      <c r="G54" s="66">
        <f>GETPIVOTDATA("Sum of Watch Manager",wtroleareapivot!$A$3,"ReportingLevel","2:LSO","lvl","East Renfrewshire, Renfrewshire and Inverclyde")</f>
        <v>3</v>
      </c>
      <c r="H54" s="66">
        <f>GETPIVOTDATA("Sum of Crew Manager",wtroleareapivot!$A$3,"ReportingLevel","2:LSO","lvl","East Renfrewshire, Renfrewshire and Inverclyde")</f>
        <v>2</v>
      </c>
      <c r="I54" s="66">
        <f>GETPIVOTDATA("Sum of Firefighter",wtroleareapivot!$A$3,"ReportingLevel","2:LSO","lvl","East Renfrewshire, Renfrewshire and Inverclyde")</f>
        <v>1</v>
      </c>
      <c r="J54" s="67">
        <f t="shared" si="3"/>
        <v>15</v>
      </c>
    </row>
    <row r="55" spans="1:10" x14ac:dyDescent="0.35">
      <c r="A55" s="393" t="s">
        <v>236</v>
      </c>
      <c r="B55" s="667" t="s">
        <v>237</v>
      </c>
      <c r="C55" s="436">
        <f>GETPIVOTDATA("Sum of Brigade Manager",wtroleareapivot!$A$3,"ReportingLevel","2:LSO","lvl","Edinburgh City")</f>
        <v>0</v>
      </c>
      <c r="D55" s="66">
        <f>GETPIVOTDATA("Sum of Area Manager",wtroleareapivot!$A$3,"ReportingLevel","2:LSO","lvl","Edinburgh City")</f>
        <v>1</v>
      </c>
      <c r="E55" s="66">
        <f>GETPIVOTDATA("Sum of Group Manager",wtroleareapivot!$A$3,"ReportingLevel","2:LSO","lvl","Edinburgh City")</f>
        <v>3</v>
      </c>
      <c r="F55" s="66">
        <f>GETPIVOTDATA("Sum of Station Manager",wtroleareapivot!$A$3,"ReportingLevel","2:LSO","lvl","Edinburgh City")</f>
        <v>6</v>
      </c>
      <c r="G55" s="66">
        <f>GETPIVOTDATA("Sum of Watch Manager",wtroleareapivot!$A$3,"ReportingLevel","2:LSO","lvl","Edinburgh City")</f>
        <v>10</v>
      </c>
      <c r="H55" s="66">
        <f>GETPIVOTDATA("Sum of Crew Manager",wtroleareapivot!$A$3,"ReportingLevel","2:LSO","lvl","Edinburgh City")</f>
        <v>2</v>
      </c>
      <c r="I55" s="66">
        <f>GETPIVOTDATA("Sum of Firefighter",wtroleareapivot!$A$3,"ReportingLevel","2:LSO","lvl","Edinburgh City")</f>
        <v>3</v>
      </c>
      <c r="J55" s="67">
        <f t="shared" si="3"/>
        <v>25</v>
      </c>
    </row>
    <row r="56" spans="1:10" x14ac:dyDescent="0.35">
      <c r="A56" s="393" t="s">
        <v>265</v>
      </c>
      <c r="B56" s="667" t="s">
        <v>266</v>
      </c>
      <c r="C56" s="436">
        <f>GETPIVOTDATA("Sum of Brigade Manager",wtroleareapivot!$A$3,"ReportingLevel","2:LSO","lvl","Falkirk and West Lothian")</f>
        <v>0</v>
      </c>
      <c r="D56" s="66">
        <f>GETPIVOTDATA("Sum of Area Manager",wtroleareapivot!$A$3,"ReportingLevel","2:LSO","lvl","Falkirk and West Lothian")</f>
        <v>1</v>
      </c>
      <c r="E56" s="66">
        <f>GETPIVOTDATA("Sum of Group Manager",wtroleareapivot!$A$3,"ReportingLevel","2:LSO","lvl","Falkirk and West Lothian")</f>
        <v>2</v>
      </c>
      <c r="F56" s="66">
        <f>GETPIVOTDATA("Sum of Station Manager",wtroleareapivot!$A$3,"ReportingLevel","2:LSO","lvl","Falkirk and West Lothian")</f>
        <v>6</v>
      </c>
      <c r="G56" s="66">
        <f>GETPIVOTDATA("Sum of Watch Manager",wtroleareapivot!$A$3,"ReportingLevel","2:LSO","lvl","Falkirk and West Lothian")</f>
        <v>5</v>
      </c>
      <c r="H56" s="66">
        <f>GETPIVOTDATA("Sum of Crew Manager",wtroleareapivot!$A$3,"ReportingLevel","2:LSO","lvl","Falkirk and West Lothian")</f>
        <v>1</v>
      </c>
      <c r="I56" s="66">
        <f>GETPIVOTDATA("Sum of Firefighter",wtroleareapivot!$A$3,"ReportingLevel","2:LSO","lvl","Falkirk and West Lothian")</f>
        <v>0</v>
      </c>
      <c r="J56" s="67">
        <f t="shared" si="3"/>
        <v>15</v>
      </c>
    </row>
    <row r="57" spans="1:10" x14ac:dyDescent="0.35">
      <c r="A57" s="393" t="str">
        <f>IF(OR(A9 = "2018-19", A9 = "2017-18", A9 = "2016-17", A9 = "2015-16", A9 = "2014-15", A9 = "2013-14"),"S39000019","")</f>
        <v/>
      </c>
      <c r="B57" s="312" t="str">
        <f>IF(OR(A9 = "2018-19", A9 = "2017-18", A9 = "2016-17", A9 = "2015-16", A9 = "2014-15", A9 = "2013-14"), "Fife", "")</f>
        <v/>
      </c>
      <c r="C57" s="436" t="str">
        <f>IF(OR(A9 = "2018-19", A9 = "2017-18", A9 = "2016-17", A9 = "2015-16", A9 = "2014-15", A9 = "2013-14"),GETPIVOTDATA("Sum of Brigade Manager",wtroleareapivot!$A$3,"ReportingLevel","2:LSO","lvl","Fife"), "")</f>
        <v/>
      </c>
      <c r="D57" s="66" t="str">
        <f>IF(OR(A9 = "2018-19", A9 = "2017-18", A9 = "2016-17", A9 = "2015-16", A9 = "2014-15", A9 = "2013-14"),GETPIVOTDATA("Sum of Area Manager",wtroleareapivot!$A$3,"ReportingLevel","2:LSO","lvl","Fife"), "")</f>
        <v/>
      </c>
      <c r="E57" s="66" t="str">
        <f>IF(OR(A9 = "2018-19", A9 = "2017-18", A9 = "2016-17", A9 = "2015-16", A9 = "2014-15", A9 = "2013-14"),GETPIVOTDATA("Sum of Group Manager",wtroleareapivot!$A$3,"ReportingLevel","2:LSO","lvl","Fife"), "")</f>
        <v/>
      </c>
      <c r="F57" s="66" t="str">
        <f>IF(OR(A9 = "2018-19", A9 = "2017-18", A9 = "2016-17", A9 = "2015-16", A9 = "2014-15", A9 = "2013-14"),GETPIVOTDATA("Sum of Station Manager",wtroleareapivot!$A$3,"ReportingLevel","2:LSO","lvl","Fife"), "")</f>
        <v/>
      </c>
      <c r="G57" s="66" t="str">
        <f>IF(OR(A9 = "2018-19", A9 = "2017-18", A9 = "2016-17", A9 = "2015-16", A9 = "2014-15", A9 = "2013-14"),GETPIVOTDATA("Sum of Watch Manager",wtroleareapivot!$A$3,"ReportingLevel","2:LSO","lvl","Fife"), "")</f>
        <v/>
      </c>
      <c r="H57" s="66" t="str">
        <f>IF(OR(A9 = "2018-19", A9 = "2017-18", A9 = "2016-17", A9 = "2015-16", A9 = "2014-15", A9 = "2013-14"),GETPIVOTDATA("Sum of Crew Manager",wtroleareapivot!$A$3,"ReportingLevel","2:LSO","lvl","Fife"), "")</f>
        <v/>
      </c>
      <c r="I57" s="66" t="str">
        <f>IF(OR(A9 = "2018-19", A9 = "2017-18", A9 = "2016-17", A9 = "2015-16", A9 = "2014-15", A9 = "2013-14"),GETPIVOTDATA("Sum of Firefighter",wtroleareapivot!$A$3,"ReportingLevel","2:LSO","lvl","Fife"), "")</f>
        <v/>
      </c>
      <c r="J57" s="67">
        <f t="shared" si="3"/>
        <v>0</v>
      </c>
    </row>
    <row r="58" spans="1:10" x14ac:dyDescent="0.35">
      <c r="A58" s="393" t="str">
        <f>IF(A9="2018-19","S39000012","S39000020")</f>
        <v>S39000020</v>
      </c>
      <c r="B58" s="667" t="s">
        <v>271</v>
      </c>
      <c r="C58" s="436">
        <f>GETPIVOTDATA("Sum of Brigade Manager",wtroleareapivot!$A$3,"ReportingLevel","2:LSO","lvl","Glasgow City")</f>
        <v>0</v>
      </c>
      <c r="D58" s="66">
        <f>GETPIVOTDATA("Sum of Area Manager",wtroleareapivot!$A$3,"ReportingLevel","2:LSO","lvl","Glasgow City")</f>
        <v>1</v>
      </c>
      <c r="E58" s="66">
        <f>GETPIVOTDATA("Sum of Group Manager",wtroleareapivot!$A$3,"ReportingLevel","2:LSO","lvl","Glasgow City")</f>
        <v>4</v>
      </c>
      <c r="F58" s="66">
        <f>GETPIVOTDATA("Sum of Station Manager",wtroleareapivot!$A$3,"ReportingLevel","2:LSO","lvl","Glasgow City")</f>
        <v>8</v>
      </c>
      <c r="G58" s="66">
        <f>GETPIVOTDATA("Sum of Watch Manager",wtroleareapivot!$A$3,"ReportingLevel","2:LSO","lvl","Glasgow City")</f>
        <v>6</v>
      </c>
      <c r="H58" s="66">
        <f>GETPIVOTDATA("Sum of Crew Manager",wtroleareapivot!$A$3,"ReportingLevel","2:LSO","lvl","Glasgow City")</f>
        <v>0</v>
      </c>
      <c r="I58" s="66">
        <f>GETPIVOTDATA("Sum of Firefighter",wtroleareapivot!$A$3,"ReportingLevel","2:LSO","lvl","Glasgow City")</f>
        <v>1</v>
      </c>
      <c r="J58" s="67">
        <f t="shared" si="3"/>
        <v>20</v>
      </c>
    </row>
    <row r="59" spans="1:10" x14ac:dyDescent="0.35">
      <c r="A59" s="393" t="s">
        <v>275</v>
      </c>
      <c r="B59" s="667" t="s">
        <v>276</v>
      </c>
      <c r="C59" s="436">
        <f>GETPIVOTDATA("Sum of Brigade Manager",wtroleareapivot!$A$3,"ReportingLevel","2:LSO","lvl","Highlands")</f>
        <v>0</v>
      </c>
      <c r="D59" s="66">
        <f>GETPIVOTDATA("Sum of Area Manager",wtroleareapivot!$A$3,"ReportingLevel","2:LSO","lvl","Highlands")</f>
        <v>1</v>
      </c>
      <c r="E59" s="66">
        <f>GETPIVOTDATA("Sum of Group Manager",wtroleareapivot!$A$3,"ReportingLevel","2:LSO","lvl","Highlands")</f>
        <v>4</v>
      </c>
      <c r="F59" s="66">
        <f>GETPIVOTDATA("Sum of Station Manager",wtroleareapivot!$A$3,"ReportingLevel","2:LSO","lvl","Highlands")</f>
        <v>14</v>
      </c>
      <c r="G59" s="66">
        <f>GETPIVOTDATA("Sum of Watch Manager",wtroleareapivot!$A$3,"ReportingLevel","2:LSO","lvl","Highlands")</f>
        <v>5</v>
      </c>
      <c r="H59" s="66">
        <f>GETPIVOTDATA("Sum of Crew Manager",wtroleareapivot!$A$3,"ReportingLevel","2:LSO","lvl","Highlands")</f>
        <v>1</v>
      </c>
      <c r="I59" s="66">
        <f>GETPIVOTDATA("Sum of Firefighter",wtroleareapivot!$A$3,"ReportingLevel","2:LSO","lvl","Highlands")</f>
        <v>0</v>
      </c>
      <c r="J59" s="67">
        <f t="shared" si="3"/>
        <v>25</v>
      </c>
    </row>
    <row r="60" spans="1:10" x14ac:dyDescent="0.35">
      <c r="A60" s="393" t="str">
        <f>IF(OR(A9="2021-22", A9 = "2022-23"),"S39000014","S39000021")</f>
        <v>S39000021</v>
      </c>
      <c r="B60" s="667" t="str">
        <f>IF(OR(A9="2021-22", A9 = "2022-23", A9 = "2023-24", A9 = "2024-25"), "Lanarkshire", "North Lanarkshire")</f>
        <v>Lanarkshire</v>
      </c>
      <c r="C60" s="436">
        <f>IF(OR(A9="2021-22", A9 = "2022-23", A9 = "2023-24", A9 = "2024-25"), GETPIVOTDATA("Sum of Brigade Manager",wtroleareapivot!$A$3,"ReportingLevel","2:LSO","lvl","Lanarkshire"), GETPIVOTDATA("Sum of Brigade Manager",wtroleareapivot!$A$3,"ReportingLevel","2:LSO","lvl","North Lanarkshire"))</f>
        <v>0</v>
      </c>
      <c r="D60" s="66">
        <f>IF(OR(A9="2021-22", A9 = "2022-23", A9 = "2023-24", A9 = "2024-25"), GETPIVOTDATA("Sum of Area Manager",wtroleareapivot!$A$3,"ReportingLevel","2:LSO","lvl","Lanarkshire"), GETPIVOTDATA("Sum of Area Manager",wtroleareapivot!$A$3,"ReportingLevel","2:LSO","lvl","North Lanarkshire"))</f>
        <v>1</v>
      </c>
      <c r="E60" s="66">
        <f>IF(OR(A9="2021-22", A9 = "2022-23", A9 = "2023-24", A9 = "2024-25"), GETPIVOTDATA("Sum of Group Manager",wtroleareapivot!$A$3,"ReportingLevel","2:LSO","lvl","Lanarkshire"), GETPIVOTDATA("Sum of Group Manager",wtroleareapivot!$A$3,"ReportingLevel","2:LSO","lvl","North Lanarkshire"))</f>
        <v>3</v>
      </c>
      <c r="F60" s="66">
        <f>IF(OR(A9="2021-22", A9 = "2022-23", A9 = "2023-24", A9 = "2024-25"), GETPIVOTDATA("Sum of Station Manager",wtroleareapivot!$A$3,"ReportingLevel","2:LSO","lvl","Lanarkshire"), GETPIVOTDATA("Sum of Station Manager",wtroleareapivot!$A$3,"ReportingLevel","2:LSO","lvl","North Lanarkshire"))</f>
        <v>9</v>
      </c>
      <c r="G60" s="66">
        <f>IF(OR(A9="2021-22", A9 = "2022-23", A9 = "2023-24", A9 = "2024-25"), GETPIVOTDATA("Sum of Watch Manager",wtroleareapivot!$A$3,"ReportingLevel","2:LSO","lvl","Lanarkshire"), GETPIVOTDATA("Sum of Watch Manager",wtroleareapivot!$A$3,"ReportingLevel","2:LSO","lvl","North Lanarkshire"))</f>
        <v>7</v>
      </c>
      <c r="H60" s="66">
        <f>IF(OR(A9="2021-22", A9 = "2022-23", A9 = "2023-24", A9 = "2024-25"), GETPIVOTDATA("Sum of Crew Manager",wtroleareapivot!$A$3,"ReportingLevel","2:LSO","lvl","Lanarkshire"), GETPIVOTDATA("Sum of Crew Manager",wtroleareapivot!$A$3,"ReportingLevel","2:LSO","lvl","North Lanarkshire"))</f>
        <v>1</v>
      </c>
      <c r="I60" s="66">
        <f>IF(OR(A9="2021-22", A9 = "2022-23", A9 = "2023-24", A9 = "2024-25"), GETPIVOTDATA("Sum of Firefighter",wtroleareapivot!$A$3,"ReportingLevel","2:LSO","lvl","Lanarkshire"), GETPIVOTDATA("Sum of Firefighter",wtroleareapivot!$A$3,"ReportingLevel","2:LSO","lvl","North Lanarkshire"))</f>
        <v>2</v>
      </c>
      <c r="J60" s="67">
        <f t="shared" si="3"/>
        <v>23</v>
      </c>
    </row>
    <row r="61" spans="1:10" x14ac:dyDescent="0.35">
      <c r="A61" s="393" t="str">
        <f>IF(OR(A9="2021-22", A9 = "2022-23", A9 = "2023-24", A9 = "2024-25"), "", "S39000015")</f>
        <v/>
      </c>
      <c r="B61" s="667" t="str">
        <f>IF(OR(A9="2021-22", A9 = "2022-23", A9 = "2023-24", A9 = "2024-25"),"","South Lanarkshire")</f>
        <v/>
      </c>
      <c r="C61" s="436" t="str">
        <f>IF(OR(A9="2021-22", A9 = "2022-23", A9 = "2023-24", A9 = "2024-25"), "",GETPIVOTDATA("Sum of Brigade Manager",wtroleareapivot!$A$3,"ReportingLevel","2:LSO","lvl","South Lanarkshire"))</f>
        <v/>
      </c>
      <c r="D61" s="66" t="str">
        <f>IF(OR(A9="2021-22", A9 = "2022-23", A9 = "2023-24", A9 = "2024-25"), "",GETPIVOTDATA("Sum of Area Manager",wtroleareapivot!$A$3,"ReportingLevel","2:LSO","lvl","South Lanarkshire"))</f>
        <v/>
      </c>
      <c r="E61" s="66" t="str">
        <f>IF(OR(A9="2021-22", A9 = "2022-23", A9 = "2023-24", A9 = "2024-25"), "",GETPIVOTDATA("Sum of Group Manager",wtroleareapivot!$A$3,"ReportingLevel","2:LSO","lvl","South Lanarkshire"))</f>
        <v/>
      </c>
      <c r="F61" s="66" t="str">
        <f>IF(OR(A9="2021-22", A9 = "2022-23", A9 = "2023-24", A9 = "2024-25"), "",GETPIVOTDATA("Sum of Station Manager",wtroleareapivot!$A$3,"ReportingLevel","2:LSO","lvl","South Lanarkshire"))</f>
        <v/>
      </c>
      <c r="G61" s="66" t="str">
        <f>IF(OR(A9="2021-22", A9 = "2022-23", A9 = "2023-24", A9 = "2024-25"), "",GETPIVOTDATA("Sum of Watch Manager",wtroleareapivot!$A$3,"ReportingLevel","2:LSO","lvl","South Lanarkshire"))</f>
        <v/>
      </c>
      <c r="H61" s="66" t="str">
        <f>IF(OR(A9="2021-22", A9 = "2022-23", A9 = "2023-24", A9 = "2024-25"), "",GETPIVOTDATA("Sum of Crew Manager",wtroleareapivot!$A$3,"ReportingLevel","2:LSO","lvl","South Lanarkshire"))</f>
        <v/>
      </c>
      <c r="I61" s="66" t="str">
        <f>IF(OR(A9="2021-22", A9 = "2022-23", A9 = "2023-24", A9 = "2024-25"), "",GETPIVOTDATA("Sum of Firefighter",wtroleareapivot!$A$3,"ReportingLevel","2:LSO","lvl","South Lanarkshire"))</f>
        <v/>
      </c>
      <c r="J61" s="67">
        <f t="shared" si="3"/>
        <v>0</v>
      </c>
    </row>
    <row r="62" spans="1:10" x14ac:dyDescent="0.35">
      <c r="A62" s="393" t="str">
        <f>IF(OR(A9 = "2018-19", A9 = "2017-18", A9 = "2016-17", A9 = "2015-16", A9 = "2014-15", A9 = "2013-14"),"S39000016","S39000022")</f>
        <v>S39000022</v>
      </c>
      <c r="B62" s="583" t="str">
        <f>IF(OR(A9 = "2018-19", A9 = "2017-18", A9 = "2016-17", A9 = "2015-16", A9 = "2014-15", A9 = "2013-14"), "Stirling and Clackmannanshire", "Stirling, Clackmannanshire and Fife")</f>
        <v>Stirling, Clackmannanshire and Fife</v>
      </c>
      <c r="C62" s="436">
        <f>IF(OR(A9 = "2018-19", A9 = "2017-18", A9 = "2016-17", A9 = "2015-16", A9 = "2014-15", A9 = "2013-14"),"", GETPIVOTDATA("Sum of Brigade Manager",wtroleareapivot!$A$3,"ReportingLevel","2:LSO","lvl","Stirling, Clackmannanshire and Fife"))</f>
        <v>0</v>
      </c>
      <c r="D62" s="66">
        <f>IF(OR(A9 = "2018-19", A9 = "2017-18", A9 = "2016-17", A9 = "2015-16", A9 = "2014-15", A9 = "2013-14"),GETPIVOTDATA("Sum of Area Manager",wtroleareapivot!$A$3,"ReportingLevel","2:LSO","lvl","Stirling and Clackmannanshire"), GETPIVOTDATA("Sum of Area Manager",wtroleareapivot!$A$3,"ReportingLevel","2:LSO","lvl","Stirling, Clackmannanshire and Fife"))</f>
        <v>1</v>
      </c>
      <c r="E62" s="66">
        <f>IF(OR(A9 = "2018-19", A9 = "2017-18", A9 = "2016-17", A9 = "2015-16", A9 = "2014-15", A9 = "2013-14"),GETPIVOTDATA("Sum of Group Manager",wtroleareapivot!$A$3,"ReportingLevel","2:LSO","lvl","Stirling and Clackmannanshire"), GETPIVOTDATA("Sum of Group Manager",wtroleareapivot!$A$3,"ReportingLevel","2:LSO","lvl","Stirling, Clackmannanshire and Fife"))</f>
        <v>4</v>
      </c>
      <c r="F62" s="66">
        <f>IF(OR(A9 = "2018-19", A9 = "2017-18", A9 = "2016-17", A9 = "2015-16", A9 = "2014-15", A9 = "2013-14"),GETPIVOTDATA("Sum of Station Manager",wtroleareapivot!$A$3,"ReportingLevel","2:LSO","lvl","Stirling and Clackmannanshire"), GETPIVOTDATA("Sum of Station Manager",wtroleareapivot!$A$3,"ReportingLevel","2:LSO","lvl","Stirling, Clackmannanshire and Fife"))</f>
        <v>10</v>
      </c>
      <c r="G62" s="66">
        <f>IF(OR(A9 = "2018-19", A9 = "2017-18", A9 = "2016-17", A9 = "2015-16", A9 = "2014-15", A9 = "2013-14"),GETPIVOTDATA("Sum of Watch Manager",wtroleareapivot!$A$3,"ReportingLevel","2:LSO","lvl","Stirling and Clackmannanshire"), GETPIVOTDATA("Sum of Watch Manager",wtroleareapivot!$A$3,"ReportingLevel","2:LSO","lvl","Stirling, Clackmannanshire and Fife"))</f>
        <v>8</v>
      </c>
      <c r="H62" s="66">
        <f>IF(OR(A9 = "2018-19", A9 = "2017-18", A9 = "2016-17", A9 = "2015-16", A9 = "2014-15", A9 = "2013-14"),GETPIVOTDATA("Sum of Crew Manager",wtroleareapivot!$A$3,"ReportingLevel","2:LSO","lvl","Stirling and Clackmannanshire"), GETPIVOTDATA("Sum of Crew Manager",wtroleareapivot!$A$3,"ReportingLevel","2:LSO","lvl","Stirling, Clackmannanshire and Fife"))</f>
        <v>1</v>
      </c>
      <c r="I62" s="66">
        <f>IF(OR(A9 = "2018-19", A9 = "2017-18", A9 = "2016-17", A9 = "2015-16", A9 = "2014-15", A9 = "2013-14"),GETPIVOTDATA("Sum of Firefighter",wtroleareapivot!$A$3,"ReportingLevel","2:LSO","lvl","Stirling and Clackmannanshire"), GETPIVOTDATA("Sum of Firefighter",wtroleareapivot!$A$3,"ReportingLevel","2:LSO","lvl","Stirling, Clackmannanshire and Fife"))</f>
        <v>2</v>
      </c>
      <c r="J62" s="67">
        <f t="shared" si="3"/>
        <v>26</v>
      </c>
    </row>
    <row r="63" spans="1:10" x14ac:dyDescent="0.35">
      <c r="A63" s="393" t="s">
        <v>285</v>
      </c>
      <c r="B63" s="667" t="s">
        <v>286</v>
      </c>
      <c r="C63" s="436">
        <f>GETPIVOTDATA("Sum of Brigade Manager",wtroleareapivot!$A$3,"ReportingLevel","2:LSO","lvl","Western Isles, Orkney and Shetland Islands")</f>
        <v>0</v>
      </c>
      <c r="D63" s="66">
        <f>GETPIVOTDATA("Sum of Area Manager",wtroleareapivot!$A$3,"ReportingLevel","2:LSO","lvl","Western Isles, Orkney and Shetland Islands")</f>
        <v>1</v>
      </c>
      <c r="E63" s="66">
        <f>GETPIVOTDATA("Sum of Group Manager",wtroleareapivot!$A$3,"ReportingLevel","2:LSO","lvl","Western Isles, Orkney and Shetland Islands")</f>
        <v>4</v>
      </c>
      <c r="F63" s="66">
        <f>GETPIVOTDATA("Sum of Station Manager",wtroleareapivot!$A$3,"ReportingLevel","2:LSO","lvl","Western Isles, Orkney and Shetland Islands")</f>
        <v>6</v>
      </c>
      <c r="G63" s="66">
        <f>GETPIVOTDATA("Sum of Watch Manager",wtroleareapivot!$A$3,"ReportingLevel","2:LSO","lvl","Western Isles, Orkney and Shetland Islands")</f>
        <v>0</v>
      </c>
      <c r="H63" s="66">
        <f>GETPIVOTDATA("Sum of Crew Manager",wtroleareapivot!$A$3,"ReportingLevel","2:LSO","lvl","Western Isles, Orkney and Shetland Islands")</f>
        <v>0</v>
      </c>
      <c r="I63" s="66">
        <f>GETPIVOTDATA("Sum of Firefighter",wtroleareapivot!$A$3,"ReportingLevel","2:LSO","lvl","Western Isles, Orkney and Shetland Islands")</f>
        <v>0</v>
      </c>
      <c r="J63" s="67">
        <f t="shared" si="3"/>
        <v>11</v>
      </c>
    </row>
    <row r="64" spans="1:10" ht="18" customHeight="1" thickBot="1" x14ac:dyDescent="0.4">
      <c r="A64" s="58"/>
      <c r="B64" s="58" t="s">
        <v>554</v>
      </c>
      <c r="C64" s="437">
        <f t="shared" ref="C64:J64" si="4">SUM(C47:C63)</f>
        <v>0</v>
      </c>
      <c r="D64" s="70">
        <f t="shared" si="4"/>
        <v>14</v>
      </c>
      <c r="E64" s="70">
        <f t="shared" si="4"/>
        <v>47</v>
      </c>
      <c r="F64" s="70">
        <f t="shared" si="4"/>
        <v>112</v>
      </c>
      <c r="G64" s="70">
        <f t="shared" si="4"/>
        <v>77</v>
      </c>
      <c r="H64" s="70">
        <f t="shared" si="4"/>
        <v>8</v>
      </c>
      <c r="I64" s="70">
        <f t="shared" si="4"/>
        <v>21</v>
      </c>
      <c r="J64" s="70">
        <f t="shared" si="4"/>
        <v>279</v>
      </c>
    </row>
    <row r="65" spans="1:12" x14ac:dyDescent="0.35">
      <c r="A65" s="48"/>
      <c r="B65" s="48"/>
      <c r="C65" s="74"/>
      <c r="D65" s="41"/>
      <c r="E65" s="41"/>
      <c r="F65" s="41"/>
      <c r="G65" s="41"/>
      <c r="H65" s="41"/>
      <c r="I65" s="41"/>
      <c r="J65" s="41"/>
    </row>
    <row r="66" spans="1:12" x14ac:dyDescent="0.35">
      <c r="A66" s="36" t="s">
        <v>212</v>
      </c>
      <c r="B66" s="36" t="s">
        <v>213</v>
      </c>
      <c r="C66" s="43"/>
      <c r="D66" s="43"/>
      <c r="E66" s="43"/>
      <c r="F66" s="43"/>
      <c r="G66" s="43"/>
      <c r="H66" s="43"/>
      <c r="I66" s="43"/>
      <c r="J66" s="75"/>
    </row>
    <row r="67" spans="1:12" ht="21" customHeight="1" x14ac:dyDescent="0.35">
      <c r="A67" s="482" t="s">
        <v>238</v>
      </c>
      <c r="B67" s="60" t="s">
        <v>239</v>
      </c>
      <c r="C67" s="436">
        <f>GETPIVOTDATA("Sum of Brigade Manager",wtroleareapivot!$A$3,"ReportingLevel","3:SDA","lvl","East")</f>
        <v>0</v>
      </c>
      <c r="D67" s="66">
        <f>GETPIVOTDATA("Sum of Area Manager",wtroleareapivot!$A$3,"ReportingLevel","3:SDA","lvl","East")</f>
        <v>1</v>
      </c>
      <c r="E67" s="66">
        <f>GETPIVOTDATA("Sum of Group Manager",wtroleareapivot!$A$3,"ReportingLevel","3:SDA","lvl","East")</f>
        <v>2</v>
      </c>
      <c r="F67" s="66">
        <f>GETPIVOTDATA("Sum of Station Manager",wtroleareapivot!$A$3,"ReportingLevel","3:SDA","lvl","East")</f>
        <v>8</v>
      </c>
      <c r="G67" s="66">
        <f>GETPIVOTDATA("Sum of Watch Manager",wtroleareapivot!$A$3,"ReportingLevel","3:SDA","lvl","East")</f>
        <v>28</v>
      </c>
      <c r="H67" s="66">
        <f>GETPIVOTDATA("Sum of Crew Manager",wtroleareapivot!$A$3,"ReportingLevel","3:SDA","lvl","East")</f>
        <v>18</v>
      </c>
      <c r="I67" s="66">
        <f>GETPIVOTDATA("Sum of Firefighter",wtroleareapivot!$A$3,"ReportingLevel","3:SDA","lvl","East")</f>
        <v>16</v>
      </c>
      <c r="J67" s="67">
        <f>SUM(C67:I67)</f>
        <v>73</v>
      </c>
    </row>
    <row r="68" spans="1:12" x14ac:dyDescent="0.35">
      <c r="A68" s="50" t="s">
        <v>218</v>
      </c>
      <c r="B68" s="48" t="s">
        <v>219</v>
      </c>
      <c r="C68" s="436">
        <f>GETPIVOTDATA("Sum of Brigade Manager",wtroleareapivot!$A$3,"ReportingLevel","3:SDA","lvl","North")</f>
        <v>0</v>
      </c>
      <c r="D68" s="66">
        <f>GETPIVOTDATA("Sum of Area Manager",wtroleareapivot!$A$3,"ReportingLevel","3:SDA","lvl","North")</f>
        <v>2</v>
      </c>
      <c r="E68" s="66">
        <f>GETPIVOTDATA("Sum of Group Manager",wtroleareapivot!$A$3,"ReportingLevel","3:SDA","lvl","North")</f>
        <v>3</v>
      </c>
      <c r="F68" s="66">
        <f>GETPIVOTDATA("Sum of Station Manager",wtroleareapivot!$A$3,"ReportingLevel","3:SDA","lvl","North")</f>
        <v>9</v>
      </c>
      <c r="G68" s="66">
        <f>GETPIVOTDATA("Sum of Watch Manager",wtroleareapivot!$A$3,"ReportingLevel","3:SDA","lvl","North")</f>
        <v>26</v>
      </c>
      <c r="H68" s="66">
        <f>GETPIVOTDATA("Sum of Crew Manager",wtroleareapivot!$A$3,"ReportingLevel","3:SDA","lvl","North")</f>
        <v>18</v>
      </c>
      <c r="I68" s="66">
        <f>GETPIVOTDATA("Sum of Firefighter",wtroleareapivot!$A$3,"ReportingLevel","3:SDA","lvl","North")</f>
        <v>6</v>
      </c>
      <c r="J68" s="67">
        <f>SUM(C68:I68)</f>
        <v>64</v>
      </c>
    </row>
    <row r="69" spans="1:12" x14ac:dyDescent="0.35">
      <c r="A69" s="454" t="s">
        <v>232</v>
      </c>
      <c r="B69" s="48" t="s">
        <v>233</v>
      </c>
      <c r="C69" s="436">
        <f>GETPIVOTDATA("Sum of Brigade Manager",wtroleareapivot!$A$3,"ReportingLevel","3:SDA","lvl","West")</f>
        <v>0</v>
      </c>
      <c r="D69" s="66">
        <f>GETPIVOTDATA("Sum of Area Manager",wtroleareapivot!$A$3,"ReportingLevel","3:SDA","lvl","West")</f>
        <v>1</v>
      </c>
      <c r="E69" s="66">
        <f>GETPIVOTDATA("Sum of Group Manager",wtroleareapivot!$A$3,"ReportingLevel","3:SDA","lvl","West")</f>
        <v>4</v>
      </c>
      <c r="F69" s="66">
        <f>GETPIVOTDATA("Sum of Station Manager",wtroleareapivot!$A$3,"ReportingLevel","3:SDA","lvl","West")</f>
        <v>7</v>
      </c>
      <c r="G69" s="66">
        <f>GETPIVOTDATA("Sum of Watch Manager",wtroleareapivot!$A$3,"ReportingLevel","3:SDA","lvl","West")</f>
        <v>47</v>
      </c>
      <c r="H69" s="66">
        <f>GETPIVOTDATA("Sum of Crew Manager",wtroleareapivot!$A$3,"ReportingLevel","3:SDA","lvl","West")</f>
        <v>26</v>
      </c>
      <c r="I69" s="66">
        <f>GETPIVOTDATA("Sum of Firefighter",wtroleareapivot!$A$3,"ReportingLevel","3:SDA","lvl","West")</f>
        <v>47</v>
      </c>
      <c r="J69" s="67">
        <f>SUM(C69:I69)</f>
        <v>132</v>
      </c>
    </row>
    <row r="70" spans="1:12" ht="18.75" customHeight="1" thickBot="1" x14ac:dyDescent="0.4">
      <c r="A70" s="52"/>
      <c r="B70" s="52" t="s">
        <v>555</v>
      </c>
      <c r="C70" s="437">
        <f>SUM(C67:C69)</f>
        <v>0</v>
      </c>
      <c r="D70" s="70">
        <f t="shared" ref="D70:J70" si="5">SUM(D67:D69)</f>
        <v>4</v>
      </c>
      <c r="E70" s="70">
        <f t="shared" si="5"/>
        <v>9</v>
      </c>
      <c r="F70" s="70">
        <f t="shared" si="5"/>
        <v>24</v>
      </c>
      <c r="G70" s="70">
        <f t="shared" si="5"/>
        <v>101</v>
      </c>
      <c r="H70" s="70">
        <f t="shared" si="5"/>
        <v>62</v>
      </c>
      <c r="I70" s="70">
        <f t="shared" si="5"/>
        <v>69</v>
      </c>
      <c r="J70" s="70">
        <f t="shared" si="5"/>
        <v>269</v>
      </c>
    </row>
    <row r="71" spans="1:12" x14ac:dyDescent="0.35">
      <c r="A71" s="36" t="s">
        <v>556</v>
      </c>
      <c r="B71" s="48"/>
      <c r="C71" s="44"/>
      <c r="D71" s="44"/>
      <c r="E71" s="44"/>
      <c r="F71" s="44"/>
      <c r="G71" s="44"/>
      <c r="H71" s="44"/>
      <c r="I71" s="44"/>
      <c r="J71" s="65"/>
    </row>
    <row r="72" spans="1:12" ht="15" thickBot="1" x14ac:dyDescent="0.4">
      <c r="A72" s="52" t="s">
        <v>548</v>
      </c>
      <c r="B72" s="76" t="s">
        <v>557</v>
      </c>
      <c r="C72" s="299">
        <f>GETPIVOTDATA("Sum of Brigade Manager",wtroleareapivot!$A$3,"ReportingLevel","4:National","lvl","Scotland")</f>
        <v>5</v>
      </c>
      <c r="D72" s="299">
        <f>GETPIVOTDATA("Sum of Area Manager",wtroleareapivot!$A$3,"ReportingLevel","4:National","lvl","Scotland")</f>
        <v>12</v>
      </c>
      <c r="E72" s="299">
        <f>GETPIVOTDATA("Sum of Group Manager",wtroleareapivot!$A$3,"ReportingLevel","4:National","lvl","Scotland")</f>
        <v>16</v>
      </c>
      <c r="F72" s="299">
        <f>GETPIVOTDATA("Sum of Station Manager",wtroleareapivot!$A$3,"ReportingLevel","4:National")</f>
        <v>24</v>
      </c>
      <c r="G72" s="299">
        <f>GETPIVOTDATA("Sum of Watch Manager",wtroleareapivot!$A$3,"ReportingLevel","4:National","lvl","Scotland")</f>
        <v>31</v>
      </c>
      <c r="H72" s="299">
        <f>GETPIVOTDATA("Sum of Crew Manager",wtroleareapivot!$A$3,"ReportingLevel","4:National","lvl","Scotland")</f>
        <v>1</v>
      </c>
      <c r="I72" s="299">
        <f>GETPIVOTDATA("Sum of Firefighter",wtroleareapivot!$A$3,"ReportingLevel","4:National","lvl","Scotland")</f>
        <v>1</v>
      </c>
      <c r="J72" s="70">
        <f>SUM(C72:I72)</f>
        <v>90</v>
      </c>
    </row>
    <row r="74" spans="1:12" x14ac:dyDescent="0.35">
      <c r="A74" s="348" t="s">
        <v>329</v>
      </c>
      <c r="B74" s="349"/>
      <c r="C74" s="349"/>
      <c r="D74" s="349"/>
      <c r="E74" s="349"/>
      <c r="F74" s="349"/>
      <c r="G74" s="349"/>
      <c r="H74" s="349"/>
      <c r="I74" s="349"/>
    </row>
    <row r="75" spans="1:12" x14ac:dyDescent="0.35">
      <c r="A75" s="345" t="s">
        <v>558</v>
      </c>
      <c r="B75" s="339"/>
      <c r="C75" s="346"/>
      <c r="D75" s="347"/>
      <c r="E75" s="347"/>
      <c r="F75" s="347"/>
      <c r="G75" s="347"/>
      <c r="H75" s="347"/>
      <c r="I75" s="347"/>
    </row>
    <row r="76" spans="1:12" ht="34" customHeight="1" x14ac:dyDescent="0.35">
      <c r="A76" s="1020" t="s">
        <v>659</v>
      </c>
      <c r="B76" s="1020"/>
      <c r="C76" s="1020"/>
      <c r="D76" s="1020"/>
      <c r="E76" s="1020"/>
      <c r="F76" s="1020"/>
      <c r="G76" s="1020"/>
      <c r="H76" s="1020"/>
      <c r="I76" s="1020"/>
    </row>
    <row r="77" spans="1:12" x14ac:dyDescent="0.35">
      <c r="A77" s="377" t="s">
        <v>673</v>
      </c>
      <c r="B77" s="422"/>
      <c r="C77" s="422"/>
      <c r="D77" s="422"/>
      <c r="E77" s="422"/>
      <c r="F77" s="422"/>
      <c r="G77" s="422"/>
      <c r="H77" s="422"/>
      <c r="I77" s="422"/>
      <c r="K77" s="372"/>
      <c r="L77" s="372"/>
    </row>
    <row r="78" spans="1:12" x14ac:dyDescent="0.35">
      <c r="A78" s="345" t="s">
        <v>675</v>
      </c>
    </row>
  </sheetData>
  <sheetProtection algorithmName="SHA-512" hashValue="tfbqJKtbIaPoN5pvtFa8MddcDW42aKFkkNMM5iu9Ctoxur92nX6bNbNNtf+cqWlCZpjt65ggB9OzRpYBqWUxQg==" saltValue="q3GXPWc73OqAhioKjYxp2Q==" spinCount="100000" sheet="1" scenarios="1" formatCells="0" sort="0" autoFilter="0" pivotTables="0"/>
  <mergeCells count="3">
    <mergeCell ref="A1:H1"/>
    <mergeCell ref="A4:J4"/>
    <mergeCell ref="A76:I76"/>
  </mergeCells>
  <hyperlinks>
    <hyperlink ref="A2" location="'Table of Contents'!A1" display="Back to Table of Contents" xr:uid="{00000000-0004-0000-3600-000000000000}"/>
  </hyperlinks>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A8765BA9-456A-4dab-B4F3-ACF838C121DE}">
      <x14:slicerList>
        <x14:slicer r:id="rId3"/>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A1:D33"/>
  <sheetViews>
    <sheetView workbookViewId="0">
      <selection activeCell="B10" sqref="B10"/>
    </sheetView>
  </sheetViews>
  <sheetFormatPr defaultRowHeight="14.5" x14ac:dyDescent="0.35"/>
  <cols>
    <col min="1" max="1" width="20.81640625" bestFit="1" customWidth="1"/>
    <col min="2" max="2" width="21" bestFit="1" customWidth="1"/>
    <col min="3" max="3" width="19.7265625" bestFit="1" customWidth="1"/>
    <col min="4" max="4" width="16.453125" bestFit="1" customWidth="1"/>
  </cols>
  <sheetData>
    <row r="1" spans="1:4" x14ac:dyDescent="0.35">
      <c r="A1" s="387" t="s">
        <v>207</v>
      </c>
      <c r="B1" t="s">
        <v>466</v>
      </c>
    </row>
    <row r="3" spans="1:4" x14ac:dyDescent="0.35">
      <c r="A3" s="387" t="s">
        <v>350</v>
      </c>
      <c r="B3" t="s">
        <v>639</v>
      </c>
      <c r="C3" t="s">
        <v>640</v>
      </c>
      <c r="D3" t="s">
        <v>641</v>
      </c>
    </row>
    <row r="4" spans="1:4" x14ac:dyDescent="0.35">
      <c r="A4" s="388" t="s">
        <v>216</v>
      </c>
      <c r="B4">
        <v>1</v>
      </c>
      <c r="C4">
        <v>3</v>
      </c>
      <c r="D4">
        <v>4</v>
      </c>
    </row>
    <row r="5" spans="1:4" x14ac:dyDescent="0.35">
      <c r="A5" s="388" t="s">
        <v>221</v>
      </c>
      <c r="B5">
        <v>23</v>
      </c>
      <c r="C5">
        <v>63</v>
      </c>
      <c r="D5">
        <v>182</v>
      </c>
    </row>
    <row r="6" spans="1:4" x14ac:dyDescent="0.35">
      <c r="A6" s="388" t="s">
        <v>225</v>
      </c>
      <c r="B6">
        <v>6</v>
      </c>
      <c r="C6">
        <v>19</v>
      </c>
      <c r="D6">
        <v>74</v>
      </c>
    </row>
    <row r="7" spans="1:4" x14ac:dyDescent="0.35">
      <c r="A7" s="388" t="s">
        <v>229</v>
      </c>
      <c r="B7">
        <v>14</v>
      </c>
      <c r="C7">
        <v>25</v>
      </c>
      <c r="D7">
        <v>143</v>
      </c>
    </row>
    <row r="8" spans="1:4" x14ac:dyDescent="0.35">
      <c r="A8" s="388" t="s">
        <v>235</v>
      </c>
      <c r="B8">
        <v>1</v>
      </c>
      <c r="C8">
        <v>2</v>
      </c>
      <c r="D8">
        <v>5</v>
      </c>
    </row>
    <row r="9" spans="1:4" x14ac:dyDescent="0.35">
      <c r="A9" s="388" t="s">
        <v>241</v>
      </c>
      <c r="B9">
        <v>2</v>
      </c>
      <c r="C9">
        <v>3</v>
      </c>
      <c r="D9">
        <v>18</v>
      </c>
    </row>
    <row r="10" spans="1:4" x14ac:dyDescent="0.35">
      <c r="A10" s="388" t="s">
        <v>245</v>
      </c>
      <c r="B10">
        <v>17</v>
      </c>
      <c r="C10">
        <v>31</v>
      </c>
      <c r="D10">
        <v>139</v>
      </c>
    </row>
    <row r="11" spans="1:4" x14ac:dyDescent="0.35">
      <c r="A11" s="388" t="s">
        <v>248</v>
      </c>
      <c r="B11">
        <v>1</v>
      </c>
      <c r="C11">
        <v>2</v>
      </c>
      <c r="D11">
        <v>12</v>
      </c>
    </row>
    <row r="12" spans="1:4" x14ac:dyDescent="0.35">
      <c r="A12" s="388" t="s">
        <v>250</v>
      </c>
      <c r="B12">
        <v>5</v>
      </c>
      <c r="C12">
        <v>10</v>
      </c>
      <c r="D12">
        <v>54</v>
      </c>
    </row>
    <row r="13" spans="1:4" x14ac:dyDescent="0.35">
      <c r="A13" s="388" t="s">
        <v>256</v>
      </c>
      <c r="B13">
        <v>5</v>
      </c>
      <c r="C13">
        <v>12</v>
      </c>
      <c r="D13">
        <v>38</v>
      </c>
    </row>
    <row r="14" spans="1:4" x14ac:dyDescent="0.35">
      <c r="A14" s="388" t="s">
        <v>264</v>
      </c>
      <c r="B14">
        <v>5</v>
      </c>
      <c r="C14">
        <v>10</v>
      </c>
      <c r="D14">
        <v>44</v>
      </c>
    </row>
    <row r="15" spans="1:4" x14ac:dyDescent="0.35">
      <c r="A15" s="388" t="s">
        <v>268</v>
      </c>
      <c r="B15">
        <v>8</v>
      </c>
      <c r="C15">
        <v>20</v>
      </c>
      <c r="D15">
        <v>74</v>
      </c>
    </row>
    <row r="16" spans="1:4" x14ac:dyDescent="0.35">
      <c r="A16" s="388" t="s">
        <v>274</v>
      </c>
      <c r="B16">
        <v>46</v>
      </c>
      <c r="C16">
        <v>94</v>
      </c>
      <c r="D16">
        <v>301</v>
      </c>
    </row>
    <row r="17" spans="1:4" x14ac:dyDescent="0.35">
      <c r="A17" s="388" t="s">
        <v>278</v>
      </c>
      <c r="B17">
        <v>3</v>
      </c>
      <c r="C17">
        <v>7</v>
      </c>
      <c r="D17">
        <v>28</v>
      </c>
    </row>
    <row r="18" spans="1:4" x14ac:dyDescent="0.35">
      <c r="A18" s="388" t="s">
        <v>280</v>
      </c>
      <c r="B18">
        <v>1</v>
      </c>
      <c r="C18">
        <v>2</v>
      </c>
      <c r="D18">
        <v>11</v>
      </c>
    </row>
    <row r="19" spans="1:4" x14ac:dyDescent="0.35">
      <c r="A19" s="388" t="s">
        <v>282</v>
      </c>
      <c r="B19">
        <v>10</v>
      </c>
      <c r="C19">
        <v>25</v>
      </c>
      <c r="D19">
        <v>70</v>
      </c>
    </row>
    <row r="20" spans="1:4" x14ac:dyDescent="0.35">
      <c r="A20" s="388" t="s">
        <v>284</v>
      </c>
      <c r="B20">
        <v>13</v>
      </c>
      <c r="C20">
        <v>27</v>
      </c>
      <c r="D20">
        <v>91</v>
      </c>
    </row>
    <row r="21" spans="1:4" x14ac:dyDescent="0.35">
      <c r="A21" s="388" t="s">
        <v>288</v>
      </c>
      <c r="B21">
        <v>10</v>
      </c>
      <c r="C21">
        <v>12</v>
      </c>
      <c r="D21">
        <v>78</v>
      </c>
    </row>
    <row r="22" spans="1:4" x14ac:dyDescent="0.35">
      <c r="A22" s="388" t="s">
        <v>290</v>
      </c>
      <c r="B22">
        <v>3</v>
      </c>
      <c r="C22">
        <v>6</v>
      </c>
      <c r="D22">
        <v>17</v>
      </c>
    </row>
    <row r="23" spans="1:4" x14ac:dyDescent="0.35">
      <c r="A23" s="388" t="s">
        <v>293</v>
      </c>
      <c r="B23">
        <v>12</v>
      </c>
      <c r="C23">
        <v>21</v>
      </c>
      <c r="D23">
        <v>69</v>
      </c>
    </row>
    <row r="24" spans="1:4" x14ac:dyDescent="0.35">
      <c r="A24" s="388" t="s">
        <v>295</v>
      </c>
      <c r="B24">
        <v>8</v>
      </c>
      <c r="C24">
        <v>20</v>
      </c>
      <c r="D24">
        <v>89</v>
      </c>
    </row>
    <row r="25" spans="1:4" x14ac:dyDescent="0.35">
      <c r="A25" s="388" t="s">
        <v>297</v>
      </c>
      <c r="B25">
        <v>1</v>
      </c>
      <c r="C25">
        <v>2</v>
      </c>
      <c r="D25">
        <v>11</v>
      </c>
    </row>
    <row r="26" spans="1:4" x14ac:dyDescent="0.35">
      <c r="A26" s="388" t="s">
        <v>299</v>
      </c>
      <c r="B26">
        <v>13</v>
      </c>
      <c r="C26">
        <v>28</v>
      </c>
      <c r="D26">
        <v>104</v>
      </c>
    </row>
    <row r="27" spans="1:4" x14ac:dyDescent="0.35">
      <c r="A27" s="388" t="s">
        <v>301</v>
      </c>
      <c r="B27">
        <v>14</v>
      </c>
      <c r="C27">
        <v>25</v>
      </c>
      <c r="D27">
        <v>84</v>
      </c>
    </row>
    <row r="28" spans="1:4" x14ac:dyDescent="0.35">
      <c r="A28" s="388" t="s">
        <v>303</v>
      </c>
      <c r="B28">
        <v>4</v>
      </c>
      <c r="C28">
        <v>8</v>
      </c>
      <c r="D28">
        <v>31</v>
      </c>
    </row>
    <row r="29" spans="1:4" x14ac:dyDescent="0.35">
      <c r="A29" s="388" t="s">
        <v>305</v>
      </c>
      <c r="B29">
        <v>8</v>
      </c>
      <c r="C29">
        <v>12</v>
      </c>
      <c r="D29">
        <v>54</v>
      </c>
    </row>
    <row r="30" spans="1:4" x14ac:dyDescent="0.35">
      <c r="A30" s="388" t="s">
        <v>308</v>
      </c>
      <c r="B30">
        <v>6</v>
      </c>
      <c r="C30">
        <v>14</v>
      </c>
      <c r="D30">
        <v>52</v>
      </c>
    </row>
    <row r="31" spans="1:4" x14ac:dyDescent="0.35">
      <c r="A31" s="388" t="s">
        <v>310</v>
      </c>
      <c r="B31">
        <v>2</v>
      </c>
      <c r="C31">
        <v>2</v>
      </c>
      <c r="D31">
        <v>20</v>
      </c>
    </row>
    <row r="32" spans="1:4" x14ac:dyDescent="0.35">
      <c r="A32" s="388" t="s">
        <v>312</v>
      </c>
      <c r="B32">
        <v>6</v>
      </c>
      <c r="C32">
        <v>9</v>
      </c>
      <c r="D32">
        <v>46</v>
      </c>
    </row>
    <row r="33" spans="1:4" x14ac:dyDescent="0.35">
      <c r="A33" s="388" t="s">
        <v>357</v>
      </c>
      <c r="B33">
        <v>248</v>
      </c>
      <c r="C33">
        <v>514</v>
      </c>
      <c r="D33">
        <v>1943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G366"/>
  <sheetViews>
    <sheetView topLeftCell="A2" workbookViewId="0">
      <selection activeCell="D13" sqref="D13"/>
    </sheetView>
  </sheetViews>
  <sheetFormatPr defaultRowHeight="14.5" x14ac:dyDescent="0.35"/>
  <cols>
    <col min="1" max="1" width="7.453125" bestFit="1" customWidth="1"/>
    <col min="2" max="2" width="16.1796875" bestFit="1" customWidth="1"/>
    <col min="3" max="3" width="20.81640625" bestFit="1" customWidth="1"/>
    <col min="4" max="4" width="11.26953125" bestFit="1" customWidth="1"/>
    <col min="5" max="5" width="16.7265625" bestFit="1" customWidth="1"/>
    <col min="6" max="6" width="15.6328125" bestFit="1" customWidth="1"/>
    <col min="7" max="7" width="12.26953125" bestFit="1" customWidth="1"/>
  </cols>
  <sheetData>
    <row r="1" spans="1:7" x14ac:dyDescent="0.35">
      <c r="A1" t="s">
        <v>207</v>
      </c>
      <c r="B1" t="s">
        <v>546</v>
      </c>
      <c r="C1" t="s">
        <v>550</v>
      </c>
      <c r="D1" t="s">
        <v>556</v>
      </c>
      <c r="E1" t="s">
        <v>630</v>
      </c>
      <c r="F1" t="s">
        <v>631</v>
      </c>
      <c r="G1" t="s">
        <v>632</v>
      </c>
    </row>
    <row r="2" spans="1:7" x14ac:dyDescent="0.35">
      <c r="A2" t="s">
        <v>364</v>
      </c>
      <c r="B2" t="s">
        <v>536</v>
      </c>
      <c r="C2" t="s">
        <v>216</v>
      </c>
      <c r="D2" t="s">
        <v>215</v>
      </c>
      <c r="E2">
        <v>2</v>
      </c>
      <c r="F2">
        <v>1</v>
      </c>
      <c r="G2">
        <v>5</v>
      </c>
    </row>
    <row r="3" spans="1:7" x14ac:dyDescent="0.35">
      <c r="A3" t="s">
        <v>364</v>
      </c>
      <c r="B3" t="s">
        <v>536</v>
      </c>
      <c r="C3" t="s">
        <v>221</v>
      </c>
      <c r="D3" t="s">
        <v>220</v>
      </c>
      <c r="E3">
        <v>65</v>
      </c>
      <c r="F3">
        <v>29</v>
      </c>
      <c r="G3">
        <v>203</v>
      </c>
    </row>
    <row r="4" spans="1:7" x14ac:dyDescent="0.35">
      <c r="A4" t="s">
        <v>364</v>
      </c>
      <c r="B4" t="s">
        <v>536</v>
      </c>
      <c r="C4" t="s">
        <v>225</v>
      </c>
      <c r="D4" t="s">
        <v>224</v>
      </c>
      <c r="E4">
        <v>19</v>
      </c>
      <c r="F4">
        <v>7</v>
      </c>
      <c r="G4">
        <v>73</v>
      </c>
    </row>
    <row r="5" spans="1:7" x14ac:dyDescent="0.35">
      <c r="A5" t="s">
        <v>364</v>
      </c>
      <c r="B5" t="s">
        <v>536</v>
      </c>
      <c r="C5" t="s">
        <v>229</v>
      </c>
      <c r="D5" t="s">
        <v>228</v>
      </c>
      <c r="E5">
        <v>24</v>
      </c>
      <c r="F5">
        <v>17</v>
      </c>
      <c r="G5">
        <v>146</v>
      </c>
    </row>
    <row r="6" spans="1:7" x14ac:dyDescent="0.35">
      <c r="A6" t="s">
        <v>364</v>
      </c>
      <c r="B6" t="s">
        <v>536</v>
      </c>
      <c r="C6" t="s">
        <v>235</v>
      </c>
      <c r="D6" t="s">
        <v>234</v>
      </c>
      <c r="E6">
        <v>2</v>
      </c>
      <c r="F6">
        <v>1</v>
      </c>
      <c r="G6">
        <v>9</v>
      </c>
    </row>
    <row r="7" spans="1:7" x14ac:dyDescent="0.35">
      <c r="A7" t="s">
        <v>364</v>
      </c>
      <c r="B7" t="s">
        <v>536</v>
      </c>
      <c r="C7" t="s">
        <v>241</v>
      </c>
      <c r="D7" t="s">
        <v>240</v>
      </c>
      <c r="E7">
        <v>4</v>
      </c>
      <c r="F7">
        <v>2</v>
      </c>
      <c r="G7">
        <v>15</v>
      </c>
    </row>
    <row r="8" spans="1:7" x14ac:dyDescent="0.35">
      <c r="A8" t="s">
        <v>364</v>
      </c>
      <c r="B8" t="s">
        <v>536</v>
      </c>
      <c r="C8" t="s">
        <v>245</v>
      </c>
      <c r="D8" t="s">
        <v>244</v>
      </c>
      <c r="E8">
        <v>34</v>
      </c>
      <c r="F8">
        <v>17</v>
      </c>
      <c r="G8">
        <v>147</v>
      </c>
    </row>
    <row r="9" spans="1:7" x14ac:dyDescent="0.35">
      <c r="A9" t="s">
        <v>364</v>
      </c>
      <c r="B9" t="s">
        <v>536</v>
      </c>
      <c r="C9" t="s">
        <v>248</v>
      </c>
      <c r="D9" t="s">
        <v>247</v>
      </c>
      <c r="E9">
        <v>3</v>
      </c>
      <c r="F9">
        <v>1</v>
      </c>
      <c r="G9">
        <v>10</v>
      </c>
    </row>
    <row r="10" spans="1:7" x14ac:dyDescent="0.35">
      <c r="A10" t="s">
        <v>364</v>
      </c>
      <c r="B10" t="s">
        <v>536</v>
      </c>
      <c r="C10" t="s">
        <v>250</v>
      </c>
      <c r="D10" t="s">
        <v>249</v>
      </c>
      <c r="E10">
        <v>10</v>
      </c>
      <c r="F10">
        <v>9</v>
      </c>
      <c r="G10">
        <v>58</v>
      </c>
    </row>
    <row r="11" spans="1:7" x14ac:dyDescent="0.35">
      <c r="A11" t="s">
        <v>364</v>
      </c>
      <c r="B11" t="s">
        <v>536</v>
      </c>
      <c r="C11" t="s">
        <v>254</v>
      </c>
      <c r="D11" t="s">
        <v>253</v>
      </c>
      <c r="E11">
        <v>0</v>
      </c>
      <c r="F11">
        <v>0</v>
      </c>
      <c r="G11">
        <v>0</v>
      </c>
    </row>
    <row r="12" spans="1:7" x14ac:dyDescent="0.35">
      <c r="A12" t="s">
        <v>364</v>
      </c>
      <c r="B12" t="s">
        <v>536</v>
      </c>
      <c r="C12" t="s">
        <v>256</v>
      </c>
      <c r="D12" t="s">
        <v>255</v>
      </c>
      <c r="E12">
        <v>9</v>
      </c>
      <c r="F12">
        <v>5</v>
      </c>
      <c r="G12">
        <v>38</v>
      </c>
    </row>
    <row r="13" spans="1:7" x14ac:dyDescent="0.35">
      <c r="A13" t="s">
        <v>364</v>
      </c>
      <c r="B13" t="s">
        <v>536</v>
      </c>
      <c r="C13" t="s">
        <v>260</v>
      </c>
      <c r="D13" t="s">
        <v>259</v>
      </c>
      <c r="E13">
        <v>0</v>
      </c>
      <c r="F13">
        <v>0</v>
      </c>
      <c r="G13">
        <v>0</v>
      </c>
    </row>
    <row r="14" spans="1:7" x14ac:dyDescent="0.35">
      <c r="A14" t="s">
        <v>364</v>
      </c>
      <c r="B14" t="s">
        <v>536</v>
      </c>
      <c r="C14" t="s">
        <v>264</v>
      </c>
      <c r="D14" t="s">
        <v>263</v>
      </c>
      <c r="E14">
        <v>10</v>
      </c>
      <c r="F14">
        <v>5</v>
      </c>
      <c r="G14">
        <v>50</v>
      </c>
    </row>
    <row r="15" spans="1:7" x14ac:dyDescent="0.35">
      <c r="A15" t="s">
        <v>364</v>
      </c>
      <c r="B15" t="s">
        <v>536</v>
      </c>
      <c r="C15" t="s">
        <v>268</v>
      </c>
      <c r="D15" t="s">
        <v>267</v>
      </c>
      <c r="E15">
        <v>19</v>
      </c>
      <c r="F15">
        <v>11</v>
      </c>
      <c r="G15">
        <v>81</v>
      </c>
    </row>
    <row r="16" spans="1:7" x14ac:dyDescent="0.35">
      <c r="A16" t="s">
        <v>364</v>
      </c>
      <c r="B16" t="s">
        <v>536</v>
      </c>
      <c r="C16" t="s">
        <v>271</v>
      </c>
      <c r="D16" t="s">
        <v>270</v>
      </c>
      <c r="E16">
        <v>1</v>
      </c>
      <c r="F16">
        <v>0</v>
      </c>
      <c r="G16">
        <v>1</v>
      </c>
    </row>
    <row r="17" spans="1:7" x14ac:dyDescent="0.35">
      <c r="A17" t="s">
        <v>364</v>
      </c>
      <c r="B17" t="s">
        <v>536</v>
      </c>
      <c r="C17" t="s">
        <v>274</v>
      </c>
      <c r="D17" t="s">
        <v>273</v>
      </c>
      <c r="E17">
        <v>115</v>
      </c>
      <c r="F17">
        <v>55</v>
      </c>
      <c r="G17">
        <v>394</v>
      </c>
    </row>
    <row r="18" spans="1:7" x14ac:dyDescent="0.35">
      <c r="A18" t="s">
        <v>364</v>
      </c>
      <c r="B18" t="s">
        <v>536</v>
      </c>
      <c r="C18" t="s">
        <v>278</v>
      </c>
      <c r="D18" t="s">
        <v>277</v>
      </c>
      <c r="E18">
        <v>4</v>
      </c>
      <c r="F18">
        <v>3</v>
      </c>
      <c r="G18">
        <v>35</v>
      </c>
    </row>
    <row r="19" spans="1:7" x14ac:dyDescent="0.35">
      <c r="A19" t="s">
        <v>364</v>
      </c>
      <c r="B19" t="s">
        <v>536</v>
      </c>
      <c r="C19" t="s">
        <v>280</v>
      </c>
      <c r="D19" t="s">
        <v>279</v>
      </c>
      <c r="E19">
        <v>2</v>
      </c>
      <c r="F19">
        <v>1</v>
      </c>
      <c r="G19">
        <v>7</v>
      </c>
    </row>
    <row r="20" spans="1:7" x14ac:dyDescent="0.35">
      <c r="A20" t="s">
        <v>364</v>
      </c>
      <c r="B20" t="s">
        <v>536</v>
      </c>
      <c r="C20" t="s">
        <v>282</v>
      </c>
      <c r="D20" t="s">
        <v>281</v>
      </c>
      <c r="E20">
        <v>22</v>
      </c>
      <c r="F20">
        <v>9</v>
      </c>
      <c r="G20">
        <v>73</v>
      </c>
    </row>
    <row r="21" spans="1:7" x14ac:dyDescent="0.35">
      <c r="A21" t="s">
        <v>364</v>
      </c>
      <c r="B21" t="s">
        <v>536</v>
      </c>
      <c r="C21" t="s">
        <v>284</v>
      </c>
      <c r="D21" t="s">
        <v>283</v>
      </c>
      <c r="E21">
        <v>25</v>
      </c>
      <c r="F21">
        <v>13</v>
      </c>
      <c r="G21">
        <v>94</v>
      </c>
    </row>
    <row r="22" spans="1:7" x14ac:dyDescent="0.35">
      <c r="A22" t="s">
        <v>364</v>
      </c>
      <c r="B22" t="s">
        <v>536</v>
      </c>
      <c r="C22" t="s">
        <v>288</v>
      </c>
      <c r="D22" t="s">
        <v>287</v>
      </c>
      <c r="E22">
        <v>15</v>
      </c>
      <c r="F22">
        <v>9</v>
      </c>
      <c r="G22">
        <v>70</v>
      </c>
    </row>
    <row r="23" spans="1:7" x14ac:dyDescent="0.35">
      <c r="A23" t="s">
        <v>364</v>
      </c>
      <c r="B23" t="s">
        <v>536</v>
      </c>
      <c r="C23" t="s">
        <v>290</v>
      </c>
      <c r="D23" t="s">
        <v>289</v>
      </c>
      <c r="E23">
        <v>3</v>
      </c>
      <c r="F23">
        <v>3</v>
      </c>
      <c r="G23">
        <v>22</v>
      </c>
    </row>
    <row r="24" spans="1:7" x14ac:dyDescent="0.35">
      <c r="A24" t="s">
        <v>364</v>
      </c>
      <c r="B24" t="s">
        <v>536</v>
      </c>
      <c r="C24" t="s">
        <v>293</v>
      </c>
      <c r="D24" t="s">
        <v>292</v>
      </c>
      <c r="E24">
        <v>22</v>
      </c>
      <c r="F24">
        <v>12</v>
      </c>
      <c r="G24">
        <v>79</v>
      </c>
    </row>
    <row r="25" spans="1:7" x14ac:dyDescent="0.35">
      <c r="A25" t="s">
        <v>364</v>
      </c>
      <c r="B25" t="s">
        <v>536</v>
      </c>
      <c r="C25" t="s">
        <v>295</v>
      </c>
      <c r="D25" t="s">
        <v>294</v>
      </c>
      <c r="E25">
        <v>25</v>
      </c>
      <c r="F25">
        <v>10</v>
      </c>
      <c r="G25">
        <v>105</v>
      </c>
    </row>
    <row r="26" spans="1:7" x14ac:dyDescent="0.35">
      <c r="A26" t="s">
        <v>364</v>
      </c>
      <c r="B26" t="s">
        <v>536</v>
      </c>
      <c r="C26" t="s">
        <v>297</v>
      </c>
      <c r="D26" t="s">
        <v>296</v>
      </c>
      <c r="E26">
        <v>2</v>
      </c>
      <c r="F26">
        <v>1</v>
      </c>
      <c r="G26">
        <v>11</v>
      </c>
    </row>
    <row r="27" spans="1:7" x14ac:dyDescent="0.35">
      <c r="A27" t="s">
        <v>364</v>
      </c>
      <c r="B27" t="s">
        <v>536</v>
      </c>
      <c r="C27" t="s">
        <v>299</v>
      </c>
      <c r="D27" t="s">
        <v>298</v>
      </c>
      <c r="E27">
        <v>25</v>
      </c>
      <c r="F27">
        <v>13</v>
      </c>
      <c r="G27">
        <v>96</v>
      </c>
    </row>
    <row r="28" spans="1:7" x14ac:dyDescent="0.35">
      <c r="A28" t="s">
        <v>364</v>
      </c>
      <c r="B28" t="s">
        <v>536</v>
      </c>
      <c r="C28" t="s">
        <v>301</v>
      </c>
      <c r="D28" t="s">
        <v>300</v>
      </c>
      <c r="E28">
        <v>29</v>
      </c>
      <c r="F28">
        <v>13</v>
      </c>
      <c r="G28">
        <v>92</v>
      </c>
    </row>
    <row r="29" spans="1:7" x14ac:dyDescent="0.35">
      <c r="A29" t="s">
        <v>364</v>
      </c>
      <c r="B29" t="s">
        <v>536</v>
      </c>
      <c r="C29" t="s">
        <v>303</v>
      </c>
      <c r="D29" t="s">
        <v>302</v>
      </c>
      <c r="E29">
        <v>9</v>
      </c>
      <c r="F29">
        <v>5</v>
      </c>
      <c r="G29">
        <v>40</v>
      </c>
    </row>
    <row r="30" spans="1:7" x14ac:dyDescent="0.35">
      <c r="A30" t="s">
        <v>364</v>
      </c>
      <c r="B30" t="s">
        <v>536</v>
      </c>
      <c r="C30" t="s">
        <v>305</v>
      </c>
      <c r="D30" t="s">
        <v>304</v>
      </c>
      <c r="E30">
        <v>8</v>
      </c>
      <c r="F30">
        <v>9</v>
      </c>
      <c r="G30">
        <v>67</v>
      </c>
    </row>
    <row r="31" spans="1:7" x14ac:dyDescent="0.35">
      <c r="A31" t="s">
        <v>364</v>
      </c>
      <c r="B31" t="s">
        <v>536</v>
      </c>
      <c r="C31" t="s">
        <v>308</v>
      </c>
      <c r="D31" t="s">
        <v>307</v>
      </c>
      <c r="E31">
        <v>15</v>
      </c>
      <c r="F31">
        <v>9</v>
      </c>
      <c r="G31">
        <v>50</v>
      </c>
    </row>
    <row r="32" spans="1:7" x14ac:dyDescent="0.35">
      <c r="A32" t="s">
        <v>364</v>
      </c>
      <c r="B32" t="s">
        <v>536</v>
      </c>
      <c r="C32" t="s">
        <v>310</v>
      </c>
      <c r="D32" t="s">
        <v>309</v>
      </c>
      <c r="E32">
        <v>1</v>
      </c>
      <c r="F32">
        <v>2</v>
      </c>
      <c r="G32">
        <v>15</v>
      </c>
    </row>
    <row r="33" spans="1:7" x14ac:dyDescent="0.35">
      <c r="A33" t="s">
        <v>364</v>
      </c>
      <c r="B33" t="s">
        <v>536</v>
      </c>
      <c r="C33" t="s">
        <v>312</v>
      </c>
      <c r="D33" t="s">
        <v>311</v>
      </c>
      <c r="E33">
        <v>11</v>
      </c>
      <c r="F33">
        <v>6</v>
      </c>
      <c r="G33">
        <v>41</v>
      </c>
    </row>
    <row r="34" spans="1:7" x14ac:dyDescent="0.35">
      <c r="A34" t="s">
        <v>365</v>
      </c>
      <c r="B34" t="s">
        <v>536</v>
      </c>
      <c r="C34" t="s">
        <v>216</v>
      </c>
      <c r="D34" t="s">
        <v>215</v>
      </c>
      <c r="E34">
        <v>2</v>
      </c>
      <c r="F34">
        <v>1</v>
      </c>
      <c r="G34">
        <v>5</v>
      </c>
    </row>
    <row r="35" spans="1:7" x14ac:dyDescent="0.35">
      <c r="A35" t="s">
        <v>365</v>
      </c>
      <c r="B35" t="s">
        <v>536</v>
      </c>
      <c r="C35" t="s">
        <v>221</v>
      </c>
      <c r="D35" t="s">
        <v>220</v>
      </c>
      <c r="E35">
        <v>63</v>
      </c>
      <c r="F35">
        <v>27</v>
      </c>
      <c r="G35">
        <v>190</v>
      </c>
    </row>
    <row r="36" spans="1:7" x14ac:dyDescent="0.35">
      <c r="A36" t="s">
        <v>365</v>
      </c>
      <c r="B36" t="s">
        <v>536</v>
      </c>
      <c r="C36" t="s">
        <v>225</v>
      </c>
      <c r="D36" t="s">
        <v>224</v>
      </c>
      <c r="E36">
        <v>20</v>
      </c>
      <c r="F36">
        <v>7</v>
      </c>
      <c r="G36">
        <v>68</v>
      </c>
    </row>
    <row r="37" spans="1:7" x14ac:dyDescent="0.35">
      <c r="A37" t="s">
        <v>365</v>
      </c>
      <c r="B37" t="s">
        <v>536</v>
      </c>
      <c r="C37" t="s">
        <v>229</v>
      </c>
      <c r="D37" t="s">
        <v>228</v>
      </c>
      <c r="E37">
        <v>24</v>
      </c>
      <c r="F37">
        <v>15</v>
      </c>
      <c r="G37">
        <v>136</v>
      </c>
    </row>
    <row r="38" spans="1:7" x14ac:dyDescent="0.35">
      <c r="A38" t="s">
        <v>365</v>
      </c>
      <c r="B38" t="s">
        <v>536</v>
      </c>
      <c r="C38" t="s">
        <v>235</v>
      </c>
      <c r="D38" t="s">
        <v>234</v>
      </c>
      <c r="E38">
        <v>2</v>
      </c>
      <c r="F38">
        <v>1</v>
      </c>
      <c r="G38">
        <v>10</v>
      </c>
    </row>
    <row r="39" spans="1:7" x14ac:dyDescent="0.35">
      <c r="A39" t="s">
        <v>365</v>
      </c>
      <c r="B39" t="s">
        <v>536</v>
      </c>
      <c r="C39" t="s">
        <v>241</v>
      </c>
      <c r="D39" t="s">
        <v>240</v>
      </c>
      <c r="E39">
        <v>5</v>
      </c>
      <c r="F39">
        <v>2</v>
      </c>
      <c r="G39">
        <v>16</v>
      </c>
    </row>
    <row r="40" spans="1:7" x14ac:dyDescent="0.35">
      <c r="A40" t="s">
        <v>365</v>
      </c>
      <c r="B40" t="s">
        <v>536</v>
      </c>
      <c r="C40" t="s">
        <v>245</v>
      </c>
      <c r="D40" t="s">
        <v>244</v>
      </c>
      <c r="E40">
        <v>36</v>
      </c>
      <c r="F40">
        <v>17</v>
      </c>
      <c r="G40">
        <v>153</v>
      </c>
    </row>
    <row r="41" spans="1:7" x14ac:dyDescent="0.35">
      <c r="A41" t="s">
        <v>365</v>
      </c>
      <c r="B41" t="s">
        <v>536</v>
      </c>
      <c r="C41" t="s">
        <v>248</v>
      </c>
      <c r="D41" t="s">
        <v>247</v>
      </c>
      <c r="E41">
        <v>3</v>
      </c>
      <c r="F41">
        <v>1</v>
      </c>
      <c r="G41">
        <v>10</v>
      </c>
    </row>
    <row r="42" spans="1:7" x14ac:dyDescent="0.35">
      <c r="A42" t="s">
        <v>365</v>
      </c>
      <c r="B42" t="s">
        <v>536</v>
      </c>
      <c r="C42" t="s">
        <v>250</v>
      </c>
      <c r="D42" t="s">
        <v>249</v>
      </c>
      <c r="E42">
        <v>9</v>
      </c>
      <c r="F42">
        <v>8</v>
      </c>
      <c r="G42">
        <v>63</v>
      </c>
    </row>
    <row r="43" spans="1:7" x14ac:dyDescent="0.35">
      <c r="A43" t="s">
        <v>365</v>
      </c>
      <c r="B43" t="s">
        <v>536</v>
      </c>
      <c r="C43" t="s">
        <v>254</v>
      </c>
      <c r="D43" t="s">
        <v>253</v>
      </c>
      <c r="E43">
        <v>0</v>
      </c>
      <c r="F43">
        <v>0</v>
      </c>
      <c r="G43">
        <v>0</v>
      </c>
    </row>
    <row r="44" spans="1:7" x14ac:dyDescent="0.35">
      <c r="A44" t="s">
        <v>365</v>
      </c>
      <c r="B44" t="s">
        <v>536</v>
      </c>
      <c r="C44" t="s">
        <v>256</v>
      </c>
      <c r="D44" t="s">
        <v>255</v>
      </c>
      <c r="E44">
        <v>12</v>
      </c>
      <c r="F44">
        <v>5</v>
      </c>
      <c r="G44">
        <v>43</v>
      </c>
    </row>
    <row r="45" spans="1:7" x14ac:dyDescent="0.35">
      <c r="A45" t="s">
        <v>365</v>
      </c>
      <c r="B45" t="s">
        <v>536</v>
      </c>
      <c r="C45" t="s">
        <v>260</v>
      </c>
      <c r="D45" t="s">
        <v>259</v>
      </c>
      <c r="E45">
        <v>0</v>
      </c>
      <c r="F45">
        <v>0</v>
      </c>
      <c r="G45">
        <v>0</v>
      </c>
    </row>
    <row r="46" spans="1:7" x14ac:dyDescent="0.35">
      <c r="A46" t="s">
        <v>365</v>
      </c>
      <c r="B46" t="s">
        <v>536</v>
      </c>
      <c r="C46" t="s">
        <v>264</v>
      </c>
      <c r="D46" t="s">
        <v>263</v>
      </c>
      <c r="E46">
        <v>9</v>
      </c>
      <c r="F46">
        <v>6</v>
      </c>
      <c r="G46">
        <v>53</v>
      </c>
    </row>
    <row r="47" spans="1:7" x14ac:dyDescent="0.35">
      <c r="A47" t="s">
        <v>365</v>
      </c>
      <c r="B47" t="s">
        <v>536</v>
      </c>
      <c r="C47" t="s">
        <v>268</v>
      </c>
      <c r="D47" t="s">
        <v>267</v>
      </c>
      <c r="E47">
        <v>23</v>
      </c>
      <c r="F47">
        <v>10</v>
      </c>
      <c r="G47">
        <v>79</v>
      </c>
    </row>
    <row r="48" spans="1:7" x14ac:dyDescent="0.35">
      <c r="A48" t="s">
        <v>365</v>
      </c>
      <c r="B48" t="s">
        <v>536</v>
      </c>
      <c r="C48" t="s">
        <v>271</v>
      </c>
      <c r="D48" t="s">
        <v>270</v>
      </c>
      <c r="E48">
        <v>0</v>
      </c>
      <c r="F48">
        <v>0</v>
      </c>
      <c r="G48">
        <v>0</v>
      </c>
    </row>
    <row r="49" spans="1:7" x14ac:dyDescent="0.35">
      <c r="A49" t="s">
        <v>365</v>
      </c>
      <c r="B49" t="s">
        <v>536</v>
      </c>
      <c r="C49" t="s">
        <v>274</v>
      </c>
      <c r="D49" t="s">
        <v>273</v>
      </c>
      <c r="E49">
        <v>106</v>
      </c>
      <c r="F49">
        <v>54</v>
      </c>
      <c r="G49">
        <v>388</v>
      </c>
    </row>
    <row r="50" spans="1:7" x14ac:dyDescent="0.35">
      <c r="A50" t="s">
        <v>365</v>
      </c>
      <c r="B50" t="s">
        <v>536</v>
      </c>
      <c r="C50" t="s">
        <v>278</v>
      </c>
      <c r="D50" t="s">
        <v>277</v>
      </c>
      <c r="E50">
        <v>4</v>
      </c>
      <c r="F50">
        <v>3</v>
      </c>
      <c r="G50">
        <v>33</v>
      </c>
    </row>
    <row r="51" spans="1:7" x14ac:dyDescent="0.35">
      <c r="A51" t="s">
        <v>365</v>
      </c>
      <c r="B51" t="s">
        <v>536</v>
      </c>
      <c r="C51" t="s">
        <v>280</v>
      </c>
      <c r="D51" t="s">
        <v>279</v>
      </c>
      <c r="E51">
        <v>2</v>
      </c>
      <c r="F51">
        <v>1</v>
      </c>
      <c r="G51">
        <v>11</v>
      </c>
    </row>
    <row r="52" spans="1:7" x14ac:dyDescent="0.35">
      <c r="A52" t="s">
        <v>365</v>
      </c>
      <c r="B52" t="s">
        <v>536</v>
      </c>
      <c r="C52" t="s">
        <v>282</v>
      </c>
      <c r="D52" t="s">
        <v>281</v>
      </c>
      <c r="E52">
        <v>26</v>
      </c>
      <c r="F52">
        <v>11</v>
      </c>
      <c r="G52">
        <v>84</v>
      </c>
    </row>
    <row r="53" spans="1:7" x14ac:dyDescent="0.35">
      <c r="A53" t="s">
        <v>365</v>
      </c>
      <c r="B53" t="s">
        <v>536</v>
      </c>
      <c r="C53" t="s">
        <v>284</v>
      </c>
      <c r="D53" t="s">
        <v>283</v>
      </c>
      <c r="E53">
        <v>27</v>
      </c>
      <c r="F53">
        <v>16</v>
      </c>
      <c r="G53">
        <v>104</v>
      </c>
    </row>
    <row r="54" spans="1:7" x14ac:dyDescent="0.35">
      <c r="A54" t="s">
        <v>365</v>
      </c>
      <c r="B54" t="s">
        <v>536</v>
      </c>
      <c r="C54" t="s">
        <v>288</v>
      </c>
      <c r="D54" t="s">
        <v>287</v>
      </c>
      <c r="E54">
        <v>17</v>
      </c>
      <c r="F54">
        <v>9</v>
      </c>
      <c r="G54">
        <v>64</v>
      </c>
    </row>
    <row r="55" spans="1:7" x14ac:dyDescent="0.35">
      <c r="A55" t="s">
        <v>365</v>
      </c>
      <c r="B55" t="s">
        <v>536</v>
      </c>
      <c r="C55" t="s">
        <v>290</v>
      </c>
      <c r="D55" t="s">
        <v>289</v>
      </c>
      <c r="E55">
        <v>3</v>
      </c>
      <c r="F55">
        <v>3</v>
      </c>
      <c r="G55">
        <v>24</v>
      </c>
    </row>
    <row r="56" spans="1:7" x14ac:dyDescent="0.35">
      <c r="A56" t="s">
        <v>365</v>
      </c>
      <c r="B56" t="s">
        <v>536</v>
      </c>
      <c r="C56" t="s">
        <v>293</v>
      </c>
      <c r="D56" t="s">
        <v>292</v>
      </c>
      <c r="E56">
        <v>26</v>
      </c>
      <c r="F56">
        <v>12</v>
      </c>
      <c r="G56">
        <v>71</v>
      </c>
    </row>
    <row r="57" spans="1:7" x14ac:dyDescent="0.35">
      <c r="A57" t="s">
        <v>365</v>
      </c>
      <c r="B57" t="s">
        <v>536</v>
      </c>
      <c r="C57" t="s">
        <v>295</v>
      </c>
      <c r="D57" t="s">
        <v>294</v>
      </c>
      <c r="E57">
        <v>26</v>
      </c>
      <c r="F57">
        <v>13</v>
      </c>
      <c r="G57">
        <v>89</v>
      </c>
    </row>
    <row r="58" spans="1:7" x14ac:dyDescent="0.35">
      <c r="A58" t="s">
        <v>365</v>
      </c>
      <c r="B58" t="s">
        <v>536</v>
      </c>
      <c r="C58" t="s">
        <v>297</v>
      </c>
      <c r="D58" t="s">
        <v>296</v>
      </c>
      <c r="E58">
        <v>2</v>
      </c>
      <c r="F58">
        <v>1</v>
      </c>
      <c r="G58">
        <v>11</v>
      </c>
    </row>
    <row r="59" spans="1:7" x14ac:dyDescent="0.35">
      <c r="A59" t="s">
        <v>365</v>
      </c>
      <c r="B59" t="s">
        <v>536</v>
      </c>
      <c r="C59" t="s">
        <v>299</v>
      </c>
      <c r="D59" t="s">
        <v>298</v>
      </c>
      <c r="E59">
        <v>26</v>
      </c>
      <c r="F59">
        <v>14</v>
      </c>
      <c r="G59">
        <v>111</v>
      </c>
    </row>
    <row r="60" spans="1:7" x14ac:dyDescent="0.35">
      <c r="A60" t="s">
        <v>365</v>
      </c>
      <c r="B60" t="s">
        <v>536</v>
      </c>
      <c r="C60" t="s">
        <v>301</v>
      </c>
      <c r="D60" t="s">
        <v>300</v>
      </c>
      <c r="E60">
        <v>29</v>
      </c>
      <c r="F60">
        <v>12</v>
      </c>
      <c r="G60">
        <v>86</v>
      </c>
    </row>
    <row r="61" spans="1:7" x14ac:dyDescent="0.35">
      <c r="A61" t="s">
        <v>365</v>
      </c>
      <c r="B61" t="s">
        <v>536</v>
      </c>
      <c r="C61" t="s">
        <v>303</v>
      </c>
      <c r="D61" t="s">
        <v>302</v>
      </c>
      <c r="E61">
        <v>9</v>
      </c>
      <c r="F61">
        <v>5</v>
      </c>
      <c r="G61">
        <v>40</v>
      </c>
    </row>
    <row r="62" spans="1:7" x14ac:dyDescent="0.35">
      <c r="A62" t="s">
        <v>365</v>
      </c>
      <c r="B62" t="s">
        <v>536</v>
      </c>
      <c r="C62" t="s">
        <v>305</v>
      </c>
      <c r="D62" t="s">
        <v>304</v>
      </c>
      <c r="E62">
        <v>8</v>
      </c>
      <c r="F62">
        <v>9</v>
      </c>
      <c r="G62">
        <v>65</v>
      </c>
    </row>
    <row r="63" spans="1:7" x14ac:dyDescent="0.35">
      <c r="A63" t="s">
        <v>365</v>
      </c>
      <c r="B63" t="s">
        <v>536</v>
      </c>
      <c r="C63" t="s">
        <v>308</v>
      </c>
      <c r="D63" t="s">
        <v>307</v>
      </c>
      <c r="E63">
        <v>14</v>
      </c>
      <c r="F63">
        <v>9</v>
      </c>
      <c r="G63">
        <v>52</v>
      </c>
    </row>
    <row r="64" spans="1:7" x14ac:dyDescent="0.35">
      <c r="A64" t="s">
        <v>365</v>
      </c>
      <c r="B64" t="s">
        <v>536</v>
      </c>
      <c r="C64" t="s">
        <v>310</v>
      </c>
      <c r="D64" t="s">
        <v>309</v>
      </c>
      <c r="E64">
        <v>1</v>
      </c>
      <c r="F64">
        <v>2</v>
      </c>
      <c r="G64">
        <v>18</v>
      </c>
    </row>
    <row r="65" spans="1:7" x14ac:dyDescent="0.35">
      <c r="A65" t="s">
        <v>365</v>
      </c>
      <c r="B65" t="s">
        <v>536</v>
      </c>
      <c r="C65" t="s">
        <v>312</v>
      </c>
      <c r="D65" t="s">
        <v>311</v>
      </c>
      <c r="E65">
        <v>12</v>
      </c>
      <c r="F65">
        <v>6</v>
      </c>
      <c r="G65">
        <v>47</v>
      </c>
    </row>
    <row r="66" spans="1:7" x14ac:dyDescent="0.35">
      <c r="A66" t="s">
        <v>366</v>
      </c>
      <c r="B66" t="s">
        <v>536</v>
      </c>
      <c r="C66" t="s">
        <v>216</v>
      </c>
      <c r="D66" t="s">
        <v>215</v>
      </c>
      <c r="E66">
        <v>8</v>
      </c>
      <c r="F66">
        <v>2</v>
      </c>
      <c r="G66">
        <v>13</v>
      </c>
    </row>
    <row r="67" spans="1:7" x14ac:dyDescent="0.35">
      <c r="A67" t="s">
        <v>366</v>
      </c>
      <c r="B67" t="s">
        <v>536</v>
      </c>
      <c r="C67" t="s">
        <v>221</v>
      </c>
      <c r="D67" t="s">
        <v>220</v>
      </c>
      <c r="E67">
        <v>66</v>
      </c>
      <c r="F67">
        <v>25</v>
      </c>
      <c r="G67">
        <v>180</v>
      </c>
    </row>
    <row r="68" spans="1:7" x14ac:dyDescent="0.35">
      <c r="A68" t="s">
        <v>366</v>
      </c>
      <c r="B68" t="s">
        <v>536</v>
      </c>
      <c r="C68" t="s">
        <v>225</v>
      </c>
      <c r="D68" t="s">
        <v>224</v>
      </c>
      <c r="E68">
        <v>16</v>
      </c>
      <c r="F68">
        <v>6</v>
      </c>
      <c r="G68">
        <v>76</v>
      </c>
    </row>
    <row r="69" spans="1:7" x14ac:dyDescent="0.35">
      <c r="A69" t="s">
        <v>366</v>
      </c>
      <c r="B69" t="s">
        <v>536</v>
      </c>
      <c r="C69" t="s">
        <v>229</v>
      </c>
      <c r="D69" t="s">
        <v>228</v>
      </c>
      <c r="E69">
        <v>26</v>
      </c>
      <c r="F69">
        <v>12</v>
      </c>
      <c r="G69">
        <v>144</v>
      </c>
    </row>
    <row r="70" spans="1:7" x14ac:dyDescent="0.35">
      <c r="A70" t="s">
        <v>366</v>
      </c>
      <c r="B70" t="s">
        <v>536</v>
      </c>
      <c r="C70" t="s">
        <v>235</v>
      </c>
      <c r="D70" t="s">
        <v>234</v>
      </c>
      <c r="E70">
        <v>2</v>
      </c>
      <c r="F70">
        <v>1</v>
      </c>
      <c r="G70">
        <v>9</v>
      </c>
    </row>
    <row r="71" spans="1:7" x14ac:dyDescent="0.35">
      <c r="A71" t="s">
        <v>366</v>
      </c>
      <c r="B71" t="s">
        <v>536</v>
      </c>
      <c r="C71" t="s">
        <v>241</v>
      </c>
      <c r="D71" t="s">
        <v>240</v>
      </c>
      <c r="E71">
        <v>4</v>
      </c>
      <c r="F71">
        <v>2</v>
      </c>
      <c r="G71">
        <v>15</v>
      </c>
    </row>
    <row r="72" spans="1:7" x14ac:dyDescent="0.35">
      <c r="A72" t="s">
        <v>366</v>
      </c>
      <c r="B72" t="s">
        <v>536</v>
      </c>
      <c r="C72" t="s">
        <v>245</v>
      </c>
      <c r="D72" t="s">
        <v>244</v>
      </c>
      <c r="E72">
        <v>34</v>
      </c>
      <c r="F72">
        <v>16</v>
      </c>
      <c r="G72">
        <v>140</v>
      </c>
    </row>
    <row r="73" spans="1:7" x14ac:dyDescent="0.35">
      <c r="A73" t="s">
        <v>366</v>
      </c>
      <c r="B73" t="s">
        <v>536</v>
      </c>
      <c r="C73" t="s">
        <v>248</v>
      </c>
      <c r="D73" t="s">
        <v>247</v>
      </c>
      <c r="E73">
        <v>3</v>
      </c>
      <c r="F73">
        <v>1</v>
      </c>
      <c r="G73">
        <v>7</v>
      </c>
    </row>
    <row r="74" spans="1:7" x14ac:dyDescent="0.35">
      <c r="A74" t="s">
        <v>366</v>
      </c>
      <c r="B74" t="s">
        <v>536</v>
      </c>
      <c r="C74" t="s">
        <v>250</v>
      </c>
      <c r="D74" t="s">
        <v>249</v>
      </c>
      <c r="E74">
        <v>11</v>
      </c>
      <c r="F74">
        <v>7</v>
      </c>
      <c r="G74">
        <v>65</v>
      </c>
    </row>
    <row r="75" spans="1:7" x14ac:dyDescent="0.35">
      <c r="A75" t="s">
        <v>366</v>
      </c>
      <c r="B75" t="s">
        <v>536</v>
      </c>
      <c r="C75" t="s">
        <v>254</v>
      </c>
      <c r="D75" t="s">
        <v>253</v>
      </c>
      <c r="E75">
        <v>0</v>
      </c>
      <c r="F75">
        <v>0</v>
      </c>
      <c r="G75">
        <v>1</v>
      </c>
    </row>
    <row r="76" spans="1:7" x14ac:dyDescent="0.35">
      <c r="A76" t="s">
        <v>366</v>
      </c>
      <c r="B76" t="s">
        <v>536</v>
      </c>
      <c r="C76" t="s">
        <v>256</v>
      </c>
      <c r="D76" t="s">
        <v>255</v>
      </c>
      <c r="E76">
        <v>11</v>
      </c>
      <c r="F76">
        <v>4</v>
      </c>
      <c r="G76">
        <v>40</v>
      </c>
    </row>
    <row r="77" spans="1:7" x14ac:dyDescent="0.35">
      <c r="A77" t="s">
        <v>366</v>
      </c>
      <c r="B77" t="s">
        <v>536</v>
      </c>
      <c r="C77" t="s">
        <v>260</v>
      </c>
      <c r="D77" t="s">
        <v>259</v>
      </c>
      <c r="E77">
        <v>0</v>
      </c>
      <c r="F77">
        <v>0</v>
      </c>
      <c r="G77">
        <v>2</v>
      </c>
    </row>
    <row r="78" spans="1:7" x14ac:dyDescent="0.35">
      <c r="A78" t="s">
        <v>366</v>
      </c>
      <c r="B78" t="s">
        <v>536</v>
      </c>
      <c r="C78" t="s">
        <v>264</v>
      </c>
      <c r="D78" t="s">
        <v>263</v>
      </c>
      <c r="E78">
        <v>9</v>
      </c>
      <c r="F78">
        <v>5</v>
      </c>
      <c r="G78">
        <v>39</v>
      </c>
    </row>
    <row r="79" spans="1:7" x14ac:dyDescent="0.35">
      <c r="A79" t="s">
        <v>366</v>
      </c>
      <c r="B79" t="s">
        <v>536</v>
      </c>
      <c r="C79" t="s">
        <v>268</v>
      </c>
      <c r="D79" t="s">
        <v>267</v>
      </c>
      <c r="E79">
        <v>23</v>
      </c>
      <c r="F79">
        <v>9</v>
      </c>
      <c r="G79">
        <v>80</v>
      </c>
    </row>
    <row r="80" spans="1:7" x14ac:dyDescent="0.35">
      <c r="A80" t="s">
        <v>366</v>
      </c>
      <c r="B80" t="s">
        <v>536</v>
      </c>
      <c r="C80" t="s">
        <v>271</v>
      </c>
      <c r="D80" t="s">
        <v>270</v>
      </c>
      <c r="E80">
        <v>0</v>
      </c>
      <c r="F80">
        <v>0</v>
      </c>
      <c r="G80">
        <v>6</v>
      </c>
    </row>
    <row r="81" spans="1:7" x14ac:dyDescent="0.35">
      <c r="A81" t="s">
        <v>366</v>
      </c>
      <c r="B81" t="s">
        <v>536</v>
      </c>
      <c r="C81" t="s">
        <v>274</v>
      </c>
      <c r="D81" t="s">
        <v>273</v>
      </c>
      <c r="E81">
        <v>107</v>
      </c>
      <c r="F81">
        <v>53</v>
      </c>
      <c r="G81">
        <v>365</v>
      </c>
    </row>
    <row r="82" spans="1:7" x14ac:dyDescent="0.35">
      <c r="A82" t="s">
        <v>366</v>
      </c>
      <c r="B82" t="s">
        <v>536</v>
      </c>
      <c r="C82" t="s">
        <v>278</v>
      </c>
      <c r="D82" t="s">
        <v>277</v>
      </c>
      <c r="E82">
        <v>6</v>
      </c>
      <c r="F82">
        <v>4</v>
      </c>
      <c r="G82">
        <v>31</v>
      </c>
    </row>
    <row r="83" spans="1:7" x14ac:dyDescent="0.35">
      <c r="A83" t="s">
        <v>366</v>
      </c>
      <c r="B83" t="s">
        <v>536</v>
      </c>
      <c r="C83" t="s">
        <v>280</v>
      </c>
      <c r="D83" t="s">
        <v>279</v>
      </c>
      <c r="E83">
        <v>2</v>
      </c>
      <c r="F83">
        <v>1</v>
      </c>
      <c r="G83">
        <v>8</v>
      </c>
    </row>
    <row r="84" spans="1:7" x14ac:dyDescent="0.35">
      <c r="A84" t="s">
        <v>366</v>
      </c>
      <c r="B84" t="s">
        <v>536</v>
      </c>
      <c r="C84" t="s">
        <v>282</v>
      </c>
      <c r="D84" t="s">
        <v>281</v>
      </c>
      <c r="E84">
        <v>26</v>
      </c>
      <c r="F84">
        <v>12</v>
      </c>
      <c r="G84">
        <v>72</v>
      </c>
    </row>
    <row r="85" spans="1:7" x14ac:dyDescent="0.35">
      <c r="A85" t="s">
        <v>366</v>
      </c>
      <c r="B85" t="s">
        <v>536</v>
      </c>
      <c r="C85" t="s">
        <v>284</v>
      </c>
      <c r="D85" t="s">
        <v>283</v>
      </c>
      <c r="E85">
        <v>34</v>
      </c>
      <c r="F85">
        <v>12</v>
      </c>
      <c r="G85">
        <v>94</v>
      </c>
    </row>
    <row r="86" spans="1:7" x14ac:dyDescent="0.35">
      <c r="A86" t="s">
        <v>366</v>
      </c>
      <c r="B86" t="s">
        <v>536</v>
      </c>
      <c r="C86" t="s">
        <v>288</v>
      </c>
      <c r="D86" t="s">
        <v>287</v>
      </c>
      <c r="E86">
        <v>12</v>
      </c>
      <c r="F86">
        <v>9</v>
      </c>
      <c r="G86">
        <v>87</v>
      </c>
    </row>
    <row r="87" spans="1:7" x14ac:dyDescent="0.35">
      <c r="A87" t="s">
        <v>366</v>
      </c>
      <c r="B87" t="s">
        <v>536</v>
      </c>
      <c r="C87" t="s">
        <v>290</v>
      </c>
      <c r="D87" t="s">
        <v>289</v>
      </c>
      <c r="E87">
        <v>3</v>
      </c>
      <c r="F87">
        <v>3</v>
      </c>
      <c r="G87">
        <v>28</v>
      </c>
    </row>
    <row r="88" spans="1:7" x14ac:dyDescent="0.35">
      <c r="A88" t="s">
        <v>366</v>
      </c>
      <c r="B88" t="s">
        <v>536</v>
      </c>
      <c r="C88" t="s">
        <v>293</v>
      </c>
      <c r="D88" t="s">
        <v>292</v>
      </c>
      <c r="E88">
        <v>19</v>
      </c>
      <c r="F88">
        <v>12</v>
      </c>
      <c r="G88">
        <v>67</v>
      </c>
    </row>
    <row r="89" spans="1:7" x14ac:dyDescent="0.35">
      <c r="A89" t="s">
        <v>366</v>
      </c>
      <c r="B89" t="s">
        <v>536</v>
      </c>
      <c r="C89" t="s">
        <v>295</v>
      </c>
      <c r="D89" t="s">
        <v>294</v>
      </c>
      <c r="E89">
        <v>24</v>
      </c>
      <c r="F89">
        <v>9</v>
      </c>
      <c r="G89">
        <v>93</v>
      </c>
    </row>
    <row r="90" spans="1:7" x14ac:dyDescent="0.35">
      <c r="A90" t="s">
        <v>366</v>
      </c>
      <c r="B90" t="s">
        <v>536</v>
      </c>
      <c r="C90" t="s">
        <v>297</v>
      </c>
      <c r="D90" t="s">
        <v>296</v>
      </c>
      <c r="E90">
        <v>1</v>
      </c>
      <c r="F90">
        <v>1</v>
      </c>
      <c r="G90">
        <v>11</v>
      </c>
    </row>
    <row r="91" spans="1:7" x14ac:dyDescent="0.35">
      <c r="A91" t="s">
        <v>366</v>
      </c>
      <c r="B91" t="s">
        <v>536</v>
      </c>
      <c r="C91" t="s">
        <v>299</v>
      </c>
      <c r="D91" t="s">
        <v>298</v>
      </c>
      <c r="E91">
        <v>26</v>
      </c>
      <c r="F91">
        <v>13</v>
      </c>
      <c r="G91">
        <v>108</v>
      </c>
    </row>
    <row r="92" spans="1:7" x14ac:dyDescent="0.35">
      <c r="A92" t="s">
        <v>366</v>
      </c>
      <c r="B92" t="s">
        <v>536</v>
      </c>
      <c r="C92" t="s">
        <v>301</v>
      </c>
      <c r="D92" t="s">
        <v>300</v>
      </c>
      <c r="E92">
        <v>25</v>
      </c>
      <c r="F92">
        <v>14</v>
      </c>
      <c r="G92">
        <v>87</v>
      </c>
    </row>
    <row r="93" spans="1:7" x14ac:dyDescent="0.35">
      <c r="A93" t="s">
        <v>366</v>
      </c>
      <c r="B93" t="s">
        <v>536</v>
      </c>
      <c r="C93" t="s">
        <v>303</v>
      </c>
      <c r="D93" t="s">
        <v>302</v>
      </c>
      <c r="E93">
        <v>7</v>
      </c>
      <c r="F93">
        <v>5</v>
      </c>
      <c r="G93">
        <v>41</v>
      </c>
    </row>
    <row r="94" spans="1:7" x14ac:dyDescent="0.35">
      <c r="A94" t="s">
        <v>366</v>
      </c>
      <c r="B94" t="s">
        <v>536</v>
      </c>
      <c r="C94" t="s">
        <v>305</v>
      </c>
      <c r="D94" t="s">
        <v>304</v>
      </c>
      <c r="E94">
        <v>9</v>
      </c>
      <c r="F94">
        <v>8</v>
      </c>
      <c r="G94">
        <v>54</v>
      </c>
    </row>
    <row r="95" spans="1:7" x14ac:dyDescent="0.35">
      <c r="A95" t="s">
        <v>366</v>
      </c>
      <c r="B95" t="s">
        <v>536</v>
      </c>
      <c r="C95" t="s">
        <v>308</v>
      </c>
      <c r="D95" t="s">
        <v>307</v>
      </c>
      <c r="E95">
        <v>17</v>
      </c>
      <c r="F95">
        <v>9</v>
      </c>
      <c r="G95">
        <v>47</v>
      </c>
    </row>
    <row r="96" spans="1:7" x14ac:dyDescent="0.35">
      <c r="A96" t="s">
        <v>366</v>
      </c>
      <c r="B96" t="s">
        <v>536</v>
      </c>
      <c r="C96" t="s">
        <v>310</v>
      </c>
      <c r="D96" t="s">
        <v>309</v>
      </c>
      <c r="E96">
        <v>2</v>
      </c>
      <c r="F96">
        <v>2</v>
      </c>
      <c r="G96">
        <v>15</v>
      </c>
    </row>
    <row r="97" spans="1:7" x14ac:dyDescent="0.35">
      <c r="A97" t="s">
        <v>366</v>
      </c>
      <c r="B97" t="s">
        <v>536</v>
      </c>
      <c r="C97" t="s">
        <v>312</v>
      </c>
      <c r="D97" t="s">
        <v>311</v>
      </c>
      <c r="E97">
        <v>10</v>
      </c>
      <c r="F97">
        <v>5</v>
      </c>
      <c r="G97">
        <v>40</v>
      </c>
    </row>
    <row r="98" spans="1:7" x14ac:dyDescent="0.35">
      <c r="A98" t="s">
        <v>341</v>
      </c>
      <c r="B98" t="s">
        <v>536</v>
      </c>
      <c r="C98" t="s">
        <v>216</v>
      </c>
      <c r="D98" t="s">
        <v>215</v>
      </c>
      <c r="E98">
        <v>2</v>
      </c>
      <c r="F98">
        <v>1</v>
      </c>
      <c r="G98">
        <v>5</v>
      </c>
    </row>
    <row r="99" spans="1:7" x14ac:dyDescent="0.35">
      <c r="A99" t="s">
        <v>341</v>
      </c>
      <c r="B99" t="s">
        <v>536</v>
      </c>
      <c r="C99" t="s">
        <v>221</v>
      </c>
      <c r="D99" t="s">
        <v>220</v>
      </c>
      <c r="E99">
        <v>68</v>
      </c>
      <c r="F99">
        <v>26</v>
      </c>
      <c r="G99">
        <v>188</v>
      </c>
    </row>
    <row r="100" spans="1:7" x14ac:dyDescent="0.35">
      <c r="A100" t="s">
        <v>341</v>
      </c>
      <c r="B100" t="s">
        <v>536</v>
      </c>
      <c r="C100" t="s">
        <v>225</v>
      </c>
      <c r="D100" t="s">
        <v>224</v>
      </c>
      <c r="E100">
        <v>17</v>
      </c>
      <c r="F100">
        <v>6</v>
      </c>
      <c r="G100">
        <v>71</v>
      </c>
    </row>
    <row r="101" spans="1:7" x14ac:dyDescent="0.35">
      <c r="A101" t="s">
        <v>341</v>
      </c>
      <c r="B101" t="s">
        <v>536</v>
      </c>
      <c r="C101" t="s">
        <v>229</v>
      </c>
      <c r="D101" t="s">
        <v>228</v>
      </c>
      <c r="E101">
        <v>27</v>
      </c>
      <c r="F101">
        <v>14</v>
      </c>
      <c r="G101">
        <v>144</v>
      </c>
    </row>
    <row r="102" spans="1:7" x14ac:dyDescent="0.35">
      <c r="A102" t="s">
        <v>341</v>
      </c>
      <c r="B102" t="s">
        <v>536</v>
      </c>
      <c r="C102" t="s">
        <v>235</v>
      </c>
      <c r="D102" t="s">
        <v>234</v>
      </c>
      <c r="E102">
        <v>1</v>
      </c>
      <c r="F102">
        <v>1</v>
      </c>
      <c r="G102">
        <v>10</v>
      </c>
    </row>
    <row r="103" spans="1:7" x14ac:dyDescent="0.35">
      <c r="A103" t="s">
        <v>341</v>
      </c>
      <c r="B103" t="s">
        <v>536</v>
      </c>
      <c r="C103" t="s">
        <v>241</v>
      </c>
      <c r="D103" t="s">
        <v>240</v>
      </c>
      <c r="E103">
        <v>4</v>
      </c>
      <c r="F103">
        <v>2</v>
      </c>
      <c r="G103">
        <v>18</v>
      </c>
    </row>
    <row r="104" spans="1:7" x14ac:dyDescent="0.35">
      <c r="A104" t="s">
        <v>341</v>
      </c>
      <c r="B104" t="s">
        <v>536</v>
      </c>
      <c r="C104" t="s">
        <v>245</v>
      </c>
      <c r="D104" t="s">
        <v>244</v>
      </c>
      <c r="E104">
        <v>37</v>
      </c>
      <c r="F104">
        <v>16</v>
      </c>
      <c r="G104">
        <v>149</v>
      </c>
    </row>
    <row r="105" spans="1:7" x14ac:dyDescent="0.35">
      <c r="A105" t="s">
        <v>341</v>
      </c>
      <c r="B105" t="s">
        <v>536</v>
      </c>
      <c r="C105" t="s">
        <v>248</v>
      </c>
      <c r="D105" t="s">
        <v>247</v>
      </c>
      <c r="E105">
        <v>3</v>
      </c>
      <c r="F105">
        <v>1</v>
      </c>
      <c r="G105">
        <v>9</v>
      </c>
    </row>
    <row r="106" spans="1:7" x14ac:dyDescent="0.35">
      <c r="A106" t="s">
        <v>341</v>
      </c>
      <c r="B106" t="s">
        <v>536</v>
      </c>
      <c r="C106" t="s">
        <v>250</v>
      </c>
      <c r="D106" t="s">
        <v>249</v>
      </c>
      <c r="E106">
        <v>11</v>
      </c>
      <c r="F106">
        <v>7</v>
      </c>
      <c r="G106">
        <v>63</v>
      </c>
    </row>
    <row r="107" spans="1:7" x14ac:dyDescent="0.35">
      <c r="A107" t="s">
        <v>341</v>
      </c>
      <c r="B107" t="s">
        <v>536</v>
      </c>
      <c r="C107" t="s">
        <v>254</v>
      </c>
      <c r="D107" t="s">
        <v>253</v>
      </c>
      <c r="E107">
        <v>0</v>
      </c>
      <c r="F107">
        <v>0</v>
      </c>
      <c r="G107">
        <v>0</v>
      </c>
    </row>
    <row r="108" spans="1:7" x14ac:dyDescent="0.35">
      <c r="A108" t="s">
        <v>341</v>
      </c>
      <c r="B108" t="s">
        <v>536</v>
      </c>
      <c r="C108" t="s">
        <v>256</v>
      </c>
      <c r="D108" t="s">
        <v>255</v>
      </c>
      <c r="E108">
        <v>12</v>
      </c>
      <c r="F108">
        <v>5</v>
      </c>
      <c r="G108">
        <v>38</v>
      </c>
    </row>
    <row r="109" spans="1:7" x14ac:dyDescent="0.35">
      <c r="A109" t="s">
        <v>341</v>
      </c>
      <c r="B109" t="s">
        <v>536</v>
      </c>
      <c r="C109" t="s">
        <v>260</v>
      </c>
      <c r="D109" t="s">
        <v>259</v>
      </c>
      <c r="E109">
        <v>0</v>
      </c>
      <c r="F109">
        <v>0</v>
      </c>
      <c r="G109">
        <v>0</v>
      </c>
    </row>
    <row r="110" spans="1:7" x14ac:dyDescent="0.35">
      <c r="A110" t="s">
        <v>341</v>
      </c>
      <c r="B110" t="s">
        <v>536</v>
      </c>
      <c r="C110" t="s">
        <v>264</v>
      </c>
      <c r="D110" t="s">
        <v>263</v>
      </c>
      <c r="E110">
        <v>10</v>
      </c>
      <c r="F110">
        <v>5</v>
      </c>
      <c r="G110">
        <v>41</v>
      </c>
    </row>
    <row r="111" spans="1:7" x14ac:dyDescent="0.35">
      <c r="A111" t="s">
        <v>341</v>
      </c>
      <c r="B111" t="s">
        <v>536</v>
      </c>
      <c r="C111" t="s">
        <v>268</v>
      </c>
      <c r="D111" t="s">
        <v>267</v>
      </c>
      <c r="E111">
        <v>22</v>
      </c>
      <c r="F111">
        <v>9</v>
      </c>
      <c r="G111">
        <v>78</v>
      </c>
    </row>
    <row r="112" spans="1:7" x14ac:dyDescent="0.35">
      <c r="A112" t="s">
        <v>341</v>
      </c>
      <c r="B112" t="s">
        <v>536</v>
      </c>
      <c r="C112" t="s">
        <v>271</v>
      </c>
      <c r="D112" t="s">
        <v>270</v>
      </c>
      <c r="E112">
        <v>0</v>
      </c>
      <c r="F112">
        <v>0</v>
      </c>
      <c r="G112">
        <v>0</v>
      </c>
    </row>
    <row r="113" spans="1:7" x14ac:dyDescent="0.35">
      <c r="A113" t="s">
        <v>341</v>
      </c>
      <c r="B113" t="s">
        <v>536</v>
      </c>
      <c r="C113" t="s">
        <v>274</v>
      </c>
      <c r="D113" t="s">
        <v>273</v>
      </c>
      <c r="E113">
        <v>102</v>
      </c>
      <c r="F113">
        <v>52</v>
      </c>
      <c r="G113">
        <v>371</v>
      </c>
    </row>
    <row r="114" spans="1:7" x14ac:dyDescent="0.35">
      <c r="A114" t="s">
        <v>341</v>
      </c>
      <c r="B114" t="s">
        <v>536</v>
      </c>
      <c r="C114" t="s">
        <v>278</v>
      </c>
      <c r="D114" t="s">
        <v>277</v>
      </c>
      <c r="E114">
        <v>6</v>
      </c>
      <c r="F114">
        <v>3</v>
      </c>
      <c r="G114">
        <v>30</v>
      </c>
    </row>
    <row r="115" spans="1:7" x14ac:dyDescent="0.35">
      <c r="A115" t="s">
        <v>341</v>
      </c>
      <c r="B115" t="s">
        <v>536</v>
      </c>
      <c r="C115" t="s">
        <v>280</v>
      </c>
      <c r="D115" t="s">
        <v>279</v>
      </c>
      <c r="E115">
        <v>2</v>
      </c>
      <c r="F115">
        <v>1</v>
      </c>
      <c r="G115">
        <v>8</v>
      </c>
    </row>
    <row r="116" spans="1:7" x14ac:dyDescent="0.35">
      <c r="A116" t="s">
        <v>341</v>
      </c>
      <c r="B116" t="s">
        <v>536</v>
      </c>
      <c r="C116" t="s">
        <v>282</v>
      </c>
      <c r="D116" t="s">
        <v>281</v>
      </c>
      <c r="E116">
        <v>26</v>
      </c>
      <c r="F116">
        <v>13</v>
      </c>
      <c r="G116">
        <v>86</v>
      </c>
    </row>
    <row r="117" spans="1:7" x14ac:dyDescent="0.35">
      <c r="A117" t="s">
        <v>341</v>
      </c>
      <c r="B117" t="s">
        <v>536</v>
      </c>
      <c r="C117" t="s">
        <v>284</v>
      </c>
      <c r="D117" t="s">
        <v>283</v>
      </c>
      <c r="E117">
        <v>33</v>
      </c>
      <c r="F117">
        <v>12</v>
      </c>
      <c r="G117">
        <v>92</v>
      </c>
    </row>
    <row r="118" spans="1:7" x14ac:dyDescent="0.35">
      <c r="A118" t="s">
        <v>341</v>
      </c>
      <c r="B118" t="s">
        <v>536</v>
      </c>
      <c r="C118" t="s">
        <v>288</v>
      </c>
      <c r="D118" t="s">
        <v>287</v>
      </c>
      <c r="E118">
        <v>12</v>
      </c>
      <c r="F118">
        <v>10</v>
      </c>
      <c r="G118">
        <v>84</v>
      </c>
    </row>
    <row r="119" spans="1:7" x14ac:dyDescent="0.35">
      <c r="A119" t="s">
        <v>341</v>
      </c>
      <c r="B119" t="s">
        <v>536</v>
      </c>
      <c r="C119" t="s">
        <v>290</v>
      </c>
      <c r="D119" t="s">
        <v>289</v>
      </c>
      <c r="E119">
        <v>6</v>
      </c>
      <c r="F119">
        <v>3</v>
      </c>
      <c r="G119">
        <v>26</v>
      </c>
    </row>
    <row r="120" spans="1:7" x14ac:dyDescent="0.35">
      <c r="A120" t="s">
        <v>341</v>
      </c>
      <c r="B120" t="s">
        <v>536</v>
      </c>
      <c r="C120" t="s">
        <v>293</v>
      </c>
      <c r="D120" t="s">
        <v>292</v>
      </c>
      <c r="E120">
        <v>21</v>
      </c>
      <c r="F120">
        <v>11</v>
      </c>
      <c r="G120">
        <v>63</v>
      </c>
    </row>
    <row r="121" spans="1:7" x14ac:dyDescent="0.35">
      <c r="A121" t="s">
        <v>341</v>
      </c>
      <c r="B121" t="s">
        <v>536</v>
      </c>
      <c r="C121" t="s">
        <v>295</v>
      </c>
      <c r="D121" t="s">
        <v>294</v>
      </c>
      <c r="E121">
        <v>23</v>
      </c>
      <c r="F121">
        <v>9</v>
      </c>
      <c r="G121">
        <v>90</v>
      </c>
    </row>
    <row r="122" spans="1:7" x14ac:dyDescent="0.35">
      <c r="A122" t="s">
        <v>341</v>
      </c>
      <c r="B122" t="s">
        <v>536</v>
      </c>
      <c r="C122" t="s">
        <v>297</v>
      </c>
      <c r="D122" t="s">
        <v>296</v>
      </c>
      <c r="E122">
        <v>2</v>
      </c>
      <c r="F122">
        <v>1</v>
      </c>
      <c r="G122">
        <v>10</v>
      </c>
    </row>
    <row r="123" spans="1:7" x14ac:dyDescent="0.35">
      <c r="A123" t="s">
        <v>341</v>
      </c>
      <c r="B123" t="s">
        <v>536</v>
      </c>
      <c r="C123" t="s">
        <v>299</v>
      </c>
      <c r="D123" t="s">
        <v>298</v>
      </c>
      <c r="E123">
        <v>27</v>
      </c>
      <c r="F123">
        <v>13</v>
      </c>
      <c r="G123">
        <v>103</v>
      </c>
    </row>
    <row r="124" spans="1:7" x14ac:dyDescent="0.35">
      <c r="A124" t="s">
        <v>341</v>
      </c>
      <c r="B124" t="s">
        <v>536</v>
      </c>
      <c r="C124" t="s">
        <v>301</v>
      </c>
      <c r="D124" t="s">
        <v>300</v>
      </c>
      <c r="E124">
        <v>27</v>
      </c>
      <c r="F124">
        <v>12</v>
      </c>
      <c r="G124">
        <v>83</v>
      </c>
    </row>
    <row r="125" spans="1:7" x14ac:dyDescent="0.35">
      <c r="A125" t="s">
        <v>341</v>
      </c>
      <c r="B125" t="s">
        <v>536</v>
      </c>
      <c r="C125" t="s">
        <v>303</v>
      </c>
      <c r="D125" t="s">
        <v>302</v>
      </c>
      <c r="E125">
        <v>8</v>
      </c>
      <c r="F125">
        <v>5</v>
      </c>
      <c r="G125">
        <v>35</v>
      </c>
    </row>
    <row r="126" spans="1:7" x14ac:dyDescent="0.35">
      <c r="A126" t="s">
        <v>341</v>
      </c>
      <c r="B126" t="s">
        <v>536</v>
      </c>
      <c r="C126" t="s">
        <v>305</v>
      </c>
      <c r="D126" t="s">
        <v>304</v>
      </c>
      <c r="E126">
        <v>9</v>
      </c>
      <c r="F126">
        <v>8</v>
      </c>
      <c r="G126">
        <v>57</v>
      </c>
    </row>
    <row r="127" spans="1:7" x14ac:dyDescent="0.35">
      <c r="A127" t="s">
        <v>341</v>
      </c>
      <c r="B127" t="s">
        <v>536</v>
      </c>
      <c r="C127" t="s">
        <v>308</v>
      </c>
      <c r="D127" t="s">
        <v>307</v>
      </c>
      <c r="E127">
        <v>17</v>
      </c>
      <c r="F127">
        <v>8</v>
      </c>
      <c r="G127">
        <v>48</v>
      </c>
    </row>
    <row r="128" spans="1:7" x14ac:dyDescent="0.35">
      <c r="A128" t="s">
        <v>341</v>
      </c>
      <c r="B128" t="s">
        <v>536</v>
      </c>
      <c r="C128" t="s">
        <v>310</v>
      </c>
      <c r="D128" t="s">
        <v>309</v>
      </c>
      <c r="E128">
        <v>2</v>
      </c>
      <c r="F128">
        <v>1</v>
      </c>
      <c r="G128">
        <v>14</v>
      </c>
    </row>
    <row r="129" spans="1:7" x14ac:dyDescent="0.35">
      <c r="A129" t="s">
        <v>341</v>
      </c>
      <c r="B129" t="s">
        <v>536</v>
      </c>
      <c r="C129" t="s">
        <v>312</v>
      </c>
      <c r="D129" t="s">
        <v>311</v>
      </c>
      <c r="E129">
        <v>12</v>
      </c>
      <c r="F129">
        <v>5</v>
      </c>
      <c r="G129">
        <v>47</v>
      </c>
    </row>
    <row r="130" spans="1:7" x14ac:dyDescent="0.35">
      <c r="A130" t="s">
        <v>342</v>
      </c>
      <c r="B130" t="s">
        <v>536</v>
      </c>
      <c r="C130" t="s">
        <v>216</v>
      </c>
      <c r="D130" t="s">
        <v>215</v>
      </c>
      <c r="E130">
        <v>1</v>
      </c>
      <c r="F130">
        <v>1</v>
      </c>
      <c r="G130">
        <v>6</v>
      </c>
    </row>
    <row r="131" spans="1:7" x14ac:dyDescent="0.35">
      <c r="A131" t="s">
        <v>342</v>
      </c>
      <c r="B131" t="s">
        <v>536</v>
      </c>
      <c r="C131" t="s">
        <v>221</v>
      </c>
      <c r="D131" t="s">
        <v>220</v>
      </c>
      <c r="E131">
        <v>69</v>
      </c>
      <c r="F131">
        <v>24</v>
      </c>
      <c r="G131">
        <v>182</v>
      </c>
    </row>
    <row r="132" spans="1:7" x14ac:dyDescent="0.35">
      <c r="A132" t="s">
        <v>342</v>
      </c>
      <c r="B132" t="s">
        <v>536</v>
      </c>
      <c r="C132" t="s">
        <v>225</v>
      </c>
      <c r="D132" t="s">
        <v>224</v>
      </c>
      <c r="E132">
        <v>16</v>
      </c>
      <c r="F132">
        <v>6</v>
      </c>
      <c r="G132">
        <v>71</v>
      </c>
    </row>
    <row r="133" spans="1:7" x14ac:dyDescent="0.35">
      <c r="A133" t="s">
        <v>342</v>
      </c>
      <c r="B133" t="s">
        <v>536</v>
      </c>
      <c r="C133" t="s">
        <v>229</v>
      </c>
      <c r="D133" t="s">
        <v>228</v>
      </c>
      <c r="E133">
        <v>26</v>
      </c>
      <c r="F133">
        <v>14</v>
      </c>
      <c r="G133">
        <v>137</v>
      </c>
    </row>
    <row r="134" spans="1:7" x14ac:dyDescent="0.35">
      <c r="A134" t="s">
        <v>342</v>
      </c>
      <c r="B134" t="s">
        <v>536</v>
      </c>
      <c r="C134" t="s">
        <v>235</v>
      </c>
      <c r="D134" t="s">
        <v>234</v>
      </c>
      <c r="E134">
        <v>1</v>
      </c>
      <c r="F134">
        <v>1</v>
      </c>
      <c r="G134">
        <v>9</v>
      </c>
    </row>
    <row r="135" spans="1:7" x14ac:dyDescent="0.35">
      <c r="A135" t="s">
        <v>342</v>
      </c>
      <c r="B135" t="s">
        <v>536</v>
      </c>
      <c r="C135" t="s">
        <v>241</v>
      </c>
      <c r="D135" t="s">
        <v>240</v>
      </c>
      <c r="E135">
        <v>3</v>
      </c>
      <c r="F135">
        <v>2</v>
      </c>
      <c r="G135">
        <v>17</v>
      </c>
    </row>
    <row r="136" spans="1:7" x14ac:dyDescent="0.35">
      <c r="A136" t="s">
        <v>342</v>
      </c>
      <c r="B136" t="s">
        <v>536</v>
      </c>
      <c r="C136" t="s">
        <v>245</v>
      </c>
      <c r="D136" t="s">
        <v>244</v>
      </c>
      <c r="E136">
        <v>34</v>
      </c>
      <c r="F136">
        <v>16</v>
      </c>
      <c r="G136">
        <v>139</v>
      </c>
    </row>
    <row r="137" spans="1:7" x14ac:dyDescent="0.35">
      <c r="A137" t="s">
        <v>342</v>
      </c>
      <c r="B137" t="s">
        <v>536</v>
      </c>
      <c r="C137" t="s">
        <v>248</v>
      </c>
      <c r="D137" t="s">
        <v>247</v>
      </c>
      <c r="E137">
        <v>2</v>
      </c>
      <c r="F137">
        <v>1</v>
      </c>
      <c r="G137">
        <v>10</v>
      </c>
    </row>
    <row r="138" spans="1:7" x14ac:dyDescent="0.35">
      <c r="A138" t="s">
        <v>342</v>
      </c>
      <c r="B138" t="s">
        <v>536</v>
      </c>
      <c r="C138" t="s">
        <v>250</v>
      </c>
      <c r="D138" t="s">
        <v>249</v>
      </c>
      <c r="E138">
        <v>9</v>
      </c>
      <c r="F138">
        <v>7</v>
      </c>
      <c r="G138">
        <v>66</v>
      </c>
    </row>
    <row r="139" spans="1:7" x14ac:dyDescent="0.35">
      <c r="A139" t="s">
        <v>342</v>
      </c>
      <c r="B139" t="s">
        <v>536</v>
      </c>
      <c r="C139" t="s">
        <v>256</v>
      </c>
      <c r="D139" t="s">
        <v>255</v>
      </c>
      <c r="E139">
        <v>10</v>
      </c>
      <c r="F139">
        <v>5</v>
      </c>
      <c r="G139">
        <v>41</v>
      </c>
    </row>
    <row r="140" spans="1:7" x14ac:dyDescent="0.35">
      <c r="A140" t="s">
        <v>342</v>
      </c>
      <c r="B140" t="s">
        <v>536</v>
      </c>
      <c r="C140" t="s">
        <v>264</v>
      </c>
      <c r="D140" t="s">
        <v>263</v>
      </c>
      <c r="E140">
        <v>11</v>
      </c>
      <c r="F140">
        <v>5</v>
      </c>
      <c r="G140">
        <v>38</v>
      </c>
    </row>
    <row r="141" spans="1:7" x14ac:dyDescent="0.35">
      <c r="A141" t="s">
        <v>342</v>
      </c>
      <c r="B141" t="s">
        <v>536</v>
      </c>
      <c r="C141" t="s">
        <v>268</v>
      </c>
      <c r="D141" t="s">
        <v>267</v>
      </c>
      <c r="E141">
        <v>21</v>
      </c>
      <c r="F141">
        <v>9</v>
      </c>
      <c r="G141">
        <v>85</v>
      </c>
    </row>
    <row r="142" spans="1:7" x14ac:dyDescent="0.35">
      <c r="A142" t="s">
        <v>342</v>
      </c>
      <c r="B142" t="s">
        <v>536</v>
      </c>
      <c r="C142" t="s">
        <v>274</v>
      </c>
      <c r="D142" t="s">
        <v>273</v>
      </c>
      <c r="E142">
        <v>106</v>
      </c>
      <c r="F142">
        <v>55</v>
      </c>
      <c r="G142">
        <v>377</v>
      </c>
    </row>
    <row r="143" spans="1:7" x14ac:dyDescent="0.35">
      <c r="A143" t="s">
        <v>342</v>
      </c>
      <c r="B143" t="s">
        <v>536</v>
      </c>
      <c r="C143" t="s">
        <v>278</v>
      </c>
      <c r="D143" t="s">
        <v>277</v>
      </c>
      <c r="E143">
        <v>6</v>
      </c>
      <c r="F143">
        <v>3</v>
      </c>
      <c r="G143">
        <v>33</v>
      </c>
    </row>
    <row r="144" spans="1:7" x14ac:dyDescent="0.35">
      <c r="A144" t="s">
        <v>342</v>
      </c>
      <c r="B144" t="s">
        <v>536</v>
      </c>
      <c r="C144" t="s">
        <v>280</v>
      </c>
      <c r="D144" t="s">
        <v>279</v>
      </c>
      <c r="E144">
        <v>2</v>
      </c>
      <c r="F144">
        <v>1</v>
      </c>
      <c r="G144">
        <v>9</v>
      </c>
    </row>
    <row r="145" spans="1:7" x14ac:dyDescent="0.35">
      <c r="A145" t="s">
        <v>342</v>
      </c>
      <c r="B145" t="s">
        <v>536</v>
      </c>
      <c r="C145" t="s">
        <v>282</v>
      </c>
      <c r="D145" t="s">
        <v>281</v>
      </c>
      <c r="E145">
        <v>27</v>
      </c>
      <c r="F145">
        <v>12</v>
      </c>
      <c r="G145">
        <v>81</v>
      </c>
    </row>
    <row r="146" spans="1:7" x14ac:dyDescent="0.35">
      <c r="A146" t="s">
        <v>342</v>
      </c>
      <c r="B146" t="s">
        <v>536</v>
      </c>
      <c r="C146" t="s">
        <v>284</v>
      </c>
      <c r="D146" t="s">
        <v>283</v>
      </c>
      <c r="E146">
        <v>25</v>
      </c>
      <c r="F146">
        <v>13</v>
      </c>
      <c r="G146">
        <v>93</v>
      </c>
    </row>
    <row r="147" spans="1:7" x14ac:dyDescent="0.35">
      <c r="A147" t="s">
        <v>342</v>
      </c>
      <c r="B147" t="s">
        <v>536</v>
      </c>
      <c r="C147" t="s">
        <v>288</v>
      </c>
      <c r="D147" t="s">
        <v>287</v>
      </c>
      <c r="E147">
        <v>10</v>
      </c>
      <c r="F147">
        <v>10</v>
      </c>
      <c r="G147">
        <v>86</v>
      </c>
    </row>
    <row r="148" spans="1:7" x14ac:dyDescent="0.35">
      <c r="A148" t="s">
        <v>342</v>
      </c>
      <c r="B148" t="s">
        <v>536</v>
      </c>
      <c r="C148" t="s">
        <v>290</v>
      </c>
      <c r="D148" t="s">
        <v>289</v>
      </c>
      <c r="E148">
        <v>6</v>
      </c>
      <c r="F148">
        <v>3</v>
      </c>
      <c r="G148">
        <v>28</v>
      </c>
    </row>
    <row r="149" spans="1:7" x14ac:dyDescent="0.35">
      <c r="A149" t="s">
        <v>342</v>
      </c>
      <c r="B149" t="s">
        <v>536</v>
      </c>
      <c r="C149" t="s">
        <v>293</v>
      </c>
      <c r="D149" t="s">
        <v>292</v>
      </c>
      <c r="E149">
        <v>22</v>
      </c>
      <c r="F149">
        <v>9</v>
      </c>
      <c r="G149">
        <v>69</v>
      </c>
    </row>
    <row r="150" spans="1:7" x14ac:dyDescent="0.35">
      <c r="A150" t="s">
        <v>342</v>
      </c>
      <c r="B150" t="s">
        <v>536</v>
      </c>
      <c r="C150" t="s">
        <v>295</v>
      </c>
      <c r="D150" t="s">
        <v>294</v>
      </c>
      <c r="E150">
        <v>23</v>
      </c>
      <c r="F150">
        <v>9</v>
      </c>
      <c r="G150">
        <v>94</v>
      </c>
    </row>
    <row r="151" spans="1:7" x14ac:dyDescent="0.35">
      <c r="A151" t="s">
        <v>342</v>
      </c>
      <c r="B151" t="s">
        <v>536</v>
      </c>
      <c r="C151" t="s">
        <v>297</v>
      </c>
      <c r="D151" t="s">
        <v>296</v>
      </c>
      <c r="E151">
        <v>2</v>
      </c>
      <c r="F151">
        <v>1</v>
      </c>
      <c r="G151">
        <v>13</v>
      </c>
    </row>
    <row r="152" spans="1:7" x14ac:dyDescent="0.35">
      <c r="A152" t="s">
        <v>342</v>
      </c>
      <c r="B152" t="s">
        <v>536</v>
      </c>
      <c r="C152" t="s">
        <v>299</v>
      </c>
      <c r="D152" t="s">
        <v>298</v>
      </c>
      <c r="E152">
        <v>27</v>
      </c>
      <c r="F152">
        <v>13</v>
      </c>
      <c r="G152">
        <v>103</v>
      </c>
    </row>
    <row r="153" spans="1:7" x14ac:dyDescent="0.35">
      <c r="A153" t="s">
        <v>342</v>
      </c>
      <c r="B153" t="s">
        <v>536</v>
      </c>
      <c r="C153" t="s">
        <v>301</v>
      </c>
      <c r="D153" t="s">
        <v>300</v>
      </c>
      <c r="E153">
        <v>24</v>
      </c>
      <c r="F153">
        <v>12</v>
      </c>
      <c r="G153">
        <v>82</v>
      </c>
    </row>
    <row r="154" spans="1:7" x14ac:dyDescent="0.35">
      <c r="A154" t="s">
        <v>342</v>
      </c>
      <c r="B154" t="s">
        <v>536</v>
      </c>
      <c r="C154" t="s">
        <v>303</v>
      </c>
      <c r="D154" t="s">
        <v>302</v>
      </c>
      <c r="E154">
        <v>6</v>
      </c>
      <c r="F154">
        <v>5</v>
      </c>
      <c r="G154">
        <v>38</v>
      </c>
    </row>
    <row r="155" spans="1:7" x14ac:dyDescent="0.35">
      <c r="A155" t="s">
        <v>342</v>
      </c>
      <c r="B155" t="s">
        <v>536</v>
      </c>
      <c r="C155" t="s">
        <v>305</v>
      </c>
      <c r="D155" t="s">
        <v>304</v>
      </c>
      <c r="E155">
        <v>8</v>
      </c>
      <c r="F155">
        <v>9</v>
      </c>
      <c r="G155">
        <v>56</v>
      </c>
    </row>
    <row r="156" spans="1:7" x14ac:dyDescent="0.35">
      <c r="A156" t="s">
        <v>342</v>
      </c>
      <c r="B156" t="s">
        <v>536</v>
      </c>
      <c r="C156" t="s">
        <v>308</v>
      </c>
      <c r="D156" t="s">
        <v>307</v>
      </c>
      <c r="E156">
        <v>15</v>
      </c>
      <c r="F156">
        <v>8</v>
      </c>
      <c r="G156">
        <v>51</v>
      </c>
    </row>
    <row r="157" spans="1:7" x14ac:dyDescent="0.35">
      <c r="A157" t="s">
        <v>342</v>
      </c>
      <c r="B157" t="s">
        <v>536</v>
      </c>
      <c r="C157" t="s">
        <v>310</v>
      </c>
      <c r="D157" t="s">
        <v>309</v>
      </c>
      <c r="E157">
        <v>2</v>
      </c>
      <c r="F157">
        <v>2</v>
      </c>
      <c r="G157">
        <v>14</v>
      </c>
    </row>
    <row r="158" spans="1:7" x14ac:dyDescent="0.35">
      <c r="A158" t="s">
        <v>342</v>
      </c>
      <c r="B158" t="s">
        <v>536</v>
      </c>
      <c r="C158" t="s">
        <v>312</v>
      </c>
      <c r="D158" t="s">
        <v>311</v>
      </c>
      <c r="E158">
        <v>11</v>
      </c>
      <c r="F158">
        <v>5</v>
      </c>
      <c r="G158">
        <v>49</v>
      </c>
    </row>
    <row r="159" spans="1:7" x14ac:dyDescent="0.35">
      <c r="A159" t="s">
        <v>214</v>
      </c>
      <c r="B159" t="s">
        <v>536</v>
      </c>
      <c r="C159" t="s">
        <v>216</v>
      </c>
      <c r="D159" t="s">
        <v>215</v>
      </c>
      <c r="E159">
        <v>1</v>
      </c>
      <c r="F159">
        <v>3</v>
      </c>
      <c r="G159">
        <v>5</v>
      </c>
    </row>
    <row r="160" spans="1:7" x14ac:dyDescent="0.35">
      <c r="A160" t="s">
        <v>214</v>
      </c>
      <c r="B160" t="s">
        <v>536</v>
      </c>
      <c r="C160" t="s">
        <v>221</v>
      </c>
      <c r="D160" t="s">
        <v>220</v>
      </c>
      <c r="E160">
        <v>24</v>
      </c>
      <c r="F160">
        <v>69</v>
      </c>
      <c r="G160">
        <v>191</v>
      </c>
    </row>
    <row r="161" spans="1:7" x14ac:dyDescent="0.35">
      <c r="A161" t="s">
        <v>214</v>
      </c>
      <c r="B161" t="s">
        <v>536</v>
      </c>
      <c r="C161" t="s">
        <v>225</v>
      </c>
      <c r="D161" t="s">
        <v>224</v>
      </c>
      <c r="E161">
        <v>6</v>
      </c>
      <c r="F161">
        <v>14</v>
      </c>
      <c r="G161">
        <v>78</v>
      </c>
    </row>
    <row r="162" spans="1:7" x14ac:dyDescent="0.35">
      <c r="A162" t="s">
        <v>214</v>
      </c>
      <c r="B162" t="s">
        <v>536</v>
      </c>
      <c r="C162" t="s">
        <v>229</v>
      </c>
      <c r="D162" t="s">
        <v>228</v>
      </c>
      <c r="E162">
        <v>14</v>
      </c>
      <c r="F162">
        <v>25</v>
      </c>
      <c r="G162">
        <v>137</v>
      </c>
    </row>
    <row r="163" spans="1:7" x14ac:dyDescent="0.35">
      <c r="A163" t="s">
        <v>214</v>
      </c>
      <c r="B163" t="s">
        <v>536</v>
      </c>
      <c r="C163" t="s">
        <v>235</v>
      </c>
      <c r="D163" t="s">
        <v>234</v>
      </c>
      <c r="E163">
        <v>0</v>
      </c>
      <c r="F163">
        <v>2</v>
      </c>
      <c r="G163">
        <v>7</v>
      </c>
    </row>
    <row r="164" spans="1:7" x14ac:dyDescent="0.35">
      <c r="A164" t="s">
        <v>214</v>
      </c>
      <c r="B164" t="s">
        <v>536</v>
      </c>
      <c r="C164" t="s">
        <v>241</v>
      </c>
      <c r="D164" t="s">
        <v>240</v>
      </c>
      <c r="E164">
        <v>2</v>
      </c>
      <c r="F164">
        <v>4</v>
      </c>
      <c r="G164">
        <v>14</v>
      </c>
    </row>
    <row r="165" spans="1:7" x14ac:dyDescent="0.35">
      <c r="A165" t="s">
        <v>214</v>
      </c>
      <c r="B165" t="s">
        <v>536</v>
      </c>
      <c r="C165" t="s">
        <v>245</v>
      </c>
      <c r="D165" t="s">
        <v>244</v>
      </c>
      <c r="E165">
        <v>17</v>
      </c>
      <c r="F165">
        <v>34</v>
      </c>
      <c r="G165">
        <v>147</v>
      </c>
    </row>
    <row r="166" spans="1:7" x14ac:dyDescent="0.35">
      <c r="A166" t="s">
        <v>214</v>
      </c>
      <c r="B166" t="s">
        <v>536</v>
      </c>
      <c r="C166" t="s">
        <v>248</v>
      </c>
      <c r="D166" t="s">
        <v>247</v>
      </c>
      <c r="E166">
        <v>1</v>
      </c>
      <c r="F166">
        <v>2</v>
      </c>
      <c r="G166">
        <v>9</v>
      </c>
    </row>
    <row r="167" spans="1:7" x14ac:dyDescent="0.35">
      <c r="A167" t="s">
        <v>214</v>
      </c>
      <c r="B167" t="s">
        <v>536</v>
      </c>
      <c r="C167" t="s">
        <v>250</v>
      </c>
      <c r="D167" t="s">
        <v>249</v>
      </c>
      <c r="E167">
        <v>5</v>
      </c>
      <c r="F167">
        <v>10</v>
      </c>
      <c r="G167">
        <v>62</v>
      </c>
    </row>
    <row r="168" spans="1:7" x14ac:dyDescent="0.35">
      <c r="A168" t="s">
        <v>214</v>
      </c>
      <c r="B168" t="s">
        <v>536</v>
      </c>
      <c r="C168" t="s">
        <v>256</v>
      </c>
      <c r="D168" t="s">
        <v>255</v>
      </c>
      <c r="E168">
        <v>5</v>
      </c>
      <c r="F168">
        <v>12</v>
      </c>
      <c r="G168">
        <v>45</v>
      </c>
    </row>
    <row r="169" spans="1:7" x14ac:dyDescent="0.35">
      <c r="A169" t="s">
        <v>214</v>
      </c>
      <c r="B169" t="s">
        <v>536</v>
      </c>
      <c r="C169" t="s">
        <v>264</v>
      </c>
      <c r="D169" t="s">
        <v>263</v>
      </c>
      <c r="E169">
        <v>5</v>
      </c>
      <c r="F169">
        <v>10</v>
      </c>
      <c r="G169">
        <v>40</v>
      </c>
    </row>
    <row r="170" spans="1:7" x14ac:dyDescent="0.35">
      <c r="A170" t="s">
        <v>214</v>
      </c>
      <c r="B170" t="s">
        <v>536</v>
      </c>
      <c r="C170" t="s">
        <v>268</v>
      </c>
      <c r="D170" t="s">
        <v>267</v>
      </c>
      <c r="E170">
        <v>9</v>
      </c>
      <c r="F170">
        <v>21</v>
      </c>
      <c r="G170">
        <v>86</v>
      </c>
    </row>
    <row r="171" spans="1:7" x14ac:dyDescent="0.35">
      <c r="A171" t="s">
        <v>214</v>
      </c>
      <c r="B171" t="s">
        <v>536</v>
      </c>
      <c r="C171" t="s">
        <v>274</v>
      </c>
      <c r="D171" t="s">
        <v>273</v>
      </c>
      <c r="E171">
        <v>56</v>
      </c>
      <c r="F171">
        <v>103</v>
      </c>
      <c r="G171">
        <v>393</v>
      </c>
    </row>
    <row r="172" spans="1:7" x14ac:dyDescent="0.35">
      <c r="A172" t="s">
        <v>214</v>
      </c>
      <c r="B172" t="s">
        <v>536</v>
      </c>
      <c r="C172" t="s">
        <v>278</v>
      </c>
      <c r="D172" t="s">
        <v>277</v>
      </c>
      <c r="E172">
        <v>3</v>
      </c>
      <c r="F172">
        <v>6</v>
      </c>
      <c r="G172">
        <v>35</v>
      </c>
    </row>
    <row r="173" spans="1:7" x14ac:dyDescent="0.35">
      <c r="A173" t="s">
        <v>214</v>
      </c>
      <c r="B173" t="s">
        <v>536</v>
      </c>
      <c r="C173" t="s">
        <v>280</v>
      </c>
      <c r="D173" t="s">
        <v>279</v>
      </c>
      <c r="E173">
        <v>1</v>
      </c>
      <c r="F173">
        <v>3</v>
      </c>
      <c r="G173">
        <v>9</v>
      </c>
    </row>
    <row r="174" spans="1:7" x14ac:dyDescent="0.35">
      <c r="A174" t="s">
        <v>214</v>
      </c>
      <c r="B174" t="s">
        <v>536</v>
      </c>
      <c r="C174" t="s">
        <v>282</v>
      </c>
      <c r="D174" t="s">
        <v>281</v>
      </c>
      <c r="E174">
        <v>11</v>
      </c>
      <c r="F174">
        <v>28</v>
      </c>
      <c r="G174">
        <v>81</v>
      </c>
    </row>
    <row r="175" spans="1:7" x14ac:dyDescent="0.35">
      <c r="A175" t="s">
        <v>214</v>
      </c>
      <c r="B175" t="s">
        <v>536</v>
      </c>
      <c r="C175" t="s">
        <v>284</v>
      </c>
      <c r="D175" t="s">
        <v>283</v>
      </c>
      <c r="E175">
        <v>13</v>
      </c>
      <c r="F175">
        <v>25</v>
      </c>
      <c r="G175">
        <v>94</v>
      </c>
    </row>
    <row r="176" spans="1:7" x14ac:dyDescent="0.35">
      <c r="A176" t="s">
        <v>214</v>
      </c>
      <c r="B176" t="s">
        <v>536</v>
      </c>
      <c r="C176" t="s">
        <v>288</v>
      </c>
      <c r="D176" t="s">
        <v>287</v>
      </c>
      <c r="E176">
        <v>11</v>
      </c>
      <c r="F176">
        <v>11</v>
      </c>
      <c r="G176">
        <v>85</v>
      </c>
    </row>
    <row r="177" spans="1:7" x14ac:dyDescent="0.35">
      <c r="A177" t="s">
        <v>214</v>
      </c>
      <c r="B177" t="s">
        <v>536</v>
      </c>
      <c r="C177" t="s">
        <v>290</v>
      </c>
      <c r="D177" t="s">
        <v>289</v>
      </c>
      <c r="E177">
        <v>3</v>
      </c>
      <c r="F177">
        <v>6</v>
      </c>
      <c r="G177">
        <v>26</v>
      </c>
    </row>
    <row r="178" spans="1:7" x14ac:dyDescent="0.35">
      <c r="A178" t="s">
        <v>214</v>
      </c>
      <c r="B178" t="s">
        <v>536</v>
      </c>
      <c r="C178" t="s">
        <v>293</v>
      </c>
      <c r="D178" t="s">
        <v>292</v>
      </c>
      <c r="E178">
        <v>9</v>
      </c>
      <c r="F178">
        <v>23</v>
      </c>
      <c r="G178">
        <v>77</v>
      </c>
    </row>
    <row r="179" spans="1:7" x14ac:dyDescent="0.35">
      <c r="A179" t="s">
        <v>214</v>
      </c>
      <c r="B179" t="s">
        <v>536</v>
      </c>
      <c r="C179" t="s">
        <v>295</v>
      </c>
      <c r="D179" t="s">
        <v>494</v>
      </c>
      <c r="E179">
        <v>10</v>
      </c>
      <c r="F179">
        <v>23</v>
      </c>
      <c r="G179">
        <v>98</v>
      </c>
    </row>
    <row r="180" spans="1:7" x14ac:dyDescent="0.35">
      <c r="A180" t="s">
        <v>214</v>
      </c>
      <c r="B180" t="s">
        <v>536</v>
      </c>
      <c r="C180" t="s">
        <v>297</v>
      </c>
      <c r="D180" t="s">
        <v>296</v>
      </c>
      <c r="E180">
        <v>1</v>
      </c>
      <c r="F180">
        <v>2</v>
      </c>
      <c r="G180">
        <v>14</v>
      </c>
    </row>
    <row r="181" spans="1:7" x14ac:dyDescent="0.35">
      <c r="A181" t="s">
        <v>214</v>
      </c>
      <c r="B181" t="s">
        <v>536</v>
      </c>
      <c r="C181" t="s">
        <v>299</v>
      </c>
      <c r="D181" t="s">
        <v>298</v>
      </c>
      <c r="E181">
        <v>13</v>
      </c>
      <c r="F181">
        <v>28</v>
      </c>
      <c r="G181">
        <v>102</v>
      </c>
    </row>
    <row r="182" spans="1:7" x14ac:dyDescent="0.35">
      <c r="A182" t="s">
        <v>214</v>
      </c>
      <c r="B182" t="s">
        <v>536</v>
      </c>
      <c r="C182" t="s">
        <v>301</v>
      </c>
      <c r="D182" t="s">
        <v>300</v>
      </c>
      <c r="E182">
        <v>13</v>
      </c>
      <c r="F182">
        <v>25</v>
      </c>
      <c r="G182">
        <v>89</v>
      </c>
    </row>
    <row r="183" spans="1:7" x14ac:dyDescent="0.35">
      <c r="A183" t="s">
        <v>214</v>
      </c>
      <c r="B183" t="s">
        <v>536</v>
      </c>
      <c r="C183" t="s">
        <v>303</v>
      </c>
      <c r="D183" t="s">
        <v>302</v>
      </c>
      <c r="E183">
        <v>5</v>
      </c>
      <c r="F183">
        <v>7</v>
      </c>
      <c r="G183">
        <v>46</v>
      </c>
    </row>
    <row r="184" spans="1:7" x14ac:dyDescent="0.35">
      <c r="A184" t="s">
        <v>214</v>
      </c>
      <c r="B184" t="s">
        <v>536</v>
      </c>
      <c r="C184" t="s">
        <v>305</v>
      </c>
      <c r="D184" t="s">
        <v>304</v>
      </c>
      <c r="E184">
        <v>8</v>
      </c>
      <c r="F184">
        <v>8</v>
      </c>
      <c r="G184">
        <v>61</v>
      </c>
    </row>
    <row r="185" spans="1:7" x14ac:dyDescent="0.35">
      <c r="A185" t="s">
        <v>214</v>
      </c>
      <c r="B185" t="s">
        <v>536</v>
      </c>
      <c r="C185" t="s">
        <v>308</v>
      </c>
      <c r="D185" t="s">
        <v>307</v>
      </c>
      <c r="E185">
        <v>8</v>
      </c>
      <c r="F185">
        <v>16</v>
      </c>
      <c r="G185">
        <v>51</v>
      </c>
    </row>
    <row r="186" spans="1:7" x14ac:dyDescent="0.35">
      <c r="A186" t="s">
        <v>214</v>
      </c>
      <c r="B186" t="s">
        <v>536</v>
      </c>
      <c r="C186" t="s">
        <v>310</v>
      </c>
      <c r="D186" t="s">
        <v>309</v>
      </c>
      <c r="E186">
        <v>2</v>
      </c>
      <c r="F186">
        <v>2</v>
      </c>
      <c r="G186">
        <v>16</v>
      </c>
    </row>
    <row r="187" spans="1:7" x14ac:dyDescent="0.35">
      <c r="A187" t="s">
        <v>214</v>
      </c>
      <c r="B187" t="s">
        <v>536</v>
      </c>
      <c r="C187" t="s">
        <v>312</v>
      </c>
      <c r="D187" t="s">
        <v>311</v>
      </c>
      <c r="E187">
        <v>5</v>
      </c>
      <c r="F187">
        <v>11</v>
      </c>
      <c r="G187">
        <v>43</v>
      </c>
    </row>
    <row r="188" spans="1:7" x14ac:dyDescent="0.35">
      <c r="A188" t="s">
        <v>313</v>
      </c>
      <c r="B188" t="s">
        <v>536</v>
      </c>
      <c r="C188" t="s">
        <v>216</v>
      </c>
      <c r="D188" t="s">
        <v>218</v>
      </c>
      <c r="E188">
        <v>1</v>
      </c>
      <c r="F188">
        <v>3</v>
      </c>
      <c r="G188">
        <v>4</v>
      </c>
    </row>
    <row r="189" spans="1:7" x14ac:dyDescent="0.35">
      <c r="A189" t="s">
        <v>313</v>
      </c>
      <c r="B189" t="s">
        <v>536</v>
      </c>
      <c r="C189" t="s">
        <v>221</v>
      </c>
      <c r="D189" t="s">
        <v>218</v>
      </c>
      <c r="E189">
        <v>25</v>
      </c>
      <c r="F189">
        <v>65</v>
      </c>
      <c r="G189">
        <v>195</v>
      </c>
    </row>
    <row r="190" spans="1:7" x14ac:dyDescent="0.35">
      <c r="A190" t="s">
        <v>313</v>
      </c>
      <c r="B190" t="s">
        <v>536</v>
      </c>
      <c r="C190" t="s">
        <v>225</v>
      </c>
      <c r="D190" t="s">
        <v>218</v>
      </c>
      <c r="E190">
        <v>6</v>
      </c>
      <c r="F190">
        <v>16</v>
      </c>
      <c r="G190">
        <v>81</v>
      </c>
    </row>
    <row r="191" spans="1:7" x14ac:dyDescent="0.35">
      <c r="A191" t="s">
        <v>313</v>
      </c>
      <c r="B191" t="s">
        <v>536</v>
      </c>
      <c r="C191" t="s">
        <v>229</v>
      </c>
      <c r="D191" t="s">
        <v>232</v>
      </c>
      <c r="E191">
        <v>13</v>
      </c>
      <c r="F191">
        <v>25</v>
      </c>
      <c r="G191">
        <v>136</v>
      </c>
    </row>
    <row r="192" spans="1:7" x14ac:dyDescent="0.35">
      <c r="A192" t="s">
        <v>313</v>
      </c>
      <c r="B192" t="s">
        <v>536</v>
      </c>
      <c r="C192" t="s">
        <v>235</v>
      </c>
      <c r="D192" t="s">
        <v>238</v>
      </c>
      <c r="E192">
        <v>1</v>
      </c>
      <c r="F192">
        <v>2</v>
      </c>
      <c r="G192">
        <v>5</v>
      </c>
    </row>
    <row r="193" spans="1:7" x14ac:dyDescent="0.35">
      <c r="A193" t="s">
        <v>313</v>
      </c>
      <c r="B193" t="s">
        <v>536</v>
      </c>
      <c r="C193" t="s">
        <v>241</v>
      </c>
      <c r="D193" t="s">
        <v>238</v>
      </c>
      <c r="E193">
        <v>3</v>
      </c>
      <c r="F193">
        <v>5</v>
      </c>
      <c r="G193">
        <v>17</v>
      </c>
    </row>
    <row r="194" spans="1:7" x14ac:dyDescent="0.35">
      <c r="A194" t="s">
        <v>313</v>
      </c>
      <c r="B194" t="s">
        <v>536</v>
      </c>
      <c r="C194" t="s">
        <v>245</v>
      </c>
      <c r="D194" t="s">
        <v>232</v>
      </c>
      <c r="E194">
        <v>16</v>
      </c>
      <c r="F194">
        <v>34</v>
      </c>
      <c r="G194">
        <v>142</v>
      </c>
    </row>
    <row r="195" spans="1:7" x14ac:dyDescent="0.35">
      <c r="A195" t="s">
        <v>313</v>
      </c>
      <c r="B195" t="s">
        <v>536</v>
      </c>
      <c r="C195" t="s">
        <v>248</v>
      </c>
      <c r="D195" t="s">
        <v>218</v>
      </c>
      <c r="E195">
        <v>1</v>
      </c>
      <c r="F195">
        <v>2</v>
      </c>
      <c r="G195">
        <v>9</v>
      </c>
    </row>
    <row r="196" spans="1:7" x14ac:dyDescent="0.35">
      <c r="A196" t="s">
        <v>313</v>
      </c>
      <c r="B196" t="s">
        <v>536</v>
      </c>
      <c r="C196" t="s">
        <v>250</v>
      </c>
      <c r="D196" t="s">
        <v>232</v>
      </c>
      <c r="E196">
        <v>7</v>
      </c>
      <c r="F196">
        <v>8</v>
      </c>
      <c r="G196">
        <v>65</v>
      </c>
    </row>
    <row r="197" spans="1:7" x14ac:dyDescent="0.35">
      <c r="A197" t="s">
        <v>313</v>
      </c>
      <c r="B197" t="s">
        <v>536</v>
      </c>
      <c r="C197" t="s">
        <v>256</v>
      </c>
      <c r="D197" t="s">
        <v>238</v>
      </c>
      <c r="E197">
        <v>5</v>
      </c>
      <c r="F197">
        <v>12</v>
      </c>
      <c r="G197">
        <v>48</v>
      </c>
    </row>
    <row r="198" spans="1:7" x14ac:dyDescent="0.35">
      <c r="A198" t="s">
        <v>313</v>
      </c>
      <c r="B198" t="s">
        <v>536</v>
      </c>
      <c r="C198" t="s">
        <v>264</v>
      </c>
      <c r="D198" t="s">
        <v>238</v>
      </c>
      <c r="E198">
        <v>4</v>
      </c>
      <c r="F198">
        <v>10</v>
      </c>
      <c r="G198">
        <v>43</v>
      </c>
    </row>
    <row r="199" spans="1:7" x14ac:dyDescent="0.35">
      <c r="A199" t="s">
        <v>313</v>
      </c>
      <c r="B199" t="s">
        <v>536</v>
      </c>
      <c r="C199" t="s">
        <v>268</v>
      </c>
      <c r="D199" t="s">
        <v>238</v>
      </c>
      <c r="E199">
        <v>9</v>
      </c>
      <c r="F199">
        <v>21</v>
      </c>
      <c r="G199">
        <v>83</v>
      </c>
    </row>
    <row r="200" spans="1:7" x14ac:dyDescent="0.35">
      <c r="A200" t="s">
        <v>313</v>
      </c>
      <c r="B200" t="s">
        <v>536</v>
      </c>
      <c r="C200" t="s">
        <v>274</v>
      </c>
      <c r="D200" t="s">
        <v>218</v>
      </c>
      <c r="E200">
        <v>53</v>
      </c>
      <c r="F200">
        <v>94</v>
      </c>
      <c r="G200">
        <v>378</v>
      </c>
    </row>
    <row r="201" spans="1:7" x14ac:dyDescent="0.35">
      <c r="A201" t="s">
        <v>313</v>
      </c>
      <c r="B201" t="s">
        <v>536</v>
      </c>
      <c r="C201" t="s">
        <v>278</v>
      </c>
      <c r="D201" t="s">
        <v>232</v>
      </c>
      <c r="E201">
        <v>3</v>
      </c>
      <c r="F201">
        <v>6</v>
      </c>
      <c r="G201">
        <v>33</v>
      </c>
    </row>
    <row r="202" spans="1:7" x14ac:dyDescent="0.35">
      <c r="A202" t="s">
        <v>313</v>
      </c>
      <c r="B202" t="s">
        <v>536</v>
      </c>
      <c r="C202" t="s">
        <v>280</v>
      </c>
      <c r="D202" t="s">
        <v>238</v>
      </c>
      <c r="E202">
        <v>1</v>
      </c>
      <c r="F202">
        <v>2</v>
      </c>
      <c r="G202">
        <v>10</v>
      </c>
    </row>
    <row r="203" spans="1:7" x14ac:dyDescent="0.35">
      <c r="A203" t="s">
        <v>313</v>
      </c>
      <c r="B203" t="s">
        <v>536</v>
      </c>
      <c r="C203" t="s">
        <v>282</v>
      </c>
      <c r="D203" t="s">
        <v>218</v>
      </c>
      <c r="E203">
        <v>11</v>
      </c>
      <c r="F203">
        <v>27</v>
      </c>
      <c r="G203">
        <v>83</v>
      </c>
    </row>
    <row r="204" spans="1:7" x14ac:dyDescent="0.35">
      <c r="A204" t="s">
        <v>313</v>
      </c>
      <c r="B204" t="s">
        <v>536</v>
      </c>
      <c r="C204" t="s">
        <v>284</v>
      </c>
      <c r="D204" t="s">
        <v>218</v>
      </c>
      <c r="E204">
        <v>14</v>
      </c>
      <c r="F204">
        <v>30</v>
      </c>
      <c r="G204">
        <v>91</v>
      </c>
    </row>
    <row r="205" spans="1:7" x14ac:dyDescent="0.35">
      <c r="A205" t="s">
        <v>313</v>
      </c>
      <c r="B205" t="s">
        <v>536</v>
      </c>
      <c r="C205" t="s">
        <v>288</v>
      </c>
      <c r="D205" t="s">
        <v>232</v>
      </c>
      <c r="E205">
        <v>11</v>
      </c>
      <c r="F205">
        <v>11</v>
      </c>
      <c r="G205">
        <v>82</v>
      </c>
    </row>
    <row r="206" spans="1:7" x14ac:dyDescent="0.35">
      <c r="A206" t="s">
        <v>313</v>
      </c>
      <c r="B206" t="s">
        <v>536</v>
      </c>
      <c r="C206" t="s">
        <v>290</v>
      </c>
      <c r="D206" t="s">
        <v>232</v>
      </c>
      <c r="E206">
        <v>3</v>
      </c>
      <c r="F206">
        <v>5</v>
      </c>
      <c r="G206">
        <v>29</v>
      </c>
    </row>
    <row r="207" spans="1:7" x14ac:dyDescent="0.35">
      <c r="A207" t="s">
        <v>313</v>
      </c>
      <c r="B207" t="s">
        <v>536</v>
      </c>
      <c r="C207" t="s">
        <v>293</v>
      </c>
      <c r="D207" t="s">
        <v>218</v>
      </c>
      <c r="E207">
        <v>9</v>
      </c>
      <c r="F207">
        <v>22</v>
      </c>
      <c r="G207">
        <v>78</v>
      </c>
    </row>
    <row r="208" spans="1:7" x14ac:dyDescent="0.35">
      <c r="A208" t="s">
        <v>313</v>
      </c>
      <c r="B208" t="s">
        <v>536</v>
      </c>
      <c r="C208" t="s">
        <v>295</v>
      </c>
      <c r="D208" t="s">
        <v>218</v>
      </c>
      <c r="E208">
        <v>10</v>
      </c>
      <c r="F208">
        <v>22</v>
      </c>
      <c r="G208">
        <v>99</v>
      </c>
    </row>
    <row r="209" spans="1:7" x14ac:dyDescent="0.35">
      <c r="A209" t="s">
        <v>313</v>
      </c>
      <c r="B209" t="s">
        <v>536</v>
      </c>
      <c r="C209" t="s">
        <v>297</v>
      </c>
      <c r="D209" t="s">
        <v>232</v>
      </c>
      <c r="E209">
        <v>1</v>
      </c>
      <c r="F209">
        <v>2</v>
      </c>
      <c r="G209">
        <v>12</v>
      </c>
    </row>
    <row r="210" spans="1:7" x14ac:dyDescent="0.35">
      <c r="A210" t="s">
        <v>313</v>
      </c>
      <c r="B210" t="s">
        <v>536</v>
      </c>
      <c r="C210" t="s">
        <v>299</v>
      </c>
      <c r="D210" t="s">
        <v>238</v>
      </c>
      <c r="E210">
        <v>13</v>
      </c>
      <c r="F210">
        <v>28</v>
      </c>
      <c r="G210">
        <v>107</v>
      </c>
    </row>
    <row r="211" spans="1:7" x14ac:dyDescent="0.35">
      <c r="A211" t="s">
        <v>313</v>
      </c>
      <c r="B211" t="s">
        <v>536</v>
      </c>
      <c r="C211" t="s">
        <v>301</v>
      </c>
      <c r="D211" t="s">
        <v>218</v>
      </c>
      <c r="E211">
        <v>12</v>
      </c>
      <c r="F211">
        <v>24</v>
      </c>
      <c r="G211">
        <v>98</v>
      </c>
    </row>
    <row r="212" spans="1:7" x14ac:dyDescent="0.35">
      <c r="A212" t="s">
        <v>313</v>
      </c>
      <c r="B212" t="s">
        <v>536</v>
      </c>
      <c r="C212" t="s">
        <v>303</v>
      </c>
      <c r="D212" t="s">
        <v>232</v>
      </c>
      <c r="E212">
        <v>5</v>
      </c>
      <c r="F212">
        <v>8</v>
      </c>
      <c r="G212">
        <v>42</v>
      </c>
    </row>
    <row r="213" spans="1:7" x14ac:dyDescent="0.35">
      <c r="A213" t="s">
        <v>313</v>
      </c>
      <c r="B213" t="s">
        <v>536</v>
      </c>
      <c r="C213" t="s">
        <v>305</v>
      </c>
      <c r="D213" t="s">
        <v>232</v>
      </c>
      <c r="E213">
        <v>8</v>
      </c>
      <c r="F213">
        <v>8</v>
      </c>
      <c r="G213">
        <v>70</v>
      </c>
    </row>
    <row r="214" spans="1:7" x14ac:dyDescent="0.35">
      <c r="A214" t="s">
        <v>313</v>
      </c>
      <c r="B214" t="s">
        <v>536</v>
      </c>
      <c r="C214" t="s">
        <v>308</v>
      </c>
      <c r="D214" t="s">
        <v>238</v>
      </c>
      <c r="E214">
        <v>9</v>
      </c>
      <c r="F214">
        <v>15</v>
      </c>
      <c r="G214">
        <v>51</v>
      </c>
    </row>
    <row r="215" spans="1:7" x14ac:dyDescent="0.35">
      <c r="A215" t="s">
        <v>313</v>
      </c>
      <c r="B215" t="s">
        <v>536</v>
      </c>
      <c r="C215" t="s">
        <v>310</v>
      </c>
      <c r="D215" t="s">
        <v>232</v>
      </c>
      <c r="E215">
        <v>2</v>
      </c>
      <c r="F215">
        <v>2</v>
      </c>
      <c r="G215">
        <v>16</v>
      </c>
    </row>
    <row r="216" spans="1:7" x14ac:dyDescent="0.35">
      <c r="A216" t="s">
        <v>313</v>
      </c>
      <c r="B216" t="s">
        <v>536</v>
      </c>
      <c r="C216" t="s">
        <v>312</v>
      </c>
      <c r="D216" t="s">
        <v>238</v>
      </c>
      <c r="E216">
        <v>6</v>
      </c>
      <c r="F216">
        <v>11</v>
      </c>
      <c r="G216">
        <v>48</v>
      </c>
    </row>
    <row r="217" spans="1:7" x14ac:dyDescent="0.35">
      <c r="A217" t="s">
        <v>319</v>
      </c>
      <c r="B217" t="s">
        <v>536</v>
      </c>
      <c r="C217" t="s">
        <v>216</v>
      </c>
      <c r="D217" t="s">
        <v>218</v>
      </c>
      <c r="E217">
        <v>1</v>
      </c>
      <c r="F217">
        <v>3</v>
      </c>
      <c r="G217">
        <v>6</v>
      </c>
    </row>
    <row r="218" spans="1:7" x14ac:dyDescent="0.35">
      <c r="A218" t="s">
        <v>319</v>
      </c>
      <c r="B218" t="s">
        <v>536</v>
      </c>
      <c r="C218" t="s">
        <v>221</v>
      </c>
      <c r="D218" t="s">
        <v>218</v>
      </c>
      <c r="E218">
        <v>26</v>
      </c>
      <c r="F218">
        <v>68</v>
      </c>
      <c r="G218">
        <v>192</v>
      </c>
    </row>
    <row r="219" spans="1:7" x14ac:dyDescent="0.35">
      <c r="A219" t="s">
        <v>319</v>
      </c>
      <c r="B219" t="s">
        <v>536</v>
      </c>
      <c r="C219" t="s">
        <v>225</v>
      </c>
      <c r="D219" t="s">
        <v>218</v>
      </c>
      <c r="E219">
        <v>7</v>
      </c>
      <c r="F219">
        <v>17</v>
      </c>
      <c r="G219">
        <v>80</v>
      </c>
    </row>
    <row r="220" spans="1:7" x14ac:dyDescent="0.35">
      <c r="A220" t="s">
        <v>319</v>
      </c>
      <c r="B220" t="s">
        <v>536</v>
      </c>
      <c r="C220" t="s">
        <v>229</v>
      </c>
      <c r="D220" t="s">
        <v>232</v>
      </c>
      <c r="E220">
        <v>14</v>
      </c>
      <c r="F220">
        <v>26</v>
      </c>
      <c r="G220">
        <v>128</v>
      </c>
    </row>
    <row r="221" spans="1:7" x14ac:dyDescent="0.35">
      <c r="A221" t="s">
        <v>319</v>
      </c>
      <c r="B221" t="s">
        <v>536</v>
      </c>
      <c r="C221" t="s">
        <v>235</v>
      </c>
      <c r="D221" t="s">
        <v>238</v>
      </c>
      <c r="E221">
        <v>1</v>
      </c>
      <c r="F221">
        <v>1</v>
      </c>
      <c r="G221">
        <v>6</v>
      </c>
    </row>
    <row r="222" spans="1:7" x14ac:dyDescent="0.35">
      <c r="A222" t="s">
        <v>319</v>
      </c>
      <c r="B222" t="s">
        <v>536</v>
      </c>
      <c r="C222" t="s">
        <v>241</v>
      </c>
      <c r="D222" t="s">
        <v>621</v>
      </c>
      <c r="E222">
        <v>2</v>
      </c>
      <c r="F222">
        <v>4</v>
      </c>
      <c r="G222">
        <v>21</v>
      </c>
    </row>
    <row r="223" spans="1:7" x14ac:dyDescent="0.35">
      <c r="A223" t="s">
        <v>319</v>
      </c>
      <c r="B223" t="s">
        <v>536</v>
      </c>
      <c r="C223" t="s">
        <v>245</v>
      </c>
      <c r="D223" t="s">
        <v>232</v>
      </c>
      <c r="E223">
        <v>16</v>
      </c>
      <c r="F223">
        <v>35</v>
      </c>
      <c r="G223">
        <v>135</v>
      </c>
    </row>
    <row r="224" spans="1:7" x14ac:dyDescent="0.35">
      <c r="A224" t="s">
        <v>319</v>
      </c>
      <c r="B224" t="s">
        <v>536</v>
      </c>
      <c r="C224" t="s">
        <v>248</v>
      </c>
      <c r="D224" t="s">
        <v>218</v>
      </c>
      <c r="E224">
        <v>1</v>
      </c>
      <c r="F224">
        <v>2</v>
      </c>
      <c r="G224">
        <v>8</v>
      </c>
    </row>
    <row r="225" spans="1:7" x14ac:dyDescent="0.35">
      <c r="A225" t="s">
        <v>319</v>
      </c>
      <c r="B225" t="s">
        <v>536</v>
      </c>
      <c r="C225" t="s">
        <v>250</v>
      </c>
      <c r="D225" t="s">
        <v>232</v>
      </c>
      <c r="E225">
        <v>7</v>
      </c>
      <c r="F225">
        <v>8</v>
      </c>
      <c r="G225">
        <v>63</v>
      </c>
    </row>
    <row r="226" spans="1:7" x14ac:dyDescent="0.35">
      <c r="A226" t="s">
        <v>319</v>
      </c>
      <c r="B226" t="s">
        <v>536</v>
      </c>
      <c r="C226" t="s">
        <v>256</v>
      </c>
      <c r="D226" t="s">
        <v>238</v>
      </c>
      <c r="E226">
        <v>5</v>
      </c>
      <c r="F226">
        <v>12</v>
      </c>
      <c r="G226">
        <v>47</v>
      </c>
    </row>
    <row r="227" spans="1:7" x14ac:dyDescent="0.35">
      <c r="A227" t="s">
        <v>319</v>
      </c>
      <c r="B227" t="s">
        <v>536</v>
      </c>
      <c r="C227" t="s">
        <v>264</v>
      </c>
      <c r="D227" t="s">
        <v>238</v>
      </c>
      <c r="E227">
        <v>5</v>
      </c>
      <c r="F227">
        <v>9</v>
      </c>
      <c r="G227">
        <v>42</v>
      </c>
    </row>
    <row r="228" spans="1:7" x14ac:dyDescent="0.35">
      <c r="A228" t="s">
        <v>319</v>
      </c>
      <c r="B228" t="s">
        <v>536</v>
      </c>
      <c r="C228" t="s">
        <v>268</v>
      </c>
      <c r="D228" t="s">
        <v>621</v>
      </c>
      <c r="E228">
        <v>8</v>
      </c>
      <c r="F228">
        <v>23</v>
      </c>
      <c r="G228">
        <v>78</v>
      </c>
    </row>
    <row r="229" spans="1:7" x14ac:dyDescent="0.35">
      <c r="A229" t="s">
        <v>319</v>
      </c>
      <c r="B229" t="s">
        <v>536</v>
      </c>
      <c r="C229" t="s">
        <v>274</v>
      </c>
      <c r="D229" t="s">
        <v>218</v>
      </c>
      <c r="E229">
        <v>52</v>
      </c>
      <c r="F229">
        <v>97</v>
      </c>
      <c r="G229">
        <v>351</v>
      </c>
    </row>
    <row r="230" spans="1:7" x14ac:dyDescent="0.35">
      <c r="A230" t="s">
        <v>319</v>
      </c>
      <c r="B230" t="s">
        <v>536</v>
      </c>
      <c r="C230" t="s">
        <v>278</v>
      </c>
      <c r="D230" t="s">
        <v>232</v>
      </c>
      <c r="E230">
        <v>3</v>
      </c>
      <c r="F230">
        <v>6</v>
      </c>
      <c r="G230">
        <v>35</v>
      </c>
    </row>
    <row r="231" spans="1:7" x14ac:dyDescent="0.35">
      <c r="A231" t="s">
        <v>319</v>
      </c>
      <c r="B231" t="s">
        <v>536</v>
      </c>
      <c r="C231" t="s">
        <v>280</v>
      </c>
      <c r="D231" t="s">
        <v>238</v>
      </c>
      <c r="E231">
        <v>1</v>
      </c>
      <c r="F231">
        <v>2</v>
      </c>
      <c r="G231">
        <v>8</v>
      </c>
    </row>
    <row r="232" spans="1:7" x14ac:dyDescent="0.35">
      <c r="A232" t="s">
        <v>319</v>
      </c>
      <c r="B232" t="s">
        <v>536</v>
      </c>
      <c r="C232" t="s">
        <v>282</v>
      </c>
      <c r="D232" t="s">
        <v>218</v>
      </c>
      <c r="E232">
        <v>11</v>
      </c>
      <c r="F232">
        <v>27</v>
      </c>
      <c r="G232">
        <v>76</v>
      </c>
    </row>
    <row r="233" spans="1:7" x14ac:dyDescent="0.35">
      <c r="A233" t="s">
        <v>319</v>
      </c>
      <c r="B233" t="s">
        <v>536</v>
      </c>
      <c r="C233" t="s">
        <v>284</v>
      </c>
      <c r="D233" t="s">
        <v>218</v>
      </c>
      <c r="E233">
        <v>15</v>
      </c>
      <c r="F233">
        <v>27</v>
      </c>
      <c r="G233">
        <v>89</v>
      </c>
    </row>
    <row r="234" spans="1:7" x14ac:dyDescent="0.35">
      <c r="A234" t="s">
        <v>319</v>
      </c>
      <c r="B234" t="s">
        <v>536</v>
      </c>
      <c r="C234" t="s">
        <v>288</v>
      </c>
      <c r="D234" t="s">
        <v>232</v>
      </c>
      <c r="E234">
        <v>11</v>
      </c>
      <c r="F234">
        <v>11</v>
      </c>
      <c r="G234">
        <v>78</v>
      </c>
    </row>
    <row r="235" spans="1:7" x14ac:dyDescent="0.35">
      <c r="A235" t="s">
        <v>319</v>
      </c>
      <c r="B235" t="s">
        <v>536</v>
      </c>
      <c r="C235" t="s">
        <v>290</v>
      </c>
      <c r="D235" t="s">
        <v>232</v>
      </c>
      <c r="E235">
        <v>3</v>
      </c>
      <c r="F235">
        <v>6</v>
      </c>
      <c r="G235">
        <v>29</v>
      </c>
    </row>
    <row r="236" spans="1:7" x14ac:dyDescent="0.35">
      <c r="A236" t="s">
        <v>319</v>
      </c>
      <c r="B236" t="s">
        <v>536</v>
      </c>
      <c r="C236" t="s">
        <v>293</v>
      </c>
      <c r="D236" t="s">
        <v>218</v>
      </c>
      <c r="E236">
        <v>8</v>
      </c>
      <c r="F236">
        <v>21</v>
      </c>
      <c r="G236">
        <v>83</v>
      </c>
    </row>
    <row r="237" spans="1:7" x14ac:dyDescent="0.35">
      <c r="A237" t="s">
        <v>319</v>
      </c>
      <c r="B237" t="s">
        <v>536</v>
      </c>
      <c r="C237" t="s">
        <v>295</v>
      </c>
      <c r="D237" t="s">
        <v>218</v>
      </c>
      <c r="E237">
        <v>10</v>
      </c>
      <c r="F237">
        <v>21</v>
      </c>
      <c r="G237">
        <v>99</v>
      </c>
    </row>
    <row r="238" spans="1:7" x14ac:dyDescent="0.35">
      <c r="A238" t="s">
        <v>319</v>
      </c>
      <c r="B238" t="s">
        <v>536</v>
      </c>
      <c r="C238" t="s">
        <v>297</v>
      </c>
      <c r="D238" t="s">
        <v>232</v>
      </c>
      <c r="E238">
        <v>2</v>
      </c>
      <c r="F238">
        <v>1</v>
      </c>
      <c r="G238">
        <v>10</v>
      </c>
    </row>
    <row r="239" spans="1:7" x14ac:dyDescent="0.35">
      <c r="A239" t="s">
        <v>319</v>
      </c>
      <c r="B239" t="s">
        <v>536</v>
      </c>
      <c r="C239" t="s">
        <v>299</v>
      </c>
      <c r="D239" t="s">
        <v>238</v>
      </c>
      <c r="E239">
        <v>13</v>
      </c>
      <c r="F239">
        <v>30</v>
      </c>
      <c r="G239">
        <v>106</v>
      </c>
    </row>
    <row r="240" spans="1:7" x14ac:dyDescent="0.35">
      <c r="A240" t="s">
        <v>319</v>
      </c>
      <c r="B240" t="s">
        <v>536</v>
      </c>
      <c r="C240" t="s">
        <v>301</v>
      </c>
      <c r="D240" t="s">
        <v>218</v>
      </c>
      <c r="E240">
        <v>13</v>
      </c>
      <c r="F240">
        <v>25</v>
      </c>
      <c r="G240">
        <v>94</v>
      </c>
    </row>
    <row r="241" spans="1:7" x14ac:dyDescent="0.35">
      <c r="A241" t="s">
        <v>319</v>
      </c>
      <c r="B241" t="s">
        <v>536</v>
      </c>
      <c r="C241" t="s">
        <v>303</v>
      </c>
      <c r="D241" t="s">
        <v>232</v>
      </c>
      <c r="E241">
        <v>4</v>
      </c>
      <c r="F241">
        <v>7</v>
      </c>
      <c r="G241">
        <v>41</v>
      </c>
    </row>
    <row r="242" spans="1:7" x14ac:dyDescent="0.35">
      <c r="A242" t="s">
        <v>319</v>
      </c>
      <c r="B242" t="s">
        <v>536</v>
      </c>
      <c r="C242" t="s">
        <v>305</v>
      </c>
      <c r="D242" t="s">
        <v>232</v>
      </c>
      <c r="E242">
        <v>10</v>
      </c>
      <c r="F242">
        <v>7</v>
      </c>
      <c r="G242">
        <v>67</v>
      </c>
    </row>
    <row r="243" spans="1:7" x14ac:dyDescent="0.35">
      <c r="A243" t="s">
        <v>319</v>
      </c>
      <c r="B243" t="s">
        <v>536</v>
      </c>
      <c r="C243" t="s">
        <v>308</v>
      </c>
      <c r="D243" t="s">
        <v>621</v>
      </c>
      <c r="E243">
        <v>9</v>
      </c>
      <c r="F243">
        <v>15</v>
      </c>
      <c r="G243">
        <v>51</v>
      </c>
    </row>
    <row r="244" spans="1:7" x14ac:dyDescent="0.35">
      <c r="A244" t="s">
        <v>319</v>
      </c>
      <c r="B244" t="s">
        <v>536</v>
      </c>
      <c r="C244" t="s">
        <v>310</v>
      </c>
      <c r="D244" t="s">
        <v>232</v>
      </c>
      <c r="E244">
        <v>2</v>
      </c>
      <c r="F244">
        <v>2</v>
      </c>
      <c r="G244">
        <v>18</v>
      </c>
    </row>
    <row r="245" spans="1:7" x14ac:dyDescent="0.35">
      <c r="A245" t="s">
        <v>319</v>
      </c>
      <c r="B245" t="s">
        <v>536</v>
      </c>
      <c r="C245" t="s">
        <v>312</v>
      </c>
      <c r="D245" t="s">
        <v>238</v>
      </c>
      <c r="E245">
        <v>7</v>
      </c>
      <c r="F245">
        <v>9</v>
      </c>
      <c r="G245">
        <v>42</v>
      </c>
    </row>
    <row r="246" spans="1:7" x14ac:dyDescent="0.35">
      <c r="A246" t="s">
        <v>321</v>
      </c>
      <c r="B246" t="s">
        <v>536</v>
      </c>
      <c r="C246" t="s">
        <v>216</v>
      </c>
      <c r="E246">
        <v>1</v>
      </c>
      <c r="F246">
        <v>3</v>
      </c>
      <c r="G246">
        <v>7</v>
      </c>
    </row>
    <row r="247" spans="1:7" x14ac:dyDescent="0.35">
      <c r="A247" t="s">
        <v>321</v>
      </c>
      <c r="B247" t="s">
        <v>536</v>
      </c>
      <c r="C247" t="s">
        <v>221</v>
      </c>
      <c r="E247">
        <v>26</v>
      </c>
      <c r="F247">
        <v>66</v>
      </c>
      <c r="G247">
        <v>193</v>
      </c>
    </row>
    <row r="248" spans="1:7" x14ac:dyDescent="0.35">
      <c r="A248" t="s">
        <v>321</v>
      </c>
      <c r="B248" t="s">
        <v>536</v>
      </c>
      <c r="C248" t="s">
        <v>225</v>
      </c>
      <c r="E248">
        <v>7</v>
      </c>
      <c r="F248">
        <v>17</v>
      </c>
      <c r="G248">
        <v>72</v>
      </c>
    </row>
    <row r="249" spans="1:7" x14ac:dyDescent="0.35">
      <c r="A249" t="s">
        <v>321</v>
      </c>
      <c r="B249" t="s">
        <v>536</v>
      </c>
      <c r="C249" t="s">
        <v>229</v>
      </c>
      <c r="E249">
        <v>14</v>
      </c>
      <c r="F249">
        <v>26</v>
      </c>
      <c r="G249">
        <v>132</v>
      </c>
    </row>
    <row r="250" spans="1:7" x14ac:dyDescent="0.35">
      <c r="A250" t="s">
        <v>321</v>
      </c>
      <c r="B250" t="s">
        <v>536</v>
      </c>
      <c r="C250" t="s">
        <v>235</v>
      </c>
      <c r="E250">
        <v>1</v>
      </c>
      <c r="F250">
        <v>1</v>
      </c>
      <c r="G250">
        <v>5</v>
      </c>
    </row>
    <row r="251" spans="1:7" x14ac:dyDescent="0.35">
      <c r="A251" t="s">
        <v>321</v>
      </c>
      <c r="B251" t="s">
        <v>536</v>
      </c>
      <c r="C251" t="s">
        <v>241</v>
      </c>
      <c r="E251">
        <v>2</v>
      </c>
      <c r="F251">
        <v>4</v>
      </c>
      <c r="G251">
        <v>19</v>
      </c>
    </row>
    <row r="252" spans="1:7" x14ac:dyDescent="0.35">
      <c r="A252" t="s">
        <v>321</v>
      </c>
      <c r="B252" t="s">
        <v>536</v>
      </c>
      <c r="C252" t="s">
        <v>245</v>
      </c>
      <c r="E252">
        <v>17</v>
      </c>
      <c r="F252">
        <v>33</v>
      </c>
      <c r="G252">
        <v>142</v>
      </c>
    </row>
    <row r="253" spans="1:7" x14ac:dyDescent="0.35">
      <c r="A253" t="s">
        <v>321</v>
      </c>
      <c r="B253" t="s">
        <v>536</v>
      </c>
      <c r="C253" t="s">
        <v>248</v>
      </c>
      <c r="E253">
        <v>1</v>
      </c>
      <c r="F253">
        <v>2</v>
      </c>
      <c r="G253">
        <v>10</v>
      </c>
    </row>
    <row r="254" spans="1:7" x14ac:dyDescent="0.35">
      <c r="A254" t="s">
        <v>321</v>
      </c>
      <c r="B254" t="s">
        <v>536</v>
      </c>
      <c r="C254" t="s">
        <v>250</v>
      </c>
      <c r="E254">
        <v>7</v>
      </c>
      <c r="F254">
        <v>8</v>
      </c>
      <c r="G254">
        <v>62</v>
      </c>
    </row>
    <row r="255" spans="1:7" x14ac:dyDescent="0.35">
      <c r="A255" t="s">
        <v>321</v>
      </c>
      <c r="B255" t="s">
        <v>536</v>
      </c>
      <c r="C255" t="s">
        <v>256</v>
      </c>
      <c r="E255">
        <v>5</v>
      </c>
      <c r="F255">
        <v>12</v>
      </c>
      <c r="G255">
        <v>39</v>
      </c>
    </row>
    <row r="256" spans="1:7" x14ac:dyDescent="0.35">
      <c r="A256" t="s">
        <v>321</v>
      </c>
      <c r="B256" t="s">
        <v>536</v>
      </c>
      <c r="C256" t="s">
        <v>264</v>
      </c>
      <c r="E256">
        <v>5</v>
      </c>
      <c r="F256">
        <v>9</v>
      </c>
      <c r="G256">
        <v>36</v>
      </c>
    </row>
    <row r="257" spans="1:7" x14ac:dyDescent="0.35">
      <c r="A257" t="s">
        <v>321</v>
      </c>
      <c r="B257" t="s">
        <v>536</v>
      </c>
      <c r="C257" t="s">
        <v>268</v>
      </c>
      <c r="E257">
        <v>8</v>
      </c>
      <c r="F257">
        <v>22</v>
      </c>
      <c r="G257">
        <v>73</v>
      </c>
    </row>
    <row r="258" spans="1:7" x14ac:dyDescent="0.35">
      <c r="A258" t="s">
        <v>321</v>
      </c>
      <c r="B258" t="s">
        <v>536</v>
      </c>
      <c r="C258" t="s">
        <v>274</v>
      </c>
      <c r="E258">
        <v>51</v>
      </c>
      <c r="F258">
        <v>96</v>
      </c>
      <c r="G258">
        <v>331</v>
      </c>
    </row>
    <row r="259" spans="1:7" x14ac:dyDescent="0.35">
      <c r="A259" t="s">
        <v>321</v>
      </c>
      <c r="B259" t="s">
        <v>536</v>
      </c>
      <c r="C259" t="s">
        <v>278</v>
      </c>
      <c r="E259">
        <v>3</v>
      </c>
      <c r="F259">
        <v>7</v>
      </c>
      <c r="G259">
        <v>28</v>
      </c>
    </row>
    <row r="260" spans="1:7" x14ac:dyDescent="0.35">
      <c r="A260" t="s">
        <v>321</v>
      </c>
      <c r="B260" t="s">
        <v>536</v>
      </c>
      <c r="C260" t="s">
        <v>280</v>
      </c>
      <c r="E260">
        <v>1</v>
      </c>
      <c r="F260">
        <v>2</v>
      </c>
      <c r="G260">
        <v>8</v>
      </c>
    </row>
    <row r="261" spans="1:7" x14ac:dyDescent="0.35">
      <c r="A261" t="s">
        <v>321</v>
      </c>
      <c r="B261" t="s">
        <v>536</v>
      </c>
      <c r="C261" t="s">
        <v>282</v>
      </c>
      <c r="E261">
        <v>11</v>
      </c>
      <c r="F261">
        <v>26</v>
      </c>
      <c r="G261">
        <v>77</v>
      </c>
    </row>
    <row r="262" spans="1:7" x14ac:dyDescent="0.35">
      <c r="A262" t="s">
        <v>321</v>
      </c>
      <c r="B262" t="s">
        <v>536</v>
      </c>
      <c r="C262" t="s">
        <v>284</v>
      </c>
      <c r="E262">
        <v>14</v>
      </c>
      <c r="F262">
        <v>29</v>
      </c>
      <c r="G262">
        <v>78</v>
      </c>
    </row>
    <row r="263" spans="1:7" x14ac:dyDescent="0.35">
      <c r="A263" t="s">
        <v>321</v>
      </c>
      <c r="B263" t="s">
        <v>536</v>
      </c>
      <c r="C263" t="s">
        <v>288</v>
      </c>
      <c r="E263">
        <v>11</v>
      </c>
      <c r="F263">
        <v>12</v>
      </c>
      <c r="G263">
        <v>72</v>
      </c>
    </row>
    <row r="264" spans="1:7" x14ac:dyDescent="0.35">
      <c r="A264" t="s">
        <v>321</v>
      </c>
      <c r="B264" t="s">
        <v>536</v>
      </c>
      <c r="C264" t="s">
        <v>290</v>
      </c>
      <c r="E264">
        <v>3</v>
      </c>
      <c r="F264">
        <v>6</v>
      </c>
      <c r="G264">
        <v>21</v>
      </c>
    </row>
    <row r="265" spans="1:7" x14ac:dyDescent="0.35">
      <c r="A265" t="s">
        <v>321</v>
      </c>
      <c r="B265" t="s">
        <v>536</v>
      </c>
      <c r="C265" t="s">
        <v>293</v>
      </c>
      <c r="E265">
        <v>12</v>
      </c>
      <c r="F265">
        <v>19</v>
      </c>
      <c r="G265">
        <v>84</v>
      </c>
    </row>
    <row r="266" spans="1:7" x14ac:dyDescent="0.35">
      <c r="A266" t="s">
        <v>321</v>
      </c>
      <c r="B266" t="s">
        <v>536</v>
      </c>
      <c r="C266" t="s">
        <v>295</v>
      </c>
      <c r="E266">
        <v>9</v>
      </c>
      <c r="F266">
        <v>21</v>
      </c>
      <c r="G266">
        <v>86</v>
      </c>
    </row>
    <row r="267" spans="1:7" x14ac:dyDescent="0.35">
      <c r="A267" t="s">
        <v>321</v>
      </c>
      <c r="B267" t="s">
        <v>536</v>
      </c>
      <c r="C267" t="s">
        <v>297</v>
      </c>
      <c r="E267">
        <v>1</v>
      </c>
      <c r="F267">
        <v>2</v>
      </c>
      <c r="G267">
        <v>10</v>
      </c>
    </row>
    <row r="268" spans="1:7" x14ac:dyDescent="0.35">
      <c r="A268" t="s">
        <v>321</v>
      </c>
      <c r="B268" t="s">
        <v>536</v>
      </c>
      <c r="C268" t="s">
        <v>299</v>
      </c>
      <c r="E268">
        <v>13</v>
      </c>
      <c r="F268">
        <v>28</v>
      </c>
      <c r="G268">
        <v>99</v>
      </c>
    </row>
    <row r="269" spans="1:7" x14ac:dyDescent="0.35">
      <c r="A269" t="s">
        <v>321</v>
      </c>
      <c r="B269" t="s">
        <v>536</v>
      </c>
      <c r="C269" t="s">
        <v>301</v>
      </c>
      <c r="E269">
        <v>12</v>
      </c>
      <c r="F269">
        <v>27</v>
      </c>
      <c r="G269">
        <v>94</v>
      </c>
    </row>
    <row r="270" spans="1:7" x14ac:dyDescent="0.35">
      <c r="A270" t="s">
        <v>321</v>
      </c>
      <c r="B270" t="s">
        <v>536</v>
      </c>
      <c r="C270" t="s">
        <v>303</v>
      </c>
      <c r="E270">
        <v>6</v>
      </c>
      <c r="F270">
        <v>7</v>
      </c>
      <c r="G270">
        <v>35</v>
      </c>
    </row>
    <row r="271" spans="1:7" x14ac:dyDescent="0.35">
      <c r="A271" t="s">
        <v>321</v>
      </c>
      <c r="B271" t="s">
        <v>536</v>
      </c>
      <c r="C271" t="s">
        <v>305</v>
      </c>
      <c r="E271">
        <v>8</v>
      </c>
      <c r="F271">
        <v>13</v>
      </c>
      <c r="G271">
        <v>50</v>
      </c>
    </row>
    <row r="272" spans="1:7" x14ac:dyDescent="0.35">
      <c r="A272" t="s">
        <v>321</v>
      </c>
      <c r="B272" t="s">
        <v>536</v>
      </c>
      <c r="C272" t="s">
        <v>308</v>
      </c>
      <c r="E272">
        <v>8</v>
      </c>
      <c r="F272">
        <v>15</v>
      </c>
      <c r="G272">
        <v>46</v>
      </c>
    </row>
    <row r="273" spans="1:7" x14ac:dyDescent="0.35">
      <c r="A273" t="s">
        <v>321</v>
      </c>
      <c r="B273" t="s">
        <v>536</v>
      </c>
      <c r="C273" t="s">
        <v>310</v>
      </c>
      <c r="E273">
        <v>2</v>
      </c>
      <c r="F273">
        <v>2</v>
      </c>
      <c r="G273">
        <v>17</v>
      </c>
    </row>
    <row r="274" spans="1:7" x14ac:dyDescent="0.35">
      <c r="A274" t="s">
        <v>321</v>
      </c>
      <c r="B274" t="s">
        <v>536</v>
      </c>
      <c r="C274" t="s">
        <v>312</v>
      </c>
      <c r="E274">
        <v>6</v>
      </c>
      <c r="F274">
        <v>11</v>
      </c>
      <c r="G274">
        <v>41</v>
      </c>
    </row>
    <row r="275" spans="1:7" x14ac:dyDescent="0.35">
      <c r="A275" t="s">
        <v>326</v>
      </c>
      <c r="B275" t="s">
        <v>536</v>
      </c>
      <c r="C275" t="s">
        <v>216</v>
      </c>
      <c r="E275">
        <v>1</v>
      </c>
      <c r="F275">
        <v>2</v>
      </c>
      <c r="G275">
        <v>7</v>
      </c>
    </row>
    <row r="276" spans="1:7" x14ac:dyDescent="0.35">
      <c r="A276" t="s">
        <v>326</v>
      </c>
      <c r="B276" t="s">
        <v>536</v>
      </c>
      <c r="C276" t="s">
        <v>221</v>
      </c>
      <c r="E276">
        <v>23</v>
      </c>
      <c r="F276">
        <v>67</v>
      </c>
      <c r="G276">
        <v>188</v>
      </c>
    </row>
    <row r="277" spans="1:7" x14ac:dyDescent="0.35">
      <c r="A277" t="s">
        <v>326</v>
      </c>
      <c r="B277" t="s">
        <v>536</v>
      </c>
      <c r="C277" t="s">
        <v>225</v>
      </c>
      <c r="E277">
        <v>7</v>
      </c>
      <c r="F277">
        <v>17</v>
      </c>
      <c r="G277">
        <v>72</v>
      </c>
    </row>
    <row r="278" spans="1:7" x14ac:dyDescent="0.35">
      <c r="A278" t="s">
        <v>326</v>
      </c>
      <c r="B278" t="s">
        <v>536</v>
      </c>
      <c r="C278" t="s">
        <v>229</v>
      </c>
      <c r="E278">
        <v>14</v>
      </c>
      <c r="F278">
        <v>25</v>
      </c>
      <c r="G278">
        <v>128</v>
      </c>
    </row>
    <row r="279" spans="1:7" x14ac:dyDescent="0.35">
      <c r="A279" t="s">
        <v>326</v>
      </c>
      <c r="B279" t="s">
        <v>536</v>
      </c>
      <c r="C279" t="s">
        <v>235</v>
      </c>
      <c r="E279">
        <v>1</v>
      </c>
      <c r="F279">
        <v>1</v>
      </c>
      <c r="G279">
        <v>7</v>
      </c>
    </row>
    <row r="280" spans="1:7" x14ac:dyDescent="0.35">
      <c r="A280" t="s">
        <v>326</v>
      </c>
      <c r="B280" t="s">
        <v>536</v>
      </c>
      <c r="C280" t="s">
        <v>241</v>
      </c>
      <c r="E280">
        <v>2</v>
      </c>
      <c r="F280">
        <v>5</v>
      </c>
      <c r="G280">
        <v>18</v>
      </c>
    </row>
    <row r="281" spans="1:7" x14ac:dyDescent="0.35">
      <c r="A281" t="s">
        <v>326</v>
      </c>
      <c r="B281" t="s">
        <v>536</v>
      </c>
      <c r="C281" t="s">
        <v>245</v>
      </c>
      <c r="E281">
        <v>16</v>
      </c>
      <c r="F281">
        <v>32</v>
      </c>
      <c r="G281">
        <v>146</v>
      </c>
    </row>
    <row r="282" spans="1:7" x14ac:dyDescent="0.35">
      <c r="A282" t="s">
        <v>326</v>
      </c>
      <c r="B282" t="s">
        <v>536</v>
      </c>
      <c r="C282" t="s">
        <v>248</v>
      </c>
      <c r="E282">
        <v>1</v>
      </c>
      <c r="F282">
        <v>2</v>
      </c>
      <c r="G282">
        <v>9</v>
      </c>
    </row>
    <row r="283" spans="1:7" x14ac:dyDescent="0.35">
      <c r="A283" t="s">
        <v>326</v>
      </c>
      <c r="B283" t="s">
        <v>536</v>
      </c>
      <c r="C283" t="s">
        <v>250</v>
      </c>
      <c r="E283">
        <v>7</v>
      </c>
      <c r="F283">
        <v>10</v>
      </c>
      <c r="G283">
        <v>54</v>
      </c>
    </row>
    <row r="284" spans="1:7" x14ac:dyDescent="0.35">
      <c r="A284" t="s">
        <v>326</v>
      </c>
      <c r="B284" t="s">
        <v>536</v>
      </c>
      <c r="C284" t="s">
        <v>256</v>
      </c>
      <c r="E284">
        <v>5</v>
      </c>
      <c r="F284">
        <v>11</v>
      </c>
      <c r="G284">
        <v>35</v>
      </c>
    </row>
    <row r="285" spans="1:7" x14ac:dyDescent="0.35">
      <c r="A285" t="s">
        <v>326</v>
      </c>
      <c r="B285" t="s">
        <v>536</v>
      </c>
      <c r="C285" t="s">
        <v>264</v>
      </c>
      <c r="E285">
        <v>5</v>
      </c>
      <c r="F285">
        <v>10</v>
      </c>
      <c r="G285">
        <v>38</v>
      </c>
    </row>
    <row r="286" spans="1:7" x14ac:dyDescent="0.35">
      <c r="A286" t="s">
        <v>326</v>
      </c>
      <c r="B286" t="s">
        <v>536</v>
      </c>
      <c r="C286" t="s">
        <v>268</v>
      </c>
      <c r="E286">
        <v>9</v>
      </c>
      <c r="F286">
        <v>22</v>
      </c>
      <c r="G286">
        <v>74</v>
      </c>
    </row>
    <row r="287" spans="1:7" x14ac:dyDescent="0.35">
      <c r="A287" t="s">
        <v>326</v>
      </c>
      <c r="B287" t="s">
        <v>536</v>
      </c>
      <c r="C287" t="s">
        <v>274</v>
      </c>
      <c r="E287">
        <v>1</v>
      </c>
      <c r="F287">
        <v>0</v>
      </c>
      <c r="G287">
        <v>0</v>
      </c>
    </row>
    <row r="288" spans="1:7" x14ac:dyDescent="0.35">
      <c r="A288" t="s">
        <v>326</v>
      </c>
      <c r="B288" t="s">
        <v>536</v>
      </c>
      <c r="C288" t="s">
        <v>274</v>
      </c>
      <c r="E288">
        <v>49</v>
      </c>
      <c r="F288">
        <v>93</v>
      </c>
      <c r="G288">
        <v>321</v>
      </c>
    </row>
    <row r="289" spans="1:7" x14ac:dyDescent="0.35">
      <c r="A289" t="s">
        <v>326</v>
      </c>
      <c r="B289" t="s">
        <v>536</v>
      </c>
      <c r="C289" t="s">
        <v>278</v>
      </c>
      <c r="E289">
        <v>3</v>
      </c>
      <c r="F289">
        <v>7</v>
      </c>
      <c r="G289">
        <v>26</v>
      </c>
    </row>
    <row r="290" spans="1:7" x14ac:dyDescent="0.35">
      <c r="A290" t="s">
        <v>326</v>
      </c>
      <c r="B290" t="s">
        <v>536</v>
      </c>
      <c r="C290" t="s">
        <v>280</v>
      </c>
      <c r="E290">
        <v>1</v>
      </c>
      <c r="F290">
        <v>2</v>
      </c>
      <c r="G290">
        <v>8</v>
      </c>
    </row>
    <row r="291" spans="1:7" x14ac:dyDescent="0.35">
      <c r="A291" t="s">
        <v>326</v>
      </c>
      <c r="B291" t="s">
        <v>536</v>
      </c>
      <c r="C291" t="s">
        <v>282</v>
      </c>
      <c r="E291">
        <v>11</v>
      </c>
      <c r="F291">
        <v>28</v>
      </c>
      <c r="G291">
        <v>70</v>
      </c>
    </row>
    <row r="292" spans="1:7" x14ac:dyDescent="0.35">
      <c r="A292" t="s">
        <v>326</v>
      </c>
      <c r="B292" t="s">
        <v>536</v>
      </c>
      <c r="C292" t="s">
        <v>284</v>
      </c>
      <c r="E292">
        <v>14</v>
      </c>
      <c r="F292">
        <v>26</v>
      </c>
      <c r="G292">
        <v>95</v>
      </c>
    </row>
    <row r="293" spans="1:7" x14ac:dyDescent="0.35">
      <c r="A293" t="s">
        <v>326</v>
      </c>
      <c r="B293" t="s">
        <v>536</v>
      </c>
      <c r="C293" t="s">
        <v>288</v>
      </c>
      <c r="E293">
        <v>10</v>
      </c>
      <c r="F293">
        <v>13</v>
      </c>
      <c r="G293">
        <v>73</v>
      </c>
    </row>
    <row r="294" spans="1:7" x14ac:dyDescent="0.35">
      <c r="A294" t="s">
        <v>326</v>
      </c>
      <c r="B294" t="s">
        <v>536</v>
      </c>
      <c r="C294" t="s">
        <v>290</v>
      </c>
      <c r="E294">
        <v>3</v>
      </c>
      <c r="F294">
        <v>7</v>
      </c>
      <c r="G294">
        <v>21</v>
      </c>
    </row>
    <row r="295" spans="1:7" x14ac:dyDescent="0.35">
      <c r="A295" t="s">
        <v>326</v>
      </c>
      <c r="B295" t="s">
        <v>536</v>
      </c>
      <c r="C295" t="s">
        <v>293</v>
      </c>
      <c r="E295">
        <v>12</v>
      </c>
      <c r="F295">
        <v>21</v>
      </c>
      <c r="G295">
        <v>82</v>
      </c>
    </row>
    <row r="296" spans="1:7" x14ac:dyDescent="0.35">
      <c r="A296" t="s">
        <v>326</v>
      </c>
      <c r="B296" t="s">
        <v>536</v>
      </c>
      <c r="C296" t="s">
        <v>295</v>
      </c>
      <c r="E296">
        <v>9</v>
      </c>
      <c r="F296">
        <v>21</v>
      </c>
      <c r="G296">
        <v>89</v>
      </c>
    </row>
    <row r="297" spans="1:7" x14ac:dyDescent="0.35">
      <c r="A297" t="s">
        <v>326</v>
      </c>
      <c r="B297" t="s">
        <v>536</v>
      </c>
      <c r="C297" t="s">
        <v>297</v>
      </c>
      <c r="E297">
        <v>1</v>
      </c>
      <c r="F297">
        <v>2</v>
      </c>
      <c r="G297">
        <v>11</v>
      </c>
    </row>
    <row r="298" spans="1:7" x14ac:dyDescent="0.35">
      <c r="A298" t="s">
        <v>326</v>
      </c>
      <c r="B298" t="s">
        <v>536</v>
      </c>
      <c r="C298" t="s">
        <v>299</v>
      </c>
      <c r="E298">
        <v>13</v>
      </c>
      <c r="F298">
        <v>28</v>
      </c>
      <c r="G298">
        <v>113</v>
      </c>
    </row>
    <row r="299" spans="1:7" x14ac:dyDescent="0.35">
      <c r="A299" t="s">
        <v>326</v>
      </c>
      <c r="B299" t="s">
        <v>536</v>
      </c>
      <c r="C299" t="s">
        <v>301</v>
      </c>
      <c r="E299">
        <v>14</v>
      </c>
      <c r="F299">
        <v>25</v>
      </c>
      <c r="G299">
        <v>83</v>
      </c>
    </row>
    <row r="300" spans="1:7" x14ac:dyDescent="0.35">
      <c r="A300" t="s">
        <v>326</v>
      </c>
      <c r="B300" t="s">
        <v>536</v>
      </c>
      <c r="C300" t="s">
        <v>303</v>
      </c>
      <c r="E300">
        <v>5</v>
      </c>
      <c r="F300">
        <v>7</v>
      </c>
      <c r="G300">
        <v>36</v>
      </c>
    </row>
    <row r="301" spans="1:7" x14ac:dyDescent="0.35">
      <c r="A301" t="s">
        <v>326</v>
      </c>
      <c r="B301" t="s">
        <v>536</v>
      </c>
      <c r="C301" t="s">
        <v>305</v>
      </c>
      <c r="E301">
        <v>9</v>
      </c>
      <c r="F301">
        <v>13</v>
      </c>
      <c r="G301">
        <v>46</v>
      </c>
    </row>
    <row r="302" spans="1:7" x14ac:dyDescent="0.35">
      <c r="A302" t="s">
        <v>326</v>
      </c>
      <c r="B302" t="s">
        <v>536</v>
      </c>
      <c r="C302" t="s">
        <v>308</v>
      </c>
      <c r="E302">
        <v>7</v>
      </c>
      <c r="F302">
        <v>13</v>
      </c>
      <c r="G302">
        <v>49</v>
      </c>
    </row>
    <row r="303" spans="1:7" x14ac:dyDescent="0.35">
      <c r="A303" t="s">
        <v>326</v>
      </c>
      <c r="B303" t="s">
        <v>536</v>
      </c>
      <c r="C303" t="s">
        <v>310</v>
      </c>
      <c r="E303">
        <v>2</v>
      </c>
      <c r="F303">
        <v>2</v>
      </c>
      <c r="G303">
        <v>15</v>
      </c>
    </row>
    <row r="304" spans="1:7" x14ac:dyDescent="0.35">
      <c r="A304" t="s">
        <v>326</v>
      </c>
      <c r="B304" t="s">
        <v>536</v>
      </c>
      <c r="C304" t="s">
        <v>312</v>
      </c>
      <c r="E304">
        <v>7</v>
      </c>
      <c r="F304">
        <v>9</v>
      </c>
      <c r="G304">
        <v>38</v>
      </c>
    </row>
    <row r="305" spans="1:7" x14ac:dyDescent="0.35">
      <c r="A305" t="s">
        <v>327</v>
      </c>
      <c r="B305" t="s">
        <v>536</v>
      </c>
      <c r="C305" t="s">
        <v>216</v>
      </c>
      <c r="E305">
        <v>1</v>
      </c>
      <c r="F305">
        <v>4</v>
      </c>
      <c r="G305">
        <v>5</v>
      </c>
    </row>
    <row r="306" spans="1:7" x14ac:dyDescent="0.35">
      <c r="A306" t="s">
        <v>327</v>
      </c>
      <c r="B306" t="s">
        <v>536</v>
      </c>
      <c r="C306" t="s">
        <v>221</v>
      </c>
      <c r="E306">
        <v>22</v>
      </c>
      <c r="F306">
        <v>66</v>
      </c>
      <c r="G306">
        <v>178</v>
      </c>
    </row>
    <row r="307" spans="1:7" x14ac:dyDescent="0.35">
      <c r="A307" t="s">
        <v>327</v>
      </c>
      <c r="B307" t="s">
        <v>536</v>
      </c>
      <c r="C307" t="s">
        <v>225</v>
      </c>
      <c r="E307">
        <v>6</v>
      </c>
      <c r="F307">
        <v>18</v>
      </c>
      <c r="G307">
        <v>76</v>
      </c>
    </row>
    <row r="308" spans="1:7" x14ac:dyDescent="0.35">
      <c r="A308" t="s">
        <v>327</v>
      </c>
      <c r="B308" t="s">
        <v>536</v>
      </c>
      <c r="C308" t="s">
        <v>229</v>
      </c>
      <c r="E308">
        <v>15</v>
      </c>
      <c r="F308">
        <v>23</v>
      </c>
      <c r="G308">
        <v>135</v>
      </c>
    </row>
    <row r="309" spans="1:7" x14ac:dyDescent="0.35">
      <c r="A309" t="s">
        <v>327</v>
      </c>
      <c r="B309" t="s">
        <v>536</v>
      </c>
      <c r="C309" t="s">
        <v>235</v>
      </c>
      <c r="E309">
        <v>1</v>
      </c>
      <c r="F309">
        <v>2</v>
      </c>
      <c r="G309">
        <v>6</v>
      </c>
    </row>
    <row r="310" spans="1:7" x14ac:dyDescent="0.35">
      <c r="A310" t="s">
        <v>327</v>
      </c>
      <c r="B310" t="s">
        <v>536</v>
      </c>
      <c r="C310" t="s">
        <v>241</v>
      </c>
      <c r="E310">
        <v>2</v>
      </c>
      <c r="F310">
        <v>4</v>
      </c>
      <c r="G310">
        <v>17</v>
      </c>
    </row>
    <row r="311" spans="1:7" x14ac:dyDescent="0.35">
      <c r="A311" t="s">
        <v>327</v>
      </c>
      <c r="B311" t="s">
        <v>536</v>
      </c>
      <c r="C311" t="s">
        <v>245</v>
      </c>
      <c r="E311">
        <v>15</v>
      </c>
      <c r="F311">
        <v>32</v>
      </c>
      <c r="G311">
        <v>132</v>
      </c>
    </row>
    <row r="312" spans="1:7" x14ac:dyDescent="0.35">
      <c r="A312" t="s">
        <v>327</v>
      </c>
      <c r="B312" t="s">
        <v>536</v>
      </c>
      <c r="C312" t="s">
        <v>248</v>
      </c>
      <c r="E312">
        <v>1</v>
      </c>
      <c r="F312">
        <v>2</v>
      </c>
      <c r="G312">
        <v>11</v>
      </c>
    </row>
    <row r="313" spans="1:7" x14ac:dyDescent="0.35">
      <c r="A313" t="s">
        <v>327</v>
      </c>
      <c r="B313" t="s">
        <v>536</v>
      </c>
      <c r="C313" t="s">
        <v>250</v>
      </c>
      <c r="E313">
        <v>6</v>
      </c>
      <c r="F313">
        <v>12</v>
      </c>
      <c r="G313">
        <v>53</v>
      </c>
    </row>
    <row r="314" spans="1:7" x14ac:dyDescent="0.35">
      <c r="A314" t="s">
        <v>327</v>
      </c>
      <c r="B314" t="s">
        <v>536</v>
      </c>
      <c r="C314" t="s">
        <v>256</v>
      </c>
      <c r="E314">
        <v>5</v>
      </c>
      <c r="F314">
        <v>12</v>
      </c>
      <c r="G314">
        <v>39</v>
      </c>
    </row>
    <row r="315" spans="1:7" x14ac:dyDescent="0.35">
      <c r="A315" t="s">
        <v>327</v>
      </c>
      <c r="B315" t="s">
        <v>536</v>
      </c>
      <c r="C315" t="s">
        <v>264</v>
      </c>
      <c r="E315">
        <v>5</v>
      </c>
      <c r="F315">
        <v>10</v>
      </c>
      <c r="G315">
        <v>46</v>
      </c>
    </row>
    <row r="316" spans="1:7" x14ac:dyDescent="0.35">
      <c r="A316" t="s">
        <v>327</v>
      </c>
      <c r="B316" t="s">
        <v>536</v>
      </c>
      <c r="C316" t="s">
        <v>268</v>
      </c>
      <c r="E316">
        <v>8</v>
      </c>
      <c r="F316">
        <v>22</v>
      </c>
      <c r="G316">
        <v>74</v>
      </c>
    </row>
    <row r="317" spans="1:7" x14ac:dyDescent="0.35">
      <c r="A317" t="s">
        <v>327</v>
      </c>
      <c r="B317" t="s">
        <v>536</v>
      </c>
      <c r="C317" t="s">
        <v>274</v>
      </c>
      <c r="E317">
        <v>45</v>
      </c>
      <c r="F317">
        <v>91</v>
      </c>
      <c r="G317">
        <v>328</v>
      </c>
    </row>
    <row r="318" spans="1:7" x14ac:dyDescent="0.35">
      <c r="A318" t="s">
        <v>327</v>
      </c>
      <c r="B318" t="s">
        <v>536</v>
      </c>
      <c r="C318" t="s">
        <v>278</v>
      </c>
      <c r="E318">
        <v>3</v>
      </c>
      <c r="F318">
        <v>7</v>
      </c>
      <c r="G318">
        <v>25</v>
      </c>
    </row>
    <row r="319" spans="1:7" x14ac:dyDescent="0.35">
      <c r="A319" t="s">
        <v>327</v>
      </c>
      <c r="B319" t="s">
        <v>536</v>
      </c>
      <c r="C319" t="s">
        <v>280</v>
      </c>
      <c r="E319">
        <v>1</v>
      </c>
      <c r="F319">
        <v>2</v>
      </c>
      <c r="G319">
        <v>10</v>
      </c>
    </row>
    <row r="320" spans="1:7" x14ac:dyDescent="0.35">
      <c r="A320" t="s">
        <v>327</v>
      </c>
      <c r="B320" t="s">
        <v>536</v>
      </c>
      <c r="C320" t="s">
        <v>282</v>
      </c>
      <c r="E320">
        <v>12</v>
      </c>
      <c r="F320">
        <v>28</v>
      </c>
      <c r="G320">
        <v>76</v>
      </c>
    </row>
    <row r="321" spans="1:7" x14ac:dyDescent="0.35">
      <c r="A321" t="s">
        <v>327</v>
      </c>
      <c r="B321" t="s">
        <v>536</v>
      </c>
      <c r="C321" t="s">
        <v>284</v>
      </c>
      <c r="E321">
        <v>1</v>
      </c>
      <c r="F321">
        <v>2</v>
      </c>
      <c r="G321">
        <v>7</v>
      </c>
    </row>
    <row r="322" spans="1:7" x14ac:dyDescent="0.35">
      <c r="A322" t="s">
        <v>327</v>
      </c>
      <c r="B322" t="s">
        <v>536</v>
      </c>
      <c r="C322" t="s">
        <v>284</v>
      </c>
      <c r="E322">
        <v>13</v>
      </c>
      <c r="F322">
        <v>26</v>
      </c>
      <c r="G322">
        <v>83</v>
      </c>
    </row>
    <row r="323" spans="1:7" x14ac:dyDescent="0.35">
      <c r="A323" t="s">
        <v>327</v>
      </c>
      <c r="B323" t="s">
        <v>536</v>
      </c>
      <c r="C323" t="s">
        <v>288</v>
      </c>
      <c r="E323">
        <v>9</v>
      </c>
      <c r="F323">
        <v>12</v>
      </c>
      <c r="G323">
        <v>77</v>
      </c>
    </row>
    <row r="324" spans="1:7" x14ac:dyDescent="0.35">
      <c r="A324" t="s">
        <v>327</v>
      </c>
      <c r="B324" t="s">
        <v>536</v>
      </c>
      <c r="C324" t="s">
        <v>290</v>
      </c>
      <c r="E324">
        <v>3</v>
      </c>
      <c r="F324">
        <v>6</v>
      </c>
      <c r="G324">
        <v>20</v>
      </c>
    </row>
    <row r="325" spans="1:7" x14ac:dyDescent="0.35">
      <c r="A325" t="s">
        <v>327</v>
      </c>
      <c r="B325" t="s">
        <v>536</v>
      </c>
      <c r="C325" t="s">
        <v>293</v>
      </c>
      <c r="E325">
        <v>1</v>
      </c>
      <c r="F325">
        <v>2</v>
      </c>
      <c r="G325">
        <v>5</v>
      </c>
    </row>
    <row r="326" spans="1:7" x14ac:dyDescent="0.35">
      <c r="A326" t="s">
        <v>327</v>
      </c>
      <c r="B326" t="s">
        <v>536</v>
      </c>
      <c r="C326" t="s">
        <v>293</v>
      </c>
      <c r="E326">
        <v>11</v>
      </c>
      <c r="F326">
        <v>21</v>
      </c>
      <c r="G326">
        <v>72</v>
      </c>
    </row>
    <row r="327" spans="1:7" x14ac:dyDescent="0.35">
      <c r="A327" t="s">
        <v>327</v>
      </c>
      <c r="B327" t="s">
        <v>536</v>
      </c>
      <c r="C327" t="s">
        <v>295</v>
      </c>
      <c r="E327">
        <v>11</v>
      </c>
      <c r="F327">
        <v>20</v>
      </c>
      <c r="G327">
        <v>86</v>
      </c>
    </row>
    <row r="328" spans="1:7" x14ac:dyDescent="0.35">
      <c r="A328" t="s">
        <v>327</v>
      </c>
      <c r="B328" t="s">
        <v>536</v>
      </c>
      <c r="C328" t="s">
        <v>297</v>
      </c>
      <c r="E328">
        <v>1</v>
      </c>
      <c r="F328">
        <v>2</v>
      </c>
      <c r="G328">
        <v>8</v>
      </c>
    </row>
    <row r="329" spans="1:7" x14ac:dyDescent="0.35">
      <c r="A329" t="s">
        <v>327</v>
      </c>
      <c r="B329" t="s">
        <v>536</v>
      </c>
      <c r="C329" t="s">
        <v>299</v>
      </c>
      <c r="E329">
        <v>12</v>
      </c>
      <c r="F329">
        <v>28</v>
      </c>
      <c r="G329">
        <v>97</v>
      </c>
    </row>
    <row r="330" spans="1:7" x14ac:dyDescent="0.35">
      <c r="A330" t="s">
        <v>327</v>
      </c>
      <c r="B330" t="s">
        <v>536</v>
      </c>
      <c r="C330" t="s">
        <v>301</v>
      </c>
      <c r="E330">
        <v>14</v>
      </c>
      <c r="F330">
        <v>23</v>
      </c>
      <c r="G330">
        <v>77</v>
      </c>
    </row>
    <row r="331" spans="1:7" x14ac:dyDescent="0.35">
      <c r="A331" t="s">
        <v>327</v>
      </c>
      <c r="B331" t="s">
        <v>536</v>
      </c>
      <c r="C331" t="s">
        <v>303</v>
      </c>
      <c r="E331">
        <v>4</v>
      </c>
      <c r="F331">
        <v>8</v>
      </c>
      <c r="G331">
        <v>34</v>
      </c>
    </row>
    <row r="332" spans="1:7" x14ac:dyDescent="0.35">
      <c r="A332" t="s">
        <v>327</v>
      </c>
      <c r="B332" t="s">
        <v>536</v>
      </c>
      <c r="C332" t="s">
        <v>305</v>
      </c>
      <c r="E332">
        <v>8</v>
      </c>
      <c r="F332">
        <v>13</v>
      </c>
      <c r="G332">
        <v>52</v>
      </c>
    </row>
    <row r="333" spans="1:7" x14ac:dyDescent="0.35">
      <c r="A333" t="s">
        <v>327</v>
      </c>
      <c r="B333" t="s">
        <v>536</v>
      </c>
      <c r="C333" t="s">
        <v>308</v>
      </c>
      <c r="E333">
        <v>7</v>
      </c>
      <c r="F333">
        <v>15</v>
      </c>
      <c r="G333">
        <v>46</v>
      </c>
    </row>
    <row r="334" spans="1:7" x14ac:dyDescent="0.35">
      <c r="A334" t="s">
        <v>327</v>
      </c>
      <c r="B334" t="s">
        <v>536</v>
      </c>
      <c r="C334" t="s">
        <v>310</v>
      </c>
      <c r="E334">
        <v>2</v>
      </c>
      <c r="F334">
        <v>2</v>
      </c>
      <c r="G334">
        <v>17</v>
      </c>
    </row>
    <row r="335" spans="1:7" x14ac:dyDescent="0.35">
      <c r="A335" t="s">
        <v>327</v>
      </c>
      <c r="B335" t="s">
        <v>536</v>
      </c>
      <c r="C335" t="s">
        <v>312</v>
      </c>
      <c r="E335">
        <v>6</v>
      </c>
      <c r="F335">
        <v>10</v>
      </c>
      <c r="G335">
        <v>40</v>
      </c>
    </row>
    <row r="336" spans="1:7" x14ac:dyDescent="0.35">
      <c r="A336" t="s">
        <v>466</v>
      </c>
      <c r="B336" t="s">
        <v>536</v>
      </c>
      <c r="C336" t="s">
        <v>216</v>
      </c>
      <c r="E336">
        <v>1</v>
      </c>
      <c r="F336">
        <v>3</v>
      </c>
      <c r="G336">
        <v>4</v>
      </c>
    </row>
    <row r="337" spans="1:7" x14ac:dyDescent="0.35">
      <c r="A337" t="s">
        <v>466</v>
      </c>
      <c r="B337" t="s">
        <v>536</v>
      </c>
      <c r="C337" t="s">
        <v>221</v>
      </c>
      <c r="E337">
        <v>23</v>
      </c>
      <c r="F337">
        <v>63</v>
      </c>
      <c r="G337">
        <v>182</v>
      </c>
    </row>
    <row r="338" spans="1:7" x14ac:dyDescent="0.35">
      <c r="A338" t="s">
        <v>466</v>
      </c>
      <c r="B338" t="s">
        <v>536</v>
      </c>
      <c r="C338" t="s">
        <v>225</v>
      </c>
      <c r="E338">
        <v>6</v>
      </c>
      <c r="F338">
        <v>19</v>
      </c>
      <c r="G338">
        <v>74</v>
      </c>
    </row>
    <row r="339" spans="1:7" x14ac:dyDescent="0.35">
      <c r="A339" t="s">
        <v>466</v>
      </c>
      <c r="B339" t="s">
        <v>536</v>
      </c>
      <c r="C339" t="s">
        <v>229</v>
      </c>
      <c r="E339">
        <v>14</v>
      </c>
      <c r="F339">
        <v>25</v>
      </c>
      <c r="G339">
        <v>143</v>
      </c>
    </row>
    <row r="340" spans="1:7" x14ac:dyDescent="0.35">
      <c r="A340" t="s">
        <v>466</v>
      </c>
      <c r="B340" t="s">
        <v>536</v>
      </c>
      <c r="C340" t="s">
        <v>235</v>
      </c>
      <c r="E340">
        <v>1</v>
      </c>
      <c r="F340">
        <v>2</v>
      </c>
      <c r="G340">
        <v>5</v>
      </c>
    </row>
    <row r="341" spans="1:7" x14ac:dyDescent="0.35">
      <c r="A341" t="s">
        <v>466</v>
      </c>
      <c r="B341" t="s">
        <v>536</v>
      </c>
      <c r="C341" t="s">
        <v>241</v>
      </c>
      <c r="E341">
        <v>2</v>
      </c>
      <c r="F341">
        <v>3</v>
      </c>
      <c r="G341">
        <v>18</v>
      </c>
    </row>
    <row r="342" spans="1:7" x14ac:dyDescent="0.35">
      <c r="A342" t="s">
        <v>466</v>
      </c>
      <c r="B342" t="s">
        <v>536</v>
      </c>
      <c r="C342" t="s">
        <v>245</v>
      </c>
      <c r="E342">
        <v>17</v>
      </c>
      <c r="F342">
        <v>31</v>
      </c>
      <c r="G342">
        <v>139</v>
      </c>
    </row>
    <row r="343" spans="1:7" x14ac:dyDescent="0.35">
      <c r="A343" t="s">
        <v>466</v>
      </c>
      <c r="B343" t="s">
        <v>536</v>
      </c>
      <c r="C343" t="s">
        <v>248</v>
      </c>
      <c r="E343">
        <v>1</v>
      </c>
      <c r="F343">
        <v>2</v>
      </c>
      <c r="G343">
        <v>12</v>
      </c>
    </row>
    <row r="344" spans="1:7" x14ac:dyDescent="0.35">
      <c r="A344" t="s">
        <v>466</v>
      </c>
      <c r="B344" t="s">
        <v>536</v>
      </c>
      <c r="C344" t="s">
        <v>250</v>
      </c>
      <c r="E344">
        <v>5</v>
      </c>
      <c r="F344">
        <v>10</v>
      </c>
      <c r="G344">
        <v>54</v>
      </c>
    </row>
    <row r="345" spans="1:7" x14ac:dyDescent="0.35">
      <c r="A345" t="s">
        <v>466</v>
      </c>
      <c r="B345" t="s">
        <v>536</v>
      </c>
      <c r="C345" t="s">
        <v>256</v>
      </c>
      <c r="E345">
        <v>5</v>
      </c>
      <c r="F345">
        <v>12</v>
      </c>
      <c r="G345">
        <v>38</v>
      </c>
    </row>
    <row r="346" spans="1:7" x14ac:dyDescent="0.35">
      <c r="A346" t="s">
        <v>466</v>
      </c>
      <c r="B346" t="s">
        <v>536</v>
      </c>
      <c r="C346" t="s">
        <v>264</v>
      </c>
      <c r="E346">
        <v>5</v>
      </c>
      <c r="F346">
        <v>10</v>
      </c>
      <c r="G346">
        <v>44</v>
      </c>
    </row>
    <row r="347" spans="1:7" x14ac:dyDescent="0.35">
      <c r="A347" t="s">
        <v>466</v>
      </c>
      <c r="B347" t="s">
        <v>536</v>
      </c>
      <c r="C347" t="s">
        <v>268</v>
      </c>
      <c r="E347">
        <v>8</v>
      </c>
      <c r="F347">
        <v>20</v>
      </c>
      <c r="G347">
        <v>74</v>
      </c>
    </row>
    <row r="348" spans="1:7" x14ac:dyDescent="0.35">
      <c r="A348" t="s">
        <v>466</v>
      </c>
      <c r="B348" t="s">
        <v>536</v>
      </c>
      <c r="C348" t="s">
        <v>274</v>
      </c>
      <c r="E348">
        <v>46</v>
      </c>
      <c r="F348">
        <v>94</v>
      </c>
      <c r="G348">
        <v>301</v>
      </c>
    </row>
    <row r="349" spans="1:7" x14ac:dyDescent="0.35">
      <c r="A349" t="s">
        <v>466</v>
      </c>
      <c r="B349" t="s">
        <v>536</v>
      </c>
      <c r="C349" t="s">
        <v>278</v>
      </c>
      <c r="E349">
        <v>3</v>
      </c>
      <c r="F349">
        <v>7</v>
      </c>
      <c r="G349">
        <v>28</v>
      </c>
    </row>
    <row r="350" spans="1:7" x14ac:dyDescent="0.35">
      <c r="A350" t="s">
        <v>466</v>
      </c>
      <c r="B350" t="s">
        <v>536</v>
      </c>
      <c r="C350" t="s">
        <v>280</v>
      </c>
      <c r="E350">
        <v>1</v>
      </c>
      <c r="F350">
        <v>2</v>
      </c>
      <c r="G350">
        <v>11</v>
      </c>
    </row>
    <row r="351" spans="1:7" x14ac:dyDescent="0.35">
      <c r="A351" t="s">
        <v>466</v>
      </c>
      <c r="B351" t="s">
        <v>536</v>
      </c>
      <c r="C351" t="s">
        <v>282</v>
      </c>
      <c r="E351">
        <v>10</v>
      </c>
      <c r="F351">
        <v>25</v>
      </c>
      <c r="G351">
        <v>70</v>
      </c>
    </row>
    <row r="352" spans="1:7" x14ac:dyDescent="0.35">
      <c r="A352" t="s">
        <v>466</v>
      </c>
      <c r="B352" t="s">
        <v>536</v>
      </c>
      <c r="C352" t="s">
        <v>284</v>
      </c>
      <c r="E352">
        <v>1</v>
      </c>
      <c r="F352">
        <v>2</v>
      </c>
      <c r="G352">
        <v>8</v>
      </c>
    </row>
    <row r="353" spans="1:7" x14ac:dyDescent="0.35">
      <c r="A353" t="s">
        <v>466</v>
      </c>
      <c r="B353" t="s">
        <v>536</v>
      </c>
      <c r="C353" t="s">
        <v>284</v>
      </c>
      <c r="E353">
        <v>12</v>
      </c>
      <c r="F353">
        <v>25</v>
      </c>
      <c r="G353">
        <v>83</v>
      </c>
    </row>
    <row r="354" spans="1:7" x14ac:dyDescent="0.35">
      <c r="A354" t="s">
        <v>466</v>
      </c>
      <c r="B354" t="s">
        <v>536</v>
      </c>
      <c r="C354" t="s">
        <v>288</v>
      </c>
      <c r="E354">
        <v>10</v>
      </c>
      <c r="F354">
        <v>12</v>
      </c>
      <c r="G354">
        <v>78</v>
      </c>
    </row>
    <row r="355" spans="1:7" x14ac:dyDescent="0.35">
      <c r="A355" t="s">
        <v>466</v>
      </c>
      <c r="B355" t="s">
        <v>536</v>
      </c>
      <c r="C355" t="s">
        <v>290</v>
      </c>
      <c r="E355">
        <v>3</v>
      </c>
      <c r="F355">
        <v>6</v>
      </c>
      <c r="G355">
        <v>17</v>
      </c>
    </row>
    <row r="356" spans="1:7" x14ac:dyDescent="0.35">
      <c r="A356" t="s">
        <v>466</v>
      </c>
      <c r="B356" t="s">
        <v>536</v>
      </c>
      <c r="C356" t="s">
        <v>293</v>
      </c>
      <c r="E356">
        <v>1</v>
      </c>
      <c r="F356">
        <v>2</v>
      </c>
      <c r="G356">
        <v>5</v>
      </c>
    </row>
    <row r="357" spans="1:7" x14ac:dyDescent="0.35">
      <c r="A357" t="s">
        <v>466</v>
      </c>
      <c r="B357" t="s">
        <v>536</v>
      </c>
      <c r="C357" t="s">
        <v>293</v>
      </c>
      <c r="E357">
        <v>11</v>
      </c>
      <c r="F357">
        <v>19</v>
      </c>
      <c r="G357">
        <v>64</v>
      </c>
    </row>
    <row r="358" spans="1:7" x14ac:dyDescent="0.35">
      <c r="A358" t="s">
        <v>466</v>
      </c>
      <c r="B358" t="s">
        <v>536</v>
      </c>
      <c r="C358" t="s">
        <v>295</v>
      </c>
      <c r="E358">
        <v>8</v>
      </c>
      <c r="F358">
        <v>20</v>
      </c>
      <c r="G358">
        <v>89</v>
      </c>
    </row>
    <row r="359" spans="1:7" x14ac:dyDescent="0.35">
      <c r="A359" t="s">
        <v>466</v>
      </c>
      <c r="B359" t="s">
        <v>536</v>
      </c>
      <c r="C359" t="s">
        <v>297</v>
      </c>
      <c r="E359">
        <v>1</v>
      </c>
      <c r="F359">
        <v>2</v>
      </c>
      <c r="G359">
        <v>11</v>
      </c>
    </row>
    <row r="360" spans="1:7" x14ac:dyDescent="0.35">
      <c r="A360" t="s">
        <v>466</v>
      </c>
      <c r="B360" t="s">
        <v>536</v>
      </c>
      <c r="C360" t="s">
        <v>299</v>
      </c>
      <c r="E360">
        <v>13</v>
      </c>
      <c r="F360">
        <v>28</v>
      </c>
      <c r="G360">
        <v>104</v>
      </c>
    </row>
    <row r="361" spans="1:7" x14ac:dyDescent="0.35">
      <c r="A361" t="s">
        <v>466</v>
      </c>
      <c r="B361" t="s">
        <v>536</v>
      </c>
      <c r="C361" t="s">
        <v>301</v>
      </c>
      <c r="E361">
        <v>14</v>
      </c>
      <c r="F361">
        <v>25</v>
      </c>
      <c r="G361">
        <v>84</v>
      </c>
    </row>
    <row r="362" spans="1:7" x14ac:dyDescent="0.35">
      <c r="A362" t="s">
        <v>466</v>
      </c>
      <c r="B362" t="s">
        <v>536</v>
      </c>
      <c r="C362" t="s">
        <v>303</v>
      </c>
      <c r="E362">
        <v>4</v>
      </c>
      <c r="F362">
        <v>8</v>
      </c>
      <c r="G362">
        <v>31</v>
      </c>
    </row>
    <row r="363" spans="1:7" x14ac:dyDescent="0.35">
      <c r="A363" t="s">
        <v>466</v>
      </c>
      <c r="B363" t="s">
        <v>536</v>
      </c>
      <c r="C363" t="s">
        <v>305</v>
      </c>
      <c r="E363">
        <v>8</v>
      </c>
      <c r="F363">
        <v>12</v>
      </c>
      <c r="G363">
        <v>54</v>
      </c>
    </row>
    <row r="364" spans="1:7" x14ac:dyDescent="0.35">
      <c r="A364" t="s">
        <v>466</v>
      </c>
      <c r="B364" t="s">
        <v>536</v>
      </c>
      <c r="C364" t="s">
        <v>308</v>
      </c>
      <c r="E364">
        <v>6</v>
      </c>
      <c r="F364">
        <v>14</v>
      </c>
      <c r="G364">
        <v>52</v>
      </c>
    </row>
    <row r="365" spans="1:7" x14ac:dyDescent="0.35">
      <c r="A365" t="s">
        <v>466</v>
      </c>
      <c r="B365" t="s">
        <v>536</v>
      </c>
      <c r="C365" t="s">
        <v>310</v>
      </c>
      <c r="E365">
        <v>2</v>
      </c>
      <c r="F365">
        <v>2</v>
      </c>
      <c r="G365">
        <v>20</v>
      </c>
    </row>
    <row r="366" spans="1:7" x14ac:dyDescent="0.35">
      <c r="A366" t="s">
        <v>466</v>
      </c>
      <c r="B366" t="s">
        <v>536</v>
      </c>
      <c r="C366" t="s">
        <v>312</v>
      </c>
      <c r="E366">
        <v>6</v>
      </c>
      <c r="F366">
        <v>9</v>
      </c>
      <c r="G366">
        <v>46</v>
      </c>
    </row>
  </sheetData>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8">
    <tabColor theme="9" tint="0.39997558519241921"/>
    <pageSetUpPr fitToPage="1"/>
  </sheetPr>
  <dimension ref="A1:I48"/>
  <sheetViews>
    <sheetView showGridLines="0" zoomScaleNormal="100" workbookViewId="0">
      <pane ySplit="2" topLeftCell="A3" activePane="bottomLeft" state="frozen"/>
      <selection pane="bottomLeft" sqref="A1:G1"/>
    </sheetView>
  </sheetViews>
  <sheetFormatPr defaultRowHeight="14.5" x14ac:dyDescent="0.35"/>
  <cols>
    <col min="1" max="1" width="17" bestFit="1" customWidth="1"/>
    <col min="2" max="2" width="34.7265625" customWidth="1"/>
    <col min="3" max="5" width="13" customWidth="1"/>
    <col min="6" max="6" width="12.7265625" customWidth="1"/>
  </cols>
  <sheetData>
    <row r="1" spans="1:9" ht="20.149999999999999" customHeight="1" x14ac:dyDescent="0.35">
      <c r="A1" s="1011" t="s">
        <v>513</v>
      </c>
      <c r="B1" s="1011"/>
      <c r="C1" s="1011"/>
      <c r="D1" s="1011"/>
      <c r="E1" s="1011"/>
      <c r="F1" s="1011"/>
      <c r="G1" s="1011"/>
      <c r="H1" s="25"/>
      <c r="I1" s="25"/>
    </row>
    <row r="2" spans="1:9" ht="19.5" customHeight="1" x14ac:dyDescent="0.35">
      <c r="A2" s="499" t="s">
        <v>201</v>
      </c>
      <c r="B2" s="1"/>
      <c r="C2" s="1"/>
      <c r="D2" s="1"/>
      <c r="E2" s="1"/>
      <c r="F2" s="1"/>
      <c r="G2" s="1"/>
      <c r="H2" s="25"/>
      <c r="I2" s="25"/>
    </row>
    <row r="3" spans="1:9" ht="17.5" x14ac:dyDescent="0.35">
      <c r="A3" s="1"/>
      <c r="B3" s="1"/>
      <c r="C3" s="1"/>
      <c r="D3" s="1"/>
      <c r="E3" s="1"/>
      <c r="F3" s="1"/>
      <c r="G3" s="1"/>
      <c r="H3" s="25"/>
      <c r="I3" s="25"/>
    </row>
    <row r="4" spans="1:9" ht="30.75" customHeight="1" x14ac:dyDescent="0.35">
      <c r="A4" s="1021" t="s">
        <v>676</v>
      </c>
      <c r="B4" s="1021"/>
      <c r="C4" s="1021"/>
      <c r="D4" s="1021"/>
      <c r="E4" s="1021"/>
      <c r="F4" s="1021"/>
    </row>
    <row r="5" spans="1:9" ht="15" customHeight="1" x14ac:dyDescent="0.35">
      <c r="A5" t="s">
        <v>202</v>
      </c>
      <c r="B5" t="s">
        <v>74</v>
      </c>
      <c r="C5" s="231"/>
      <c r="D5" s="231"/>
      <c r="E5" s="231"/>
      <c r="F5" s="231"/>
    </row>
    <row r="6" spans="1:9" ht="15" customHeight="1" x14ac:dyDescent="0.35">
      <c r="A6" t="s">
        <v>203</v>
      </c>
      <c r="B6" t="s">
        <v>204</v>
      </c>
      <c r="C6" s="231"/>
      <c r="D6" s="231"/>
      <c r="E6" s="231"/>
      <c r="F6" s="231"/>
    </row>
    <row r="7" spans="1:9" ht="15" customHeight="1" x14ac:dyDescent="0.35">
      <c r="A7" t="s">
        <v>205</v>
      </c>
      <c r="B7" t="s">
        <v>206</v>
      </c>
      <c r="C7" s="231"/>
      <c r="D7" s="231"/>
      <c r="E7" s="231"/>
      <c r="F7" s="231"/>
    </row>
    <row r="8" spans="1:9" ht="33.75" customHeight="1" x14ac:dyDescent="0.35">
      <c r="A8" s="36" t="s">
        <v>207</v>
      </c>
      <c r="B8" s="36" t="s">
        <v>550</v>
      </c>
      <c r="C8" s="79" t="s">
        <v>647</v>
      </c>
      <c r="D8" s="79" t="s">
        <v>648</v>
      </c>
      <c r="E8" s="79" t="s">
        <v>632</v>
      </c>
      <c r="F8" s="79" t="s">
        <v>340</v>
      </c>
    </row>
    <row r="9" spans="1:9" ht="22.5" customHeight="1" thickBot="1" x14ac:dyDescent="0.4">
      <c r="A9" s="38" t="str">
        <f>rdsroleareapivot!B1</f>
        <v>2024-25</v>
      </c>
      <c r="B9" s="38" t="s">
        <v>551</v>
      </c>
      <c r="C9" s="284">
        <f>C44</f>
        <v>248</v>
      </c>
      <c r="D9" s="284">
        <f>D44</f>
        <v>514</v>
      </c>
      <c r="E9" s="284">
        <f>E44</f>
        <v>1943</v>
      </c>
      <c r="F9" s="284">
        <f>F44</f>
        <v>2705</v>
      </c>
    </row>
    <row r="10" spans="1:9" ht="15" customHeight="1" x14ac:dyDescent="0.35">
      <c r="B10" s="39"/>
      <c r="C10" s="279"/>
      <c r="D10" s="279"/>
      <c r="E10" s="279"/>
      <c r="F10" s="279"/>
    </row>
    <row r="11" spans="1:9" ht="13.5" customHeight="1" x14ac:dyDescent="0.35">
      <c r="A11" s="42" t="s">
        <v>208</v>
      </c>
      <c r="B11" s="42" t="s">
        <v>347</v>
      </c>
      <c r="C11" s="285"/>
      <c r="D11" s="285"/>
      <c r="E11" s="285"/>
      <c r="F11" s="285"/>
    </row>
    <row r="12" spans="1:9" ht="24" customHeight="1" x14ac:dyDescent="0.35">
      <c r="A12" s="391" t="s">
        <v>215</v>
      </c>
      <c r="B12" s="45" t="s">
        <v>216</v>
      </c>
      <c r="C12" s="49">
        <f>GETPIVOTDATA("Sum of Watch Manager",rdsroleareapivot!$A$3,"Area","Aberdeen City")</f>
        <v>1</v>
      </c>
      <c r="D12" s="49">
        <f>GETPIVOTDATA("Sum of Crew Manager",rdsroleareapivot!$A$3,"Area","Aberdeen City")</f>
        <v>3</v>
      </c>
      <c r="E12" s="49">
        <f>GETPIVOTDATA("Sum of Firefighter",rdsroleareapivot!$A$3,"Area","Aberdeen City")</f>
        <v>4</v>
      </c>
      <c r="F12" s="263">
        <f>SUM(C12:E12)</f>
        <v>8</v>
      </c>
    </row>
    <row r="13" spans="1:9" ht="15" customHeight="1" x14ac:dyDescent="0.35">
      <c r="A13" s="89" t="s">
        <v>220</v>
      </c>
      <c r="B13" s="48" t="s">
        <v>221</v>
      </c>
      <c r="C13" s="49">
        <f>GETPIVOTDATA("Sum of Watch Manager",rdsroleareapivot!$A$3,"Area","Aberdeenshire")</f>
        <v>23</v>
      </c>
      <c r="D13" s="49">
        <f>GETPIVOTDATA("Sum of Crew Manager",rdsroleareapivot!$A$3,"Area","Aberdeenshire")</f>
        <v>63</v>
      </c>
      <c r="E13" s="49">
        <f>GETPIVOTDATA("Sum of Firefighter",rdsroleareapivot!$A$3,"Area","Aberdeenshire")</f>
        <v>182</v>
      </c>
      <c r="F13" s="263">
        <f t="shared" ref="F13:F21" si="0">SUM(C13:E13)</f>
        <v>268</v>
      </c>
    </row>
    <row r="14" spans="1:9" ht="15" customHeight="1" x14ac:dyDescent="0.35">
      <c r="A14" s="89" t="s">
        <v>224</v>
      </c>
      <c r="B14" s="48" t="s">
        <v>225</v>
      </c>
      <c r="C14" s="49">
        <f>GETPIVOTDATA("Sum of Watch Manager",rdsroleareapivot!$A$3,"Area", "Angus")</f>
        <v>6</v>
      </c>
      <c r="D14" s="49">
        <f>GETPIVOTDATA("Sum of Crew Manager",rdsroleareapivot!$A$3,"Area", "Angus")</f>
        <v>19</v>
      </c>
      <c r="E14" s="49">
        <f>GETPIVOTDATA("Sum of Firefighter",rdsroleareapivot!$A$3,"Area", "Angus")</f>
        <v>74</v>
      </c>
      <c r="F14" s="263">
        <f t="shared" si="0"/>
        <v>99</v>
      </c>
    </row>
    <row r="15" spans="1:9" ht="15" customHeight="1" x14ac:dyDescent="0.35">
      <c r="A15" s="89" t="s">
        <v>228</v>
      </c>
      <c r="B15" s="48" t="s">
        <v>229</v>
      </c>
      <c r="C15" s="49">
        <f>GETPIVOTDATA("Sum of Watch Manager",rdsroleareapivot!$A$3,"Area","Argyll and Bute")</f>
        <v>14</v>
      </c>
      <c r="D15" s="49">
        <f>GETPIVOTDATA("Sum of Crew Manager",rdsroleareapivot!$A$3,"Area","Argyll and Bute")</f>
        <v>25</v>
      </c>
      <c r="E15" s="49">
        <f>GETPIVOTDATA("Sum of Firefighter",rdsroleareapivot!$A$3,"Area","Argyll and Bute")</f>
        <v>143</v>
      </c>
      <c r="F15" s="263">
        <f t="shared" si="0"/>
        <v>182</v>
      </c>
    </row>
    <row r="16" spans="1:9" ht="15" customHeight="1" x14ac:dyDescent="0.35">
      <c r="A16" s="89" t="s">
        <v>234</v>
      </c>
      <c r="B16" s="48" t="s">
        <v>235</v>
      </c>
      <c r="C16" s="49">
        <f>GETPIVOTDATA("Sum of Watch Manager",rdsroleareapivot!$A$3,"Area","City of Edinburgh")</f>
        <v>1</v>
      </c>
      <c r="D16" s="49">
        <f>GETPIVOTDATA("Sum of Crew Manager",rdsroleareapivot!$A$3,"Area","City of Edinburgh")</f>
        <v>2</v>
      </c>
      <c r="E16" s="49">
        <f>GETPIVOTDATA("Sum of Firefighter",rdsroleareapivot!$A$3,"Area","City of Edinburgh")</f>
        <v>5</v>
      </c>
      <c r="F16" s="263">
        <f t="shared" si="0"/>
        <v>8</v>
      </c>
    </row>
    <row r="17" spans="1:6" ht="15" customHeight="1" x14ac:dyDescent="0.35">
      <c r="A17" s="89" t="s">
        <v>240</v>
      </c>
      <c r="B17" s="48" t="s">
        <v>241</v>
      </c>
      <c r="C17" s="49">
        <f>GETPIVOTDATA("Sum of Watch Manager",rdsroleareapivot!$A$3,"Area","Clackmannanshire")</f>
        <v>2</v>
      </c>
      <c r="D17" s="49">
        <f>GETPIVOTDATA("Sum of Crew Manager",rdsroleareapivot!$A$3,"Area","Clackmannanshire")</f>
        <v>3</v>
      </c>
      <c r="E17" s="49">
        <f>GETPIVOTDATA("Sum of Firefighter",rdsroleareapivot!$A$3,"Area","Clackmannanshire")</f>
        <v>18</v>
      </c>
      <c r="F17" s="263">
        <f t="shared" si="0"/>
        <v>23</v>
      </c>
    </row>
    <row r="18" spans="1:6" ht="15" customHeight="1" x14ac:dyDescent="0.35">
      <c r="A18" s="89" t="s">
        <v>244</v>
      </c>
      <c r="B18" s="48" t="s">
        <v>245</v>
      </c>
      <c r="C18" s="49">
        <f>GETPIVOTDATA("Sum of Watch Manager",rdsroleareapivot!$A$3,"Area","Dumfries and Galloway")</f>
        <v>17</v>
      </c>
      <c r="D18" s="49">
        <f>GETPIVOTDATA("Sum of Crew Manager",rdsroleareapivot!$A$3,"Area","Dumfries and Galloway")</f>
        <v>31</v>
      </c>
      <c r="E18" s="49">
        <f>GETPIVOTDATA("Sum of Firefighter",rdsroleareapivot!$A$3,"Area","Dumfries and Galloway")</f>
        <v>139</v>
      </c>
      <c r="F18" s="263">
        <f t="shared" si="0"/>
        <v>187</v>
      </c>
    </row>
    <row r="19" spans="1:6" ht="15" customHeight="1" x14ac:dyDescent="0.35">
      <c r="A19" s="89" t="s">
        <v>247</v>
      </c>
      <c r="B19" s="48" t="s">
        <v>248</v>
      </c>
      <c r="C19" s="49">
        <f>GETPIVOTDATA("Sum of Watch Manager",rdsroleareapivot!$A$3,"Area","Dundee City")</f>
        <v>1</v>
      </c>
      <c r="D19" s="49">
        <f>GETPIVOTDATA("Sum of Crew Manager",rdsroleareapivot!$A$3,"Area","Dundee City")</f>
        <v>2</v>
      </c>
      <c r="E19" s="49">
        <f>GETPIVOTDATA("Sum of Firefighter",rdsroleareapivot!$A$3,"Area","Dundee City")</f>
        <v>12</v>
      </c>
      <c r="F19" s="263">
        <f t="shared" si="0"/>
        <v>15</v>
      </c>
    </row>
    <row r="20" spans="1:6" ht="15" customHeight="1" x14ac:dyDescent="0.35">
      <c r="A20" s="89" t="s">
        <v>249</v>
      </c>
      <c r="B20" s="48" t="s">
        <v>250</v>
      </c>
      <c r="C20" s="49">
        <f>GETPIVOTDATA("Sum of Watch Manager",rdsroleareapivot!$A$3,"Area","East Ayrshire")</f>
        <v>5</v>
      </c>
      <c r="D20" s="49">
        <f>GETPIVOTDATA("Sum of Crew Manager",rdsroleareapivot!$A$3,"Area","East Ayrshire")</f>
        <v>10</v>
      </c>
      <c r="E20" s="49">
        <f>GETPIVOTDATA("Sum of Firefighter",rdsroleareapivot!$A$3,"Area","East Ayrshire")</f>
        <v>54</v>
      </c>
      <c r="F20" s="263">
        <f t="shared" si="0"/>
        <v>69</v>
      </c>
    </row>
    <row r="21" spans="1:6" ht="15" customHeight="1" x14ac:dyDescent="0.35">
      <c r="A21" s="89" t="s">
        <v>253</v>
      </c>
      <c r="B21" s="48" t="s">
        <v>254</v>
      </c>
      <c r="C21" s="49" t="str">
        <f>IFERROR(GETPIVOTDATA("Sum of Watch Manager",rdsroleareapivot!$A$3,"Area","East Dunbartonshire"), "-")</f>
        <v>-</v>
      </c>
      <c r="D21" s="49" t="str">
        <f>IFERROR(GETPIVOTDATA("Sum of Crew Manager",rdsroleareapivot!$A$3,"Area","East Dunbartonshire"), "-")</f>
        <v>-</v>
      </c>
      <c r="E21" s="49" t="str">
        <f>IFERROR(GETPIVOTDATA("Sum of Firefighter",rdsroleareapivot!$A$3,"Area","East Dunbartonshire"), "-")</f>
        <v>-</v>
      </c>
      <c r="F21" s="263">
        <f t="shared" si="0"/>
        <v>0</v>
      </c>
    </row>
    <row r="22" spans="1:6" ht="15" customHeight="1" x14ac:dyDescent="0.35">
      <c r="A22" s="89" t="s">
        <v>255</v>
      </c>
      <c r="B22" s="48" t="s">
        <v>256</v>
      </c>
      <c r="C22" s="49">
        <f>GETPIVOTDATA("Sum of Watch Manager",rdsroleareapivot!$A$3,"Area","East Lothian")</f>
        <v>5</v>
      </c>
      <c r="D22" s="49">
        <f>GETPIVOTDATA("Sum of Crew Manager",rdsroleareapivot!$A$3,"Area","East Lothian")</f>
        <v>12</v>
      </c>
      <c r="E22" s="49">
        <f>GETPIVOTDATA("Sum of Firefighter",rdsroleareapivot!$A$3,"Area","East Lothian")</f>
        <v>38</v>
      </c>
      <c r="F22" s="263">
        <f>SUM(C22:E22)</f>
        <v>55</v>
      </c>
    </row>
    <row r="23" spans="1:6" ht="15" customHeight="1" x14ac:dyDescent="0.35">
      <c r="A23" s="89" t="s">
        <v>259</v>
      </c>
      <c r="B23" s="48" t="s">
        <v>260</v>
      </c>
      <c r="C23" s="49" t="str">
        <f>IFERROR(GETPIVOTDATA("Sum of Watch Manager",rdsroleareapivot!$A$3,"Area","East Renfrewshire"), "-")</f>
        <v>-</v>
      </c>
      <c r="D23" s="49" t="str">
        <f>IFERROR(GETPIVOTDATA("Sum of Crew Manager",rdsroleareapivot!$A$3,"Area","East Renfrewshire"), "-")</f>
        <v>-</v>
      </c>
      <c r="E23" s="49" t="str">
        <f>IFERROR(GETPIVOTDATA("Sum of Firefighter",rdsroleareapivot!$A$3,"Area","East Renfrewshire"), "-")</f>
        <v>-</v>
      </c>
      <c r="F23" s="263">
        <f t="shared" ref="F23" si="1">SUM(C23:E23)</f>
        <v>0</v>
      </c>
    </row>
    <row r="24" spans="1:6" ht="15" customHeight="1" x14ac:dyDescent="0.35">
      <c r="A24" s="89" t="s">
        <v>263</v>
      </c>
      <c r="B24" s="48" t="s">
        <v>264</v>
      </c>
      <c r="C24" s="49">
        <f>GETPIVOTDATA("Sum of Watch Manager",rdsroleareapivot!$A$3,"Area","Falkirk")</f>
        <v>5</v>
      </c>
      <c r="D24" s="49">
        <f>GETPIVOTDATA("Sum of Crew Manager",rdsroleareapivot!$A$3,"Area","Falkirk")</f>
        <v>10</v>
      </c>
      <c r="E24" s="49">
        <f>GETPIVOTDATA("Sum of Firefighter",rdsroleareapivot!$A$3,"Area","Falkirk")</f>
        <v>44</v>
      </c>
      <c r="F24" s="263">
        <f t="shared" ref="F24:F43" si="2">SUM(C24:E24)</f>
        <v>59</v>
      </c>
    </row>
    <row r="25" spans="1:6" ht="15" customHeight="1" x14ac:dyDescent="0.35">
      <c r="A25" s="89" t="s">
        <v>267</v>
      </c>
      <c r="B25" s="48" t="s">
        <v>268</v>
      </c>
      <c r="C25" s="49">
        <f>GETPIVOTDATA("Sum of Watch Manager",rdsroleareapivot!$A$3,"Area","Fife")</f>
        <v>8</v>
      </c>
      <c r="D25" s="49">
        <f>GETPIVOTDATA("Sum of Crew Manager",rdsroleareapivot!$A$3,"Area","Fife")</f>
        <v>20</v>
      </c>
      <c r="E25" s="49">
        <f>GETPIVOTDATA("Sum of Firefighter",rdsroleareapivot!$A$3,"Area","Fife")</f>
        <v>74</v>
      </c>
      <c r="F25" s="263">
        <f t="shared" si="2"/>
        <v>102</v>
      </c>
    </row>
    <row r="26" spans="1:6" ht="15" customHeight="1" x14ac:dyDescent="0.35">
      <c r="A26" s="89" t="str">
        <f>IF(A9 = "2019-20","S12000049","S12000046")</f>
        <v>S12000046</v>
      </c>
      <c r="B26" s="48" t="s">
        <v>271</v>
      </c>
      <c r="C26" s="49" t="str">
        <f>IFERROR(GETPIVOTDATA("Sum of Watch Manager",rdsroleareapivot!$A$3,"Area","Glasgow City"), "-")</f>
        <v>-</v>
      </c>
      <c r="D26" s="49" t="str">
        <f>IFERROR(GETPIVOTDATA("Sum of Crew Manager",rdsroleareapivot!$A$3,"Area","Glasgow City"), "-")</f>
        <v>-</v>
      </c>
      <c r="E26" s="49" t="str">
        <f>IFERROR(GETPIVOTDATA("Sum of Firefighter",rdsroleareapivot!$A$3,"Area","Glasgow City"), "-")</f>
        <v>-</v>
      </c>
      <c r="F26" s="263">
        <f t="shared" si="2"/>
        <v>0</v>
      </c>
    </row>
    <row r="27" spans="1:6" ht="15" customHeight="1" x14ac:dyDescent="0.35">
      <c r="A27" s="89" t="s">
        <v>273</v>
      </c>
      <c r="B27" s="48" t="s">
        <v>274</v>
      </c>
      <c r="C27" s="49">
        <f>GETPIVOTDATA("Sum of Watch Manager",rdsroleareapivot!$A$3,"Area","Highland")</f>
        <v>46</v>
      </c>
      <c r="D27" s="49">
        <f>GETPIVOTDATA("Sum of Crew Manager",rdsroleareapivot!$A$3,"Area","Highland")</f>
        <v>94</v>
      </c>
      <c r="E27" s="49">
        <f>GETPIVOTDATA("Sum of Firefighter",rdsroleareapivot!$A$3,"Area","Highland")</f>
        <v>301</v>
      </c>
      <c r="F27" s="263">
        <f t="shared" si="2"/>
        <v>441</v>
      </c>
    </row>
    <row r="28" spans="1:6" ht="15" customHeight="1" x14ac:dyDescent="0.35">
      <c r="A28" s="89" t="s">
        <v>277</v>
      </c>
      <c r="B28" s="48" t="s">
        <v>278</v>
      </c>
      <c r="C28" s="49">
        <f>GETPIVOTDATA("Sum of Watch Manager",rdsroleareapivot!$A$3,"Area","Inverclyde")</f>
        <v>3</v>
      </c>
      <c r="D28" s="49">
        <f>GETPIVOTDATA("Sum of Crew Manager",rdsroleareapivot!$A$3,"Area","Inverclyde")</f>
        <v>7</v>
      </c>
      <c r="E28" s="49">
        <f>GETPIVOTDATA("Sum of Firefighter",rdsroleareapivot!$A$3,"Area","Inverclyde")</f>
        <v>28</v>
      </c>
      <c r="F28" s="263">
        <f t="shared" si="2"/>
        <v>38</v>
      </c>
    </row>
    <row r="29" spans="1:6" ht="15" customHeight="1" x14ac:dyDescent="0.35">
      <c r="A29" s="89" t="s">
        <v>279</v>
      </c>
      <c r="B29" s="48" t="s">
        <v>280</v>
      </c>
      <c r="C29" s="49">
        <f>GETPIVOTDATA("Sum of Watch Manager",rdsroleareapivot!$A$3,"Area","Midlothian")</f>
        <v>1</v>
      </c>
      <c r="D29" s="49">
        <f>GETPIVOTDATA("Sum of Crew Manager",rdsroleareapivot!$A$3,"Area","Midlothian")</f>
        <v>2</v>
      </c>
      <c r="E29" s="49">
        <f>GETPIVOTDATA("Sum of Firefighter",rdsroleareapivot!$A$3,"Area","Midlothian")</f>
        <v>11</v>
      </c>
      <c r="F29" s="263">
        <f t="shared" si="2"/>
        <v>14</v>
      </c>
    </row>
    <row r="30" spans="1:6" ht="15" customHeight="1" x14ac:dyDescent="0.35">
      <c r="A30" s="89" t="s">
        <v>281</v>
      </c>
      <c r="B30" s="48" t="s">
        <v>282</v>
      </c>
      <c r="C30" s="49">
        <f>GETPIVOTDATA("Sum of Watch Manager",rdsroleareapivot!$A$3,"Area","Moray")</f>
        <v>10</v>
      </c>
      <c r="D30" s="49">
        <f>GETPIVOTDATA("Sum of Crew Manager",rdsroleareapivot!$A$3,"Area","Moray")</f>
        <v>25</v>
      </c>
      <c r="E30" s="49">
        <f>GETPIVOTDATA("Sum of Firefighter",rdsroleareapivot!$A$3,"Area","Moray")</f>
        <v>70</v>
      </c>
      <c r="F30" s="263">
        <f t="shared" si="2"/>
        <v>105</v>
      </c>
    </row>
    <row r="31" spans="1:6" ht="15" customHeight="1" x14ac:dyDescent="0.35">
      <c r="A31" s="89" t="s">
        <v>283</v>
      </c>
      <c r="B31" s="48" t="s">
        <v>284</v>
      </c>
      <c r="C31" s="49">
        <f>GETPIVOTDATA("Sum of Watch Manager",rdsroleareapivot!$A$3,"Area","Na h-Eileanan Siar")</f>
        <v>13</v>
      </c>
      <c r="D31" s="49">
        <f>GETPIVOTDATA("Sum of Crew Manager",rdsroleareapivot!$A$3,"Area","Na h-Eileanan Siar")</f>
        <v>27</v>
      </c>
      <c r="E31" s="49">
        <f>GETPIVOTDATA("Sum of Firefighter",rdsroleareapivot!$A$3,"Area","Na h-Eileanan Siar")</f>
        <v>91</v>
      </c>
      <c r="F31" s="263">
        <f t="shared" si="2"/>
        <v>131</v>
      </c>
    </row>
    <row r="32" spans="1:6" ht="15" customHeight="1" x14ac:dyDescent="0.35">
      <c r="A32" s="89" t="s">
        <v>287</v>
      </c>
      <c r="B32" s="48" t="s">
        <v>288</v>
      </c>
      <c r="C32" s="49">
        <f>GETPIVOTDATA("Sum of Watch Manager",rdsroleareapivot!$A$3,"Area","North Ayrshire")</f>
        <v>10</v>
      </c>
      <c r="D32" s="49">
        <f>GETPIVOTDATA("Sum of Crew Manager",rdsroleareapivot!$A$3,"Area","North Ayrshire")</f>
        <v>12</v>
      </c>
      <c r="E32" s="49">
        <f>GETPIVOTDATA("Sum of Firefighter",rdsroleareapivot!$A$3,"Area","North Ayrshire")</f>
        <v>78</v>
      </c>
      <c r="F32" s="263">
        <f t="shared" si="2"/>
        <v>100</v>
      </c>
    </row>
    <row r="33" spans="1:9" ht="15" customHeight="1" x14ac:dyDescent="0.35">
      <c r="A33" s="89" t="str">
        <f>IF(A9="2019-20","S12000050","S12000044")</f>
        <v>S12000044</v>
      </c>
      <c r="B33" s="48" t="s">
        <v>290</v>
      </c>
      <c r="C33" s="49">
        <f>GETPIVOTDATA("Sum of Watch Manager",rdsroleareapivot!$A$3,"Area","North Lanarkshire")</f>
        <v>3</v>
      </c>
      <c r="D33" s="49">
        <f>GETPIVOTDATA("Sum of Crew Manager",rdsroleareapivot!$A$3,"Area","North Lanarkshire")</f>
        <v>6</v>
      </c>
      <c r="E33" s="49">
        <f>GETPIVOTDATA("Sum of Firefighter",rdsroleareapivot!$A$3,"Area","North Lanarkshire")</f>
        <v>17</v>
      </c>
      <c r="F33" s="263">
        <f t="shared" si="2"/>
        <v>26</v>
      </c>
    </row>
    <row r="34" spans="1:9" ht="15" customHeight="1" x14ac:dyDescent="0.35">
      <c r="A34" s="89" t="s">
        <v>292</v>
      </c>
      <c r="B34" s="48" t="s">
        <v>293</v>
      </c>
      <c r="C34" s="49">
        <f>GETPIVOTDATA("Sum of Watch Manager",rdsroleareapivot!$A$3,"Area","Orkney Islands")</f>
        <v>12</v>
      </c>
      <c r="D34" s="49">
        <f>GETPIVOTDATA("Sum of Crew Manager",rdsroleareapivot!$A$3,"Area","Orkney Islands")</f>
        <v>21</v>
      </c>
      <c r="E34" s="49">
        <f>GETPIVOTDATA("Sum of Firefighter",rdsroleareapivot!$A$3,"Area","Orkney Islands")</f>
        <v>69</v>
      </c>
      <c r="F34" s="263">
        <f t="shared" si="2"/>
        <v>102</v>
      </c>
    </row>
    <row r="35" spans="1:9" ht="15" customHeight="1" x14ac:dyDescent="0.35">
      <c r="A35" s="89" t="s">
        <v>294</v>
      </c>
      <c r="B35" s="48" t="s">
        <v>295</v>
      </c>
      <c r="C35" s="49">
        <f>GETPIVOTDATA("Sum of Watch Manager",rdsroleareapivot!$A$3,"Area","Perth and Kinross")</f>
        <v>8</v>
      </c>
      <c r="D35" s="49">
        <f>GETPIVOTDATA("Sum of Crew Manager",rdsroleareapivot!$A$3,"Area","Perth and Kinross")</f>
        <v>20</v>
      </c>
      <c r="E35" s="49">
        <f>GETPIVOTDATA("Sum of Firefighter",rdsroleareapivot!$A$3,"Area","Perth and Kinross")</f>
        <v>89</v>
      </c>
      <c r="F35" s="263">
        <f t="shared" si="2"/>
        <v>117</v>
      </c>
    </row>
    <row r="36" spans="1:9" ht="15" customHeight="1" x14ac:dyDescent="0.35">
      <c r="A36" s="89" t="s">
        <v>296</v>
      </c>
      <c r="B36" s="48" t="s">
        <v>297</v>
      </c>
      <c r="C36" s="49">
        <f>GETPIVOTDATA("Sum of Watch Manager",rdsroleareapivot!$A$3,"Area","Renfrewshire")</f>
        <v>1</v>
      </c>
      <c r="D36" s="49">
        <f>GETPIVOTDATA("Sum of Crew Manager",rdsroleareapivot!$A$3,"Area","Renfrewshire")</f>
        <v>2</v>
      </c>
      <c r="E36" s="49">
        <f>GETPIVOTDATA("Sum of Firefighter",rdsroleareapivot!$A$3,"Area","Renfrewshire")</f>
        <v>11</v>
      </c>
      <c r="F36" s="263">
        <f t="shared" si="2"/>
        <v>14</v>
      </c>
    </row>
    <row r="37" spans="1:9" ht="15" customHeight="1" x14ac:dyDescent="0.35">
      <c r="A37" s="89" t="s">
        <v>298</v>
      </c>
      <c r="B37" s="48" t="s">
        <v>299</v>
      </c>
      <c r="C37" s="49">
        <f>GETPIVOTDATA("Sum of Watch Manager",rdsroleareapivot!$A$3,"Area","Scottish Borders")</f>
        <v>13</v>
      </c>
      <c r="D37" s="49">
        <f>GETPIVOTDATA("Sum of Crew Manager",rdsroleareapivot!$A$3,"Area","Scottish Borders")</f>
        <v>28</v>
      </c>
      <c r="E37" s="49">
        <f>GETPIVOTDATA("Sum of Firefighter",rdsroleareapivot!$A$3,"Area","Scottish Borders")</f>
        <v>104</v>
      </c>
      <c r="F37" s="263">
        <f t="shared" si="2"/>
        <v>145</v>
      </c>
    </row>
    <row r="38" spans="1:9" ht="15" customHeight="1" x14ac:dyDescent="0.35">
      <c r="A38" s="89" t="s">
        <v>300</v>
      </c>
      <c r="B38" s="48" t="s">
        <v>301</v>
      </c>
      <c r="C38" s="49">
        <f>GETPIVOTDATA("Sum of Watch Manager",rdsroleareapivot!$A$3,"Area","Shetland Islands")</f>
        <v>14</v>
      </c>
      <c r="D38" s="49">
        <f>GETPIVOTDATA("Sum of Crew Manager",rdsroleareapivot!$A$3,"Area","Shetland Islands")</f>
        <v>25</v>
      </c>
      <c r="E38" s="49">
        <f>GETPIVOTDATA("Sum of Firefighter",rdsroleareapivot!$A$3,"Area","Shetland Islands")</f>
        <v>84</v>
      </c>
      <c r="F38" s="263">
        <f t="shared" si="2"/>
        <v>123</v>
      </c>
    </row>
    <row r="39" spans="1:9" ht="15" customHeight="1" x14ac:dyDescent="0.35">
      <c r="A39" s="89" t="s">
        <v>302</v>
      </c>
      <c r="B39" s="48" t="s">
        <v>303</v>
      </c>
      <c r="C39" s="49">
        <f>GETPIVOTDATA("Sum of Watch Manager",rdsroleareapivot!$A$3,"Area","South Ayrshire")</f>
        <v>4</v>
      </c>
      <c r="D39" s="49">
        <f>GETPIVOTDATA("Sum of Crew Manager",rdsroleareapivot!$A$3,"Area","South Ayrshire")</f>
        <v>8</v>
      </c>
      <c r="E39" s="49">
        <f>GETPIVOTDATA("Sum of Firefighter",rdsroleareapivot!$A$3,"Area","South Ayrshire")</f>
        <v>31</v>
      </c>
      <c r="F39" s="263">
        <f t="shared" si="2"/>
        <v>43</v>
      </c>
    </row>
    <row r="40" spans="1:9" ht="15" customHeight="1" x14ac:dyDescent="0.35">
      <c r="A40" s="89" t="s">
        <v>304</v>
      </c>
      <c r="B40" s="48" t="s">
        <v>305</v>
      </c>
      <c r="C40" s="49">
        <f>GETPIVOTDATA("Sum of Watch Manager",rdsroleareapivot!$A$3,"Area","South Lanarkshire")</f>
        <v>8</v>
      </c>
      <c r="D40" s="49">
        <f>GETPIVOTDATA("Sum of Crew Manager",rdsroleareapivot!$A$3,"Area","South Lanarkshire")</f>
        <v>12</v>
      </c>
      <c r="E40" s="49">
        <f>GETPIVOTDATA("Sum of Firefighter",rdsroleareapivot!$A$3,"Area","South Lanarkshire")</f>
        <v>54</v>
      </c>
      <c r="F40" s="263">
        <f t="shared" si="2"/>
        <v>74</v>
      </c>
    </row>
    <row r="41" spans="1:9" ht="15" customHeight="1" x14ac:dyDescent="0.35">
      <c r="A41" s="89" t="s">
        <v>307</v>
      </c>
      <c r="B41" s="48" t="s">
        <v>308</v>
      </c>
      <c r="C41" s="49">
        <f>GETPIVOTDATA("Sum of Watch Manager",rdsroleareapivot!$A$3,"Area","Stirling")</f>
        <v>6</v>
      </c>
      <c r="D41" s="49">
        <f>GETPIVOTDATA("Sum of Crew Manager",rdsroleareapivot!$A$3,"Area","Stirling")</f>
        <v>14</v>
      </c>
      <c r="E41" s="49">
        <f>GETPIVOTDATA("Sum of Firefighter",rdsroleareapivot!$A$3,"Area","Stirling")</f>
        <v>52</v>
      </c>
      <c r="F41" s="263">
        <f t="shared" si="2"/>
        <v>72</v>
      </c>
    </row>
    <row r="42" spans="1:9" ht="15" customHeight="1" x14ac:dyDescent="0.35">
      <c r="A42" s="89" t="s">
        <v>309</v>
      </c>
      <c r="B42" s="48" t="s">
        <v>310</v>
      </c>
      <c r="C42" s="49">
        <f>GETPIVOTDATA("Sum of Watch Manager",rdsroleareapivot!$A$3,"Area","West Dunbartonshire")</f>
        <v>2</v>
      </c>
      <c r="D42" s="49">
        <f>GETPIVOTDATA("Sum of Crew Manager",rdsroleareapivot!$A$3,"Area","West Dunbartonshire")</f>
        <v>2</v>
      </c>
      <c r="E42" s="49">
        <f>GETPIVOTDATA("Sum of Firefighter",rdsroleareapivot!$A$3,"Area","West Dunbartonshire")</f>
        <v>20</v>
      </c>
      <c r="F42" s="263">
        <f t="shared" si="2"/>
        <v>24</v>
      </c>
    </row>
    <row r="43" spans="1:9" ht="15" customHeight="1" x14ac:dyDescent="0.35">
      <c r="A43" s="89" t="s">
        <v>311</v>
      </c>
      <c r="B43" s="48" t="s">
        <v>312</v>
      </c>
      <c r="C43" s="49">
        <f>GETPIVOTDATA("Sum of Watch Manager",rdsroleareapivot!$A$3,"Area","West Lothian")</f>
        <v>6</v>
      </c>
      <c r="D43" s="49">
        <f>GETPIVOTDATA("Sum of Crew Manager",rdsroleareapivot!$A$3,"Area","West Lothian")</f>
        <v>9</v>
      </c>
      <c r="E43" s="49">
        <f>GETPIVOTDATA("Sum of Firefighter",rdsroleareapivot!$A$3,"Area","West Lothian")</f>
        <v>46</v>
      </c>
      <c r="F43" s="263">
        <f t="shared" si="2"/>
        <v>61</v>
      </c>
    </row>
    <row r="44" spans="1:9" ht="30" customHeight="1" thickBot="1" x14ac:dyDescent="0.4">
      <c r="A44" s="52"/>
      <c r="B44" s="52" t="s">
        <v>552</v>
      </c>
      <c r="C44" s="70">
        <f>SUM(C12:C43)</f>
        <v>248</v>
      </c>
      <c r="D44" s="70">
        <f>SUM(D12:D43)</f>
        <v>514</v>
      </c>
      <c r="E44" s="70">
        <f>SUM(E12:E43)</f>
        <v>1943</v>
      </c>
      <c r="F44" s="70">
        <f>SUM(F12:F43)</f>
        <v>2705</v>
      </c>
    </row>
    <row r="45" spans="1:9" ht="13.5" customHeight="1" x14ac:dyDescent="0.35">
      <c r="B45" s="81"/>
      <c r="C45" s="265"/>
      <c r="D45" s="265"/>
      <c r="E45" s="265"/>
      <c r="F45" s="265"/>
    </row>
    <row r="46" spans="1:9" x14ac:dyDescent="0.35">
      <c r="A46" s="348" t="s">
        <v>329</v>
      </c>
    </row>
    <row r="47" spans="1:9" x14ac:dyDescent="0.35">
      <c r="A47" t="s">
        <v>677</v>
      </c>
    </row>
    <row r="48" spans="1:9" ht="45.75" customHeight="1" x14ac:dyDescent="0.35">
      <c r="A48" s="1020" t="s">
        <v>659</v>
      </c>
      <c r="B48" s="1020"/>
      <c r="C48" s="1020"/>
      <c r="D48" s="1020"/>
      <c r="E48" s="1020"/>
      <c r="F48" s="1020"/>
      <c r="G48" s="1020"/>
      <c r="H48" s="1020"/>
      <c r="I48" s="1020"/>
    </row>
  </sheetData>
  <sheetProtection algorithmName="SHA-512" hashValue="oAtoM2ZNVZgQnRnzzL07YaCFmeBCP5ntCT6REAEM/4Ahm+x3nuqlFjarVxD0kVZFFfd1K5yBrIGtJ9a8EThESQ==" saltValue="BfGWf6K7H1wFc3tZNrNWgA==" spinCount="100000" sheet="1" scenarios="1" formatCells="0" sort="0" autoFilter="0" pivotTables="0"/>
  <mergeCells count="3">
    <mergeCell ref="A4:F4"/>
    <mergeCell ref="A1:G1"/>
    <mergeCell ref="A48:I48"/>
  </mergeCells>
  <hyperlinks>
    <hyperlink ref="A2" location="'Table of Contents'!A1" display="Back to Table of Contents" xr:uid="{00000000-0004-0000-3900-000000000000}"/>
  </hyperlinks>
  <pageMargins left="0.70866141732283472" right="0.70866141732283472" top="0.74803149606299213" bottom="0.74803149606299213" header="0.31496062992125984" footer="0.31496062992125984"/>
  <pageSetup paperSize="9" scale="93" orientation="portrait" r:id="rId1"/>
  <drawing r:id="rId2"/>
  <extLst>
    <ext xmlns:x14="http://schemas.microsoft.com/office/spreadsheetml/2009/9/main" uri="{A8765BA9-456A-4dab-B4F3-ACF838C121DE}">
      <x14:slicerList>
        <x14:slicer r:id="rId3"/>
      </x14:slicerList>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G5"/>
  <sheetViews>
    <sheetView workbookViewId="0">
      <selection activeCell="C4" sqref="C4"/>
    </sheetView>
  </sheetViews>
  <sheetFormatPr defaultRowHeight="14.5" x14ac:dyDescent="0.35"/>
  <cols>
    <col min="1" max="1" width="12.6328125" bestFit="1" customWidth="1"/>
    <col min="2" max="2" width="19.36328125" bestFit="1" customWidth="1"/>
    <col min="3" max="3" width="20.81640625" bestFit="1" customWidth="1"/>
    <col min="4" max="4" width="21.54296875" bestFit="1" customWidth="1"/>
    <col min="5" max="5" width="21" bestFit="1" customWidth="1"/>
    <col min="6" max="6" width="19.7265625" bestFit="1" customWidth="1"/>
    <col min="7" max="7" width="21.90625" bestFit="1" customWidth="1"/>
  </cols>
  <sheetData>
    <row r="1" spans="1:7" x14ac:dyDescent="0.35">
      <c r="A1" s="387" t="s">
        <v>207</v>
      </c>
      <c r="B1" t="s">
        <v>466</v>
      </c>
    </row>
    <row r="3" spans="1:7" x14ac:dyDescent="0.35">
      <c r="A3" s="387" t="s">
        <v>350</v>
      </c>
      <c r="B3" t="s">
        <v>636</v>
      </c>
      <c r="C3" t="s">
        <v>637</v>
      </c>
      <c r="D3" t="s">
        <v>638</v>
      </c>
      <c r="E3" t="s">
        <v>639</v>
      </c>
      <c r="F3" t="s">
        <v>640</v>
      </c>
      <c r="G3" t="s">
        <v>678</v>
      </c>
    </row>
    <row r="4" spans="1:7" x14ac:dyDescent="0.35">
      <c r="A4" s="388" t="s">
        <v>544</v>
      </c>
      <c r="B4">
        <v>1</v>
      </c>
      <c r="C4">
        <v>2</v>
      </c>
      <c r="D4">
        <v>8</v>
      </c>
      <c r="E4">
        <v>37</v>
      </c>
      <c r="F4">
        <v>28</v>
      </c>
      <c r="G4">
        <v>95</v>
      </c>
    </row>
    <row r="5" spans="1:7" x14ac:dyDescent="0.35">
      <c r="A5" s="388" t="s">
        <v>357</v>
      </c>
      <c r="B5">
        <v>1</v>
      </c>
      <c r="C5">
        <v>2</v>
      </c>
      <c r="D5">
        <v>8</v>
      </c>
      <c r="E5">
        <v>37</v>
      </c>
      <c r="F5">
        <v>28</v>
      </c>
      <c r="G5">
        <v>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I13"/>
  <sheetViews>
    <sheetView workbookViewId="0">
      <selection activeCell="E4" sqref="E4"/>
    </sheetView>
  </sheetViews>
  <sheetFormatPr defaultRowHeight="14.5" x14ac:dyDescent="0.35"/>
  <cols>
    <col min="1" max="1" width="7.453125" bestFit="1" customWidth="1"/>
    <col min="2" max="2" width="8.1796875" bestFit="1" customWidth="1"/>
    <col min="3" max="3" width="11.26953125" bestFit="1" customWidth="1"/>
    <col min="4" max="4" width="15.26953125" bestFit="1" customWidth="1"/>
    <col min="5" max="5" width="16.6328125" bestFit="1" customWidth="1"/>
    <col min="6" max="6" width="17.26953125" bestFit="1" customWidth="1"/>
    <col min="7" max="7" width="16.7265625" bestFit="1" customWidth="1"/>
    <col min="8" max="8" width="15.6328125" bestFit="1" customWidth="1"/>
    <col min="9" max="9" width="17.7265625" bestFit="1" customWidth="1"/>
    <col min="10" max="10" width="17.54296875" bestFit="1" customWidth="1"/>
  </cols>
  <sheetData>
    <row r="1" spans="1:9" x14ac:dyDescent="0.35">
      <c r="A1" t="s">
        <v>207</v>
      </c>
      <c r="B1" t="s">
        <v>550</v>
      </c>
      <c r="C1" t="s">
        <v>556</v>
      </c>
      <c r="D1" t="s">
        <v>627</v>
      </c>
      <c r="E1" t="s">
        <v>628</v>
      </c>
      <c r="F1" t="s">
        <v>629</v>
      </c>
      <c r="G1" t="s">
        <v>630</v>
      </c>
      <c r="H1" t="s">
        <v>631</v>
      </c>
      <c r="I1" t="s">
        <v>679</v>
      </c>
    </row>
    <row r="2" spans="1:9" x14ac:dyDescent="0.35">
      <c r="A2" t="s">
        <v>364</v>
      </c>
      <c r="B2" t="s">
        <v>544</v>
      </c>
      <c r="C2" t="s">
        <v>548</v>
      </c>
      <c r="D2">
        <v>0</v>
      </c>
      <c r="E2">
        <v>52</v>
      </c>
      <c r="F2">
        <v>103</v>
      </c>
      <c r="G2">
        <v>5</v>
      </c>
      <c r="H2">
        <v>11</v>
      </c>
      <c r="I2">
        <v>52</v>
      </c>
    </row>
    <row r="3" spans="1:9" x14ac:dyDescent="0.35">
      <c r="A3" t="s">
        <v>365</v>
      </c>
      <c r="B3" t="s">
        <v>544</v>
      </c>
      <c r="C3" t="s">
        <v>548</v>
      </c>
      <c r="D3">
        <v>0</v>
      </c>
      <c r="E3">
        <v>52</v>
      </c>
      <c r="F3">
        <v>110</v>
      </c>
      <c r="G3">
        <v>5</v>
      </c>
      <c r="H3">
        <v>13</v>
      </c>
      <c r="I3">
        <v>50</v>
      </c>
    </row>
    <row r="4" spans="1:9" x14ac:dyDescent="0.35">
      <c r="A4" t="s">
        <v>366</v>
      </c>
      <c r="B4" t="s">
        <v>544</v>
      </c>
      <c r="C4" t="s">
        <v>548</v>
      </c>
      <c r="D4">
        <v>0</v>
      </c>
      <c r="E4">
        <v>44</v>
      </c>
      <c r="F4">
        <v>95</v>
      </c>
      <c r="G4">
        <v>6</v>
      </c>
      <c r="H4">
        <v>7</v>
      </c>
      <c r="I4">
        <v>51</v>
      </c>
    </row>
    <row r="5" spans="1:9" x14ac:dyDescent="0.35">
      <c r="A5" t="s">
        <v>341</v>
      </c>
      <c r="B5" t="s">
        <v>544</v>
      </c>
      <c r="C5" t="s">
        <v>548</v>
      </c>
      <c r="D5">
        <v>0</v>
      </c>
      <c r="E5">
        <v>31</v>
      </c>
      <c r="F5">
        <v>80</v>
      </c>
      <c r="G5">
        <v>5</v>
      </c>
      <c r="H5">
        <v>8</v>
      </c>
      <c r="I5">
        <v>41</v>
      </c>
    </row>
    <row r="6" spans="1:9" x14ac:dyDescent="0.35">
      <c r="A6" t="s">
        <v>342</v>
      </c>
      <c r="B6" t="s">
        <v>544</v>
      </c>
      <c r="C6" t="s">
        <v>548</v>
      </c>
      <c r="D6">
        <v>0</v>
      </c>
      <c r="E6">
        <v>27</v>
      </c>
      <c r="F6">
        <v>106</v>
      </c>
      <c r="G6">
        <v>5</v>
      </c>
      <c r="H6">
        <v>8</v>
      </c>
      <c r="I6">
        <v>43</v>
      </c>
    </row>
    <row r="7" spans="1:9" x14ac:dyDescent="0.35">
      <c r="A7" t="s">
        <v>214</v>
      </c>
      <c r="B7" t="s">
        <v>544</v>
      </c>
      <c r="C7" t="s">
        <v>548</v>
      </c>
      <c r="D7">
        <v>1</v>
      </c>
      <c r="E7">
        <v>4</v>
      </c>
      <c r="F7">
        <v>9</v>
      </c>
      <c r="G7">
        <v>42</v>
      </c>
      <c r="H7">
        <v>27</v>
      </c>
      <c r="I7">
        <v>124</v>
      </c>
    </row>
    <row r="8" spans="1:9" x14ac:dyDescent="0.35">
      <c r="A8" t="s">
        <v>313</v>
      </c>
      <c r="B8" t="s">
        <v>544</v>
      </c>
      <c r="C8" t="s">
        <v>548</v>
      </c>
      <c r="D8">
        <v>1</v>
      </c>
      <c r="E8">
        <v>4</v>
      </c>
      <c r="F8">
        <v>8</v>
      </c>
      <c r="G8">
        <v>45</v>
      </c>
      <c r="H8">
        <v>26</v>
      </c>
      <c r="I8">
        <v>104</v>
      </c>
    </row>
    <row r="9" spans="1:9" x14ac:dyDescent="0.35">
      <c r="A9" t="s">
        <v>319</v>
      </c>
      <c r="B9" t="s">
        <v>544</v>
      </c>
      <c r="C9" t="s">
        <v>548</v>
      </c>
      <c r="D9">
        <v>1</v>
      </c>
      <c r="E9">
        <v>4</v>
      </c>
      <c r="F9">
        <v>10</v>
      </c>
      <c r="G9">
        <v>41</v>
      </c>
      <c r="H9">
        <v>31</v>
      </c>
      <c r="I9">
        <v>95</v>
      </c>
    </row>
    <row r="10" spans="1:9" x14ac:dyDescent="0.35">
      <c r="A10" t="s">
        <v>321</v>
      </c>
      <c r="B10" t="s">
        <v>544</v>
      </c>
      <c r="C10" t="s">
        <v>548</v>
      </c>
      <c r="D10">
        <v>1</v>
      </c>
      <c r="E10">
        <v>4</v>
      </c>
      <c r="F10">
        <v>10</v>
      </c>
      <c r="G10">
        <v>42</v>
      </c>
      <c r="H10">
        <v>27</v>
      </c>
      <c r="I10">
        <v>90</v>
      </c>
    </row>
    <row r="11" spans="1:9" x14ac:dyDescent="0.35">
      <c r="A11" t="s">
        <v>326</v>
      </c>
      <c r="B11" t="s">
        <v>544</v>
      </c>
      <c r="C11" t="s">
        <v>548</v>
      </c>
      <c r="D11">
        <v>1</v>
      </c>
      <c r="E11">
        <v>4</v>
      </c>
      <c r="F11">
        <v>10</v>
      </c>
      <c r="G11">
        <v>37</v>
      </c>
      <c r="H11">
        <v>29</v>
      </c>
      <c r="I11">
        <v>91</v>
      </c>
    </row>
    <row r="12" spans="1:9" x14ac:dyDescent="0.35">
      <c r="A12" t="s">
        <v>327</v>
      </c>
      <c r="B12" t="s">
        <v>544</v>
      </c>
      <c r="C12" t="s">
        <v>548</v>
      </c>
      <c r="D12">
        <v>1</v>
      </c>
      <c r="E12">
        <v>4</v>
      </c>
      <c r="F12">
        <v>9</v>
      </c>
      <c r="G12">
        <v>40</v>
      </c>
      <c r="H12">
        <v>26</v>
      </c>
      <c r="I12">
        <v>91</v>
      </c>
    </row>
    <row r="13" spans="1:9" x14ac:dyDescent="0.35">
      <c r="A13" t="s">
        <v>466</v>
      </c>
      <c r="B13" t="s">
        <v>544</v>
      </c>
      <c r="C13" t="s">
        <v>548</v>
      </c>
      <c r="D13">
        <v>1</v>
      </c>
      <c r="E13">
        <v>2</v>
      </c>
      <c r="F13">
        <v>8</v>
      </c>
      <c r="G13">
        <v>37</v>
      </c>
      <c r="H13">
        <v>28</v>
      </c>
      <c r="I13">
        <v>95</v>
      </c>
    </row>
  </sheetData>
  <pageMargins left="0.7" right="0.7" top="0.75" bottom="0.75" header="0.3" footer="0.3"/>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I12"/>
  <sheetViews>
    <sheetView workbookViewId="0">
      <selection activeCell="C7" sqref="C7"/>
    </sheetView>
  </sheetViews>
  <sheetFormatPr defaultRowHeight="14.5" x14ac:dyDescent="0.35"/>
  <cols>
    <col min="1" max="1" width="14.453125" bestFit="1" customWidth="1"/>
    <col min="2" max="2" width="14.1796875" bestFit="1" customWidth="1"/>
    <col min="3" max="3" width="21.6328125" bestFit="1" customWidth="1"/>
    <col min="4" max="4" width="18.26953125" bestFit="1" customWidth="1"/>
    <col min="5" max="5" width="18" bestFit="1" customWidth="1"/>
    <col min="6" max="6" width="24" bestFit="1" customWidth="1"/>
    <col min="7" max="7" width="18.54296875" bestFit="1" customWidth="1"/>
    <col min="8" max="8" width="20.1796875" bestFit="1" customWidth="1"/>
    <col min="9" max="9" width="11.453125" bestFit="1" customWidth="1"/>
  </cols>
  <sheetData>
    <row r="1" spans="1:9" x14ac:dyDescent="0.35">
      <c r="A1" s="387" t="s">
        <v>207</v>
      </c>
      <c r="B1" t="s">
        <v>466</v>
      </c>
    </row>
    <row r="3" spans="1:9" x14ac:dyDescent="0.35">
      <c r="A3" s="387" t="s">
        <v>350</v>
      </c>
      <c r="B3" t="s">
        <v>680</v>
      </c>
      <c r="C3" t="s">
        <v>681</v>
      </c>
      <c r="D3" t="s">
        <v>682</v>
      </c>
      <c r="E3" t="s">
        <v>683</v>
      </c>
      <c r="F3" t="s">
        <v>684</v>
      </c>
      <c r="G3" t="s">
        <v>685</v>
      </c>
      <c r="H3" t="s">
        <v>686</v>
      </c>
      <c r="I3" t="s">
        <v>356</v>
      </c>
    </row>
    <row r="4" spans="1:9" x14ac:dyDescent="0.35">
      <c r="A4" s="388" t="s">
        <v>541</v>
      </c>
    </row>
    <row r="5" spans="1:9" x14ac:dyDescent="0.35">
      <c r="A5" s="389" t="s">
        <v>239</v>
      </c>
      <c r="C5">
        <v>0</v>
      </c>
      <c r="D5">
        <v>0</v>
      </c>
      <c r="E5">
        <v>0</v>
      </c>
      <c r="F5">
        <v>0</v>
      </c>
      <c r="G5">
        <v>0</v>
      </c>
      <c r="H5">
        <v>0</v>
      </c>
      <c r="I5">
        <v>0</v>
      </c>
    </row>
    <row r="6" spans="1:9" x14ac:dyDescent="0.35">
      <c r="A6" s="389" t="s">
        <v>219</v>
      </c>
      <c r="C6">
        <v>0</v>
      </c>
      <c r="D6">
        <v>0</v>
      </c>
      <c r="E6">
        <v>0</v>
      </c>
      <c r="F6">
        <v>0</v>
      </c>
      <c r="G6">
        <v>0</v>
      </c>
      <c r="H6">
        <v>0</v>
      </c>
      <c r="I6">
        <v>0</v>
      </c>
    </row>
    <row r="7" spans="1:9" x14ac:dyDescent="0.35">
      <c r="A7" s="389" t="s">
        <v>233</v>
      </c>
      <c r="C7">
        <v>0</v>
      </c>
      <c r="D7">
        <v>0</v>
      </c>
      <c r="E7">
        <v>0</v>
      </c>
      <c r="F7">
        <v>0</v>
      </c>
      <c r="G7">
        <v>0</v>
      </c>
      <c r="H7">
        <v>0</v>
      </c>
      <c r="I7">
        <v>0</v>
      </c>
    </row>
    <row r="8" spans="1:9" x14ac:dyDescent="0.35">
      <c r="A8" s="388" t="s">
        <v>542</v>
      </c>
      <c r="C8">
        <v>0</v>
      </c>
      <c r="D8">
        <v>0</v>
      </c>
      <c r="E8">
        <v>0</v>
      </c>
      <c r="F8">
        <v>0</v>
      </c>
      <c r="G8">
        <v>0</v>
      </c>
      <c r="H8">
        <v>0</v>
      </c>
      <c r="I8">
        <v>0</v>
      </c>
    </row>
    <row r="9" spans="1:9" x14ac:dyDescent="0.35">
      <c r="A9" s="388" t="s">
        <v>543</v>
      </c>
    </row>
    <row r="10" spans="1:9" x14ac:dyDescent="0.35">
      <c r="A10" s="389" t="s">
        <v>544</v>
      </c>
      <c r="B10">
        <v>4</v>
      </c>
      <c r="C10">
        <v>95</v>
      </c>
      <c r="D10">
        <v>35</v>
      </c>
      <c r="E10">
        <v>94</v>
      </c>
      <c r="F10">
        <v>479</v>
      </c>
      <c r="G10">
        <v>58</v>
      </c>
      <c r="H10">
        <v>152</v>
      </c>
      <c r="I10">
        <v>917</v>
      </c>
    </row>
    <row r="11" spans="1:9" x14ac:dyDescent="0.35">
      <c r="A11" s="388" t="s">
        <v>545</v>
      </c>
      <c r="B11">
        <v>4</v>
      </c>
      <c r="C11">
        <v>95</v>
      </c>
      <c r="D11">
        <v>35</v>
      </c>
      <c r="E11">
        <v>94</v>
      </c>
      <c r="F11">
        <v>479</v>
      </c>
      <c r="G11">
        <v>58</v>
      </c>
      <c r="H11">
        <v>152</v>
      </c>
      <c r="I11">
        <v>917</v>
      </c>
    </row>
    <row r="12" spans="1:9" x14ac:dyDescent="0.35">
      <c r="A12" s="388" t="s">
        <v>357</v>
      </c>
      <c r="B12">
        <v>4</v>
      </c>
      <c r="C12">
        <v>95</v>
      </c>
      <c r="D12">
        <v>35</v>
      </c>
      <c r="E12">
        <v>94</v>
      </c>
      <c r="F12">
        <v>479</v>
      </c>
      <c r="G12">
        <v>58</v>
      </c>
      <c r="H12">
        <v>152</v>
      </c>
      <c r="I12">
        <v>917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39997558519241921"/>
  </sheetPr>
  <dimension ref="A1:L49"/>
  <sheetViews>
    <sheetView topLeftCell="A2" workbookViewId="0">
      <selection activeCell="G11" sqref="G11"/>
    </sheetView>
  </sheetViews>
  <sheetFormatPr defaultRowHeight="14.5" x14ac:dyDescent="0.35"/>
  <cols>
    <col min="1" max="1" width="7.453125" bestFit="1" customWidth="1"/>
    <col min="2" max="2" width="16.1796875" bestFit="1" customWidth="1"/>
    <col min="3" max="3" width="9.7265625" bestFit="1" customWidth="1"/>
    <col min="4" max="4" width="8.1796875" bestFit="1" customWidth="1"/>
    <col min="5" max="5" width="7.453125" bestFit="1" customWidth="1"/>
    <col min="6" max="6" width="10.08984375" bestFit="1" customWidth="1"/>
    <col min="7" max="7" width="17.453125" bestFit="1" customWidth="1"/>
    <col min="8" max="8" width="14" bestFit="1" customWidth="1"/>
    <col min="9" max="9" width="13.7265625" bestFit="1" customWidth="1"/>
    <col min="10" max="10" width="19.90625" bestFit="1" customWidth="1"/>
    <col min="11" max="11" width="14.26953125" bestFit="1" customWidth="1"/>
    <col min="12" max="12" width="16.08984375" bestFit="1" customWidth="1"/>
  </cols>
  <sheetData>
    <row r="1" spans="1:12" x14ac:dyDescent="0.35">
      <c r="A1" t="s">
        <v>207</v>
      </c>
      <c r="B1" t="s">
        <v>546</v>
      </c>
      <c r="C1" t="s">
        <v>23</v>
      </c>
      <c r="D1" t="s">
        <v>547</v>
      </c>
      <c r="E1" t="s">
        <v>340</v>
      </c>
      <c r="F1" t="s">
        <v>687</v>
      </c>
      <c r="G1" t="s">
        <v>688</v>
      </c>
      <c r="H1" t="s">
        <v>689</v>
      </c>
      <c r="I1" t="s">
        <v>690</v>
      </c>
      <c r="J1" t="s">
        <v>691</v>
      </c>
      <c r="K1" t="s">
        <v>692</v>
      </c>
      <c r="L1" t="s">
        <v>693</v>
      </c>
    </row>
    <row r="2" spans="1:12" x14ac:dyDescent="0.35">
      <c r="A2" t="s">
        <v>364</v>
      </c>
      <c r="B2" t="s">
        <v>543</v>
      </c>
      <c r="C2" t="s">
        <v>232</v>
      </c>
      <c r="D2" t="s">
        <v>544</v>
      </c>
      <c r="E2">
        <v>416</v>
      </c>
      <c r="G2">
        <v>4</v>
      </c>
      <c r="H2">
        <v>4</v>
      </c>
      <c r="I2">
        <v>8</v>
      </c>
      <c r="J2">
        <v>107</v>
      </c>
      <c r="K2">
        <v>149</v>
      </c>
      <c r="L2">
        <v>144</v>
      </c>
    </row>
    <row r="3" spans="1:12" x14ac:dyDescent="0.35">
      <c r="A3" t="s">
        <v>364</v>
      </c>
      <c r="B3" t="s">
        <v>543</v>
      </c>
      <c r="C3" t="s">
        <v>238</v>
      </c>
      <c r="D3" t="s">
        <v>544</v>
      </c>
      <c r="E3">
        <v>175</v>
      </c>
      <c r="G3">
        <v>6</v>
      </c>
      <c r="H3">
        <v>2</v>
      </c>
      <c r="I3">
        <v>7</v>
      </c>
      <c r="J3">
        <v>46</v>
      </c>
      <c r="K3">
        <v>66</v>
      </c>
      <c r="L3">
        <v>48</v>
      </c>
    </row>
    <row r="4" spans="1:12" x14ac:dyDescent="0.35">
      <c r="A4" t="s">
        <v>364</v>
      </c>
      <c r="B4" t="s">
        <v>543</v>
      </c>
      <c r="C4" t="s">
        <v>218</v>
      </c>
      <c r="D4" t="s">
        <v>544</v>
      </c>
      <c r="E4">
        <v>133</v>
      </c>
      <c r="G4">
        <v>4</v>
      </c>
      <c r="H4">
        <v>5</v>
      </c>
      <c r="I4">
        <v>6</v>
      </c>
      <c r="J4">
        <v>59</v>
      </c>
      <c r="K4">
        <v>19</v>
      </c>
      <c r="L4">
        <v>40</v>
      </c>
    </row>
    <row r="5" spans="1:12" x14ac:dyDescent="0.35">
      <c r="A5" t="s">
        <v>364</v>
      </c>
      <c r="B5" t="s">
        <v>543</v>
      </c>
      <c r="C5" t="s">
        <v>548</v>
      </c>
      <c r="D5" t="s">
        <v>544</v>
      </c>
      <c r="E5">
        <v>237</v>
      </c>
      <c r="G5">
        <v>56</v>
      </c>
      <c r="H5">
        <v>9</v>
      </c>
      <c r="I5">
        <v>24</v>
      </c>
      <c r="J5">
        <v>102</v>
      </c>
      <c r="K5">
        <v>0</v>
      </c>
      <c r="L5">
        <v>46</v>
      </c>
    </row>
    <row r="6" spans="1:12" x14ac:dyDescent="0.35">
      <c r="A6" t="s">
        <v>365</v>
      </c>
      <c r="B6" t="s">
        <v>543</v>
      </c>
      <c r="C6" t="s">
        <v>232</v>
      </c>
      <c r="D6" t="s">
        <v>544</v>
      </c>
      <c r="E6">
        <v>340</v>
      </c>
      <c r="G6">
        <v>3</v>
      </c>
      <c r="H6">
        <v>9</v>
      </c>
      <c r="I6">
        <v>14</v>
      </c>
      <c r="J6">
        <v>113</v>
      </c>
      <c r="K6">
        <v>109</v>
      </c>
      <c r="L6">
        <v>92</v>
      </c>
    </row>
    <row r="7" spans="1:12" x14ac:dyDescent="0.35">
      <c r="A7" t="s">
        <v>365</v>
      </c>
      <c r="B7" t="s">
        <v>543</v>
      </c>
      <c r="C7" t="s">
        <v>238</v>
      </c>
      <c r="D7" t="s">
        <v>544</v>
      </c>
      <c r="E7">
        <v>163</v>
      </c>
      <c r="G7">
        <v>3</v>
      </c>
      <c r="H7">
        <v>7</v>
      </c>
      <c r="I7">
        <v>12</v>
      </c>
      <c r="J7">
        <v>48</v>
      </c>
      <c r="K7">
        <v>65</v>
      </c>
      <c r="L7">
        <v>28</v>
      </c>
    </row>
    <row r="8" spans="1:12" x14ac:dyDescent="0.35">
      <c r="A8" t="s">
        <v>365</v>
      </c>
      <c r="B8" t="s">
        <v>543</v>
      </c>
      <c r="C8" t="s">
        <v>218</v>
      </c>
      <c r="D8" t="s">
        <v>544</v>
      </c>
      <c r="E8">
        <v>126</v>
      </c>
      <c r="G8">
        <v>3</v>
      </c>
      <c r="H8">
        <v>7</v>
      </c>
      <c r="I8">
        <v>6</v>
      </c>
      <c r="J8">
        <v>64</v>
      </c>
      <c r="K8">
        <v>19</v>
      </c>
      <c r="L8">
        <v>27</v>
      </c>
    </row>
    <row r="9" spans="1:12" x14ac:dyDescent="0.35">
      <c r="A9" t="s">
        <v>365</v>
      </c>
      <c r="B9" t="s">
        <v>543</v>
      </c>
      <c r="C9" t="s">
        <v>548</v>
      </c>
      <c r="D9" t="s">
        <v>544</v>
      </c>
      <c r="E9">
        <v>238</v>
      </c>
      <c r="F9">
        <v>2</v>
      </c>
      <c r="G9">
        <v>35</v>
      </c>
      <c r="H9">
        <v>13</v>
      </c>
      <c r="I9">
        <v>27</v>
      </c>
      <c r="J9">
        <v>112</v>
      </c>
      <c r="K9">
        <v>0</v>
      </c>
      <c r="L9">
        <v>49</v>
      </c>
    </row>
    <row r="10" spans="1:12" x14ac:dyDescent="0.35">
      <c r="A10" t="s">
        <v>366</v>
      </c>
      <c r="B10" t="s">
        <v>543</v>
      </c>
      <c r="C10" t="s">
        <v>232</v>
      </c>
      <c r="D10" t="s">
        <v>544</v>
      </c>
      <c r="E10">
        <v>286</v>
      </c>
      <c r="G10">
        <v>2</v>
      </c>
      <c r="H10">
        <v>10</v>
      </c>
      <c r="I10">
        <v>15</v>
      </c>
      <c r="J10">
        <v>110</v>
      </c>
      <c r="K10">
        <v>84</v>
      </c>
      <c r="L10">
        <v>65</v>
      </c>
    </row>
    <row r="11" spans="1:12" x14ac:dyDescent="0.35">
      <c r="A11" t="s">
        <v>366</v>
      </c>
      <c r="B11" t="s">
        <v>543</v>
      </c>
      <c r="C11" t="s">
        <v>238</v>
      </c>
      <c r="D11" t="s">
        <v>544</v>
      </c>
      <c r="E11">
        <v>124</v>
      </c>
      <c r="G11">
        <v>3</v>
      </c>
      <c r="H11">
        <v>5</v>
      </c>
      <c r="I11">
        <v>13</v>
      </c>
      <c r="J11">
        <v>35</v>
      </c>
      <c r="K11">
        <v>56</v>
      </c>
      <c r="L11">
        <v>12</v>
      </c>
    </row>
    <row r="12" spans="1:12" x14ac:dyDescent="0.35">
      <c r="A12" t="s">
        <v>366</v>
      </c>
      <c r="B12" t="s">
        <v>543</v>
      </c>
      <c r="C12" t="s">
        <v>218</v>
      </c>
      <c r="D12" t="s">
        <v>544</v>
      </c>
      <c r="E12">
        <v>121</v>
      </c>
      <c r="G12">
        <v>3</v>
      </c>
      <c r="H12">
        <v>7</v>
      </c>
      <c r="I12">
        <v>11</v>
      </c>
      <c r="J12">
        <v>61</v>
      </c>
      <c r="K12">
        <v>20</v>
      </c>
      <c r="L12">
        <v>19</v>
      </c>
    </row>
    <row r="13" spans="1:12" x14ac:dyDescent="0.35">
      <c r="A13" t="s">
        <v>366</v>
      </c>
      <c r="B13" t="s">
        <v>543</v>
      </c>
      <c r="C13" t="s">
        <v>548</v>
      </c>
      <c r="D13" t="s">
        <v>544</v>
      </c>
      <c r="E13">
        <v>297</v>
      </c>
      <c r="F13">
        <v>3</v>
      </c>
      <c r="G13">
        <v>32</v>
      </c>
      <c r="H13">
        <v>12</v>
      </c>
      <c r="I13">
        <v>35</v>
      </c>
      <c r="J13">
        <v>110</v>
      </c>
      <c r="K13">
        <v>7</v>
      </c>
      <c r="L13">
        <v>98</v>
      </c>
    </row>
    <row r="14" spans="1:12" x14ac:dyDescent="0.35">
      <c r="A14" t="s">
        <v>341</v>
      </c>
      <c r="B14" t="s">
        <v>543</v>
      </c>
      <c r="C14" t="s">
        <v>232</v>
      </c>
      <c r="D14" t="s">
        <v>544</v>
      </c>
      <c r="E14">
        <v>294</v>
      </c>
      <c r="G14">
        <v>2</v>
      </c>
      <c r="H14">
        <v>10</v>
      </c>
      <c r="I14">
        <v>15</v>
      </c>
      <c r="J14">
        <v>120</v>
      </c>
      <c r="K14">
        <v>89</v>
      </c>
      <c r="L14">
        <v>58</v>
      </c>
    </row>
    <row r="15" spans="1:12" x14ac:dyDescent="0.35">
      <c r="A15" t="s">
        <v>341</v>
      </c>
      <c r="B15" t="s">
        <v>543</v>
      </c>
      <c r="C15" t="s">
        <v>238</v>
      </c>
      <c r="D15" t="s">
        <v>544</v>
      </c>
      <c r="E15">
        <v>142</v>
      </c>
      <c r="G15">
        <v>3</v>
      </c>
      <c r="H15">
        <v>5</v>
      </c>
      <c r="I15">
        <v>13</v>
      </c>
      <c r="J15">
        <v>48</v>
      </c>
      <c r="K15">
        <v>54</v>
      </c>
      <c r="L15">
        <v>19</v>
      </c>
    </row>
    <row r="16" spans="1:12" x14ac:dyDescent="0.35">
      <c r="A16" t="s">
        <v>341</v>
      </c>
      <c r="B16" t="s">
        <v>543</v>
      </c>
      <c r="C16" t="s">
        <v>218</v>
      </c>
      <c r="D16" t="s">
        <v>544</v>
      </c>
      <c r="E16">
        <v>135</v>
      </c>
      <c r="G16">
        <v>3</v>
      </c>
      <c r="H16">
        <v>7</v>
      </c>
      <c r="I16">
        <v>12</v>
      </c>
      <c r="J16">
        <v>75</v>
      </c>
      <c r="K16">
        <v>14</v>
      </c>
      <c r="L16">
        <v>24</v>
      </c>
    </row>
    <row r="17" spans="1:12" x14ac:dyDescent="0.35">
      <c r="A17" t="s">
        <v>341</v>
      </c>
      <c r="B17" t="s">
        <v>543</v>
      </c>
      <c r="C17" t="s">
        <v>548</v>
      </c>
      <c r="D17" t="s">
        <v>544</v>
      </c>
      <c r="E17">
        <v>267</v>
      </c>
      <c r="F17">
        <v>3</v>
      </c>
      <c r="G17">
        <v>34</v>
      </c>
      <c r="H17">
        <v>12</v>
      </c>
      <c r="I17">
        <v>38</v>
      </c>
      <c r="J17">
        <v>103</v>
      </c>
      <c r="K17">
        <v>8</v>
      </c>
      <c r="L17">
        <v>69</v>
      </c>
    </row>
    <row r="18" spans="1:12" x14ac:dyDescent="0.35">
      <c r="A18" t="s">
        <v>342</v>
      </c>
      <c r="B18" t="s">
        <v>543</v>
      </c>
      <c r="C18" t="s">
        <v>232</v>
      </c>
      <c r="D18" t="s">
        <v>544</v>
      </c>
      <c r="E18">
        <v>300</v>
      </c>
      <c r="G18">
        <v>2</v>
      </c>
      <c r="H18">
        <v>10</v>
      </c>
      <c r="I18">
        <v>16</v>
      </c>
      <c r="J18">
        <v>133</v>
      </c>
      <c r="K18">
        <v>82</v>
      </c>
      <c r="L18">
        <v>57</v>
      </c>
    </row>
    <row r="19" spans="1:12" x14ac:dyDescent="0.35">
      <c r="A19" t="s">
        <v>342</v>
      </c>
      <c r="B19" t="s">
        <v>543</v>
      </c>
      <c r="C19" t="s">
        <v>238</v>
      </c>
      <c r="D19" t="s">
        <v>544</v>
      </c>
      <c r="E19">
        <v>128</v>
      </c>
      <c r="G19">
        <v>3</v>
      </c>
      <c r="H19">
        <v>3</v>
      </c>
      <c r="I19">
        <v>11</v>
      </c>
      <c r="J19">
        <v>45</v>
      </c>
      <c r="K19">
        <v>49</v>
      </c>
      <c r="L19">
        <v>17</v>
      </c>
    </row>
    <row r="20" spans="1:12" x14ac:dyDescent="0.35">
      <c r="A20" t="s">
        <v>342</v>
      </c>
      <c r="B20" t="s">
        <v>543</v>
      </c>
      <c r="C20" t="s">
        <v>218</v>
      </c>
      <c r="D20" t="s">
        <v>544</v>
      </c>
      <c r="E20">
        <v>141</v>
      </c>
      <c r="G20">
        <v>3</v>
      </c>
      <c r="H20">
        <v>8</v>
      </c>
      <c r="I20">
        <v>11</v>
      </c>
      <c r="J20">
        <v>81</v>
      </c>
      <c r="K20">
        <v>15</v>
      </c>
      <c r="L20">
        <v>23</v>
      </c>
    </row>
    <row r="21" spans="1:12" x14ac:dyDescent="0.35">
      <c r="A21" t="s">
        <v>342</v>
      </c>
      <c r="B21" t="s">
        <v>543</v>
      </c>
      <c r="C21" t="s">
        <v>548</v>
      </c>
      <c r="D21" t="s">
        <v>544</v>
      </c>
      <c r="E21">
        <v>277</v>
      </c>
      <c r="F21">
        <v>2</v>
      </c>
      <c r="G21">
        <v>42</v>
      </c>
      <c r="H21">
        <v>11</v>
      </c>
      <c r="I21">
        <v>41</v>
      </c>
      <c r="J21">
        <v>107</v>
      </c>
      <c r="K21">
        <v>7</v>
      </c>
      <c r="L21">
        <v>67</v>
      </c>
    </row>
    <row r="22" spans="1:12" x14ac:dyDescent="0.35">
      <c r="A22" t="s">
        <v>214</v>
      </c>
      <c r="B22" t="s">
        <v>541</v>
      </c>
      <c r="C22" t="s">
        <v>232</v>
      </c>
      <c r="D22" t="s">
        <v>233</v>
      </c>
      <c r="E22">
        <v>0</v>
      </c>
      <c r="G22">
        <v>0</v>
      </c>
      <c r="H22">
        <v>0</v>
      </c>
      <c r="I22">
        <v>0</v>
      </c>
      <c r="J22">
        <v>0</v>
      </c>
      <c r="K22">
        <v>0</v>
      </c>
      <c r="L22">
        <v>0</v>
      </c>
    </row>
    <row r="23" spans="1:12" x14ac:dyDescent="0.35">
      <c r="A23" t="s">
        <v>214</v>
      </c>
      <c r="B23" t="s">
        <v>541</v>
      </c>
      <c r="C23" t="s">
        <v>238</v>
      </c>
      <c r="D23" t="s">
        <v>239</v>
      </c>
      <c r="E23">
        <v>0</v>
      </c>
      <c r="G23">
        <v>0</v>
      </c>
      <c r="H23">
        <v>0</v>
      </c>
      <c r="I23">
        <v>0</v>
      </c>
      <c r="J23">
        <v>0</v>
      </c>
      <c r="K23">
        <v>0</v>
      </c>
      <c r="L23">
        <v>0</v>
      </c>
    </row>
    <row r="24" spans="1:12" x14ac:dyDescent="0.35">
      <c r="A24" t="s">
        <v>214</v>
      </c>
      <c r="B24" t="s">
        <v>541</v>
      </c>
      <c r="C24" t="s">
        <v>218</v>
      </c>
      <c r="D24" t="s">
        <v>219</v>
      </c>
      <c r="E24">
        <v>0</v>
      </c>
      <c r="G24">
        <v>0</v>
      </c>
      <c r="H24">
        <v>0</v>
      </c>
      <c r="I24">
        <v>0</v>
      </c>
      <c r="J24">
        <v>0</v>
      </c>
      <c r="K24">
        <v>0</v>
      </c>
      <c r="L24">
        <v>0</v>
      </c>
    </row>
    <row r="25" spans="1:12" x14ac:dyDescent="0.35">
      <c r="A25" t="s">
        <v>214</v>
      </c>
      <c r="B25" t="s">
        <v>543</v>
      </c>
      <c r="C25" t="s">
        <v>548</v>
      </c>
      <c r="D25" t="s">
        <v>544</v>
      </c>
      <c r="E25">
        <v>792</v>
      </c>
      <c r="F25">
        <v>3</v>
      </c>
      <c r="G25">
        <v>49</v>
      </c>
      <c r="H25">
        <v>34</v>
      </c>
      <c r="I25">
        <v>84</v>
      </c>
      <c r="J25">
        <v>388</v>
      </c>
      <c r="K25">
        <v>64</v>
      </c>
      <c r="L25">
        <v>170</v>
      </c>
    </row>
    <row r="26" spans="1:12" x14ac:dyDescent="0.35">
      <c r="A26" t="s">
        <v>313</v>
      </c>
      <c r="B26" t="s">
        <v>541</v>
      </c>
      <c r="C26" t="s">
        <v>232</v>
      </c>
      <c r="D26" t="s">
        <v>233</v>
      </c>
      <c r="E26">
        <v>0</v>
      </c>
      <c r="G26">
        <v>0</v>
      </c>
      <c r="H26">
        <v>0</v>
      </c>
      <c r="I26">
        <v>0</v>
      </c>
      <c r="J26">
        <v>0</v>
      </c>
      <c r="K26">
        <v>0</v>
      </c>
      <c r="L26">
        <v>0</v>
      </c>
    </row>
    <row r="27" spans="1:12" x14ac:dyDescent="0.35">
      <c r="A27" t="s">
        <v>313</v>
      </c>
      <c r="B27" t="s">
        <v>541</v>
      </c>
      <c r="C27" t="s">
        <v>238</v>
      </c>
      <c r="D27" t="s">
        <v>239</v>
      </c>
      <c r="E27">
        <v>0</v>
      </c>
      <c r="G27">
        <v>0</v>
      </c>
      <c r="H27">
        <v>0</v>
      </c>
      <c r="I27">
        <v>0</v>
      </c>
      <c r="J27">
        <v>0</v>
      </c>
      <c r="K27">
        <v>0</v>
      </c>
      <c r="L27">
        <v>0</v>
      </c>
    </row>
    <row r="28" spans="1:12" x14ac:dyDescent="0.35">
      <c r="A28" t="s">
        <v>313</v>
      </c>
      <c r="B28" t="s">
        <v>541</v>
      </c>
      <c r="C28" t="s">
        <v>218</v>
      </c>
      <c r="D28" t="s">
        <v>219</v>
      </c>
      <c r="E28">
        <v>0</v>
      </c>
      <c r="G28">
        <v>0</v>
      </c>
      <c r="H28">
        <v>0</v>
      </c>
      <c r="I28">
        <v>0</v>
      </c>
      <c r="J28">
        <v>0</v>
      </c>
      <c r="K28">
        <v>0</v>
      </c>
      <c r="L28">
        <v>0</v>
      </c>
    </row>
    <row r="29" spans="1:12" x14ac:dyDescent="0.35">
      <c r="A29" t="s">
        <v>313</v>
      </c>
      <c r="B29" t="s">
        <v>543</v>
      </c>
      <c r="C29" t="s">
        <v>548</v>
      </c>
      <c r="D29" t="s">
        <v>544</v>
      </c>
      <c r="E29">
        <v>817</v>
      </c>
      <c r="F29">
        <v>3</v>
      </c>
      <c r="G29">
        <v>47</v>
      </c>
      <c r="H29">
        <v>32</v>
      </c>
      <c r="I29">
        <v>90</v>
      </c>
      <c r="J29">
        <v>400</v>
      </c>
      <c r="K29">
        <v>63</v>
      </c>
      <c r="L29">
        <v>182</v>
      </c>
    </row>
    <row r="30" spans="1:12" x14ac:dyDescent="0.35">
      <c r="A30" t="s">
        <v>319</v>
      </c>
      <c r="B30" t="s">
        <v>541</v>
      </c>
      <c r="C30" t="s">
        <v>232</v>
      </c>
      <c r="D30" t="s">
        <v>233</v>
      </c>
      <c r="E30">
        <v>0</v>
      </c>
      <c r="G30">
        <v>0</v>
      </c>
      <c r="H30">
        <v>0</v>
      </c>
      <c r="I30">
        <v>0</v>
      </c>
      <c r="J30">
        <v>0</v>
      </c>
      <c r="K30">
        <v>0</v>
      </c>
      <c r="L30">
        <v>0</v>
      </c>
    </row>
    <row r="31" spans="1:12" x14ac:dyDescent="0.35">
      <c r="A31" t="s">
        <v>319</v>
      </c>
      <c r="B31" t="s">
        <v>541</v>
      </c>
      <c r="C31" t="s">
        <v>238</v>
      </c>
      <c r="D31" t="s">
        <v>239</v>
      </c>
      <c r="E31">
        <v>0</v>
      </c>
      <c r="G31">
        <v>0</v>
      </c>
      <c r="H31">
        <v>0</v>
      </c>
      <c r="I31">
        <v>0</v>
      </c>
      <c r="J31">
        <v>0</v>
      </c>
      <c r="K31">
        <v>0</v>
      </c>
      <c r="L31">
        <v>0</v>
      </c>
    </row>
    <row r="32" spans="1:12" x14ac:dyDescent="0.35">
      <c r="A32" t="s">
        <v>319</v>
      </c>
      <c r="B32" t="s">
        <v>541</v>
      </c>
      <c r="C32" t="s">
        <v>218</v>
      </c>
      <c r="D32" t="s">
        <v>219</v>
      </c>
      <c r="E32">
        <v>0</v>
      </c>
      <c r="G32">
        <v>0</v>
      </c>
      <c r="H32">
        <v>0</v>
      </c>
      <c r="I32">
        <v>0</v>
      </c>
      <c r="J32">
        <v>0</v>
      </c>
      <c r="K32">
        <v>0</v>
      </c>
      <c r="L32">
        <v>0</v>
      </c>
    </row>
    <row r="33" spans="1:12" x14ac:dyDescent="0.35">
      <c r="A33" t="s">
        <v>319</v>
      </c>
      <c r="B33" t="s">
        <v>543</v>
      </c>
      <c r="C33" t="s">
        <v>548</v>
      </c>
      <c r="D33" t="s">
        <v>544</v>
      </c>
      <c r="E33">
        <v>835</v>
      </c>
      <c r="F33">
        <v>3</v>
      </c>
      <c r="G33">
        <v>50</v>
      </c>
      <c r="H33">
        <v>30</v>
      </c>
      <c r="I33">
        <v>91</v>
      </c>
      <c r="J33">
        <v>413</v>
      </c>
      <c r="K33">
        <v>61</v>
      </c>
      <c r="L33">
        <v>187</v>
      </c>
    </row>
    <row r="34" spans="1:12" x14ac:dyDescent="0.35">
      <c r="A34" t="s">
        <v>321</v>
      </c>
      <c r="B34" t="s">
        <v>541</v>
      </c>
      <c r="D34" t="s">
        <v>219</v>
      </c>
      <c r="E34">
        <v>0</v>
      </c>
      <c r="G34">
        <v>0</v>
      </c>
      <c r="H34">
        <v>0</v>
      </c>
      <c r="I34">
        <v>0</v>
      </c>
      <c r="J34">
        <v>0</v>
      </c>
      <c r="K34">
        <v>0</v>
      </c>
      <c r="L34">
        <v>0</v>
      </c>
    </row>
    <row r="35" spans="1:12" x14ac:dyDescent="0.35">
      <c r="A35" t="s">
        <v>321</v>
      </c>
      <c r="B35" t="s">
        <v>541</v>
      </c>
      <c r="D35" t="s">
        <v>233</v>
      </c>
      <c r="E35">
        <v>0</v>
      </c>
      <c r="G35">
        <v>0</v>
      </c>
      <c r="H35">
        <v>0</v>
      </c>
      <c r="I35">
        <v>0</v>
      </c>
      <c r="J35">
        <v>0</v>
      </c>
      <c r="K35">
        <v>0</v>
      </c>
      <c r="L35">
        <v>0</v>
      </c>
    </row>
    <row r="36" spans="1:12" x14ac:dyDescent="0.35">
      <c r="A36" t="s">
        <v>321</v>
      </c>
      <c r="B36" t="s">
        <v>541</v>
      </c>
      <c r="C36" t="s">
        <v>238</v>
      </c>
      <c r="D36" t="s">
        <v>239</v>
      </c>
      <c r="E36">
        <v>0</v>
      </c>
      <c r="G36">
        <v>0</v>
      </c>
      <c r="H36">
        <v>0</v>
      </c>
      <c r="I36">
        <v>0</v>
      </c>
      <c r="J36">
        <v>0</v>
      </c>
      <c r="K36">
        <v>0</v>
      </c>
      <c r="L36">
        <v>0</v>
      </c>
    </row>
    <row r="37" spans="1:12" x14ac:dyDescent="0.35">
      <c r="A37" t="s">
        <v>321</v>
      </c>
      <c r="B37" t="s">
        <v>543</v>
      </c>
      <c r="C37" t="s">
        <v>548</v>
      </c>
      <c r="D37" t="s">
        <v>544</v>
      </c>
      <c r="E37">
        <v>920</v>
      </c>
      <c r="F37">
        <v>4</v>
      </c>
      <c r="G37">
        <v>57</v>
      </c>
      <c r="H37">
        <v>33</v>
      </c>
      <c r="I37">
        <v>104</v>
      </c>
      <c r="J37">
        <v>469</v>
      </c>
      <c r="K37">
        <v>60</v>
      </c>
      <c r="L37">
        <v>193</v>
      </c>
    </row>
    <row r="38" spans="1:12" x14ac:dyDescent="0.35">
      <c r="A38" t="s">
        <v>326</v>
      </c>
      <c r="B38" t="s">
        <v>541</v>
      </c>
      <c r="D38" t="s">
        <v>219</v>
      </c>
      <c r="E38">
        <v>0</v>
      </c>
      <c r="G38">
        <v>0</v>
      </c>
      <c r="H38">
        <v>0</v>
      </c>
      <c r="I38">
        <v>0</v>
      </c>
      <c r="J38">
        <v>0</v>
      </c>
      <c r="K38">
        <v>0</v>
      </c>
      <c r="L38">
        <v>0</v>
      </c>
    </row>
    <row r="39" spans="1:12" x14ac:dyDescent="0.35">
      <c r="A39" t="s">
        <v>326</v>
      </c>
      <c r="B39" t="s">
        <v>541</v>
      </c>
      <c r="D39" t="s">
        <v>233</v>
      </c>
      <c r="E39">
        <v>0</v>
      </c>
      <c r="G39">
        <v>0</v>
      </c>
      <c r="H39">
        <v>0</v>
      </c>
      <c r="I39">
        <v>0</v>
      </c>
      <c r="J39">
        <v>0</v>
      </c>
      <c r="K39">
        <v>0</v>
      </c>
      <c r="L39">
        <v>0</v>
      </c>
    </row>
    <row r="40" spans="1:12" x14ac:dyDescent="0.35">
      <c r="A40" t="s">
        <v>326</v>
      </c>
      <c r="B40" t="s">
        <v>541</v>
      </c>
      <c r="C40" t="s">
        <v>238</v>
      </c>
      <c r="D40" t="s">
        <v>239</v>
      </c>
      <c r="E40">
        <v>0</v>
      </c>
      <c r="G40">
        <v>0</v>
      </c>
      <c r="H40">
        <v>0</v>
      </c>
      <c r="I40">
        <v>0</v>
      </c>
      <c r="J40">
        <v>0</v>
      </c>
      <c r="K40">
        <v>0</v>
      </c>
      <c r="L40">
        <v>0</v>
      </c>
    </row>
    <row r="41" spans="1:12" x14ac:dyDescent="0.35">
      <c r="A41" t="s">
        <v>326</v>
      </c>
      <c r="B41" t="s">
        <v>543</v>
      </c>
      <c r="C41" t="s">
        <v>548</v>
      </c>
      <c r="D41" t="s">
        <v>544</v>
      </c>
      <c r="E41">
        <v>901</v>
      </c>
      <c r="F41">
        <v>4</v>
      </c>
      <c r="G41">
        <v>81</v>
      </c>
      <c r="H41">
        <v>36</v>
      </c>
      <c r="I41">
        <v>98</v>
      </c>
      <c r="J41">
        <v>465</v>
      </c>
      <c r="K41">
        <v>58</v>
      </c>
      <c r="L41">
        <v>159</v>
      </c>
    </row>
    <row r="42" spans="1:12" x14ac:dyDescent="0.35">
      <c r="A42" t="s">
        <v>327</v>
      </c>
      <c r="B42" t="s">
        <v>541</v>
      </c>
      <c r="D42" t="s">
        <v>219</v>
      </c>
      <c r="E42">
        <v>0</v>
      </c>
      <c r="G42">
        <v>0</v>
      </c>
      <c r="H42">
        <v>0</v>
      </c>
      <c r="I42">
        <v>0</v>
      </c>
      <c r="J42">
        <v>0</v>
      </c>
      <c r="K42">
        <v>0</v>
      </c>
      <c r="L42">
        <v>0</v>
      </c>
    </row>
    <row r="43" spans="1:12" x14ac:dyDescent="0.35">
      <c r="A43" t="s">
        <v>327</v>
      </c>
      <c r="B43" t="s">
        <v>541</v>
      </c>
      <c r="D43" t="s">
        <v>233</v>
      </c>
      <c r="E43">
        <v>0</v>
      </c>
      <c r="G43">
        <v>0</v>
      </c>
      <c r="H43">
        <v>0</v>
      </c>
      <c r="I43">
        <v>0</v>
      </c>
      <c r="J43">
        <v>0</v>
      </c>
      <c r="K43">
        <v>0</v>
      </c>
      <c r="L43">
        <v>0</v>
      </c>
    </row>
    <row r="44" spans="1:12" x14ac:dyDescent="0.35">
      <c r="A44" t="s">
        <v>327</v>
      </c>
      <c r="B44" t="s">
        <v>541</v>
      </c>
      <c r="C44" t="s">
        <v>238</v>
      </c>
      <c r="D44" t="s">
        <v>239</v>
      </c>
      <c r="E44">
        <v>0</v>
      </c>
      <c r="G44">
        <v>0</v>
      </c>
      <c r="H44">
        <v>0</v>
      </c>
      <c r="I44">
        <v>0</v>
      </c>
      <c r="J44">
        <v>0</v>
      </c>
      <c r="K44">
        <v>0</v>
      </c>
      <c r="L44">
        <v>0</v>
      </c>
    </row>
    <row r="45" spans="1:12" x14ac:dyDescent="0.35">
      <c r="A45" t="s">
        <v>327</v>
      </c>
      <c r="B45" t="s">
        <v>543</v>
      </c>
      <c r="C45" t="s">
        <v>548</v>
      </c>
      <c r="D45" t="s">
        <v>544</v>
      </c>
      <c r="E45">
        <v>887</v>
      </c>
      <c r="F45">
        <v>3</v>
      </c>
      <c r="G45">
        <v>87</v>
      </c>
      <c r="H45">
        <v>35</v>
      </c>
      <c r="I45">
        <v>90</v>
      </c>
      <c r="J45">
        <v>470</v>
      </c>
      <c r="K45">
        <v>60</v>
      </c>
      <c r="L45">
        <v>142</v>
      </c>
    </row>
    <row r="46" spans="1:12" x14ac:dyDescent="0.35">
      <c r="A46" t="s">
        <v>466</v>
      </c>
      <c r="B46" t="s">
        <v>541</v>
      </c>
      <c r="D46" t="s">
        <v>219</v>
      </c>
      <c r="E46">
        <v>0</v>
      </c>
      <c r="G46">
        <v>0</v>
      </c>
      <c r="H46">
        <v>0</v>
      </c>
      <c r="I46">
        <v>0</v>
      </c>
      <c r="J46">
        <v>0</v>
      </c>
      <c r="K46">
        <v>0</v>
      </c>
      <c r="L46">
        <v>0</v>
      </c>
    </row>
    <row r="47" spans="1:12" x14ac:dyDescent="0.35">
      <c r="A47" t="s">
        <v>466</v>
      </c>
      <c r="B47" t="s">
        <v>541</v>
      </c>
      <c r="D47" t="s">
        <v>233</v>
      </c>
      <c r="E47">
        <v>0</v>
      </c>
      <c r="G47">
        <v>0</v>
      </c>
      <c r="H47">
        <v>0</v>
      </c>
      <c r="I47">
        <v>0</v>
      </c>
      <c r="J47">
        <v>0</v>
      </c>
      <c r="K47">
        <v>0</v>
      </c>
      <c r="L47">
        <v>0</v>
      </c>
    </row>
    <row r="48" spans="1:12" x14ac:dyDescent="0.35">
      <c r="A48" t="s">
        <v>466</v>
      </c>
      <c r="B48" t="s">
        <v>541</v>
      </c>
      <c r="C48" t="s">
        <v>238</v>
      </c>
      <c r="D48" t="s">
        <v>239</v>
      </c>
      <c r="E48">
        <v>0</v>
      </c>
      <c r="G48">
        <v>0</v>
      </c>
      <c r="H48">
        <v>0</v>
      </c>
      <c r="I48">
        <v>0</v>
      </c>
      <c r="J48">
        <v>0</v>
      </c>
      <c r="K48">
        <v>0</v>
      </c>
      <c r="L48">
        <v>0</v>
      </c>
    </row>
    <row r="49" spans="1:12" x14ac:dyDescent="0.35">
      <c r="A49" t="s">
        <v>466</v>
      </c>
      <c r="B49" t="s">
        <v>543</v>
      </c>
      <c r="C49" t="s">
        <v>548</v>
      </c>
      <c r="D49" t="s">
        <v>544</v>
      </c>
      <c r="E49">
        <v>917</v>
      </c>
      <c r="F49">
        <v>4</v>
      </c>
      <c r="G49">
        <v>95</v>
      </c>
      <c r="H49">
        <v>35</v>
      </c>
      <c r="I49">
        <v>94</v>
      </c>
      <c r="J49">
        <v>479</v>
      </c>
      <c r="K49">
        <v>58</v>
      </c>
      <c r="L49">
        <v>152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G36"/>
  <sheetViews>
    <sheetView workbookViewId="0">
      <selection activeCell="C15" sqref="C15"/>
    </sheetView>
  </sheetViews>
  <sheetFormatPr defaultRowHeight="14.5" x14ac:dyDescent="0.35"/>
  <cols>
    <col min="1" max="1" width="20.81640625" bestFit="1" customWidth="1"/>
    <col min="2" max="2" width="17.1796875" bestFit="1" customWidth="1"/>
    <col min="3" max="3" width="29.1796875" bestFit="1" customWidth="1"/>
    <col min="4" max="4" width="24.54296875" bestFit="1" customWidth="1"/>
    <col min="5" max="5" width="15" bestFit="1" customWidth="1"/>
    <col min="6" max="6" width="15.90625" bestFit="1" customWidth="1"/>
    <col min="7" max="7" width="11.453125" bestFit="1" customWidth="1"/>
  </cols>
  <sheetData>
    <row r="1" spans="1:7" x14ac:dyDescent="0.35">
      <c r="A1" s="387" t="s">
        <v>207</v>
      </c>
      <c r="B1" t="s">
        <v>466</v>
      </c>
    </row>
    <row r="3" spans="1:7" x14ac:dyDescent="0.35">
      <c r="A3" s="387" t="s">
        <v>350</v>
      </c>
      <c r="B3" t="s">
        <v>351</v>
      </c>
      <c r="C3" t="s">
        <v>352</v>
      </c>
      <c r="D3" t="s">
        <v>353</v>
      </c>
      <c r="E3" t="s">
        <v>354</v>
      </c>
      <c r="F3" t="s">
        <v>355</v>
      </c>
      <c r="G3" t="s">
        <v>356</v>
      </c>
    </row>
    <row r="4" spans="1:7" x14ac:dyDescent="0.35">
      <c r="A4" s="388" t="s">
        <v>216</v>
      </c>
      <c r="B4">
        <v>3</v>
      </c>
      <c r="E4">
        <v>1</v>
      </c>
      <c r="G4">
        <v>4</v>
      </c>
    </row>
    <row r="5" spans="1:7" x14ac:dyDescent="0.35">
      <c r="A5" s="388" t="s">
        <v>221</v>
      </c>
      <c r="C5">
        <v>1</v>
      </c>
      <c r="E5">
        <v>23</v>
      </c>
      <c r="G5">
        <v>24</v>
      </c>
    </row>
    <row r="6" spans="1:7" x14ac:dyDescent="0.35">
      <c r="A6" s="388" t="s">
        <v>225</v>
      </c>
      <c r="C6">
        <v>1</v>
      </c>
      <c r="E6">
        <v>5</v>
      </c>
      <c r="G6">
        <v>6</v>
      </c>
    </row>
    <row r="7" spans="1:7" x14ac:dyDescent="0.35">
      <c r="A7" s="388" t="s">
        <v>229</v>
      </c>
      <c r="C7">
        <v>2</v>
      </c>
      <c r="E7">
        <v>12</v>
      </c>
      <c r="F7">
        <v>25</v>
      </c>
      <c r="G7">
        <v>39</v>
      </c>
    </row>
    <row r="8" spans="1:7" x14ac:dyDescent="0.35">
      <c r="A8" s="388" t="s">
        <v>235</v>
      </c>
      <c r="B8">
        <v>7</v>
      </c>
      <c r="E8">
        <v>1</v>
      </c>
      <c r="G8">
        <v>8</v>
      </c>
    </row>
    <row r="9" spans="1:7" x14ac:dyDescent="0.35">
      <c r="A9" s="388" t="s">
        <v>241</v>
      </c>
      <c r="C9">
        <v>1</v>
      </c>
      <c r="E9">
        <v>1</v>
      </c>
      <c r="G9">
        <v>2</v>
      </c>
    </row>
    <row r="10" spans="1:7" x14ac:dyDescent="0.35">
      <c r="A10" s="388" t="s">
        <v>245</v>
      </c>
      <c r="C10">
        <v>1</v>
      </c>
      <c r="E10">
        <v>15</v>
      </c>
      <c r="F10">
        <v>1</v>
      </c>
      <c r="G10">
        <v>17</v>
      </c>
    </row>
    <row r="11" spans="1:7" x14ac:dyDescent="0.35">
      <c r="A11" s="388" t="s">
        <v>248</v>
      </c>
      <c r="B11">
        <v>3</v>
      </c>
      <c r="C11">
        <v>1</v>
      </c>
      <c r="G11">
        <v>4</v>
      </c>
    </row>
    <row r="12" spans="1:7" x14ac:dyDescent="0.35">
      <c r="A12" s="388" t="s">
        <v>250</v>
      </c>
      <c r="B12">
        <v>1</v>
      </c>
      <c r="E12">
        <v>7</v>
      </c>
      <c r="G12">
        <v>8</v>
      </c>
    </row>
    <row r="13" spans="1:7" x14ac:dyDescent="0.35">
      <c r="A13" s="388" t="s">
        <v>254</v>
      </c>
      <c r="B13">
        <v>3</v>
      </c>
      <c r="G13">
        <v>3</v>
      </c>
    </row>
    <row r="14" spans="1:7" x14ac:dyDescent="0.35">
      <c r="A14" s="388" t="s">
        <v>256</v>
      </c>
      <c r="B14">
        <v>1</v>
      </c>
      <c r="E14">
        <v>5</v>
      </c>
      <c r="G14">
        <v>6</v>
      </c>
    </row>
    <row r="15" spans="1:7" x14ac:dyDescent="0.35">
      <c r="A15" s="388" t="s">
        <v>260</v>
      </c>
      <c r="B15">
        <v>2</v>
      </c>
      <c r="G15">
        <v>2</v>
      </c>
    </row>
    <row r="16" spans="1:7" x14ac:dyDescent="0.35">
      <c r="A16" s="388" t="s">
        <v>264</v>
      </c>
      <c r="C16">
        <v>3</v>
      </c>
      <c r="E16">
        <v>2</v>
      </c>
      <c r="G16">
        <v>5</v>
      </c>
    </row>
    <row r="17" spans="1:7" x14ac:dyDescent="0.35">
      <c r="A17" s="388" t="s">
        <v>268</v>
      </c>
      <c r="B17">
        <v>5</v>
      </c>
      <c r="E17">
        <v>8</v>
      </c>
      <c r="G17">
        <v>13</v>
      </c>
    </row>
    <row r="18" spans="1:7" x14ac:dyDescent="0.35">
      <c r="A18" s="388" t="s">
        <v>271</v>
      </c>
      <c r="B18">
        <v>11</v>
      </c>
      <c r="G18">
        <v>11</v>
      </c>
    </row>
    <row r="19" spans="1:7" x14ac:dyDescent="0.35">
      <c r="A19" s="388" t="s">
        <v>274</v>
      </c>
      <c r="C19">
        <v>1</v>
      </c>
      <c r="E19">
        <v>51</v>
      </c>
      <c r="F19">
        <v>9</v>
      </c>
      <c r="G19">
        <v>61</v>
      </c>
    </row>
    <row r="20" spans="1:7" x14ac:dyDescent="0.35">
      <c r="A20" s="388" t="s">
        <v>278</v>
      </c>
      <c r="C20">
        <v>2</v>
      </c>
      <c r="E20">
        <v>1</v>
      </c>
      <c r="G20">
        <v>3</v>
      </c>
    </row>
    <row r="21" spans="1:7" x14ac:dyDescent="0.35">
      <c r="A21" s="388" t="s">
        <v>280</v>
      </c>
      <c r="B21">
        <v>1</v>
      </c>
      <c r="E21">
        <v>1</v>
      </c>
      <c r="G21">
        <v>2</v>
      </c>
    </row>
    <row r="22" spans="1:7" x14ac:dyDescent="0.35">
      <c r="A22" s="388" t="s">
        <v>282</v>
      </c>
      <c r="C22">
        <v>1</v>
      </c>
      <c r="E22">
        <v>10</v>
      </c>
      <c r="F22">
        <v>1</v>
      </c>
      <c r="G22">
        <v>12</v>
      </c>
    </row>
    <row r="23" spans="1:7" x14ac:dyDescent="0.35">
      <c r="A23" s="388" t="s">
        <v>284</v>
      </c>
      <c r="E23">
        <v>14</v>
      </c>
      <c r="G23">
        <v>14</v>
      </c>
    </row>
    <row r="24" spans="1:7" x14ac:dyDescent="0.35">
      <c r="A24" s="388" t="s">
        <v>288</v>
      </c>
      <c r="B24">
        <v>1</v>
      </c>
      <c r="C24">
        <v>2</v>
      </c>
      <c r="E24">
        <v>8</v>
      </c>
      <c r="F24">
        <v>3</v>
      </c>
      <c r="G24">
        <v>14</v>
      </c>
    </row>
    <row r="25" spans="1:7" x14ac:dyDescent="0.35">
      <c r="A25" s="388" t="s">
        <v>290</v>
      </c>
      <c r="B25">
        <v>4</v>
      </c>
      <c r="E25">
        <v>3</v>
      </c>
      <c r="G25">
        <v>7</v>
      </c>
    </row>
    <row r="26" spans="1:7" x14ac:dyDescent="0.35">
      <c r="A26" s="388" t="s">
        <v>293</v>
      </c>
      <c r="E26">
        <v>12</v>
      </c>
      <c r="G26">
        <v>12</v>
      </c>
    </row>
    <row r="27" spans="1:7" x14ac:dyDescent="0.35">
      <c r="A27" s="388" t="s">
        <v>295</v>
      </c>
      <c r="B27">
        <v>1</v>
      </c>
      <c r="E27">
        <v>10</v>
      </c>
      <c r="F27">
        <v>3</v>
      </c>
      <c r="G27">
        <v>14</v>
      </c>
    </row>
    <row r="28" spans="1:7" x14ac:dyDescent="0.35">
      <c r="A28" s="388" t="s">
        <v>297</v>
      </c>
      <c r="B28">
        <v>2</v>
      </c>
      <c r="C28">
        <v>1</v>
      </c>
      <c r="G28">
        <v>3</v>
      </c>
    </row>
    <row r="29" spans="1:7" x14ac:dyDescent="0.35">
      <c r="A29" s="388" t="s">
        <v>299</v>
      </c>
      <c r="C29">
        <v>2</v>
      </c>
      <c r="E29">
        <v>11</v>
      </c>
      <c r="G29">
        <v>13</v>
      </c>
    </row>
    <row r="30" spans="1:7" x14ac:dyDescent="0.35">
      <c r="A30" s="388" t="s">
        <v>301</v>
      </c>
      <c r="E30">
        <v>14</v>
      </c>
      <c r="G30">
        <v>14</v>
      </c>
    </row>
    <row r="31" spans="1:7" x14ac:dyDescent="0.35">
      <c r="A31" s="388" t="s">
        <v>303</v>
      </c>
      <c r="C31">
        <v>1</v>
      </c>
      <c r="E31">
        <v>4</v>
      </c>
      <c r="G31">
        <v>5</v>
      </c>
    </row>
    <row r="32" spans="1:7" x14ac:dyDescent="0.35">
      <c r="A32" s="388" t="s">
        <v>305</v>
      </c>
      <c r="B32">
        <v>3</v>
      </c>
      <c r="C32">
        <v>1</v>
      </c>
      <c r="E32">
        <v>7</v>
      </c>
      <c r="G32">
        <v>12</v>
      </c>
    </row>
    <row r="33" spans="1:7" x14ac:dyDescent="0.35">
      <c r="A33" s="388" t="s">
        <v>308</v>
      </c>
      <c r="B33">
        <v>1</v>
      </c>
      <c r="E33">
        <v>9</v>
      </c>
      <c r="G33">
        <v>10</v>
      </c>
    </row>
    <row r="34" spans="1:7" x14ac:dyDescent="0.35">
      <c r="A34" s="388" t="s">
        <v>310</v>
      </c>
      <c r="B34">
        <v>1</v>
      </c>
      <c r="C34">
        <v>1</v>
      </c>
      <c r="E34">
        <v>1</v>
      </c>
      <c r="G34">
        <v>3</v>
      </c>
    </row>
    <row r="35" spans="1:7" x14ac:dyDescent="0.35">
      <c r="A35" s="388" t="s">
        <v>312</v>
      </c>
      <c r="C35">
        <v>1</v>
      </c>
      <c r="D35">
        <v>1</v>
      </c>
      <c r="E35">
        <v>4</v>
      </c>
      <c r="G35">
        <v>6</v>
      </c>
    </row>
    <row r="36" spans="1:7" x14ac:dyDescent="0.35">
      <c r="A36" s="388" t="s">
        <v>357</v>
      </c>
      <c r="B36">
        <v>50</v>
      </c>
      <c r="C36">
        <v>23</v>
      </c>
      <c r="D36">
        <v>1</v>
      </c>
      <c r="E36">
        <v>240</v>
      </c>
      <c r="F36">
        <v>42</v>
      </c>
      <c r="G36">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theme="9" tint="0.39997558519241921"/>
    <pageSetUpPr fitToPage="1"/>
  </sheetPr>
  <dimension ref="A1:J38"/>
  <sheetViews>
    <sheetView showGridLines="0" workbookViewId="0">
      <pane ySplit="2" topLeftCell="A3" activePane="bottomLeft" state="frozen"/>
      <selection pane="bottomLeft" sqref="A1:H1"/>
    </sheetView>
  </sheetViews>
  <sheetFormatPr defaultRowHeight="14.5" x14ac:dyDescent="0.35"/>
  <cols>
    <col min="1" max="1" width="17.1796875" customWidth="1"/>
    <col min="2" max="2" width="33.81640625" customWidth="1"/>
    <col min="3" max="8" width="13" customWidth="1"/>
    <col min="9" max="9" width="14.1796875" customWidth="1"/>
    <col min="10" max="10" width="12.1796875" customWidth="1"/>
  </cols>
  <sheetData>
    <row r="1" spans="1:10" ht="15.5" x14ac:dyDescent="0.35">
      <c r="A1" s="1011" t="s">
        <v>513</v>
      </c>
      <c r="B1" s="1011"/>
      <c r="C1" s="1011"/>
      <c r="D1" s="1011"/>
      <c r="E1" s="1011"/>
      <c r="F1" s="1011"/>
      <c r="G1" s="1011"/>
      <c r="H1" s="1011"/>
    </row>
    <row r="2" spans="1:10" ht="15.5" x14ac:dyDescent="0.35">
      <c r="A2" s="499" t="s">
        <v>201</v>
      </c>
      <c r="C2" s="441"/>
      <c r="D2" s="441"/>
      <c r="E2" s="441"/>
      <c r="F2" s="441"/>
      <c r="G2" s="441"/>
      <c r="H2" s="441"/>
    </row>
    <row r="3" spans="1:10" ht="15.5" x14ac:dyDescent="0.35">
      <c r="C3" s="441"/>
      <c r="D3" s="441"/>
      <c r="E3" s="441"/>
      <c r="F3" s="441"/>
      <c r="G3" s="441"/>
      <c r="H3" s="441"/>
    </row>
    <row r="4" spans="1:10" ht="30.75" customHeight="1" x14ac:dyDescent="0.35">
      <c r="A4" s="421" t="s">
        <v>694</v>
      </c>
      <c r="B4" s="421"/>
      <c r="C4" s="421"/>
      <c r="D4" s="421"/>
      <c r="E4" s="421"/>
      <c r="F4" s="421"/>
      <c r="G4" s="421"/>
      <c r="H4" s="421"/>
      <c r="J4" s="453"/>
    </row>
    <row r="5" spans="1:10" ht="15" customHeight="1" x14ac:dyDescent="0.35">
      <c r="A5" t="s">
        <v>202</v>
      </c>
      <c r="B5" t="s">
        <v>76</v>
      </c>
      <c r="C5" s="231"/>
      <c r="D5" s="231"/>
      <c r="E5" s="231"/>
      <c r="F5" s="231"/>
      <c r="G5" s="231"/>
      <c r="H5" s="231"/>
      <c r="J5" s="83"/>
    </row>
    <row r="6" spans="1:10" ht="15" customHeight="1" x14ac:dyDescent="0.35">
      <c r="A6" t="s">
        <v>203</v>
      </c>
      <c r="B6" t="s">
        <v>204</v>
      </c>
      <c r="C6" s="231"/>
      <c r="D6" s="231"/>
      <c r="E6" s="231"/>
      <c r="F6" s="231"/>
      <c r="G6" s="231"/>
      <c r="H6" s="231"/>
      <c r="J6" s="83"/>
    </row>
    <row r="7" spans="1:10" ht="15" customHeight="1" x14ac:dyDescent="0.35">
      <c r="A7" t="s">
        <v>205</v>
      </c>
      <c r="B7" t="s">
        <v>206</v>
      </c>
      <c r="C7" s="231"/>
      <c r="D7" s="231"/>
      <c r="E7" s="231"/>
      <c r="F7" s="231"/>
      <c r="G7" s="231"/>
      <c r="H7" s="231"/>
      <c r="J7" s="83"/>
    </row>
    <row r="8" spans="1:10" ht="15" customHeight="1" x14ac:dyDescent="0.35">
      <c r="A8" s="231"/>
      <c r="B8" s="231"/>
      <c r="C8" s="231"/>
      <c r="D8" s="231"/>
      <c r="E8" s="231"/>
      <c r="F8" s="231"/>
      <c r="G8" s="231"/>
      <c r="H8" s="231"/>
      <c r="J8" s="83"/>
    </row>
    <row r="9" spans="1:10" ht="15" customHeight="1" x14ac:dyDescent="0.35">
      <c r="A9" s="231" t="s">
        <v>207</v>
      </c>
      <c r="B9" s="231" t="str">
        <f>csroledatapivot!$B$1</f>
        <v>2024-25</v>
      </c>
      <c r="C9" s="231"/>
      <c r="D9" s="231"/>
      <c r="E9" s="231"/>
      <c r="F9" s="231"/>
      <c r="G9" s="231"/>
      <c r="H9" s="231"/>
      <c r="J9" s="83"/>
    </row>
    <row r="10" spans="1:10" ht="15" customHeight="1" x14ac:dyDescent="0.35">
      <c r="A10" s="231"/>
      <c r="B10" s="231"/>
      <c r="C10" s="231"/>
      <c r="D10" s="231"/>
      <c r="E10" s="231"/>
      <c r="F10" s="231"/>
      <c r="G10" s="231"/>
      <c r="H10" s="231"/>
      <c r="J10" s="83"/>
    </row>
    <row r="11" spans="1:10" ht="33.75" customHeight="1" x14ac:dyDescent="0.35">
      <c r="A11" s="42" t="s">
        <v>556</v>
      </c>
      <c r="B11" s="78" t="s">
        <v>550</v>
      </c>
      <c r="C11" s="84" t="s">
        <v>644</v>
      </c>
      <c r="D11" s="84" t="s">
        <v>645</v>
      </c>
      <c r="E11" s="84" t="s">
        <v>646</v>
      </c>
      <c r="F11" s="84" t="s">
        <v>647</v>
      </c>
      <c r="G11" s="84" t="s">
        <v>648</v>
      </c>
      <c r="H11" s="84" t="s">
        <v>679</v>
      </c>
      <c r="I11" s="85" t="s">
        <v>340</v>
      </c>
    </row>
    <row r="12" spans="1:10" ht="15" customHeight="1" thickBot="1" x14ac:dyDescent="0.4">
      <c r="A12" s="80" t="s">
        <v>548</v>
      </c>
      <c r="B12" s="80" t="s">
        <v>695</v>
      </c>
      <c r="C12" s="86">
        <f>GETPIVOTDATA("Sum of Area Manager",csroledatapivot!$A$3,"Area","Scotland")</f>
        <v>1</v>
      </c>
      <c r="D12" s="86">
        <f>GETPIVOTDATA("Sum of Group Manager",csroledatapivot!$A$3,"Area","Scotland")</f>
        <v>2</v>
      </c>
      <c r="E12" s="86">
        <f>GETPIVOTDATA("Sum of Station Manager",csroledatapivot!$A$3,"Area","Scotland")</f>
        <v>8</v>
      </c>
      <c r="F12" s="86">
        <f>GETPIVOTDATA("Sum of Watch Manager",csroledatapivot!$A$3,"Area","Scotland")</f>
        <v>37</v>
      </c>
      <c r="G12" s="86">
        <f>GETPIVOTDATA("Sum of Crew Manager",csroledatapivot!$A$3,"Area","Scotland")</f>
        <v>28</v>
      </c>
      <c r="H12" s="86">
        <f>GETPIVOTDATA("Sum of Control Operator",csroledatapivot!$A$3,"Area","Scotland")</f>
        <v>95</v>
      </c>
      <c r="I12" s="33">
        <f>SUM(C12:H12)</f>
        <v>171</v>
      </c>
    </row>
    <row r="13" spans="1:10" ht="13.5" customHeight="1" x14ac:dyDescent="0.35">
      <c r="A13" s="50"/>
      <c r="B13" s="82"/>
      <c r="C13" s="15"/>
      <c r="D13" s="15"/>
      <c r="E13" s="15"/>
      <c r="F13" s="15"/>
      <c r="G13" s="15"/>
      <c r="H13" s="15"/>
      <c r="I13" s="12"/>
      <c r="J13" s="19"/>
    </row>
    <row r="14" spans="1:10" ht="13.5" customHeight="1" x14ac:dyDescent="0.35">
      <c r="A14" s="48" t="s">
        <v>329</v>
      </c>
      <c r="C14" s="15"/>
      <c r="D14" s="15"/>
      <c r="E14" s="15"/>
      <c r="F14" s="15"/>
      <c r="G14" s="15"/>
      <c r="H14" s="15"/>
      <c r="I14" s="12"/>
      <c r="J14" s="19"/>
    </row>
    <row r="15" spans="1:10" ht="15.5" x14ac:dyDescent="0.35">
      <c r="A15" t="s">
        <v>696</v>
      </c>
      <c r="C15" s="232"/>
      <c r="D15" s="232"/>
      <c r="E15" s="232"/>
      <c r="F15" s="232"/>
      <c r="G15" s="232"/>
      <c r="H15" s="232"/>
      <c r="I15" s="232"/>
      <c r="J15" s="83"/>
    </row>
    <row r="16" spans="1:10" ht="15" customHeight="1" x14ac:dyDescent="0.35">
      <c r="A16" t="s">
        <v>697</v>
      </c>
      <c r="C16" s="232"/>
      <c r="D16" s="232"/>
      <c r="E16" s="232"/>
      <c r="F16" s="232"/>
      <c r="G16" s="232"/>
      <c r="H16" s="232"/>
      <c r="I16" s="232"/>
      <c r="J16" s="83"/>
    </row>
    <row r="17" spans="1:10" ht="45.75" customHeight="1" x14ac:dyDescent="0.35">
      <c r="A17" s="1020" t="s">
        <v>659</v>
      </c>
      <c r="B17" s="1020"/>
      <c r="C17" s="1020"/>
      <c r="D17" s="1020"/>
      <c r="E17" s="1020"/>
      <c r="F17" s="1020"/>
      <c r="G17" s="1020"/>
      <c r="H17" s="1020"/>
      <c r="I17" s="1020"/>
      <c r="J17" s="83"/>
    </row>
    <row r="18" spans="1:10" ht="15" customHeight="1" x14ac:dyDescent="0.35">
      <c r="A18" s="571"/>
      <c r="B18" s="571"/>
      <c r="C18" s="571"/>
      <c r="D18" s="571"/>
      <c r="E18" s="571"/>
      <c r="F18" s="571"/>
      <c r="G18" s="571"/>
      <c r="H18" s="571"/>
      <c r="I18" s="571"/>
      <c r="J18" s="83"/>
    </row>
    <row r="19" spans="1:10" ht="30" customHeight="1" x14ac:dyDescent="0.35">
      <c r="A19" s="421" t="s">
        <v>698</v>
      </c>
      <c r="B19" s="421"/>
      <c r="C19" s="421"/>
      <c r="D19" s="421"/>
      <c r="E19" s="421"/>
      <c r="F19" s="421"/>
      <c r="G19" s="421"/>
      <c r="H19" s="421"/>
      <c r="J19" s="83"/>
    </row>
    <row r="20" spans="1:10" ht="15" customHeight="1" x14ac:dyDescent="0.35">
      <c r="A20" t="s">
        <v>202</v>
      </c>
      <c r="B20" t="s">
        <v>78</v>
      </c>
      <c r="C20" s="231"/>
      <c r="D20" s="231"/>
      <c r="E20" s="231"/>
      <c r="F20" s="231"/>
      <c r="G20" s="231"/>
      <c r="H20" s="231"/>
      <c r="I20" s="231"/>
      <c r="J20" s="83"/>
    </row>
    <row r="21" spans="1:10" ht="15" customHeight="1" x14ac:dyDescent="0.35">
      <c r="A21" t="s">
        <v>203</v>
      </c>
      <c r="B21" t="s">
        <v>204</v>
      </c>
      <c r="C21" s="231"/>
      <c r="D21" s="231"/>
      <c r="E21" s="231"/>
      <c r="F21" s="231"/>
      <c r="G21" s="231"/>
      <c r="H21" s="231"/>
      <c r="I21" s="231"/>
      <c r="J21" s="83"/>
    </row>
    <row r="22" spans="1:10" ht="15" customHeight="1" x14ac:dyDescent="0.35">
      <c r="A22" t="s">
        <v>205</v>
      </c>
      <c r="B22" t="s">
        <v>206</v>
      </c>
      <c r="C22" s="231"/>
      <c r="D22" s="231"/>
      <c r="E22" s="231"/>
      <c r="F22" s="231"/>
      <c r="G22" s="231"/>
      <c r="H22" s="231"/>
      <c r="I22" s="231"/>
      <c r="J22" s="83"/>
    </row>
    <row r="23" spans="1:10" ht="15" customHeight="1" x14ac:dyDescent="0.35">
      <c r="C23" s="231"/>
      <c r="D23" s="231"/>
      <c r="E23" s="231"/>
      <c r="F23" s="231"/>
      <c r="G23" s="231"/>
      <c r="H23" s="231"/>
      <c r="I23" s="231"/>
      <c r="J23" s="83"/>
    </row>
    <row r="24" spans="1:10" ht="15" customHeight="1" x14ac:dyDescent="0.35">
      <c r="A24" s="677" t="s">
        <v>207</v>
      </c>
      <c r="B24" s="677" t="str">
        <f>CSRoleAreaSupportPivot!B1</f>
        <v>2024-25</v>
      </c>
      <c r="C24" s="231"/>
      <c r="D24" s="231"/>
      <c r="E24" s="231"/>
      <c r="F24" s="231"/>
      <c r="G24" s="231"/>
      <c r="H24" s="231"/>
      <c r="I24" s="231"/>
      <c r="J24" s="83"/>
    </row>
    <row r="25" spans="1:10" ht="33.75" customHeight="1" x14ac:dyDescent="0.35">
      <c r="A25" s="78" t="s">
        <v>556</v>
      </c>
      <c r="B25" s="78" t="s">
        <v>550</v>
      </c>
      <c r="C25" s="79" t="s">
        <v>687</v>
      </c>
      <c r="D25" s="79" t="s">
        <v>688</v>
      </c>
      <c r="E25" s="79" t="s">
        <v>699</v>
      </c>
      <c r="F25" s="79" t="s">
        <v>690</v>
      </c>
      <c r="G25" s="79" t="s">
        <v>700</v>
      </c>
      <c r="H25" s="79" t="s">
        <v>701</v>
      </c>
      <c r="I25" s="79" t="s">
        <v>693</v>
      </c>
      <c r="J25" s="87" t="s">
        <v>340</v>
      </c>
    </row>
    <row r="26" spans="1:10" ht="22.5" customHeight="1" thickBot="1" x14ac:dyDescent="0.4">
      <c r="A26" s="80" t="s">
        <v>548</v>
      </c>
      <c r="B26" s="80" t="s">
        <v>695</v>
      </c>
      <c r="C26" s="995">
        <f>GETPIVOTDATA("Sum of Director",CSRoleAreaSupportPivot!$A$3,"ReportingLevel","4:National","lvl","Scotland")</f>
        <v>4</v>
      </c>
      <c r="D26" s="995">
        <f>GETPIVOTDATA("Sum of Service Manager",CSRoleAreaSupportPivot!$A$3,"ReportingLevel","4:National","lvl","Scotland")</f>
        <v>95</v>
      </c>
      <c r="E26" s="995">
        <f>GETPIVOTDATA("Sum of Team Leader",CSRoleAreaSupportPivot!$A$3,"ReportingLevel","4:National","lvl","Scotland")</f>
        <v>35</v>
      </c>
      <c r="F26" s="995">
        <f>GETPIVOTDATA("Sum of Professional",CSRoleAreaSupportPivot!$A$3,"ReportingLevel","4:National","lvl","Scotland")</f>
        <v>94</v>
      </c>
      <c r="G26" s="995">
        <f>GETPIVOTDATA("Sum of Specialist Technical",CSRoleAreaSupportPivot!$A$3,"ReportingLevel","4:National","lvl","Scotland")</f>
        <v>479</v>
      </c>
      <c r="H26" s="995">
        <f>GETPIVOTDATA("Sum of Tech Support",CSRoleAreaSupportPivot!$A$3,"ReportingLevel","4:National","lvl","Scotland")</f>
        <v>58</v>
      </c>
      <c r="I26" s="995">
        <f>GETPIVOTDATA("Sum of Administration",CSRoleAreaSupportPivot!$A$3,"ReportingLevel","4:National")</f>
        <v>152</v>
      </c>
      <c r="J26" s="283">
        <f>SUM(C26:I26)</f>
        <v>917</v>
      </c>
    </row>
    <row r="27" spans="1:10" x14ac:dyDescent="0.35">
      <c r="B27" s="342"/>
      <c r="C27" s="343"/>
      <c r="D27" s="343"/>
      <c r="E27" s="343"/>
      <c r="F27" s="343"/>
      <c r="G27" s="343"/>
      <c r="H27" s="343"/>
      <c r="I27" s="344"/>
      <c r="J27" s="338"/>
    </row>
    <row r="28" spans="1:10" ht="15" customHeight="1" x14ac:dyDescent="0.35">
      <c r="A28" s="342" t="s">
        <v>329</v>
      </c>
      <c r="B28" s="448"/>
      <c r="C28" s="448"/>
      <c r="D28" s="448"/>
      <c r="E28" s="448"/>
      <c r="F28" s="448"/>
      <c r="G28" s="448"/>
      <c r="H28" s="449"/>
      <c r="I28" s="450"/>
    </row>
    <row r="29" spans="1:10" ht="15" customHeight="1" x14ac:dyDescent="0.35">
      <c r="A29" s="563" t="s">
        <v>702</v>
      </c>
      <c r="B29" s="448"/>
      <c r="C29" s="448"/>
      <c r="D29" s="448"/>
      <c r="E29" s="448"/>
      <c r="F29" s="448"/>
      <c r="G29" s="448"/>
      <c r="H29" s="449"/>
      <c r="I29" s="450"/>
    </row>
    <row r="30" spans="1:10" ht="31.5" customHeight="1" x14ac:dyDescent="0.35">
      <c r="A30" s="1010" t="s">
        <v>703</v>
      </c>
      <c r="B30" s="1010"/>
      <c r="C30" s="1010"/>
      <c r="D30" s="1010"/>
      <c r="E30" s="1010"/>
      <c r="F30" s="1010"/>
      <c r="G30" s="1010"/>
      <c r="H30" s="1010"/>
      <c r="I30" s="1010"/>
      <c r="J30" s="1010"/>
    </row>
    <row r="31" spans="1:10" ht="15" customHeight="1" x14ac:dyDescent="0.35">
      <c r="A31" s="451" t="s">
        <v>704</v>
      </c>
      <c r="B31" s="451"/>
      <c r="C31" s="451"/>
      <c r="D31" s="451"/>
      <c r="E31" s="451"/>
      <c r="F31" s="451"/>
      <c r="G31" s="451"/>
      <c r="H31" s="451"/>
      <c r="I31" s="451"/>
      <c r="J31" s="451"/>
    </row>
    <row r="32" spans="1:10" ht="30" customHeight="1" x14ac:dyDescent="0.35">
      <c r="A32" s="1028" t="s">
        <v>705</v>
      </c>
      <c r="B32" s="1028"/>
      <c r="C32" s="1028"/>
      <c r="D32" s="1028"/>
      <c r="E32" s="1028"/>
      <c r="F32" s="1028"/>
      <c r="G32" s="1028"/>
      <c r="H32" s="1028"/>
      <c r="I32" s="1028"/>
      <c r="J32" s="1028"/>
    </row>
    <row r="33" spans="1:10" ht="15" customHeight="1" x14ac:dyDescent="0.35">
      <c r="A33" s="345" t="s">
        <v>558</v>
      </c>
      <c r="B33" s="338"/>
      <c r="C33" s="346"/>
      <c r="D33" s="452"/>
      <c r="E33" s="452"/>
      <c r="F33" s="452"/>
      <c r="G33" s="452"/>
      <c r="H33" s="452"/>
      <c r="I33" s="452"/>
    </row>
    <row r="34" spans="1:10" x14ac:dyDescent="0.35">
      <c r="C34" s="344"/>
      <c r="D34" s="344"/>
      <c r="E34" s="344"/>
      <c r="F34" s="344"/>
      <c r="G34" s="344"/>
      <c r="H34" s="344"/>
      <c r="I34" s="344"/>
      <c r="J34" s="338"/>
    </row>
    <row r="35" spans="1:10" x14ac:dyDescent="0.35">
      <c r="B35" s="351"/>
      <c r="C35" s="351"/>
      <c r="D35" s="351"/>
      <c r="E35" s="351"/>
      <c r="F35" s="351"/>
      <c r="G35" s="351"/>
      <c r="H35" s="351"/>
      <c r="I35" s="351"/>
      <c r="J35" s="351"/>
    </row>
    <row r="36" spans="1:10" x14ac:dyDescent="0.35">
      <c r="B36" s="351"/>
      <c r="C36" s="351"/>
      <c r="D36" s="351"/>
      <c r="E36" s="351"/>
      <c r="F36" s="351"/>
      <c r="G36" s="351"/>
      <c r="H36" s="351"/>
      <c r="I36" s="351"/>
      <c r="J36" s="351"/>
    </row>
    <row r="37" spans="1:10" x14ac:dyDescent="0.35">
      <c r="B37" s="351"/>
      <c r="C37" s="351"/>
      <c r="D37" s="351"/>
      <c r="E37" s="351"/>
      <c r="F37" s="351"/>
      <c r="G37" s="351"/>
      <c r="H37" s="351"/>
      <c r="I37" s="351"/>
      <c r="J37" s="351"/>
    </row>
    <row r="38" spans="1:10" x14ac:dyDescent="0.35">
      <c r="B38" s="351"/>
      <c r="C38" s="351"/>
      <c r="D38" s="351"/>
      <c r="E38" s="351"/>
      <c r="F38" s="351"/>
      <c r="G38" s="351"/>
      <c r="H38" s="351"/>
      <c r="I38" s="351"/>
      <c r="J38" s="351"/>
    </row>
  </sheetData>
  <sheetProtection algorithmName="SHA-512" hashValue="RDP/4zfc8UovI3d9DCD4OZduvPCDvL6/SNzzj8QQ6xbaxS18cMuzgP0JWtaWhvu59BPQBnk3T1bGGA/St8AQcA==" saltValue="fGsZfu2TnLjfU+FV2ECRfw==" spinCount="100000" sheet="1" scenarios="1" formatCells="0" sort="0" autoFilter="0" pivotTables="0"/>
  <mergeCells count="4">
    <mergeCell ref="A1:H1"/>
    <mergeCell ref="A30:J30"/>
    <mergeCell ref="A32:J32"/>
    <mergeCell ref="A17:I17"/>
  </mergeCells>
  <hyperlinks>
    <hyperlink ref="A2" location="'Table of Contents'!A1" display="Back to Table of Contents" xr:uid="{00000000-0004-0000-3E00-000000000000}"/>
  </hyperlinks>
  <pageMargins left="0.70866141732283472" right="0.70866141732283472" top="0.74803149606299213" bottom="0.74803149606299213" header="0.31496062992125984" footer="0.31496062992125984"/>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39997558519241921"/>
  </sheetPr>
  <dimension ref="A1:D12"/>
  <sheetViews>
    <sheetView workbookViewId="0">
      <selection activeCell="H33" sqref="H33"/>
    </sheetView>
  </sheetViews>
  <sheetFormatPr defaultRowHeight="14.5" x14ac:dyDescent="0.35"/>
  <cols>
    <col min="1" max="1" width="25.1796875" bestFit="1" customWidth="1"/>
    <col min="2" max="2" width="21" bestFit="1" customWidth="1"/>
    <col min="3" max="3" width="19.7265625" bestFit="1" customWidth="1"/>
    <col min="4" max="4" width="16.453125" bestFit="1" customWidth="1"/>
  </cols>
  <sheetData>
    <row r="1" spans="1:4" x14ac:dyDescent="0.35">
      <c r="A1" s="387" t="s">
        <v>207</v>
      </c>
      <c r="B1" t="s">
        <v>466</v>
      </c>
    </row>
    <row r="3" spans="1:4" x14ac:dyDescent="0.35">
      <c r="A3" s="387" t="s">
        <v>350</v>
      </c>
      <c r="B3" t="s">
        <v>639</v>
      </c>
      <c r="C3" t="s">
        <v>640</v>
      </c>
      <c r="D3" t="s">
        <v>641</v>
      </c>
    </row>
    <row r="4" spans="1:4" x14ac:dyDescent="0.35">
      <c r="A4" s="388" t="s">
        <v>536</v>
      </c>
    </row>
    <row r="5" spans="1:4" x14ac:dyDescent="0.35">
      <c r="A5" s="389" t="s">
        <v>229</v>
      </c>
      <c r="B5">
        <v>25</v>
      </c>
      <c r="C5">
        <v>22</v>
      </c>
      <c r="D5">
        <v>134</v>
      </c>
    </row>
    <row r="6" spans="1:4" x14ac:dyDescent="0.35">
      <c r="A6" s="389" t="s">
        <v>245</v>
      </c>
      <c r="B6">
        <v>1</v>
      </c>
      <c r="C6">
        <v>2</v>
      </c>
      <c r="D6">
        <v>3</v>
      </c>
    </row>
    <row r="7" spans="1:4" x14ac:dyDescent="0.35">
      <c r="A7" s="389" t="s">
        <v>274</v>
      </c>
      <c r="B7">
        <v>6</v>
      </c>
      <c r="C7">
        <v>10</v>
      </c>
      <c r="D7">
        <v>27</v>
      </c>
    </row>
    <row r="8" spans="1:4" x14ac:dyDescent="0.35">
      <c r="A8" s="389" t="s">
        <v>282</v>
      </c>
      <c r="B8">
        <v>1</v>
      </c>
      <c r="C8">
        <v>2</v>
      </c>
      <c r="D8">
        <v>0</v>
      </c>
    </row>
    <row r="9" spans="1:4" x14ac:dyDescent="0.35">
      <c r="A9" s="389" t="s">
        <v>288</v>
      </c>
      <c r="B9">
        <v>2</v>
      </c>
      <c r="C9">
        <v>2</v>
      </c>
      <c r="D9">
        <v>15</v>
      </c>
    </row>
    <row r="10" spans="1:4" x14ac:dyDescent="0.35">
      <c r="A10" s="389" t="s">
        <v>295</v>
      </c>
      <c r="B10">
        <v>1</v>
      </c>
      <c r="C10">
        <v>3</v>
      </c>
      <c r="D10">
        <v>17</v>
      </c>
    </row>
    <row r="11" spans="1:4" x14ac:dyDescent="0.35">
      <c r="A11" s="388" t="s">
        <v>538</v>
      </c>
      <c r="B11">
        <v>36</v>
      </c>
      <c r="C11">
        <v>41</v>
      </c>
      <c r="D11">
        <v>196</v>
      </c>
    </row>
    <row r="12" spans="1:4" x14ac:dyDescent="0.35">
      <c r="A12" s="388" t="s">
        <v>357</v>
      </c>
      <c r="B12">
        <v>36</v>
      </c>
      <c r="C12">
        <v>41</v>
      </c>
      <c r="D12">
        <v>196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39997558519241921"/>
  </sheetPr>
  <dimension ref="A1:H182"/>
  <sheetViews>
    <sheetView topLeftCell="A2" workbookViewId="0">
      <selection activeCell="D9" sqref="D9"/>
    </sheetView>
  </sheetViews>
  <sheetFormatPr defaultRowHeight="14.5" x14ac:dyDescent="0.35"/>
  <cols>
    <col min="1" max="1" width="7.453125" bestFit="1" customWidth="1"/>
    <col min="2" max="2" width="16.1796875" bestFit="1" customWidth="1"/>
    <col min="3" max="3" width="9.7265625" bestFit="1" customWidth="1"/>
    <col min="4" max="4" width="20.81640625" bestFit="1" customWidth="1"/>
    <col min="5" max="5" width="7.453125" bestFit="1" customWidth="1"/>
    <col min="6" max="6" width="16.7265625" bestFit="1" customWidth="1"/>
    <col min="7" max="7" width="15.6328125" bestFit="1" customWidth="1"/>
    <col min="8" max="8" width="12.26953125" bestFit="1" customWidth="1"/>
  </cols>
  <sheetData>
    <row r="1" spans="1:8" x14ac:dyDescent="0.35">
      <c r="A1" t="s">
        <v>207</v>
      </c>
      <c r="B1" t="s">
        <v>546</v>
      </c>
      <c r="C1" t="s">
        <v>23</v>
      </c>
      <c r="D1" t="s">
        <v>547</v>
      </c>
      <c r="E1" t="s">
        <v>340</v>
      </c>
      <c r="F1" t="s">
        <v>630</v>
      </c>
      <c r="G1" t="s">
        <v>631</v>
      </c>
      <c r="H1" t="s">
        <v>632</v>
      </c>
    </row>
    <row r="2" spans="1:8" x14ac:dyDescent="0.35">
      <c r="A2" t="s">
        <v>364</v>
      </c>
      <c r="B2" t="s">
        <v>536</v>
      </c>
      <c r="C2" t="s">
        <v>240</v>
      </c>
      <c r="D2" t="s">
        <v>241</v>
      </c>
      <c r="E2">
        <v>0</v>
      </c>
      <c r="F2">
        <v>0</v>
      </c>
      <c r="G2">
        <v>0</v>
      </c>
      <c r="H2">
        <v>0</v>
      </c>
    </row>
    <row r="3" spans="1:8" x14ac:dyDescent="0.35">
      <c r="A3" t="s">
        <v>364</v>
      </c>
      <c r="B3" t="s">
        <v>536</v>
      </c>
      <c r="C3" t="s">
        <v>244</v>
      </c>
      <c r="D3" t="s">
        <v>245</v>
      </c>
      <c r="E3">
        <v>4</v>
      </c>
      <c r="F3">
        <v>0</v>
      </c>
      <c r="G3">
        <v>1</v>
      </c>
      <c r="H3">
        <v>3</v>
      </c>
    </row>
    <row r="4" spans="1:8" x14ac:dyDescent="0.35">
      <c r="A4" t="s">
        <v>364</v>
      </c>
      <c r="B4" t="s">
        <v>536</v>
      </c>
      <c r="C4" t="s">
        <v>249</v>
      </c>
      <c r="D4" t="s">
        <v>250</v>
      </c>
      <c r="E4">
        <v>0</v>
      </c>
      <c r="F4">
        <v>0</v>
      </c>
      <c r="G4">
        <v>0</v>
      </c>
      <c r="H4">
        <v>0</v>
      </c>
    </row>
    <row r="5" spans="1:8" x14ac:dyDescent="0.35">
      <c r="A5" t="s">
        <v>364</v>
      </c>
      <c r="B5" t="s">
        <v>536</v>
      </c>
      <c r="C5" t="s">
        <v>255</v>
      </c>
      <c r="D5" t="s">
        <v>256</v>
      </c>
      <c r="E5">
        <v>0</v>
      </c>
      <c r="F5">
        <v>0</v>
      </c>
      <c r="G5">
        <v>0</v>
      </c>
      <c r="H5">
        <v>0</v>
      </c>
    </row>
    <row r="6" spans="1:8" x14ac:dyDescent="0.35">
      <c r="A6" t="s">
        <v>364</v>
      </c>
      <c r="B6" t="s">
        <v>536</v>
      </c>
      <c r="C6" t="s">
        <v>259</v>
      </c>
      <c r="D6" t="s">
        <v>260</v>
      </c>
      <c r="E6">
        <v>0</v>
      </c>
      <c r="F6">
        <v>0</v>
      </c>
      <c r="G6">
        <v>0</v>
      </c>
      <c r="H6">
        <v>0</v>
      </c>
    </row>
    <row r="7" spans="1:8" x14ac:dyDescent="0.35">
      <c r="A7" t="s">
        <v>364</v>
      </c>
      <c r="B7" t="s">
        <v>536</v>
      </c>
      <c r="C7" t="s">
        <v>283</v>
      </c>
      <c r="D7" t="s">
        <v>284</v>
      </c>
      <c r="E7">
        <v>0</v>
      </c>
      <c r="F7">
        <v>0</v>
      </c>
      <c r="G7">
        <v>0</v>
      </c>
      <c r="H7">
        <v>0</v>
      </c>
    </row>
    <row r="8" spans="1:8" x14ac:dyDescent="0.35">
      <c r="A8" t="s">
        <v>364</v>
      </c>
      <c r="B8" t="s">
        <v>536</v>
      </c>
      <c r="C8" t="s">
        <v>263</v>
      </c>
      <c r="D8" t="s">
        <v>264</v>
      </c>
      <c r="E8">
        <v>0</v>
      </c>
      <c r="F8">
        <v>0</v>
      </c>
      <c r="G8">
        <v>0</v>
      </c>
      <c r="H8">
        <v>0</v>
      </c>
    </row>
    <row r="9" spans="1:8" x14ac:dyDescent="0.35">
      <c r="A9" t="s">
        <v>364</v>
      </c>
      <c r="B9" t="s">
        <v>536</v>
      </c>
      <c r="C9" t="s">
        <v>273</v>
      </c>
      <c r="D9" t="s">
        <v>274</v>
      </c>
      <c r="E9">
        <v>72</v>
      </c>
      <c r="F9">
        <v>8</v>
      </c>
      <c r="G9">
        <v>13</v>
      </c>
      <c r="H9">
        <v>51</v>
      </c>
    </row>
    <row r="10" spans="1:8" x14ac:dyDescent="0.35">
      <c r="A10" t="s">
        <v>364</v>
      </c>
      <c r="B10" t="s">
        <v>536</v>
      </c>
      <c r="C10" t="s">
        <v>277</v>
      </c>
      <c r="D10" t="s">
        <v>278</v>
      </c>
      <c r="E10">
        <v>0</v>
      </c>
      <c r="F10">
        <v>0</v>
      </c>
      <c r="G10">
        <v>0</v>
      </c>
      <c r="H10">
        <v>0</v>
      </c>
    </row>
    <row r="11" spans="1:8" x14ac:dyDescent="0.35">
      <c r="A11" t="s">
        <v>364</v>
      </c>
      <c r="B11" t="s">
        <v>536</v>
      </c>
      <c r="C11" t="s">
        <v>279</v>
      </c>
      <c r="D11" t="s">
        <v>280</v>
      </c>
      <c r="E11">
        <v>0</v>
      </c>
      <c r="F11">
        <v>0</v>
      </c>
      <c r="G11">
        <v>0</v>
      </c>
      <c r="H11">
        <v>0</v>
      </c>
    </row>
    <row r="12" spans="1:8" x14ac:dyDescent="0.35">
      <c r="A12" t="s">
        <v>364</v>
      </c>
      <c r="B12" t="s">
        <v>536</v>
      </c>
      <c r="C12" t="s">
        <v>281</v>
      </c>
      <c r="D12" t="s">
        <v>282</v>
      </c>
      <c r="E12">
        <v>32</v>
      </c>
      <c r="F12">
        <v>1</v>
      </c>
      <c r="G12">
        <v>2</v>
      </c>
      <c r="H12">
        <v>29</v>
      </c>
    </row>
    <row r="13" spans="1:8" x14ac:dyDescent="0.35">
      <c r="A13" t="s">
        <v>364</v>
      </c>
      <c r="B13" t="s">
        <v>536</v>
      </c>
      <c r="C13" t="s">
        <v>287</v>
      </c>
      <c r="D13" t="s">
        <v>288</v>
      </c>
      <c r="E13">
        <v>21</v>
      </c>
      <c r="F13">
        <v>0</v>
      </c>
      <c r="G13">
        <v>6</v>
      </c>
      <c r="H13">
        <v>15</v>
      </c>
    </row>
    <row r="14" spans="1:8" x14ac:dyDescent="0.35">
      <c r="A14" t="s">
        <v>364</v>
      </c>
      <c r="B14" t="s">
        <v>536</v>
      </c>
      <c r="C14" t="s">
        <v>292</v>
      </c>
      <c r="D14" t="s">
        <v>293</v>
      </c>
      <c r="E14">
        <v>0</v>
      </c>
      <c r="F14">
        <v>0</v>
      </c>
      <c r="G14">
        <v>0</v>
      </c>
      <c r="H14">
        <v>0</v>
      </c>
    </row>
    <row r="15" spans="1:8" x14ac:dyDescent="0.35">
      <c r="A15" t="s">
        <v>364</v>
      </c>
      <c r="B15" t="s">
        <v>536</v>
      </c>
      <c r="C15" t="s">
        <v>294</v>
      </c>
      <c r="D15" t="s">
        <v>295</v>
      </c>
      <c r="E15">
        <v>25</v>
      </c>
      <c r="F15">
        <v>0</v>
      </c>
      <c r="G15">
        <v>3</v>
      </c>
      <c r="H15">
        <v>22</v>
      </c>
    </row>
    <row r="16" spans="1:8" x14ac:dyDescent="0.35">
      <c r="A16" t="s">
        <v>364</v>
      </c>
      <c r="B16" t="s">
        <v>536</v>
      </c>
      <c r="C16" t="s">
        <v>298</v>
      </c>
      <c r="D16" t="s">
        <v>299</v>
      </c>
      <c r="E16">
        <v>0</v>
      </c>
      <c r="F16">
        <v>0</v>
      </c>
      <c r="G16">
        <v>0</v>
      </c>
      <c r="H16">
        <v>0</v>
      </c>
    </row>
    <row r="17" spans="1:8" x14ac:dyDescent="0.35">
      <c r="A17" t="s">
        <v>364</v>
      </c>
      <c r="B17" t="s">
        <v>536</v>
      </c>
      <c r="C17" t="s">
        <v>300</v>
      </c>
      <c r="D17" t="s">
        <v>301</v>
      </c>
      <c r="E17">
        <v>0</v>
      </c>
      <c r="F17">
        <v>0</v>
      </c>
      <c r="G17">
        <v>0</v>
      </c>
      <c r="H17">
        <v>0</v>
      </c>
    </row>
    <row r="18" spans="1:8" x14ac:dyDescent="0.35">
      <c r="A18" t="s">
        <v>364</v>
      </c>
      <c r="B18" t="s">
        <v>536</v>
      </c>
      <c r="C18" t="s">
        <v>302</v>
      </c>
      <c r="D18" t="s">
        <v>303</v>
      </c>
      <c r="E18">
        <v>0</v>
      </c>
      <c r="F18">
        <v>0</v>
      </c>
      <c r="G18">
        <v>0</v>
      </c>
      <c r="H18">
        <v>0</v>
      </c>
    </row>
    <row r="19" spans="1:8" x14ac:dyDescent="0.35">
      <c r="A19" t="s">
        <v>364</v>
      </c>
      <c r="B19" t="s">
        <v>536</v>
      </c>
      <c r="C19" t="s">
        <v>304</v>
      </c>
      <c r="D19" t="s">
        <v>305</v>
      </c>
      <c r="E19">
        <v>2</v>
      </c>
      <c r="F19">
        <v>0</v>
      </c>
      <c r="G19">
        <v>1</v>
      </c>
      <c r="H19">
        <v>1</v>
      </c>
    </row>
    <row r="20" spans="1:8" x14ac:dyDescent="0.35">
      <c r="A20" t="s">
        <v>364</v>
      </c>
      <c r="B20" t="s">
        <v>536</v>
      </c>
      <c r="C20" t="s">
        <v>307</v>
      </c>
      <c r="D20" t="s">
        <v>308</v>
      </c>
      <c r="E20">
        <v>0</v>
      </c>
      <c r="F20">
        <v>0</v>
      </c>
      <c r="G20">
        <v>0</v>
      </c>
      <c r="H20">
        <v>0</v>
      </c>
    </row>
    <row r="21" spans="1:8" x14ac:dyDescent="0.35">
      <c r="A21" t="s">
        <v>364</v>
      </c>
      <c r="B21" t="s">
        <v>536</v>
      </c>
      <c r="C21" t="s">
        <v>215</v>
      </c>
      <c r="D21" t="s">
        <v>216</v>
      </c>
      <c r="E21">
        <v>0</v>
      </c>
      <c r="F21">
        <v>0</v>
      </c>
      <c r="G21">
        <v>0</v>
      </c>
      <c r="H21">
        <v>0</v>
      </c>
    </row>
    <row r="22" spans="1:8" x14ac:dyDescent="0.35">
      <c r="A22" t="s">
        <v>364</v>
      </c>
      <c r="B22" t="s">
        <v>536</v>
      </c>
      <c r="C22" t="s">
        <v>220</v>
      </c>
      <c r="D22" t="s">
        <v>221</v>
      </c>
      <c r="E22">
        <v>0</v>
      </c>
      <c r="F22">
        <v>0</v>
      </c>
      <c r="G22">
        <v>0</v>
      </c>
      <c r="H22">
        <v>0</v>
      </c>
    </row>
    <row r="23" spans="1:8" x14ac:dyDescent="0.35">
      <c r="A23" t="s">
        <v>364</v>
      </c>
      <c r="B23" t="s">
        <v>536</v>
      </c>
      <c r="C23" t="s">
        <v>228</v>
      </c>
      <c r="D23" t="s">
        <v>229</v>
      </c>
      <c r="E23">
        <v>203</v>
      </c>
      <c r="F23">
        <v>0</v>
      </c>
      <c r="G23">
        <v>47</v>
      </c>
      <c r="H23">
        <v>156</v>
      </c>
    </row>
    <row r="24" spans="1:8" x14ac:dyDescent="0.35">
      <c r="A24" t="s">
        <v>364</v>
      </c>
      <c r="B24" t="s">
        <v>536</v>
      </c>
      <c r="C24" t="s">
        <v>234</v>
      </c>
      <c r="D24" t="s">
        <v>235</v>
      </c>
      <c r="E24">
        <v>0</v>
      </c>
      <c r="F24">
        <v>0</v>
      </c>
      <c r="G24">
        <v>0</v>
      </c>
      <c r="H24">
        <v>0</v>
      </c>
    </row>
    <row r="25" spans="1:8" x14ac:dyDescent="0.35">
      <c r="A25" t="s">
        <v>364</v>
      </c>
      <c r="B25" t="s">
        <v>536</v>
      </c>
      <c r="C25" t="s">
        <v>296</v>
      </c>
      <c r="D25" t="s">
        <v>297</v>
      </c>
      <c r="E25">
        <v>0</v>
      </c>
      <c r="F25">
        <v>0</v>
      </c>
      <c r="G25">
        <v>0</v>
      </c>
      <c r="H25">
        <v>0</v>
      </c>
    </row>
    <row r="26" spans="1:8" x14ac:dyDescent="0.35">
      <c r="A26" t="s">
        <v>364</v>
      </c>
      <c r="B26" t="s">
        <v>536</v>
      </c>
      <c r="C26" t="s">
        <v>309</v>
      </c>
      <c r="D26" t="s">
        <v>310</v>
      </c>
      <c r="E26">
        <v>0</v>
      </c>
      <c r="F26">
        <v>0</v>
      </c>
      <c r="G26">
        <v>0</v>
      </c>
      <c r="H26">
        <v>0</v>
      </c>
    </row>
    <row r="27" spans="1:8" x14ac:dyDescent="0.35">
      <c r="A27" t="s">
        <v>364</v>
      </c>
      <c r="B27" t="s">
        <v>536</v>
      </c>
      <c r="C27" t="s">
        <v>311</v>
      </c>
      <c r="D27" t="s">
        <v>312</v>
      </c>
      <c r="E27">
        <v>0</v>
      </c>
      <c r="F27">
        <v>0</v>
      </c>
      <c r="G27">
        <v>0</v>
      </c>
      <c r="H27">
        <v>0</v>
      </c>
    </row>
    <row r="28" spans="1:8" x14ac:dyDescent="0.35">
      <c r="A28" t="s">
        <v>364</v>
      </c>
      <c r="B28" t="s">
        <v>536</v>
      </c>
      <c r="C28" t="s">
        <v>224</v>
      </c>
      <c r="D28" t="s">
        <v>225</v>
      </c>
      <c r="E28">
        <v>0</v>
      </c>
      <c r="F28">
        <v>0</v>
      </c>
      <c r="G28">
        <v>0</v>
      </c>
      <c r="H28">
        <v>0</v>
      </c>
    </row>
    <row r="29" spans="1:8" x14ac:dyDescent="0.35">
      <c r="A29" t="s">
        <v>364</v>
      </c>
      <c r="B29" t="s">
        <v>536</v>
      </c>
      <c r="C29" t="s">
        <v>247</v>
      </c>
      <c r="D29" t="s">
        <v>248</v>
      </c>
      <c r="E29">
        <v>0</v>
      </c>
      <c r="F29">
        <v>0</v>
      </c>
      <c r="G29">
        <v>0</v>
      </c>
      <c r="H29">
        <v>0</v>
      </c>
    </row>
    <row r="30" spans="1:8" x14ac:dyDescent="0.35">
      <c r="A30" t="s">
        <v>364</v>
      </c>
      <c r="B30" t="s">
        <v>536</v>
      </c>
      <c r="C30" t="s">
        <v>289</v>
      </c>
      <c r="D30" t="s">
        <v>290</v>
      </c>
      <c r="E30">
        <v>0</v>
      </c>
      <c r="F30">
        <v>0</v>
      </c>
      <c r="G30">
        <v>0</v>
      </c>
      <c r="H30">
        <v>0</v>
      </c>
    </row>
    <row r="31" spans="1:8" x14ac:dyDescent="0.35">
      <c r="A31" t="s">
        <v>364</v>
      </c>
      <c r="B31" t="s">
        <v>536</v>
      </c>
      <c r="C31" t="s">
        <v>253</v>
      </c>
      <c r="D31" t="s">
        <v>254</v>
      </c>
      <c r="E31">
        <v>0</v>
      </c>
      <c r="F31">
        <v>0</v>
      </c>
      <c r="G31">
        <v>0</v>
      </c>
      <c r="H31">
        <v>0</v>
      </c>
    </row>
    <row r="32" spans="1:8" x14ac:dyDescent="0.35">
      <c r="A32" t="s">
        <v>364</v>
      </c>
      <c r="B32" t="s">
        <v>536</v>
      </c>
      <c r="C32" t="s">
        <v>270</v>
      </c>
      <c r="D32" t="s">
        <v>271</v>
      </c>
      <c r="E32">
        <v>0</v>
      </c>
      <c r="F32">
        <v>0</v>
      </c>
      <c r="G32">
        <v>0</v>
      </c>
      <c r="H32">
        <v>0</v>
      </c>
    </row>
    <row r="33" spans="1:8" x14ac:dyDescent="0.35">
      <c r="A33" t="s">
        <v>364</v>
      </c>
      <c r="B33" t="s">
        <v>536</v>
      </c>
      <c r="C33" t="s">
        <v>267</v>
      </c>
      <c r="D33" t="s">
        <v>268</v>
      </c>
      <c r="E33">
        <v>0</v>
      </c>
      <c r="F33">
        <v>0</v>
      </c>
      <c r="G33">
        <v>0</v>
      </c>
      <c r="H33">
        <v>0</v>
      </c>
    </row>
    <row r="34" spans="1:8" x14ac:dyDescent="0.35">
      <c r="A34" t="s">
        <v>365</v>
      </c>
      <c r="B34" t="s">
        <v>536</v>
      </c>
      <c r="C34" t="s">
        <v>240</v>
      </c>
      <c r="D34" t="s">
        <v>241</v>
      </c>
      <c r="E34">
        <v>0</v>
      </c>
      <c r="F34">
        <v>0</v>
      </c>
      <c r="G34">
        <v>0</v>
      </c>
      <c r="H34">
        <v>0</v>
      </c>
    </row>
    <row r="35" spans="1:8" x14ac:dyDescent="0.35">
      <c r="A35" t="s">
        <v>365</v>
      </c>
      <c r="B35" t="s">
        <v>536</v>
      </c>
      <c r="C35" t="s">
        <v>244</v>
      </c>
      <c r="D35" t="s">
        <v>245</v>
      </c>
      <c r="E35">
        <v>3</v>
      </c>
      <c r="F35">
        <v>0</v>
      </c>
      <c r="G35">
        <v>1</v>
      </c>
      <c r="H35">
        <v>2</v>
      </c>
    </row>
    <row r="36" spans="1:8" x14ac:dyDescent="0.35">
      <c r="A36" t="s">
        <v>365</v>
      </c>
      <c r="B36" t="s">
        <v>536</v>
      </c>
      <c r="C36" t="s">
        <v>249</v>
      </c>
      <c r="D36" t="s">
        <v>250</v>
      </c>
      <c r="E36">
        <v>0</v>
      </c>
      <c r="F36">
        <v>0</v>
      </c>
      <c r="G36">
        <v>0</v>
      </c>
      <c r="H36">
        <v>0</v>
      </c>
    </row>
    <row r="37" spans="1:8" x14ac:dyDescent="0.35">
      <c r="A37" t="s">
        <v>365</v>
      </c>
      <c r="B37" t="s">
        <v>536</v>
      </c>
      <c r="C37" t="s">
        <v>255</v>
      </c>
      <c r="D37" t="s">
        <v>256</v>
      </c>
      <c r="E37">
        <v>0</v>
      </c>
      <c r="F37">
        <v>0</v>
      </c>
      <c r="G37">
        <v>0</v>
      </c>
      <c r="H37">
        <v>0</v>
      </c>
    </row>
    <row r="38" spans="1:8" x14ac:dyDescent="0.35">
      <c r="A38" t="s">
        <v>365</v>
      </c>
      <c r="B38" t="s">
        <v>536</v>
      </c>
      <c r="C38" t="s">
        <v>259</v>
      </c>
      <c r="D38" t="s">
        <v>260</v>
      </c>
      <c r="E38">
        <v>0</v>
      </c>
      <c r="F38">
        <v>0</v>
      </c>
      <c r="G38">
        <v>0</v>
      </c>
      <c r="H38">
        <v>0</v>
      </c>
    </row>
    <row r="39" spans="1:8" x14ac:dyDescent="0.35">
      <c r="A39" t="s">
        <v>365</v>
      </c>
      <c r="B39" t="s">
        <v>536</v>
      </c>
      <c r="C39" t="s">
        <v>283</v>
      </c>
      <c r="D39" t="s">
        <v>284</v>
      </c>
      <c r="E39">
        <v>0</v>
      </c>
      <c r="F39">
        <v>0</v>
      </c>
      <c r="G39">
        <v>0</v>
      </c>
      <c r="H39">
        <v>0</v>
      </c>
    </row>
    <row r="40" spans="1:8" x14ac:dyDescent="0.35">
      <c r="A40" t="s">
        <v>365</v>
      </c>
      <c r="B40" t="s">
        <v>536</v>
      </c>
      <c r="C40" t="s">
        <v>263</v>
      </c>
      <c r="D40" t="s">
        <v>264</v>
      </c>
      <c r="E40">
        <v>0</v>
      </c>
      <c r="F40">
        <v>0</v>
      </c>
      <c r="G40">
        <v>0</v>
      </c>
      <c r="H40">
        <v>0</v>
      </c>
    </row>
    <row r="41" spans="1:8" x14ac:dyDescent="0.35">
      <c r="A41" t="s">
        <v>365</v>
      </c>
      <c r="B41" t="s">
        <v>536</v>
      </c>
      <c r="C41" t="s">
        <v>273</v>
      </c>
      <c r="D41" t="s">
        <v>274</v>
      </c>
      <c r="E41">
        <v>69</v>
      </c>
      <c r="F41">
        <v>8</v>
      </c>
      <c r="G41">
        <v>12</v>
      </c>
      <c r="H41">
        <v>49</v>
      </c>
    </row>
    <row r="42" spans="1:8" x14ac:dyDescent="0.35">
      <c r="A42" t="s">
        <v>365</v>
      </c>
      <c r="B42" t="s">
        <v>536</v>
      </c>
      <c r="C42" t="s">
        <v>277</v>
      </c>
      <c r="D42" t="s">
        <v>278</v>
      </c>
      <c r="E42">
        <v>0</v>
      </c>
      <c r="F42">
        <v>0</v>
      </c>
      <c r="G42">
        <v>0</v>
      </c>
      <c r="H42">
        <v>0</v>
      </c>
    </row>
    <row r="43" spans="1:8" x14ac:dyDescent="0.35">
      <c r="A43" t="s">
        <v>365</v>
      </c>
      <c r="B43" t="s">
        <v>536</v>
      </c>
      <c r="C43" t="s">
        <v>279</v>
      </c>
      <c r="D43" t="s">
        <v>280</v>
      </c>
      <c r="E43">
        <v>0</v>
      </c>
      <c r="F43">
        <v>0</v>
      </c>
      <c r="G43">
        <v>0</v>
      </c>
      <c r="H43">
        <v>0</v>
      </c>
    </row>
    <row r="44" spans="1:8" x14ac:dyDescent="0.35">
      <c r="A44" t="s">
        <v>365</v>
      </c>
      <c r="B44" t="s">
        <v>536</v>
      </c>
      <c r="C44" t="s">
        <v>281</v>
      </c>
      <c r="D44" t="s">
        <v>282</v>
      </c>
      <c r="E44">
        <v>25</v>
      </c>
      <c r="F44">
        <v>1</v>
      </c>
      <c r="G44">
        <v>2</v>
      </c>
      <c r="H44">
        <v>22</v>
      </c>
    </row>
    <row r="45" spans="1:8" x14ac:dyDescent="0.35">
      <c r="A45" t="s">
        <v>365</v>
      </c>
      <c r="B45" t="s">
        <v>536</v>
      </c>
      <c r="C45" t="s">
        <v>287</v>
      </c>
      <c r="D45" t="s">
        <v>288</v>
      </c>
      <c r="E45">
        <v>26</v>
      </c>
      <c r="F45">
        <v>3</v>
      </c>
      <c r="G45">
        <v>3</v>
      </c>
      <c r="H45">
        <v>20</v>
      </c>
    </row>
    <row r="46" spans="1:8" x14ac:dyDescent="0.35">
      <c r="A46" t="s">
        <v>365</v>
      </c>
      <c r="B46" t="s">
        <v>536</v>
      </c>
      <c r="C46" t="s">
        <v>292</v>
      </c>
      <c r="D46" t="s">
        <v>293</v>
      </c>
      <c r="E46">
        <v>1</v>
      </c>
      <c r="F46">
        <v>0</v>
      </c>
      <c r="G46">
        <v>1</v>
      </c>
      <c r="H46">
        <v>0</v>
      </c>
    </row>
    <row r="47" spans="1:8" x14ac:dyDescent="0.35">
      <c r="A47" t="s">
        <v>365</v>
      </c>
      <c r="B47" t="s">
        <v>536</v>
      </c>
      <c r="C47" t="s">
        <v>294</v>
      </c>
      <c r="D47" t="s">
        <v>295</v>
      </c>
      <c r="E47">
        <v>24</v>
      </c>
      <c r="F47">
        <v>0</v>
      </c>
      <c r="G47">
        <v>5</v>
      </c>
      <c r="H47">
        <v>19</v>
      </c>
    </row>
    <row r="48" spans="1:8" x14ac:dyDescent="0.35">
      <c r="A48" t="s">
        <v>365</v>
      </c>
      <c r="B48" t="s">
        <v>536</v>
      </c>
      <c r="C48" t="s">
        <v>298</v>
      </c>
      <c r="D48" t="s">
        <v>299</v>
      </c>
      <c r="E48">
        <v>0</v>
      </c>
      <c r="F48">
        <v>0</v>
      </c>
      <c r="G48">
        <v>0</v>
      </c>
      <c r="H48">
        <v>0</v>
      </c>
    </row>
    <row r="49" spans="1:8" x14ac:dyDescent="0.35">
      <c r="A49" t="s">
        <v>365</v>
      </c>
      <c r="B49" t="s">
        <v>536</v>
      </c>
      <c r="C49" t="s">
        <v>300</v>
      </c>
      <c r="D49" t="s">
        <v>301</v>
      </c>
      <c r="E49">
        <v>1</v>
      </c>
      <c r="F49">
        <v>0</v>
      </c>
      <c r="G49">
        <v>0</v>
      </c>
      <c r="H49">
        <v>1</v>
      </c>
    </row>
    <row r="50" spans="1:8" x14ac:dyDescent="0.35">
      <c r="A50" t="s">
        <v>365</v>
      </c>
      <c r="B50" t="s">
        <v>536</v>
      </c>
      <c r="C50" t="s">
        <v>302</v>
      </c>
      <c r="D50" t="s">
        <v>303</v>
      </c>
      <c r="E50">
        <v>0</v>
      </c>
      <c r="F50">
        <v>0</v>
      </c>
      <c r="G50">
        <v>0</v>
      </c>
      <c r="H50">
        <v>0</v>
      </c>
    </row>
    <row r="51" spans="1:8" x14ac:dyDescent="0.35">
      <c r="A51" t="s">
        <v>365</v>
      </c>
      <c r="B51" t="s">
        <v>536</v>
      </c>
      <c r="C51" t="s">
        <v>304</v>
      </c>
      <c r="D51" t="s">
        <v>305</v>
      </c>
      <c r="E51">
        <v>4</v>
      </c>
      <c r="F51">
        <v>1</v>
      </c>
      <c r="H51">
        <v>3</v>
      </c>
    </row>
    <row r="52" spans="1:8" x14ac:dyDescent="0.35">
      <c r="A52" t="s">
        <v>365</v>
      </c>
      <c r="B52" t="s">
        <v>536</v>
      </c>
      <c r="C52" t="s">
        <v>307</v>
      </c>
      <c r="D52" t="s">
        <v>308</v>
      </c>
      <c r="E52">
        <v>0</v>
      </c>
      <c r="F52">
        <v>0</v>
      </c>
      <c r="G52">
        <v>0</v>
      </c>
      <c r="H52">
        <v>0</v>
      </c>
    </row>
    <row r="53" spans="1:8" x14ac:dyDescent="0.35">
      <c r="A53" t="s">
        <v>365</v>
      </c>
      <c r="B53" t="s">
        <v>536</v>
      </c>
      <c r="C53" t="s">
        <v>215</v>
      </c>
      <c r="D53" t="s">
        <v>216</v>
      </c>
      <c r="E53">
        <v>0</v>
      </c>
      <c r="F53">
        <v>0</v>
      </c>
      <c r="G53">
        <v>0</v>
      </c>
      <c r="H53">
        <v>0</v>
      </c>
    </row>
    <row r="54" spans="1:8" x14ac:dyDescent="0.35">
      <c r="A54" t="s">
        <v>365</v>
      </c>
      <c r="B54" t="s">
        <v>536</v>
      </c>
      <c r="C54" t="s">
        <v>220</v>
      </c>
      <c r="D54" t="s">
        <v>221</v>
      </c>
      <c r="E54">
        <v>0</v>
      </c>
      <c r="F54">
        <v>0</v>
      </c>
      <c r="G54">
        <v>0</v>
      </c>
      <c r="H54">
        <v>0</v>
      </c>
    </row>
    <row r="55" spans="1:8" x14ac:dyDescent="0.35">
      <c r="A55" t="s">
        <v>365</v>
      </c>
      <c r="B55" t="s">
        <v>536</v>
      </c>
      <c r="C55" t="s">
        <v>228</v>
      </c>
      <c r="D55" t="s">
        <v>229</v>
      </c>
      <c r="E55">
        <v>225</v>
      </c>
      <c r="F55">
        <v>25</v>
      </c>
      <c r="G55">
        <v>20</v>
      </c>
      <c r="H55">
        <v>180</v>
      </c>
    </row>
    <row r="56" spans="1:8" x14ac:dyDescent="0.35">
      <c r="A56" t="s">
        <v>365</v>
      </c>
      <c r="B56" t="s">
        <v>536</v>
      </c>
      <c r="C56" t="s">
        <v>234</v>
      </c>
      <c r="D56" t="s">
        <v>235</v>
      </c>
      <c r="E56">
        <v>0</v>
      </c>
      <c r="F56">
        <v>0</v>
      </c>
      <c r="G56">
        <v>0</v>
      </c>
      <c r="H56">
        <v>0</v>
      </c>
    </row>
    <row r="57" spans="1:8" x14ac:dyDescent="0.35">
      <c r="A57" t="s">
        <v>365</v>
      </c>
      <c r="B57" t="s">
        <v>536</v>
      </c>
      <c r="C57" t="s">
        <v>296</v>
      </c>
      <c r="D57" t="s">
        <v>297</v>
      </c>
      <c r="E57">
        <v>0</v>
      </c>
      <c r="F57">
        <v>0</v>
      </c>
      <c r="G57">
        <v>0</v>
      </c>
      <c r="H57">
        <v>0</v>
      </c>
    </row>
    <row r="58" spans="1:8" x14ac:dyDescent="0.35">
      <c r="A58" t="s">
        <v>365</v>
      </c>
      <c r="B58" t="s">
        <v>536</v>
      </c>
      <c r="C58" t="s">
        <v>309</v>
      </c>
      <c r="D58" t="s">
        <v>310</v>
      </c>
      <c r="E58">
        <v>0</v>
      </c>
      <c r="F58">
        <v>0</v>
      </c>
      <c r="G58">
        <v>0</v>
      </c>
      <c r="H58">
        <v>0</v>
      </c>
    </row>
    <row r="59" spans="1:8" x14ac:dyDescent="0.35">
      <c r="A59" t="s">
        <v>365</v>
      </c>
      <c r="B59" t="s">
        <v>536</v>
      </c>
      <c r="C59" t="s">
        <v>311</v>
      </c>
      <c r="D59" t="s">
        <v>312</v>
      </c>
      <c r="E59">
        <v>0</v>
      </c>
      <c r="F59">
        <v>0</v>
      </c>
      <c r="G59">
        <v>0</v>
      </c>
      <c r="H59">
        <v>0</v>
      </c>
    </row>
    <row r="60" spans="1:8" x14ac:dyDescent="0.35">
      <c r="A60" t="s">
        <v>365</v>
      </c>
      <c r="B60" t="s">
        <v>536</v>
      </c>
      <c r="C60" t="s">
        <v>224</v>
      </c>
      <c r="D60" t="s">
        <v>225</v>
      </c>
      <c r="E60">
        <v>0</v>
      </c>
      <c r="F60">
        <v>0</v>
      </c>
      <c r="G60">
        <v>0</v>
      </c>
      <c r="H60">
        <v>0</v>
      </c>
    </row>
    <row r="61" spans="1:8" x14ac:dyDescent="0.35">
      <c r="A61" t="s">
        <v>365</v>
      </c>
      <c r="B61" t="s">
        <v>536</v>
      </c>
      <c r="C61" t="s">
        <v>247</v>
      </c>
      <c r="D61" t="s">
        <v>248</v>
      </c>
      <c r="E61">
        <v>0</v>
      </c>
      <c r="F61">
        <v>0</v>
      </c>
      <c r="G61">
        <v>0</v>
      </c>
      <c r="H61">
        <v>0</v>
      </c>
    </row>
    <row r="62" spans="1:8" x14ac:dyDescent="0.35">
      <c r="A62" t="s">
        <v>365</v>
      </c>
      <c r="B62" t="s">
        <v>536</v>
      </c>
      <c r="C62" t="s">
        <v>289</v>
      </c>
      <c r="D62" t="s">
        <v>290</v>
      </c>
      <c r="E62">
        <v>0</v>
      </c>
      <c r="F62">
        <v>0</v>
      </c>
      <c r="G62">
        <v>0</v>
      </c>
      <c r="H62">
        <v>0</v>
      </c>
    </row>
    <row r="63" spans="1:8" x14ac:dyDescent="0.35">
      <c r="A63" t="s">
        <v>365</v>
      </c>
      <c r="B63" t="s">
        <v>536</v>
      </c>
      <c r="C63" t="s">
        <v>253</v>
      </c>
      <c r="D63" t="s">
        <v>254</v>
      </c>
      <c r="E63">
        <v>0</v>
      </c>
      <c r="F63">
        <v>0</v>
      </c>
      <c r="G63">
        <v>0</v>
      </c>
      <c r="H63">
        <v>0</v>
      </c>
    </row>
    <row r="64" spans="1:8" x14ac:dyDescent="0.35">
      <c r="A64" t="s">
        <v>365</v>
      </c>
      <c r="B64" t="s">
        <v>536</v>
      </c>
      <c r="C64" t="s">
        <v>270</v>
      </c>
      <c r="D64" t="s">
        <v>271</v>
      </c>
      <c r="E64">
        <v>0</v>
      </c>
      <c r="F64">
        <v>0</v>
      </c>
      <c r="G64">
        <v>0</v>
      </c>
      <c r="H64">
        <v>0</v>
      </c>
    </row>
    <row r="65" spans="1:8" x14ac:dyDescent="0.35">
      <c r="A65" t="s">
        <v>365</v>
      </c>
      <c r="B65" t="s">
        <v>536</v>
      </c>
      <c r="C65" t="s">
        <v>267</v>
      </c>
      <c r="D65" t="s">
        <v>268</v>
      </c>
      <c r="E65">
        <v>0</v>
      </c>
      <c r="F65">
        <v>0</v>
      </c>
      <c r="G65">
        <v>0</v>
      </c>
      <c r="H65">
        <v>0</v>
      </c>
    </row>
    <row r="66" spans="1:8" x14ac:dyDescent="0.35">
      <c r="A66" t="s">
        <v>366</v>
      </c>
      <c r="B66" t="s">
        <v>536</v>
      </c>
      <c r="C66" t="s">
        <v>240</v>
      </c>
      <c r="D66" t="s">
        <v>241</v>
      </c>
      <c r="E66">
        <v>0</v>
      </c>
      <c r="F66">
        <v>0</v>
      </c>
      <c r="G66">
        <v>0</v>
      </c>
      <c r="H66">
        <v>0</v>
      </c>
    </row>
    <row r="67" spans="1:8" x14ac:dyDescent="0.35">
      <c r="A67" t="s">
        <v>366</v>
      </c>
      <c r="B67" t="s">
        <v>536</v>
      </c>
      <c r="C67" t="s">
        <v>244</v>
      </c>
      <c r="D67" t="s">
        <v>245</v>
      </c>
      <c r="E67">
        <v>5</v>
      </c>
      <c r="F67">
        <v>1</v>
      </c>
      <c r="G67">
        <v>1</v>
      </c>
      <c r="H67">
        <v>3</v>
      </c>
    </row>
    <row r="68" spans="1:8" x14ac:dyDescent="0.35">
      <c r="A68" t="s">
        <v>366</v>
      </c>
      <c r="B68" t="s">
        <v>536</v>
      </c>
      <c r="C68" t="s">
        <v>249</v>
      </c>
      <c r="D68" t="s">
        <v>250</v>
      </c>
      <c r="E68">
        <v>0</v>
      </c>
      <c r="F68">
        <v>0</v>
      </c>
      <c r="G68">
        <v>0</v>
      </c>
      <c r="H68">
        <v>0</v>
      </c>
    </row>
    <row r="69" spans="1:8" x14ac:dyDescent="0.35">
      <c r="A69" t="s">
        <v>366</v>
      </c>
      <c r="B69" t="s">
        <v>536</v>
      </c>
      <c r="C69" t="s">
        <v>255</v>
      </c>
      <c r="D69" t="s">
        <v>256</v>
      </c>
      <c r="E69">
        <v>0</v>
      </c>
      <c r="F69">
        <v>0</v>
      </c>
      <c r="G69">
        <v>0</v>
      </c>
      <c r="H69">
        <v>0</v>
      </c>
    </row>
    <row r="70" spans="1:8" x14ac:dyDescent="0.35">
      <c r="A70" t="s">
        <v>366</v>
      </c>
      <c r="B70" t="s">
        <v>536</v>
      </c>
      <c r="C70" t="s">
        <v>259</v>
      </c>
      <c r="D70" t="s">
        <v>260</v>
      </c>
      <c r="E70">
        <v>0</v>
      </c>
      <c r="F70">
        <v>0</v>
      </c>
      <c r="G70">
        <v>0</v>
      </c>
      <c r="H70">
        <v>0</v>
      </c>
    </row>
    <row r="71" spans="1:8" x14ac:dyDescent="0.35">
      <c r="A71" t="s">
        <v>366</v>
      </c>
      <c r="B71" t="s">
        <v>536</v>
      </c>
      <c r="C71" t="s">
        <v>283</v>
      </c>
      <c r="D71" t="s">
        <v>284</v>
      </c>
      <c r="E71">
        <v>0</v>
      </c>
      <c r="F71">
        <v>0</v>
      </c>
      <c r="G71">
        <v>0</v>
      </c>
      <c r="H71">
        <v>0</v>
      </c>
    </row>
    <row r="72" spans="1:8" x14ac:dyDescent="0.35">
      <c r="A72" t="s">
        <v>366</v>
      </c>
      <c r="B72" t="s">
        <v>536</v>
      </c>
      <c r="C72" t="s">
        <v>263</v>
      </c>
      <c r="D72" t="s">
        <v>264</v>
      </c>
      <c r="E72">
        <v>0</v>
      </c>
      <c r="F72">
        <v>0</v>
      </c>
      <c r="G72">
        <v>0</v>
      </c>
      <c r="H72">
        <v>0</v>
      </c>
    </row>
    <row r="73" spans="1:8" x14ac:dyDescent="0.35">
      <c r="A73" t="s">
        <v>366</v>
      </c>
      <c r="B73" t="s">
        <v>536</v>
      </c>
      <c r="C73" t="s">
        <v>273</v>
      </c>
      <c r="D73" t="s">
        <v>274</v>
      </c>
      <c r="E73">
        <v>68</v>
      </c>
      <c r="F73">
        <v>8</v>
      </c>
      <c r="G73">
        <v>14</v>
      </c>
      <c r="H73">
        <v>46</v>
      </c>
    </row>
    <row r="74" spans="1:8" x14ac:dyDescent="0.35">
      <c r="A74" t="s">
        <v>366</v>
      </c>
      <c r="B74" t="s">
        <v>536</v>
      </c>
      <c r="C74" t="s">
        <v>277</v>
      </c>
      <c r="D74" t="s">
        <v>278</v>
      </c>
      <c r="E74">
        <v>0</v>
      </c>
      <c r="F74">
        <v>0</v>
      </c>
      <c r="G74">
        <v>0</v>
      </c>
      <c r="H74">
        <v>0</v>
      </c>
    </row>
    <row r="75" spans="1:8" x14ac:dyDescent="0.35">
      <c r="A75" t="s">
        <v>366</v>
      </c>
      <c r="B75" t="s">
        <v>536</v>
      </c>
      <c r="C75" t="s">
        <v>279</v>
      </c>
      <c r="D75" t="s">
        <v>280</v>
      </c>
      <c r="E75">
        <v>0</v>
      </c>
      <c r="F75">
        <v>0</v>
      </c>
      <c r="G75">
        <v>0</v>
      </c>
      <c r="H75">
        <v>0</v>
      </c>
    </row>
    <row r="76" spans="1:8" x14ac:dyDescent="0.35">
      <c r="A76" t="s">
        <v>366</v>
      </c>
      <c r="B76" t="s">
        <v>536</v>
      </c>
      <c r="C76" t="s">
        <v>281</v>
      </c>
      <c r="D76" t="s">
        <v>282</v>
      </c>
      <c r="E76">
        <v>20</v>
      </c>
      <c r="F76">
        <v>2</v>
      </c>
      <c r="G76">
        <v>1</v>
      </c>
      <c r="H76">
        <v>17</v>
      </c>
    </row>
    <row r="77" spans="1:8" x14ac:dyDescent="0.35">
      <c r="A77" t="s">
        <v>366</v>
      </c>
      <c r="B77" t="s">
        <v>536</v>
      </c>
      <c r="C77" t="s">
        <v>287</v>
      </c>
      <c r="D77" t="s">
        <v>288</v>
      </c>
      <c r="E77">
        <v>22</v>
      </c>
      <c r="F77">
        <v>3</v>
      </c>
      <c r="G77">
        <v>4</v>
      </c>
      <c r="H77">
        <v>15</v>
      </c>
    </row>
    <row r="78" spans="1:8" x14ac:dyDescent="0.35">
      <c r="A78" t="s">
        <v>366</v>
      </c>
      <c r="B78" t="s">
        <v>536</v>
      </c>
      <c r="C78" t="s">
        <v>292</v>
      </c>
      <c r="D78" t="s">
        <v>293</v>
      </c>
      <c r="E78">
        <v>0</v>
      </c>
      <c r="F78">
        <v>0</v>
      </c>
      <c r="G78">
        <v>0</v>
      </c>
      <c r="H78">
        <v>0</v>
      </c>
    </row>
    <row r="79" spans="1:8" x14ac:dyDescent="0.35">
      <c r="A79" t="s">
        <v>366</v>
      </c>
      <c r="B79" t="s">
        <v>536</v>
      </c>
      <c r="C79" t="s">
        <v>294</v>
      </c>
      <c r="D79" t="s">
        <v>295</v>
      </c>
      <c r="E79">
        <v>23</v>
      </c>
      <c r="F79">
        <v>0</v>
      </c>
      <c r="G79">
        <v>2</v>
      </c>
      <c r="H79">
        <v>21</v>
      </c>
    </row>
    <row r="80" spans="1:8" x14ac:dyDescent="0.35">
      <c r="A80" t="s">
        <v>366</v>
      </c>
      <c r="B80" t="s">
        <v>536</v>
      </c>
      <c r="C80" t="s">
        <v>298</v>
      </c>
      <c r="D80" t="s">
        <v>299</v>
      </c>
      <c r="E80">
        <v>0</v>
      </c>
      <c r="F80">
        <v>0</v>
      </c>
      <c r="G80">
        <v>0</v>
      </c>
      <c r="H80">
        <v>0</v>
      </c>
    </row>
    <row r="81" spans="1:8" x14ac:dyDescent="0.35">
      <c r="A81" t="s">
        <v>366</v>
      </c>
      <c r="B81" t="s">
        <v>536</v>
      </c>
      <c r="C81" t="s">
        <v>300</v>
      </c>
      <c r="D81" t="s">
        <v>301</v>
      </c>
      <c r="E81">
        <v>0</v>
      </c>
      <c r="F81">
        <v>0</v>
      </c>
      <c r="G81">
        <v>0</v>
      </c>
      <c r="H81">
        <v>0</v>
      </c>
    </row>
    <row r="82" spans="1:8" x14ac:dyDescent="0.35">
      <c r="A82" t="s">
        <v>366</v>
      </c>
      <c r="B82" t="s">
        <v>536</v>
      </c>
      <c r="C82" t="s">
        <v>302</v>
      </c>
      <c r="D82" t="s">
        <v>303</v>
      </c>
      <c r="E82">
        <v>0</v>
      </c>
      <c r="F82">
        <v>0</v>
      </c>
      <c r="G82">
        <v>0</v>
      </c>
      <c r="H82">
        <v>0</v>
      </c>
    </row>
    <row r="83" spans="1:8" x14ac:dyDescent="0.35">
      <c r="A83" t="s">
        <v>366</v>
      </c>
      <c r="B83" t="s">
        <v>536</v>
      </c>
      <c r="C83" t="s">
        <v>304</v>
      </c>
      <c r="D83" t="s">
        <v>305</v>
      </c>
      <c r="E83">
        <v>3</v>
      </c>
      <c r="F83">
        <v>0</v>
      </c>
      <c r="G83">
        <v>1</v>
      </c>
      <c r="H83">
        <v>2</v>
      </c>
    </row>
    <row r="84" spans="1:8" x14ac:dyDescent="0.35">
      <c r="A84" t="s">
        <v>366</v>
      </c>
      <c r="B84" t="s">
        <v>536</v>
      </c>
      <c r="C84" t="s">
        <v>307</v>
      </c>
      <c r="D84" t="s">
        <v>308</v>
      </c>
      <c r="E84">
        <v>0</v>
      </c>
      <c r="F84">
        <v>0</v>
      </c>
      <c r="G84">
        <v>0</v>
      </c>
      <c r="H84">
        <v>0</v>
      </c>
    </row>
    <row r="85" spans="1:8" x14ac:dyDescent="0.35">
      <c r="A85" t="s">
        <v>366</v>
      </c>
      <c r="B85" t="s">
        <v>536</v>
      </c>
      <c r="C85" t="s">
        <v>215</v>
      </c>
      <c r="D85" t="s">
        <v>216</v>
      </c>
      <c r="E85">
        <v>0</v>
      </c>
      <c r="F85">
        <v>0</v>
      </c>
      <c r="G85">
        <v>0</v>
      </c>
      <c r="H85">
        <v>0</v>
      </c>
    </row>
    <row r="86" spans="1:8" x14ac:dyDescent="0.35">
      <c r="A86" t="s">
        <v>366</v>
      </c>
      <c r="B86" t="s">
        <v>536</v>
      </c>
      <c r="C86" t="s">
        <v>220</v>
      </c>
      <c r="D86" t="s">
        <v>221</v>
      </c>
      <c r="E86">
        <v>0</v>
      </c>
      <c r="F86">
        <v>0</v>
      </c>
      <c r="G86">
        <v>0</v>
      </c>
      <c r="H86">
        <v>0</v>
      </c>
    </row>
    <row r="87" spans="1:8" x14ac:dyDescent="0.35">
      <c r="A87" t="s">
        <v>366</v>
      </c>
      <c r="B87" t="s">
        <v>536</v>
      </c>
      <c r="C87" t="s">
        <v>228</v>
      </c>
      <c r="D87" t="s">
        <v>229</v>
      </c>
      <c r="E87">
        <v>201</v>
      </c>
      <c r="F87">
        <v>22</v>
      </c>
      <c r="G87">
        <v>23</v>
      </c>
      <c r="H87">
        <v>156</v>
      </c>
    </row>
    <row r="88" spans="1:8" x14ac:dyDescent="0.35">
      <c r="A88" t="s">
        <v>366</v>
      </c>
      <c r="B88" t="s">
        <v>536</v>
      </c>
      <c r="C88" t="s">
        <v>234</v>
      </c>
      <c r="D88" t="s">
        <v>235</v>
      </c>
      <c r="E88">
        <v>0</v>
      </c>
      <c r="F88">
        <v>0</v>
      </c>
      <c r="G88">
        <v>0</v>
      </c>
      <c r="H88">
        <v>0</v>
      </c>
    </row>
    <row r="89" spans="1:8" x14ac:dyDescent="0.35">
      <c r="A89" t="s">
        <v>366</v>
      </c>
      <c r="B89" t="s">
        <v>536</v>
      </c>
      <c r="C89" t="s">
        <v>296</v>
      </c>
      <c r="D89" t="s">
        <v>297</v>
      </c>
      <c r="E89">
        <v>0</v>
      </c>
      <c r="F89">
        <v>0</v>
      </c>
      <c r="G89">
        <v>0</v>
      </c>
      <c r="H89">
        <v>0</v>
      </c>
    </row>
    <row r="90" spans="1:8" x14ac:dyDescent="0.35">
      <c r="A90" t="s">
        <v>366</v>
      </c>
      <c r="B90" t="s">
        <v>536</v>
      </c>
      <c r="C90" t="s">
        <v>309</v>
      </c>
      <c r="D90" t="s">
        <v>310</v>
      </c>
      <c r="E90">
        <v>0</v>
      </c>
      <c r="F90">
        <v>0</v>
      </c>
      <c r="G90">
        <v>0</v>
      </c>
      <c r="H90">
        <v>0</v>
      </c>
    </row>
    <row r="91" spans="1:8" x14ac:dyDescent="0.35">
      <c r="A91" t="s">
        <v>366</v>
      </c>
      <c r="B91" t="s">
        <v>536</v>
      </c>
      <c r="C91" t="s">
        <v>311</v>
      </c>
      <c r="D91" t="s">
        <v>312</v>
      </c>
      <c r="E91">
        <v>0</v>
      </c>
      <c r="F91">
        <v>0</v>
      </c>
      <c r="G91">
        <v>0</v>
      </c>
      <c r="H91">
        <v>0</v>
      </c>
    </row>
    <row r="92" spans="1:8" x14ac:dyDescent="0.35">
      <c r="A92" t="s">
        <v>366</v>
      </c>
      <c r="B92" t="s">
        <v>536</v>
      </c>
      <c r="C92" t="s">
        <v>224</v>
      </c>
      <c r="D92" t="s">
        <v>225</v>
      </c>
      <c r="E92">
        <v>0</v>
      </c>
      <c r="F92">
        <v>0</v>
      </c>
      <c r="G92">
        <v>0</v>
      </c>
      <c r="H92">
        <v>0</v>
      </c>
    </row>
    <row r="93" spans="1:8" x14ac:dyDescent="0.35">
      <c r="A93" t="s">
        <v>366</v>
      </c>
      <c r="B93" t="s">
        <v>536</v>
      </c>
      <c r="C93" t="s">
        <v>247</v>
      </c>
      <c r="D93" t="s">
        <v>248</v>
      </c>
      <c r="E93">
        <v>0</v>
      </c>
      <c r="F93">
        <v>0</v>
      </c>
      <c r="G93">
        <v>0</v>
      </c>
      <c r="H93">
        <v>0</v>
      </c>
    </row>
    <row r="94" spans="1:8" x14ac:dyDescent="0.35">
      <c r="A94" t="s">
        <v>366</v>
      </c>
      <c r="B94" t="s">
        <v>536</v>
      </c>
      <c r="C94" t="s">
        <v>289</v>
      </c>
      <c r="D94" t="s">
        <v>290</v>
      </c>
      <c r="E94">
        <v>0</v>
      </c>
      <c r="F94">
        <v>0</v>
      </c>
      <c r="G94">
        <v>0</v>
      </c>
      <c r="H94">
        <v>0</v>
      </c>
    </row>
    <row r="95" spans="1:8" x14ac:dyDescent="0.35">
      <c r="A95" t="s">
        <v>366</v>
      </c>
      <c r="B95" t="s">
        <v>536</v>
      </c>
      <c r="C95" t="s">
        <v>253</v>
      </c>
      <c r="D95" t="s">
        <v>254</v>
      </c>
      <c r="E95">
        <v>0</v>
      </c>
      <c r="F95">
        <v>0</v>
      </c>
      <c r="G95">
        <v>0</v>
      </c>
      <c r="H95">
        <v>0</v>
      </c>
    </row>
    <row r="96" spans="1:8" x14ac:dyDescent="0.35">
      <c r="A96" t="s">
        <v>366</v>
      </c>
      <c r="B96" t="s">
        <v>536</v>
      </c>
      <c r="C96" t="s">
        <v>270</v>
      </c>
      <c r="D96" t="s">
        <v>271</v>
      </c>
      <c r="E96">
        <v>0</v>
      </c>
      <c r="F96">
        <v>0</v>
      </c>
      <c r="G96">
        <v>0</v>
      </c>
      <c r="H96">
        <v>0</v>
      </c>
    </row>
    <row r="97" spans="1:8" x14ac:dyDescent="0.35">
      <c r="A97" t="s">
        <v>366</v>
      </c>
      <c r="B97" t="s">
        <v>536</v>
      </c>
      <c r="C97" t="s">
        <v>267</v>
      </c>
      <c r="D97" t="s">
        <v>268</v>
      </c>
      <c r="E97">
        <v>0</v>
      </c>
      <c r="F97">
        <v>0</v>
      </c>
      <c r="G97">
        <v>0</v>
      </c>
      <c r="H97">
        <v>0</v>
      </c>
    </row>
    <row r="98" spans="1:8" x14ac:dyDescent="0.35">
      <c r="A98" t="s">
        <v>341</v>
      </c>
      <c r="B98" t="s">
        <v>536</v>
      </c>
      <c r="C98" t="s">
        <v>240</v>
      </c>
      <c r="D98" t="s">
        <v>241</v>
      </c>
      <c r="E98">
        <v>0</v>
      </c>
      <c r="F98">
        <v>0</v>
      </c>
      <c r="G98">
        <v>0</v>
      </c>
      <c r="H98">
        <v>0</v>
      </c>
    </row>
    <row r="99" spans="1:8" x14ac:dyDescent="0.35">
      <c r="A99" t="s">
        <v>341</v>
      </c>
      <c r="B99" t="s">
        <v>536</v>
      </c>
      <c r="C99" t="s">
        <v>244</v>
      </c>
      <c r="D99" t="s">
        <v>245</v>
      </c>
      <c r="E99">
        <v>5</v>
      </c>
      <c r="F99">
        <v>1</v>
      </c>
      <c r="G99">
        <v>1</v>
      </c>
      <c r="H99">
        <v>3</v>
      </c>
    </row>
    <row r="100" spans="1:8" x14ac:dyDescent="0.35">
      <c r="A100" t="s">
        <v>341</v>
      </c>
      <c r="B100" t="s">
        <v>536</v>
      </c>
      <c r="C100" t="s">
        <v>249</v>
      </c>
      <c r="D100" t="s">
        <v>250</v>
      </c>
      <c r="E100">
        <v>0</v>
      </c>
      <c r="F100">
        <v>0</v>
      </c>
      <c r="G100">
        <v>0</v>
      </c>
      <c r="H100">
        <v>0</v>
      </c>
    </row>
    <row r="101" spans="1:8" x14ac:dyDescent="0.35">
      <c r="A101" t="s">
        <v>341</v>
      </c>
      <c r="B101" t="s">
        <v>536</v>
      </c>
      <c r="C101" t="s">
        <v>255</v>
      </c>
      <c r="D101" t="s">
        <v>256</v>
      </c>
      <c r="E101">
        <v>0</v>
      </c>
      <c r="F101">
        <v>0</v>
      </c>
      <c r="G101">
        <v>0</v>
      </c>
      <c r="H101">
        <v>0</v>
      </c>
    </row>
    <row r="102" spans="1:8" x14ac:dyDescent="0.35">
      <c r="A102" t="s">
        <v>341</v>
      </c>
      <c r="B102" t="s">
        <v>536</v>
      </c>
      <c r="C102" t="s">
        <v>259</v>
      </c>
      <c r="D102" t="s">
        <v>260</v>
      </c>
      <c r="E102">
        <v>0</v>
      </c>
      <c r="F102">
        <v>0</v>
      </c>
      <c r="G102">
        <v>0</v>
      </c>
      <c r="H102">
        <v>0</v>
      </c>
    </row>
    <row r="103" spans="1:8" x14ac:dyDescent="0.35">
      <c r="A103" t="s">
        <v>341</v>
      </c>
      <c r="B103" t="s">
        <v>536</v>
      </c>
      <c r="C103" t="s">
        <v>283</v>
      </c>
      <c r="D103" t="s">
        <v>284</v>
      </c>
      <c r="E103">
        <v>0</v>
      </c>
      <c r="F103">
        <v>0</v>
      </c>
      <c r="G103">
        <v>0</v>
      </c>
      <c r="H103">
        <v>0</v>
      </c>
    </row>
    <row r="104" spans="1:8" x14ac:dyDescent="0.35">
      <c r="A104" t="s">
        <v>341</v>
      </c>
      <c r="B104" t="s">
        <v>536</v>
      </c>
      <c r="C104" t="s">
        <v>263</v>
      </c>
      <c r="D104" t="s">
        <v>264</v>
      </c>
      <c r="E104">
        <v>0</v>
      </c>
      <c r="F104">
        <v>0</v>
      </c>
      <c r="G104">
        <v>0</v>
      </c>
      <c r="H104">
        <v>0</v>
      </c>
    </row>
    <row r="105" spans="1:8" x14ac:dyDescent="0.35">
      <c r="A105" t="s">
        <v>341</v>
      </c>
      <c r="B105" t="s">
        <v>536</v>
      </c>
      <c r="C105" t="s">
        <v>273</v>
      </c>
      <c r="D105" t="s">
        <v>274</v>
      </c>
      <c r="E105">
        <v>67</v>
      </c>
      <c r="F105">
        <v>7</v>
      </c>
      <c r="G105">
        <v>13</v>
      </c>
      <c r="H105">
        <v>47</v>
      </c>
    </row>
    <row r="106" spans="1:8" x14ac:dyDescent="0.35">
      <c r="A106" t="s">
        <v>341</v>
      </c>
      <c r="B106" t="s">
        <v>536</v>
      </c>
      <c r="C106" t="s">
        <v>277</v>
      </c>
      <c r="D106" t="s">
        <v>278</v>
      </c>
      <c r="E106">
        <v>0</v>
      </c>
      <c r="F106">
        <v>0</v>
      </c>
      <c r="G106">
        <v>0</v>
      </c>
      <c r="H106">
        <v>0</v>
      </c>
    </row>
    <row r="107" spans="1:8" x14ac:dyDescent="0.35">
      <c r="A107" t="s">
        <v>341</v>
      </c>
      <c r="B107" t="s">
        <v>536</v>
      </c>
      <c r="C107" t="s">
        <v>279</v>
      </c>
      <c r="D107" t="s">
        <v>280</v>
      </c>
      <c r="E107">
        <v>0</v>
      </c>
      <c r="F107">
        <v>0</v>
      </c>
      <c r="G107">
        <v>0</v>
      </c>
      <c r="H107">
        <v>0</v>
      </c>
    </row>
    <row r="108" spans="1:8" x14ac:dyDescent="0.35">
      <c r="A108" t="s">
        <v>341</v>
      </c>
      <c r="B108" t="s">
        <v>536</v>
      </c>
      <c r="C108" t="s">
        <v>281</v>
      </c>
      <c r="D108" t="s">
        <v>282</v>
      </c>
      <c r="E108">
        <v>4</v>
      </c>
      <c r="F108">
        <v>1</v>
      </c>
      <c r="G108">
        <v>2</v>
      </c>
      <c r="H108">
        <v>1</v>
      </c>
    </row>
    <row r="109" spans="1:8" x14ac:dyDescent="0.35">
      <c r="A109" t="s">
        <v>341</v>
      </c>
      <c r="B109" t="s">
        <v>536</v>
      </c>
      <c r="C109" t="s">
        <v>287</v>
      </c>
      <c r="D109" t="s">
        <v>288</v>
      </c>
      <c r="E109">
        <v>18</v>
      </c>
      <c r="F109">
        <v>3</v>
      </c>
      <c r="G109">
        <v>4</v>
      </c>
      <c r="H109">
        <v>11</v>
      </c>
    </row>
    <row r="110" spans="1:8" x14ac:dyDescent="0.35">
      <c r="A110" t="s">
        <v>341</v>
      </c>
      <c r="B110" t="s">
        <v>536</v>
      </c>
      <c r="C110" t="s">
        <v>292</v>
      </c>
      <c r="D110" t="s">
        <v>293</v>
      </c>
      <c r="E110">
        <v>0</v>
      </c>
      <c r="F110">
        <v>0</v>
      </c>
      <c r="G110">
        <v>0</v>
      </c>
      <c r="H110">
        <v>0</v>
      </c>
    </row>
    <row r="111" spans="1:8" x14ac:dyDescent="0.35">
      <c r="A111" t="s">
        <v>341</v>
      </c>
      <c r="B111" t="s">
        <v>536</v>
      </c>
      <c r="C111" t="s">
        <v>294</v>
      </c>
      <c r="D111" t="s">
        <v>295</v>
      </c>
      <c r="E111">
        <v>23</v>
      </c>
      <c r="F111">
        <v>0</v>
      </c>
      <c r="G111">
        <v>3</v>
      </c>
      <c r="H111">
        <v>20</v>
      </c>
    </row>
    <row r="112" spans="1:8" x14ac:dyDescent="0.35">
      <c r="A112" t="s">
        <v>341</v>
      </c>
      <c r="B112" t="s">
        <v>536</v>
      </c>
      <c r="C112" t="s">
        <v>298</v>
      </c>
      <c r="D112" t="s">
        <v>299</v>
      </c>
      <c r="E112">
        <v>0</v>
      </c>
      <c r="F112">
        <v>0</v>
      </c>
      <c r="G112">
        <v>0</v>
      </c>
      <c r="H112">
        <v>0</v>
      </c>
    </row>
    <row r="113" spans="1:8" x14ac:dyDescent="0.35">
      <c r="A113" t="s">
        <v>341</v>
      </c>
      <c r="B113" t="s">
        <v>536</v>
      </c>
      <c r="C113" t="s">
        <v>300</v>
      </c>
      <c r="D113" t="s">
        <v>301</v>
      </c>
      <c r="E113">
        <v>0</v>
      </c>
      <c r="F113">
        <v>0</v>
      </c>
      <c r="G113">
        <v>0</v>
      </c>
      <c r="H113">
        <v>0</v>
      </c>
    </row>
    <row r="114" spans="1:8" x14ac:dyDescent="0.35">
      <c r="A114" t="s">
        <v>341</v>
      </c>
      <c r="B114" t="s">
        <v>536</v>
      </c>
      <c r="C114" t="s">
        <v>302</v>
      </c>
      <c r="D114" t="s">
        <v>303</v>
      </c>
      <c r="E114">
        <v>0</v>
      </c>
      <c r="F114">
        <v>0</v>
      </c>
      <c r="G114">
        <v>0</v>
      </c>
      <c r="H114">
        <v>0</v>
      </c>
    </row>
    <row r="115" spans="1:8" x14ac:dyDescent="0.35">
      <c r="A115" t="s">
        <v>341</v>
      </c>
      <c r="B115" t="s">
        <v>536</v>
      </c>
      <c r="C115" t="s">
        <v>304</v>
      </c>
      <c r="D115" t="s">
        <v>305</v>
      </c>
      <c r="E115">
        <v>3</v>
      </c>
      <c r="F115">
        <v>1</v>
      </c>
      <c r="G115">
        <v>0</v>
      </c>
      <c r="H115">
        <v>2</v>
      </c>
    </row>
    <row r="116" spans="1:8" x14ac:dyDescent="0.35">
      <c r="A116" t="s">
        <v>341</v>
      </c>
      <c r="B116" t="s">
        <v>536</v>
      </c>
      <c r="C116" t="s">
        <v>307</v>
      </c>
      <c r="D116" t="s">
        <v>308</v>
      </c>
      <c r="E116">
        <v>0</v>
      </c>
      <c r="F116">
        <v>0</v>
      </c>
      <c r="G116">
        <v>0</v>
      </c>
      <c r="H116">
        <v>0</v>
      </c>
    </row>
    <row r="117" spans="1:8" x14ac:dyDescent="0.35">
      <c r="A117" t="s">
        <v>341</v>
      </c>
      <c r="B117" t="s">
        <v>536</v>
      </c>
      <c r="C117" t="s">
        <v>215</v>
      </c>
      <c r="D117" t="s">
        <v>216</v>
      </c>
      <c r="E117">
        <v>0</v>
      </c>
      <c r="F117">
        <v>0</v>
      </c>
      <c r="G117">
        <v>0</v>
      </c>
      <c r="H117">
        <v>0</v>
      </c>
    </row>
    <row r="118" spans="1:8" x14ac:dyDescent="0.35">
      <c r="A118" t="s">
        <v>341</v>
      </c>
      <c r="B118" t="s">
        <v>536</v>
      </c>
      <c r="C118" t="s">
        <v>220</v>
      </c>
      <c r="D118" t="s">
        <v>221</v>
      </c>
      <c r="E118">
        <v>0</v>
      </c>
      <c r="F118">
        <v>0</v>
      </c>
      <c r="G118">
        <v>0</v>
      </c>
      <c r="H118">
        <v>0</v>
      </c>
    </row>
    <row r="119" spans="1:8" x14ac:dyDescent="0.35">
      <c r="A119" t="s">
        <v>341</v>
      </c>
      <c r="B119" t="s">
        <v>536</v>
      </c>
      <c r="C119" t="s">
        <v>228</v>
      </c>
      <c r="D119" t="s">
        <v>229</v>
      </c>
      <c r="E119">
        <v>200</v>
      </c>
      <c r="F119">
        <v>24</v>
      </c>
      <c r="G119">
        <v>21</v>
      </c>
      <c r="H119">
        <v>155</v>
      </c>
    </row>
    <row r="120" spans="1:8" x14ac:dyDescent="0.35">
      <c r="A120" t="s">
        <v>341</v>
      </c>
      <c r="B120" t="s">
        <v>536</v>
      </c>
      <c r="C120" t="s">
        <v>234</v>
      </c>
      <c r="D120" t="s">
        <v>235</v>
      </c>
      <c r="E120">
        <v>0</v>
      </c>
      <c r="F120">
        <v>0</v>
      </c>
      <c r="G120">
        <v>0</v>
      </c>
      <c r="H120">
        <v>0</v>
      </c>
    </row>
    <row r="121" spans="1:8" x14ac:dyDescent="0.35">
      <c r="A121" t="s">
        <v>341</v>
      </c>
      <c r="B121" t="s">
        <v>536</v>
      </c>
      <c r="C121" t="s">
        <v>296</v>
      </c>
      <c r="D121" t="s">
        <v>297</v>
      </c>
      <c r="E121">
        <v>0</v>
      </c>
      <c r="F121">
        <v>0</v>
      </c>
      <c r="G121">
        <v>0</v>
      </c>
      <c r="H121">
        <v>0</v>
      </c>
    </row>
    <row r="122" spans="1:8" x14ac:dyDescent="0.35">
      <c r="A122" t="s">
        <v>341</v>
      </c>
      <c r="B122" t="s">
        <v>536</v>
      </c>
      <c r="C122" t="s">
        <v>309</v>
      </c>
      <c r="D122" t="s">
        <v>310</v>
      </c>
      <c r="E122">
        <v>0</v>
      </c>
      <c r="F122">
        <v>0</v>
      </c>
      <c r="G122">
        <v>0</v>
      </c>
      <c r="H122">
        <v>0</v>
      </c>
    </row>
    <row r="123" spans="1:8" x14ac:dyDescent="0.35">
      <c r="A123" t="s">
        <v>341</v>
      </c>
      <c r="B123" t="s">
        <v>536</v>
      </c>
      <c r="C123" t="s">
        <v>311</v>
      </c>
      <c r="D123" t="s">
        <v>312</v>
      </c>
      <c r="E123">
        <v>0</v>
      </c>
      <c r="F123">
        <v>0</v>
      </c>
      <c r="G123">
        <v>0</v>
      </c>
      <c r="H123">
        <v>0</v>
      </c>
    </row>
    <row r="124" spans="1:8" x14ac:dyDescent="0.35">
      <c r="A124" t="s">
        <v>341</v>
      </c>
      <c r="B124" t="s">
        <v>536</v>
      </c>
      <c r="C124" t="s">
        <v>224</v>
      </c>
      <c r="D124" t="s">
        <v>225</v>
      </c>
      <c r="E124">
        <v>0</v>
      </c>
      <c r="F124">
        <v>0</v>
      </c>
      <c r="G124">
        <v>0</v>
      </c>
      <c r="H124">
        <v>0</v>
      </c>
    </row>
    <row r="125" spans="1:8" x14ac:dyDescent="0.35">
      <c r="A125" t="s">
        <v>341</v>
      </c>
      <c r="B125" t="s">
        <v>536</v>
      </c>
      <c r="C125" t="s">
        <v>247</v>
      </c>
      <c r="D125" t="s">
        <v>248</v>
      </c>
      <c r="E125">
        <v>0</v>
      </c>
      <c r="F125">
        <v>0</v>
      </c>
      <c r="G125">
        <v>0</v>
      </c>
      <c r="H125">
        <v>0</v>
      </c>
    </row>
    <row r="126" spans="1:8" x14ac:dyDescent="0.35">
      <c r="A126" t="s">
        <v>341</v>
      </c>
      <c r="B126" t="s">
        <v>536</v>
      </c>
      <c r="C126" t="s">
        <v>289</v>
      </c>
      <c r="D126" t="s">
        <v>290</v>
      </c>
      <c r="E126">
        <v>0</v>
      </c>
      <c r="F126">
        <v>0</v>
      </c>
      <c r="G126">
        <v>0</v>
      </c>
      <c r="H126">
        <v>0</v>
      </c>
    </row>
    <row r="127" spans="1:8" x14ac:dyDescent="0.35">
      <c r="A127" t="s">
        <v>341</v>
      </c>
      <c r="B127" t="s">
        <v>536</v>
      </c>
      <c r="C127" t="s">
        <v>253</v>
      </c>
      <c r="D127" t="s">
        <v>254</v>
      </c>
      <c r="E127">
        <v>0</v>
      </c>
      <c r="F127">
        <v>0</v>
      </c>
      <c r="G127">
        <v>0</v>
      </c>
      <c r="H127">
        <v>0</v>
      </c>
    </row>
    <row r="128" spans="1:8" x14ac:dyDescent="0.35">
      <c r="A128" t="s">
        <v>341</v>
      </c>
      <c r="B128" t="s">
        <v>536</v>
      </c>
      <c r="C128" t="s">
        <v>270</v>
      </c>
      <c r="D128" t="s">
        <v>271</v>
      </c>
      <c r="E128">
        <v>0</v>
      </c>
      <c r="F128">
        <v>0</v>
      </c>
      <c r="G128">
        <v>0</v>
      </c>
      <c r="H128">
        <v>0</v>
      </c>
    </row>
    <row r="129" spans="1:8" x14ac:dyDescent="0.35">
      <c r="A129" t="s">
        <v>341</v>
      </c>
      <c r="B129" t="s">
        <v>536</v>
      </c>
      <c r="C129" t="s">
        <v>267</v>
      </c>
      <c r="D129" t="s">
        <v>268</v>
      </c>
      <c r="E129">
        <v>0</v>
      </c>
      <c r="F129">
        <v>0</v>
      </c>
      <c r="G129">
        <v>0</v>
      </c>
      <c r="H129">
        <v>0</v>
      </c>
    </row>
    <row r="130" spans="1:8" x14ac:dyDescent="0.35">
      <c r="A130" t="s">
        <v>342</v>
      </c>
      <c r="B130" t="s">
        <v>536</v>
      </c>
      <c r="C130" t="s">
        <v>244</v>
      </c>
      <c r="D130" t="s">
        <v>245</v>
      </c>
      <c r="E130">
        <v>4</v>
      </c>
      <c r="F130">
        <v>1</v>
      </c>
      <c r="H130">
        <v>3</v>
      </c>
    </row>
    <row r="131" spans="1:8" x14ac:dyDescent="0.35">
      <c r="A131" t="s">
        <v>342</v>
      </c>
      <c r="B131" t="s">
        <v>536</v>
      </c>
      <c r="C131" t="s">
        <v>273</v>
      </c>
      <c r="D131" t="s">
        <v>274</v>
      </c>
      <c r="E131">
        <v>64</v>
      </c>
      <c r="F131">
        <v>7</v>
      </c>
      <c r="G131">
        <v>11</v>
      </c>
      <c r="H131">
        <v>46</v>
      </c>
    </row>
    <row r="132" spans="1:8" x14ac:dyDescent="0.35">
      <c r="A132" t="s">
        <v>342</v>
      </c>
      <c r="B132" t="s">
        <v>536</v>
      </c>
      <c r="C132" t="s">
        <v>281</v>
      </c>
      <c r="D132" t="s">
        <v>282</v>
      </c>
      <c r="E132">
        <v>4</v>
      </c>
      <c r="F132">
        <v>2</v>
      </c>
      <c r="G132">
        <v>1</v>
      </c>
      <c r="H132">
        <v>1</v>
      </c>
    </row>
    <row r="133" spans="1:8" x14ac:dyDescent="0.35">
      <c r="A133" t="s">
        <v>342</v>
      </c>
      <c r="B133" t="s">
        <v>536</v>
      </c>
      <c r="C133" t="s">
        <v>287</v>
      </c>
      <c r="D133" t="s">
        <v>288</v>
      </c>
      <c r="E133">
        <v>23</v>
      </c>
      <c r="F133">
        <v>3</v>
      </c>
      <c r="G133">
        <v>3</v>
      </c>
      <c r="H133">
        <v>17</v>
      </c>
    </row>
    <row r="134" spans="1:8" x14ac:dyDescent="0.35">
      <c r="A134" t="s">
        <v>342</v>
      </c>
      <c r="B134" t="s">
        <v>536</v>
      </c>
      <c r="C134" t="s">
        <v>294</v>
      </c>
      <c r="D134" t="s">
        <v>295</v>
      </c>
      <c r="E134">
        <v>28</v>
      </c>
      <c r="G134">
        <v>3</v>
      </c>
      <c r="H134">
        <v>25</v>
      </c>
    </row>
    <row r="135" spans="1:8" x14ac:dyDescent="0.35">
      <c r="A135" t="s">
        <v>342</v>
      </c>
      <c r="B135" t="s">
        <v>536</v>
      </c>
      <c r="C135" t="s">
        <v>304</v>
      </c>
      <c r="D135" t="s">
        <v>305</v>
      </c>
      <c r="E135">
        <v>2</v>
      </c>
      <c r="F135">
        <v>1</v>
      </c>
      <c r="H135">
        <v>1</v>
      </c>
    </row>
    <row r="136" spans="1:8" x14ac:dyDescent="0.35">
      <c r="A136" t="s">
        <v>342</v>
      </c>
      <c r="B136" t="s">
        <v>536</v>
      </c>
      <c r="C136" t="s">
        <v>228</v>
      </c>
      <c r="D136" t="s">
        <v>229</v>
      </c>
      <c r="E136">
        <v>211</v>
      </c>
      <c r="F136">
        <v>25</v>
      </c>
      <c r="G136">
        <v>22</v>
      </c>
      <c r="H136">
        <v>164</v>
      </c>
    </row>
    <row r="137" spans="1:8" x14ac:dyDescent="0.35">
      <c r="A137" t="s">
        <v>214</v>
      </c>
      <c r="B137" t="s">
        <v>536</v>
      </c>
      <c r="C137" t="s">
        <v>244</v>
      </c>
      <c r="D137" t="s">
        <v>245</v>
      </c>
      <c r="E137">
        <v>6</v>
      </c>
      <c r="F137">
        <v>1</v>
      </c>
      <c r="G137">
        <v>0</v>
      </c>
      <c r="H137">
        <v>5</v>
      </c>
    </row>
    <row r="138" spans="1:8" x14ac:dyDescent="0.35">
      <c r="A138" t="s">
        <v>214</v>
      </c>
      <c r="B138" t="s">
        <v>536</v>
      </c>
      <c r="C138" t="s">
        <v>273</v>
      </c>
      <c r="D138" t="s">
        <v>274</v>
      </c>
      <c r="E138">
        <v>62</v>
      </c>
      <c r="F138">
        <v>7</v>
      </c>
      <c r="G138">
        <v>12</v>
      </c>
      <c r="H138">
        <v>43</v>
      </c>
    </row>
    <row r="139" spans="1:8" x14ac:dyDescent="0.35">
      <c r="A139" t="s">
        <v>214</v>
      </c>
      <c r="B139" t="s">
        <v>536</v>
      </c>
      <c r="C139" t="s">
        <v>281</v>
      </c>
      <c r="D139" t="s">
        <v>282</v>
      </c>
      <c r="E139">
        <v>4</v>
      </c>
      <c r="F139">
        <v>1</v>
      </c>
      <c r="G139">
        <v>2</v>
      </c>
      <c r="H139">
        <v>1</v>
      </c>
    </row>
    <row r="140" spans="1:8" x14ac:dyDescent="0.35">
      <c r="A140" t="s">
        <v>214</v>
      </c>
      <c r="B140" t="s">
        <v>536</v>
      </c>
      <c r="C140" t="s">
        <v>287</v>
      </c>
      <c r="D140" t="s">
        <v>288</v>
      </c>
      <c r="E140">
        <v>22</v>
      </c>
      <c r="F140">
        <v>3</v>
      </c>
      <c r="G140">
        <v>3</v>
      </c>
      <c r="H140">
        <v>16</v>
      </c>
    </row>
    <row r="141" spans="1:8" x14ac:dyDescent="0.35">
      <c r="A141" t="s">
        <v>214</v>
      </c>
      <c r="B141" t="s">
        <v>536</v>
      </c>
      <c r="C141" t="s">
        <v>304</v>
      </c>
      <c r="D141" t="s">
        <v>305</v>
      </c>
      <c r="E141">
        <v>2</v>
      </c>
      <c r="F141">
        <v>1</v>
      </c>
      <c r="G141">
        <v>0</v>
      </c>
      <c r="H141">
        <v>1</v>
      </c>
    </row>
    <row r="142" spans="1:8" x14ac:dyDescent="0.35">
      <c r="A142" t="s">
        <v>214</v>
      </c>
      <c r="B142" t="s">
        <v>536</v>
      </c>
      <c r="C142" t="s">
        <v>228</v>
      </c>
      <c r="D142" t="s">
        <v>229</v>
      </c>
      <c r="E142">
        <v>203</v>
      </c>
      <c r="F142">
        <v>25</v>
      </c>
      <c r="G142">
        <v>22</v>
      </c>
      <c r="H142">
        <v>156</v>
      </c>
    </row>
    <row r="143" spans="1:8" x14ac:dyDescent="0.35">
      <c r="A143" t="s">
        <v>214</v>
      </c>
      <c r="B143" t="s">
        <v>536</v>
      </c>
      <c r="C143" t="s">
        <v>494</v>
      </c>
      <c r="D143" t="s">
        <v>295</v>
      </c>
      <c r="E143">
        <v>22</v>
      </c>
      <c r="F143">
        <v>0</v>
      </c>
      <c r="G143">
        <v>3</v>
      </c>
      <c r="H143">
        <v>19</v>
      </c>
    </row>
    <row r="144" spans="1:8" x14ac:dyDescent="0.35">
      <c r="A144" t="s">
        <v>313</v>
      </c>
      <c r="B144" t="s">
        <v>536</v>
      </c>
      <c r="C144" t="s">
        <v>232</v>
      </c>
      <c r="D144" t="s">
        <v>229</v>
      </c>
      <c r="E144">
        <v>212</v>
      </c>
      <c r="F144">
        <v>25</v>
      </c>
      <c r="G144">
        <v>22</v>
      </c>
      <c r="H144">
        <v>165</v>
      </c>
    </row>
    <row r="145" spans="1:8" x14ac:dyDescent="0.35">
      <c r="A145" t="s">
        <v>313</v>
      </c>
      <c r="B145" t="s">
        <v>536</v>
      </c>
      <c r="C145" t="s">
        <v>232</v>
      </c>
      <c r="D145" t="s">
        <v>245</v>
      </c>
      <c r="E145">
        <v>5</v>
      </c>
      <c r="F145">
        <v>1</v>
      </c>
      <c r="G145">
        <v>1</v>
      </c>
      <c r="H145">
        <v>3</v>
      </c>
    </row>
    <row r="146" spans="1:8" x14ac:dyDescent="0.35">
      <c r="A146" t="s">
        <v>313</v>
      </c>
      <c r="B146" t="s">
        <v>536</v>
      </c>
      <c r="C146" t="s">
        <v>232</v>
      </c>
      <c r="D146" t="s">
        <v>288</v>
      </c>
      <c r="E146">
        <v>22</v>
      </c>
      <c r="F146">
        <v>3</v>
      </c>
      <c r="G146">
        <v>3</v>
      </c>
      <c r="H146">
        <v>16</v>
      </c>
    </row>
    <row r="147" spans="1:8" x14ac:dyDescent="0.35">
      <c r="A147" t="s">
        <v>313</v>
      </c>
      <c r="B147" t="s">
        <v>536</v>
      </c>
      <c r="C147" t="s">
        <v>232</v>
      </c>
      <c r="D147" t="s">
        <v>305</v>
      </c>
      <c r="E147">
        <v>2</v>
      </c>
      <c r="F147">
        <v>1</v>
      </c>
      <c r="G147">
        <v>0</v>
      </c>
      <c r="H147">
        <v>1</v>
      </c>
    </row>
    <row r="148" spans="1:8" x14ac:dyDescent="0.35">
      <c r="A148" t="s">
        <v>313</v>
      </c>
      <c r="B148" t="s">
        <v>536</v>
      </c>
      <c r="C148" t="s">
        <v>218</v>
      </c>
      <c r="D148" t="s">
        <v>274</v>
      </c>
      <c r="E148">
        <v>49</v>
      </c>
      <c r="F148">
        <v>6</v>
      </c>
      <c r="G148">
        <v>10</v>
      </c>
      <c r="H148">
        <v>33</v>
      </c>
    </row>
    <row r="149" spans="1:8" x14ac:dyDescent="0.35">
      <c r="A149" t="s">
        <v>313</v>
      </c>
      <c r="B149" t="s">
        <v>536</v>
      </c>
      <c r="C149" t="s">
        <v>218</v>
      </c>
      <c r="D149" t="s">
        <v>282</v>
      </c>
      <c r="E149">
        <v>4</v>
      </c>
      <c r="F149">
        <v>1</v>
      </c>
      <c r="G149">
        <v>2</v>
      </c>
      <c r="H149">
        <v>1</v>
      </c>
    </row>
    <row r="150" spans="1:8" x14ac:dyDescent="0.35">
      <c r="A150" t="s">
        <v>313</v>
      </c>
      <c r="B150" t="s">
        <v>536</v>
      </c>
      <c r="C150" t="s">
        <v>218</v>
      </c>
      <c r="D150" t="s">
        <v>295</v>
      </c>
      <c r="E150">
        <v>21</v>
      </c>
      <c r="F150">
        <v>0</v>
      </c>
      <c r="G150">
        <v>3</v>
      </c>
      <c r="H150">
        <v>18</v>
      </c>
    </row>
    <row r="151" spans="1:8" x14ac:dyDescent="0.35">
      <c r="A151" t="s">
        <v>319</v>
      </c>
      <c r="B151" t="s">
        <v>536</v>
      </c>
      <c r="C151" t="s">
        <v>232</v>
      </c>
      <c r="D151" t="s">
        <v>229</v>
      </c>
      <c r="E151">
        <v>201</v>
      </c>
      <c r="F151">
        <v>25</v>
      </c>
      <c r="G151">
        <v>22</v>
      </c>
      <c r="H151">
        <v>154</v>
      </c>
    </row>
    <row r="152" spans="1:8" x14ac:dyDescent="0.35">
      <c r="A152" t="s">
        <v>319</v>
      </c>
      <c r="B152" t="s">
        <v>536</v>
      </c>
      <c r="C152" t="s">
        <v>232</v>
      </c>
      <c r="D152" t="s">
        <v>245</v>
      </c>
      <c r="E152">
        <v>6</v>
      </c>
      <c r="F152">
        <v>1</v>
      </c>
      <c r="G152">
        <v>1</v>
      </c>
      <c r="H152">
        <v>4</v>
      </c>
    </row>
    <row r="153" spans="1:8" x14ac:dyDescent="0.35">
      <c r="A153" t="s">
        <v>319</v>
      </c>
      <c r="B153" t="s">
        <v>536</v>
      </c>
      <c r="C153" t="s">
        <v>232</v>
      </c>
      <c r="D153" t="s">
        <v>288</v>
      </c>
      <c r="E153">
        <v>22</v>
      </c>
      <c r="F153">
        <v>3</v>
      </c>
      <c r="G153">
        <v>3</v>
      </c>
      <c r="H153">
        <v>16</v>
      </c>
    </row>
    <row r="154" spans="1:8" x14ac:dyDescent="0.35">
      <c r="A154" t="s">
        <v>319</v>
      </c>
      <c r="B154" t="s">
        <v>536</v>
      </c>
      <c r="C154" t="s">
        <v>232</v>
      </c>
      <c r="D154" t="s">
        <v>305</v>
      </c>
      <c r="E154">
        <v>2</v>
      </c>
      <c r="F154">
        <v>1</v>
      </c>
      <c r="G154">
        <v>0</v>
      </c>
      <c r="H154">
        <v>1</v>
      </c>
    </row>
    <row r="155" spans="1:8" x14ac:dyDescent="0.35">
      <c r="A155" t="s">
        <v>319</v>
      </c>
      <c r="B155" t="s">
        <v>536</v>
      </c>
      <c r="C155" t="s">
        <v>218</v>
      </c>
      <c r="D155" t="s">
        <v>274</v>
      </c>
      <c r="E155">
        <v>48</v>
      </c>
      <c r="F155">
        <v>6</v>
      </c>
      <c r="G155">
        <v>12</v>
      </c>
      <c r="H155">
        <v>30</v>
      </c>
    </row>
    <row r="156" spans="1:8" x14ac:dyDescent="0.35">
      <c r="A156" t="s">
        <v>319</v>
      </c>
      <c r="B156" t="s">
        <v>536</v>
      </c>
      <c r="C156" t="s">
        <v>218</v>
      </c>
      <c r="D156" t="s">
        <v>282</v>
      </c>
      <c r="E156">
        <v>3</v>
      </c>
      <c r="F156">
        <v>1</v>
      </c>
      <c r="G156">
        <v>2</v>
      </c>
      <c r="H156">
        <v>0</v>
      </c>
    </row>
    <row r="157" spans="1:8" x14ac:dyDescent="0.35">
      <c r="A157" t="s">
        <v>319</v>
      </c>
      <c r="B157" t="s">
        <v>536</v>
      </c>
      <c r="C157" t="s">
        <v>218</v>
      </c>
      <c r="D157" t="s">
        <v>295</v>
      </c>
      <c r="E157">
        <v>21</v>
      </c>
      <c r="F157">
        <v>0</v>
      </c>
      <c r="G157">
        <v>3</v>
      </c>
      <c r="H157">
        <v>18</v>
      </c>
    </row>
    <row r="158" spans="1:8" x14ac:dyDescent="0.35">
      <c r="A158" t="s">
        <v>321</v>
      </c>
      <c r="B158" t="s">
        <v>536</v>
      </c>
      <c r="D158" t="s">
        <v>229</v>
      </c>
      <c r="E158">
        <v>183</v>
      </c>
      <c r="F158">
        <v>24</v>
      </c>
      <c r="G158">
        <v>21</v>
      </c>
      <c r="H158">
        <v>138</v>
      </c>
    </row>
    <row r="159" spans="1:8" x14ac:dyDescent="0.35">
      <c r="A159" t="s">
        <v>321</v>
      </c>
      <c r="B159" t="s">
        <v>536</v>
      </c>
      <c r="D159" t="s">
        <v>245</v>
      </c>
      <c r="E159">
        <v>6</v>
      </c>
      <c r="F159">
        <v>1</v>
      </c>
      <c r="G159">
        <v>1</v>
      </c>
      <c r="H159">
        <v>4</v>
      </c>
    </row>
    <row r="160" spans="1:8" x14ac:dyDescent="0.35">
      <c r="A160" t="s">
        <v>321</v>
      </c>
      <c r="B160" t="s">
        <v>536</v>
      </c>
      <c r="D160" t="s">
        <v>274</v>
      </c>
      <c r="E160">
        <v>45</v>
      </c>
      <c r="F160">
        <v>7</v>
      </c>
      <c r="G160">
        <v>12</v>
      </c>
      <c r="H160">
        <v>26</v>
      </c>
    </row>
    <row r="161" spans="1:8" x14ac:dyDescent="0.35">
      <c r="A161" t="s">
        <v>321</v>
      </c>
      <c r="B161" t="s">
        <v>536</v>
      </c>
      <c r="D161" t="s">
        <v>288</v>
      </c>
      <c r="E161">
        <v>19</v>
      </c>
      <c r="F161">
        <v>3</v>
      </c>
      <c r="G161">
        <v>3</v>
      </c>
      <c r="H161">
        <v>13</v>
      </c>
    </row>
    <row r="162" spans="1:8" x14ac:dyDescent="0.35">
      <c r="A162" t="s">
        <v>321</v>
      </c>
      <c r="B162" t="s">
        <v>536</v>
      </c>
      <c r="D162" t="s">
        <v>295</v>
      </c>
      <c r="E162">
        <v>22</v>
      </c>
      <c r="F162">
        <v>0</v>
      </c>
      <c r="G162">
        <v>3</v>
      </c>
      <c r="H162">
        <v>19</v>
      </c>
    </row>
    <row r="163" spans="1:8" x14ac:dyDescent="0.35">
      <c r="A163" t="s">
        <v>321</v>
      </c>
      <c r="B163" t="s">
        <v>536</v>
      </c>
      <c r="D163" t="s">
        <v>305</v>
      </c>
      <c r="E163">
        <v>2</v>
      </c>
      <c r="F163">
        <v>1</v>
      </c>
      <c r="G163">
        <v>0</v>
      </c>
      <c r="H163">
        <v>1</v>
      </c>
    </row>
    <row r="164" spans="1:8" x14ac:dyDescent="0.35">
      <c r="A164" t="s">
        <v>326</v>
      </c>
      <c r="B164" t="s">
        <v>536</v>
      </c>
      <c r="D164" t="s">
        <v>229</v>
      </c>
      <c r="E164">
        <v>172</v>
      </c>
      <c r="F164">
        <v>25</v>
      </c>
      <c r="G164">
        <v>21</v>
      </c>
      <c r="H164">
        <v>126</v>
      </c>
    </row>
    <row r="165" spans="1:8" x14ac:dyDescent="0.35">
      <c r="A165" t="s">
        <v>326</v>
      </c>
      <c r="B165" t="s">
        <v>536</v>
      </c>
      <c r="D165" t="s">
        <v>245</v>
      </c>
      <c r="E165">
        <v>6</v>
      </c>
      <c r="F165">
        <v>1</v>
      </c>
      <c r="G165">
        <v>1</v>
      </c>
      <c r="H165">
        <v>4</v>
      </c>
    </row>
    <row r="166" spans="1:8" x14ac:dyDescent="0.35">
      <c r="A166" t="s">
        <v>326</v>
      </c>
      <c r="B166" t="s">
        <v>536</v>
      </c>
      <c r="D166" t="s">
        <v>274</v>
      </c>
      <c r="E166">
        <v>42</v>
      </c>
      <c r="F166">
        <v>6</v>
      </c>
      <c r="G166">
        <v>11</v>
      </c>
      <c r="H166">
        <v>25</v>
      </c>
    </row>
    <row r="167" spans="1:8" x14ac:dyDescent="0.35">
      <c r="A167" t="s">
        <v>326</v>
      </c>
      <c r="B167" t="s">
        <v>536</v>
      </c>
      <c r="D167" t="s">
        <v>282</v>
      </c>
      <c r="E167">
        <v>3</v>
      </c>
      <c r="F167">
        <v>1</v>
      </c>
      <c r="G167">
        <v>2</v>
      </c>
      <c r="H167">
        <v>0</v>
      </c>
    </row>
    <row r="168" spans="1:8" x14ac:dyDescent="0.35">
      <c r="A168" t="s">
        <v>326</v>
      </c>
      <c r="B168" t="s">
        <v>536</v>
      </c>
      <c r="D168" t="s">
        <v>288</v>
      </c>
      <c r="E168">
        <v>20</v>
      </c>
      <c r="F168">
        <v>3</v>
      </c>
      <c r="G168">
        <v>2</v>
      </c>
      <c r="H168">
        <v>15</v>
      </c>
    </row>
    <row r="169" spans="1:8" x14ac:dyDescent="0.35">
      <c r="A169" t="s">
        <v>326</v>
      </c>
      <c r="B169" t="s">
        <v>536</v>
      </c>
      <c r="D169" t="s">
        <v>295</v>
      </c>
      <c r="E169">
        <v>21</v>
      </c>
      <c r="F169">
        <v>0</v>
      </c>
      <c r="G169">
        <v>3</v>
      </c>
      <c r="H169">
        <v>18</v>
      </c>
    </row>
    <row r="170" spans="1:8" x14ac:dyDescent="0.35">
      <c r="A170" t="s">
        <v>326</v>
      </c>
      <c r="B170" t="s">
        <v>536</v>
      </c>
      <c r="D170" t="s">
        <v>305</v>
      </c>
      <c r="E170">
        <v>2</v>
      </c>
      <c r="F170">
        <v>1</v>
      </c>
      <c r="G170">
        <v>0</v>
      </c>
      <c r="H170">
        <v>1</v>
      </c>
    </row>
    <row r="171" spans="1:8" x14ac:dyDescent="0.35">
      <c r="A171" t="s">
        <v>327</v>
      </c>
      <c r="B171" t="s">
        <v>536</v>
      </c>
      <c r="D171" t="s">
        <v>229</v>
      </c>
      <c r="E171">
        <v>172</v>
      </c>
      <c r="F171">
        <v>25</v>
      </c>
      <c r="G171">
        <v>21</v>
      </c>
      <c r="H171">
        <v>126</v>
      </c>
    </row>
    <row r="172" spans="1:8" x14ac:dyDescent="0.35">
      <c r="A172" t="s">
        <v>327</v>
      </c>
      <c r="B172" t="s">
        <v>536</v>
      </c>
      <c r="D172" t="s">
        <v>245</v>
      </c>
      <c r="E172">
        <v>7</v>
      </c>
      <c r="F172">
        <v>1</v>
      </c>
      <c r="G172">
        <v>2</v>
      </c>
      <c r="H172">
        <v>4</v>
      </c>
    </row>
    <row r="173" spans="1:8" x14ac:dyDescent="0.35">
      <c r="A173" t="s">
        <v>327</v>
      </c>
      <c r="B173" t="s">
        <v>536</v>
      </c>
      <c r="D173" t="s">
        <v>274</v>
      </c>
      <c r="E173">
        <v>47</v>
      </c>
      <c r="F173">
        <v>6</v>
      </c>
      <c r="G173">
        <v>11</v>
      </c>
      <c r="H173">
        <v>30</v>
      </c>
    </row>
    <row r="174" spans="1:8" x14ac:dyDescent="0.35">
      <c r="A174" t="s">
        <v>327</v>
      </c>
      <c r="B174" t="s">
        <v>536</v>
      </c>
      <c r="D174" t="s">
        <v>282</v>
      </c>
      <c r="E174">
        <v>3</v>
      </c>
      <c r="F174">
        <v>1</v>
      </c>
      <c r="G174">
        <v>2</v>
      </c>
      <c r="H174">
        <v>0</v>
      </c>
    </row>
    <row r="175" spans="1:8" x14ac:dyDescent="0.35">
      <c r="A175" t="s">
        <v>327</v>
      </c>
      <c r="B175" t="s">
        <v>536</v>
      </c>
      <c r="D175" t="s">
        <v>288</v>
      </c>
      <c r="E175">
        <v>19</v>
      </c>
      <c r="F175">
        <v>2</v>
      </c>
      <c r="G175">
        <v>2</v>
      </c>
      <c r="H175">
        <v>15</v>
      </c>
    </row>
    <row r="176" spans="1:8" x14ac:dyDescent="0.35">
      <c r="A176" t="s">
        <v>327</v>
      </c>
      <c r="B176" t="s">
        <v>536</v>
      </c>
      <c r="D176" t="s">
        <v>295</v>
      </c>
      <c r="E176">
        <v>21</v>
      </c>
      <c r="F176">
        <v>0</v>
      </c>
      <c r="G176">
        <v>3</v>
      </c>
      <c r="H176">
        <v>18</v>
      </c>
    </row>
    <row r="177" spans="1:8" x14ac:dyDescent="0.35">
      <c r="A177" t="s">
        <v>466</v>
      </c>
      <c r="B177" t="s">
        <v>536</v>
      </c>
      <c r="D177" t="s">
        <v>229</v>
      </c>
      <c r="E177">
        <v>181</v>
      </c>
      <c r="F177">
        <v>25</v>
      </c>
      <c r="G177">
        <v>22</v>
      </c>
      <c r="H177">
        <v>134</v>
      </c>
    </row>
    <row r="178" spans="1:8" x14ac:dyDescent="0.35">
      <c r="A178" t="s">
        <v>466</v>
      </c>
      <c r="B178" t="s">
        <v>536</v>
      </c>
      <c r="D178" t="s">
        <v>245</v>
      </c>
      <c r="E178">
        <v>6</v>
      </c>
      <c r="F178">
        <v>1</v>
      </c>
      <c r="G178">
        <v>2</v>
      </c>
      <c r="H178">
        <v>3</v>
      </c>
    </row>
    <row r="179" spans="1:8" x14ac:dyDescent="0.35">
      <c r="A179" t="s">
        <v>466</v>
      </c>
      <c r="B179" t="s">
        <v>536</v>
      </c>
      <c r="D179" t="s">
        <v>274</v>
      </c>
      <c r="E179">
        <v>43</v>
      </c>
      <c r="F179">
        <v>6</v>
      </c>
      <c r="G179">
        <v>10</v>
      </c>
      <c r="H179">
        <v>27</v>
      </c>
    </row>
    <row r="180" spans="1:8" x14ac:dyDescent="0.35">
      <c r="A180" t="s">
        <v>466</v>
      </c>
      <c r="B180" t="s">
        <v>536</v>
      </c>
      <c r="D180" t="s">
        <v>282</v>
      </c>
      <c r="E180">
        <v>3</v>
      </c>
      <c r="F180">
        <v>1</v>
      </c>
      <c r="G180">
        <v>2</v>
      </c>
      <c r="H180">
        <v>0</v>
      </c>
    </row>
    <row r="181" spans="1:8" x14ac:dyDescent="0.35">
      <c r="A181" t="s">
        <v>466</v>
      </c>
      <c r="B181" t="s">
        <v>536</v>
      </c>
      <c r="D181" t="s">
        <v>288</v>
      </c>
      <c r="E181">
        <v>19</v>
      </c>
      <c r="F181">
        <v>2</v>
      </c>
      <c r="G181">
        <v>2</v>
      </c>
      <c r="H181">
        <v>15</v>
      </c>
    </row>
    <row r="182" spans="1:8" x14ac:dyDescent="0.35">
      <c r="A182" t="s">
        <v>466</v>
      </c>
      <c r="B182" t="s">
        <v>536</v>
      </c>
      <c r="D182" t="s">
        <v>295</v>
      </c>
      <c r="E182">
        <v>21</v>
      </c>
      <c r="F182">
        <v>1</v>
      </c>
      <c r="G182">
        <v>3</v>
      </c>
      <c r="H182">
        <v>17</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
    <tabColor theme="9" tint="0.39997558519241921"/>
    <pageSetUpPr fitToPage="1"/>
  </sheetPr>
  <dimension ref="A1:G48"/>
  <sheetViews>
    <sheetView showGridLines="0" zoomScaleNormal="100" workbookViewId="0">
      <pane ySplit="2" topLeftCell="A3" activePane="bottomLeft" state="frozen"/>
      <selection pane="bottomLeft" sqref="A1:G1"/>
    </sheetView>
  </sheetViews>
  <sheetFormatPr defaultRowHeight="14.5" x14ac:dyDescent="0.35"/>
  <cols>
    <col min="1" max="1" width="17.1796875" customWidth="1"/>
    <col min="2" max="2" width="28.7265625" customWidth="1"/>
    <col min="3" max="5" width="13" customWidth="1"/>
    <col min="6" max="6" width="10.26953125" customWidth="1"/>
  </cols>
  <sheetData>
    <row r="1" spans="1:7" ht="15.75" customHeight="1" x14ac:dyDescent="0.35">
      <c r="A1" s="1011" t="s">
        <v>513</v>
      </c>
      <c r="B1" s="1011"/>
      <c r="C1" s="1011"/>
      <c r="D1" s="1011"/>
      <c r="E1" s="1011"/>
      <c r="F1" s="1011"/>
      <c r="G1" s="1011"/>
    </row>
    <row r="2" spans="1:7" ht="15.5" x14ac:dyDescent="0.35">
      <c r="A2" s="499" t="s">
        <v>201</v>
      </c>
      <c r="C2" s="441"/>
      <c r="D2" s="441"/>
      <c r="E2" s="441"/>
      <c r="F2" s="441"/>
      <c r="G2" s="441"/>
    </row>
    <row r="3" spans="1:7" ht="15.5" x14ac:dyDescent="0.35">
      <c r="C3" s="441"/>
      <c r="D3" s="441"/>
      <c r="E3" s="441"/>
      <c r="F3" s="441"/>
      <c r="G3" s="441"/>
    </row>
    <row r="4" spans="1:7" ht="37.5" customHeight="1" x14ac:dyDescent="0.35">
      <c r="A4" s="421" t="s">
        <v>706</v>
      </c>
      <c r="B4" s="231"/>
      <c r="C4" s="231"/>
      <c r="D4" s="231"/>
      <c r="E4" s="231"/>
    </row>
    <row r="5" spans="1:7" ht="15" customHeight="1" x14ac:dyDescent="0.35">
      <c r="A5" t="s">
        <v>202</v>
      </c>
      <c r="B5" t="s">
        <v>80</v>
      </c>
      <c r="C5" s="231"/>
      <c r="D5" s="231"/>
      <c r="E5" s="231"/>
    </row>
    <row r="6" spans="1:7" ht="15" customHeight="1" x14ac:dyDescent="0.35">
      <c r="A6" t="s">
        <v>203</v>
      </c>
      <c r="B6" t="s">
        <v>204</v>
      </c>
      <c r="C6" s="231"/>
      <c r="D6" s="231"/>
      <c r="E6" s="231"/>
    </row>
    <row r="7" spans="1:7" ht="15" customHeight="1" x14ac:dyDescent="0.35">
      <c r="A7" t="s">
        <v>205</v>
      </c>
      <c r="B7" t="s">
        <v>206</v>
      </c>
      <c r="C7" s="231"/>
      <c r="D7" s="231"/>
      <c r="E7" s="231"/>
    </row>
    <row r="8" spans="1:7" ht="33.75" customHeight="1" x14ac:dyDescent="0.35">
      <c r="A8" s="78" t="s">
        <v>207</v>
      </c>
      <c r="B8" s="78" t="s">
        <v>550</v>
      </c>
      <c r="C8" s="79" t="s">
        <v>647</v>
      </c>
      <c r="D8" s="79" t="s">
        <v>648</v>
      </c>
      <c r="E8" s="79" t="s">
        <v>632</v>
      </c>
      <c r="F8" s="79" t="s">
        <v>340</v>
      </c>
    </row>
    <row r="9" spans="1:7" ht="22.5" customHeight="1" thickBot="1" x14ac:dyDescent="0.4">
      <c r="A9" s="80" t="str">
        <f>volroleareapivot!B1</f>
        <v>2024-25</v>
      </c>
      <c r="B9" s="80" t="s">
        <v>695</v>
      </c>
      <c r="C9" s="90">
        <f>C44</f>
        <v>36</v>
      </c>
      <c r="D9" s="90">
        <f>D44</f>
        <v>41</v>
      </c>
      <c r="E9" s="90">
        <f>E44</f>
        <v>196</v>
      </c>
      <c r="F9" s="90">
        <f>F44</f>
        <v>273</v>
      </c>
    </row>
    <row r="10" spans="1:7" ht="15" customHeight="1" x14ac:dyDescent="0.35">
      <c r="B10" s="48"/>
      <c r="C10" s="44"/>
      <c r="D10" s="44"/>
      <c r="E10" s="44"/>
      <c r="F10" s="44"/>
    </row>
    <row r="11" spans="1:7" ht="15" customHeight="1" x14ac:dyDescent="0.35">
      <c r="A11" s="42" t="s">
        <v>208</v>
      </c>
      <c r="B11" s="42" t="s">
        <v>347</v>
      </c>
      <c r="C11" s="91"/>
      <c r="D11" s="91"/>
      <c r="E11" s="91"/>
      <c r="F11" s="92"/>
    </row>
    <row r="12" spans="1:7" ht="15" customHeight="1" x14ac:dyDescent="0.35">
      <c r="A12" s="391" t="s">
        <v>215</v>
      </c>
      <c r="B12" s="45" t="s">
        <v>216</v>
      </c>
      <c r="C12" s="93" t="str">
        <f>IFERROR(GETPIVOTDATA("Sum of Watch Manager",volroleareapivot!$A$3,"ReportingLevel","1:LA","lvl","Aberdeen City"),"-")</f>
        <v>-</v>
      </c>
      <c r="D12" s="93" t="str">
        <f>IFERROR(GETPIVOTDATA("Sum of Crew Manager",volroleareapivot!$A$3,"ReportingLevel","1:LA","lvl","Aberdeen City"),"-")</f>
        <v>-</v>
      </c>
      <c r="E12" s="93" t="str">
        <f>IFERROR(GETPIVOTDATA("Sum of Firefighter",volroleareapivot!$A$3,"ReportingLevel","1:LA","lvl","Aberdeen City"),"-")</f>
        <v>-</v>
      </c>
      <c r="F12" s="94">
        <f>SUM(C12:E12)</f>
        <v>0</v>
      </c>
    </row>
    <row r="13" spans="1:7" ht="15" customHeight="1" x14ac:dyDescent="0.35">
      <c r="A13" s="89" t="s">
        <v>220</v>
      </c>
      <c r="B13" s="48" t="s">
        <v>221</v>
      </c>
      <c r="C13" s="93" t="str">
        <f>IFERROR(GETPIVOTDATA("Sum of Watch Manager",volroleareapivot!$A$3,"ReportingLevel","1:LA","lvl","Aberdeenshire"),"-")</f>
        <v>-</v>
      </c>
      <c r="D13" s="93" t="str">
        <f>IFERROR(GETPIVOTDATA("Sum of Crew Manager",volroleareapivot!$A$3,"ReportingLevel","1:LA","lvl","Aberdeenshire"),"-")</f>
        <v>-</v>
      </c>
      <c r="E13" s="93" t="str">
        <f>IFERROR(GETPIVOTDATA("Sum of Firefighter",volroleareapivot!$A$3,"ReportingLevel","1:LA","lvl","Aberdeenshire"),"-")</f>
        <v>-</v>
      </c>
      <c r="F13" s="94">
        <f>SUM(C13:E13)</f>
        <v>0</v>
      </c>
    </row>
    <row r="14" spans="1:7" ht="15" customHeight="1" x14ac:dyDescent="0.35">
      <c r="A14" s="89" t="s">
        <v>224</v>
      </c>
      <c r="B14" s="48" t="s">
        <v>225</v>
      </c>
      <c r="C14" s="93" t="str">
        <f>IFERROR(GETPIVOTDATA("Sum of Watch Manager",volroleareapivot!$A$3,"ReportingLevel","1:LA","lvl","Angus"),"-")</f>
        <v>-</v>
      </c>
      <c r="D14" s="93" t="str">
        <f>IFERROR(GETPIVOTDATA("Sum of Crew Manager",volroleareapivot!$A$3,"ReportingLevel","1:LA","lvl","Angus"),"-")</f>
        <v>-</v>
      </c>
      <c r="E14" s="93" t="str">
        <f>IFERROR(GETPIVOTDATA("Sum of Firefighter",volroleareapivot!$A$3,"ReportingLevel","1:LA","lvl","Angus"),"-")</f>
        <v>-</v>
      </c>
      <c r="F14" s="94">
        <f>SUM(C14:E14)</f>
        <v>0</v>
      </c>
    </row>
    <row r="15" spans="1:7" ht="15" customHeight="1" x14ac:dyDescent="0.35">
      <c r="A15" s="89" t="s">
        <v>228</v>
      </c>
      <c r="B15" s="48" t="s">
        <v>229</v>
      </c>
      <c r="C15" s="93">
        <f>IFERROR(GETPIVOTDATA("Sum of Watch Manager",volroleareapivot!$A$3,"ReportingLevel","1:LA","lvl","Argyll and Bute"),"-")</f>
        <v>25</v>
      </c>
      <c r="D15" s="93">
        <f>IFERROR(GETPIVOTDATA("Sum of Crew Manager",volroleareapivot!$A$3,"ReportingLevel","1:LA","lvl","Argyll and Bute"),"-")</f>
        <v>22</v>
      </c>
      <c r="E15" s="93">
        <f>IFERROR(GETPIVOTDATA("Sum of Firefighter",volroleareapivot!$A$3,"ReportingLevel","1:LA","lvl","Argyll and Bute"),"-")</f>
        <v>134</v>
      </c>
      <c r="F15" s="94">
        <f t="shared" ref="F15:F43" si="0">SUM(C15:E15)</f>
        <v>181</v>
      </c>
    </row>
    <row r="16" spans="1:7" ht="15" customHeight="1" x14ac:dyDescent="0.35">
      <c r="A16" s="89" t="s">
        <v>234</v>
      </c>
      <c r="B16" s="48" t="s">
        <v>235</v>
      </c>
      <c r="C16" s="93" t="str">
        <f>IFERROR(GETPIVOTDATA("Sum of Watch Manager",volroleareapivot!$A$3,"ReportingLevel","1:LA","lvl","City of Edinburgh"),"-")</f>
        <v>-</v>
      </c>
      <c r="D16" s="93" t="str">
        <f>IFERROR(GETPIVOTDATA("Sum of Crew Manager",volroleareapivot!$A$3,"ReportingLevel","1:LA","lvl","City of Edinburgh"),"-")</f>
        <v>-</v>
      </c>
      <c r="E16" s="93" t="str">
        <f>IFERROR(GETPIVOTDATA("Sum of Firefighter",volroleareapivot!$A$3,"ReportingLevel","1:LA","lvl","City of Edinburgh"),"-")</f>
        <v>-</v>
      </c>
      <c r="F16" s="94">
        <f t="shared" si="0"/>
        <v>0</v>
      </c>
    </row>
    <row r="17" spans="1:6" ht="15" customHeight="1" x14ac:dyDescent="0.35">
      <c r="A17" s="89" t="s">
        <v>240</v>
      </c>
      <c r="B17" s="48" t="s">
        <v>241</v>
      </c>
      <c r="C17" s="93" t="str">
        <f>IFERROR(GETPIVOTDATA("Sum of Watch Manager",volroleareapivot!$A$3,"ReportingLevel","1:LA","lvl","Clackmannanshire"),"-")</f>
        <v>-</v>
      </c>
      <c r="D17" s="93" t="str">
        <f>IFERROR(GETPIVOTDATA("Sum of Crew Manager",volroleareapivot!$A$3,"ReportingLevel","1:LA","lvl","Clackmannanshire"),"-")</f>
        <v>-</v>
      </c>
      <c r="E17" s="93" t="str">
        <f>IFERROR(GETPIVOTDATA("Sum of Firefighter",volroleareapivot!$A$3,"ReportingLevel","1:LA","lvl","Clackmannanshire"),"-")</f>
        <v>-</v>
      </c>
      <c r="F17" s="94">
        <f t="shared" si="0"/>
        <v>0</v>
      </c>
    </row>
    <row r="18" spans="1:6" ht="15" customHeight="1" x14ac:dyDescent="0.35">
      <c r="A18" s="89" t="s">
        <v>244</v>
      </c>
      <c r="B18" s="48" t="s">
        <v>245</v>
      </c>
      <c r="C18" s="93">
        <f>IFERROR(GETPIVOTDATA("Sum of Watch Manager",volroleareapivot!$A$3,"ReportingLevel","1:LA","lvl","Dumfries and Galloway"),"-")</f>
        <v>1</v>
      </c>
      <c r="D18" s="93">
        <f>IFERROR(GETPIVOTDATA("Sum of Crew Manager",volroleareapivot!$A$3,"ReportingLevel","1:LA","lvl","Dumfries and Galloway"),"-")</f>
        <v>2</v>
      </c>
      <c r="E18" s="93">
        <f>IFERROR(GETPIVOTDATA("Sum of Firefighter",volroleareapivot!$A$3,"ReportingLevel","1:LA","lvl","Dumfries and Galloway"),"-")</f>
        <v>3</v>
      </c>
      <c r="F18" s="94">
        <f t="shared" si="0"/>
        <v>6</v>
      </c>
    </row>
    <row r="19" spans="1:6" ht="15" customHeight="1" x14ac:dyDescent="0.35">
      <c r="A19" s="89" t="s">
        <v>247</v>
      </c>
      <c r="B19" s="48" t="s">
        <v>248</v>
      </c>
      <c r="C19" s="93" t="str">
        <f>IFERROR(GETPIVOTDATA("Sum of Watch Manager",volroleareapivot!$A$3,"ReportingLevel","1:LA","lvl","Dundee City"),"-")</f>
        <v>-</v>
      </c>
      <c r="D19" s="93" t="str">
        <f>IFERROR(GETPIVOTDATA("Sum of Crew Manager",volroleareapivot!$A$3,"ReportingLevel","1:LA","lvl","Dundee City"),"-")</f>
        <v>-</v>
      </c>
      <c r="E19" s="93" t="str">
        <f>IFERROR(GETPIVOTDATA("Sum of Firefighter",volroleareapivot!$A$3,"ReportingLevel","1:LA","lvl","Dundee City"),"-")</f>
        <v>-</v>
      </c>
      <c r="F19" s="94">
        <f t="shared" si="0"/>
        <v>0</v>
      </c>
    </row>
    <row r="20" spans="1:6" ht="15" customHeight="1" x14ac:dyDescent="0.35">
      <c r="A20" s="89" t="s">
        <v>249</v>
      </c>
      <c r="B20" s="48" t="s">
        <v>250</v>
      </c>
      <c r="C20" s="93" t="str">
        <f>IFERROR(GETPIVOTDATA("Sum of Watch Manager",volroleareapivot!$A$3,"ReportingLevel","1:LA","lvl","East Ayrshire"),"-")</f>
        <v>-</v>
      </c>
      <c r="D20" s="93" t="str">
        <f>IFERROR(GETPIVOTDATA("Sum of Crew Manager",volroleareapivot!$A$3,"ReportingLevel","1:LA","lvl","East Ayrshire"),"-")</f>
        <v>-</v>
      </c>
      <c r="E20" s="93" t="str">
        <f>IFERROR(GETPIVOTDATA("Sum of Firefighter",volroleareapivot!$A$3,"ReportingLevel","1:LA","lvl","East Ayrshire"),"-")</f>
        <v>-</v>
      </c>
      <c r="F20" s="94">
        <f t="shared" si="0"/>
        <v>0</v>
      </c>
    </row>
    <row r="21" spans="1:6" ht="15" customHeight="1" x14ac:dyDescent="0.35">
      <c r="A21" s="89" t="s">
        <v>253</v>
      </c>
      <c r="B21" s="48" t="s">
        <v>254</v>
      </c>
      <c r="C21" s="93" t="str">
        <f>IFERROR(GETPIVOTDATA("Sum of Watch Manager",volroleareapivot!$A$3,"ReportingLevel","1:LA","lvl","East Dunbartonshire"),"-")</f>
        <v>-</v>
      </c>
      <c r="D21" s="93" t="str">
        <f>IFERROR(GETPIVOTDATA("Sum of Crew Manager",volroleareapivot!$A$3,"ReportingLevel","1:LA","lvl","East Dunbartonshire"),"-")</f>
        <v>-</v>
      </c>
      <c r="E21" s="93" t="str">
        <f>IFERROR(GETPIVOTDATA("Sum of Firefighter",volroleareapivot!$A$3,"ReportingLevel","1:LA","lvl","East Dunbartonshire"),"-")</f>
        <v>-</v>
      </c>
      <c r="F21" s="94">
        <f t="shared" si="0"/>
        <v>0</v>
      </c>
    </row>
    <row r="22" spans="1:6" ht="15" customHeight="1" x14ac:dyDescent="0.35">
      <c r="A22" s="89" t="s">
        <v>255</v>
      </c>
      <c r="B22" s="48" t="s">
        <v>256</v>
      </c>
      <c r="C22" s="93" t="str">
        <f>IFERROR(GETPIVOTDATA("Sum of Watch Manager",volroleareapivot!$A$3,"ReportingLevel","1:LA","lvl","East Lothian"),"-")</f>
        <v>-</v>
      </c>
      <c r="D22" s="93" t="str">
        <f>IFERROR(GETPIVOTDATA("Sum of Crew Manager",volroleareapivot!$A$3,"ReportingLevel","1:LA","lvl","East Lothian"),"-")</f>
        <v>-</v>
      </c>
      <c r="E22" s="93" t="str">
        <f>IFERROR(GETPIVOTDATA("Sum of Firefighter",volroleareapivot!$A$3,"ReportingLevel","1:LA","lvl","East Lothian"),"-")</f>
        <v>-</v>
      </c>
      <c r="F22" s="94">
        <f t="shared" si="0"/>
        <v>0</v>
      </c>
    </row>
    <row r="23" spans="1:6" ht="15" customHeight="1" x14ac:dyDescent="0.35">
      <c r="A23" s="89" t="s">
        <v>259</v>
      </c>
      <c r="B23" s="48" t="s">
        <v>260</v>
      </c>
      <c r="C23" s="93" t="str">
        <f>IFERROR(GETPIVOTDATA("Sum of Watch Manager",volroleareapivot!$A$3,"ReportingLevel","1:LA","lvl","East Lothian"),"-")</f>
        <v>-</v>
      </c>
      <c r="D23" s="93" t="str">
        <f>IFERROR(GETPIVOTDATA("Sum of Crew Manager",volroleareapivot!$A$3,"ReportingLevel","1:LA","lvl","East Lothian"),"-")</f>
        <v>-</v>
      </c>
      <c r="E23" s="93" t="str">
        <f>IFERROR(GETPIVOTDATA("Sum of Firefighter",volroleareapivot!$A$3,"ReportingLevel","1:LA","lvl","East Lothian"),"-")</f>
        <v>-</v>
      </c>
      <c r="F23" s="94">
        <f t="shared" si="0"/>
        <v>0</v>
      </c>
    </row>
    <row r="24" spans="1:6" ht="15" customHeight="1" x14ac:dyDescent="0.35">
      <c r="A24" s="89" t="s">
        <v>263</v>
      </c>
      <c r="B24" s="48" t="s">
        <v>264</v>
      </c>
      <c r="C24" s="93" t="str">
        <f>IFERROR(GETPIVOTDATA("Sum of Watch Manager",volroleareapivot!$A$3,"ReportingLevel","1:LA","lvl","Falkirk"),"-")</f>
        <v>-</v>
      </c>
      <c r="D24" s="93" t="str">
        <f>IFERROR(GETPIVOTDATA("Sum of Crew Manager",volroleareapivot!$A$3,"ReportingLevel","1:LA","lvl","Falkirk"),"-")</f>
        <v>-</v>
      </c>
      <c r="E24" s="93" t="str">
        <f>IFERROR(GETPIVOTDATA("Sum of Firefighter",volroleareapivot!$A$3,"ReportingLevel","1:LA","lvl","Falkirk"),"-")</f>
        <v>-</v>
      </c>
      <c r="F24" s="94">
        <f t="shared" si="0"/>
        <v>0</v>
      </c>
    </row>
    <row r="25" spans="1:6" ht="15" customHeight="1" x14ac:dyDescent="0.35">
      <c r="A25" s="89" t="s">
        <v>267</v>
      </c>
      <c r="B25" s="48" t="s">
        <v>268</v>
      </c>
      <c r="C25" s="93" t="str">
        <f>IFERROR(GETPIVOTDATA("Sum of Watch Manager",volroleareapivot!$A$3,"ReportingLevel","1:LA","lvl","Fife"),"-")</f>
        <v>-</v>
      </c>
      <c r="D25" s="93" t="str">
        <f>IFERROR(GETPIVOTDATA("Sum of Crew Manager",volroleareapivot!$A$3,"ReportingLevel","1:LA","lvl","Fife"),"-")</f>
        <v>-</v>
      </c>
      <c r="E25" s="93" t="str">
        <f>IFERROR(GETPIVOTDATA("Sum of Firefighter",volroleareapivot!$A$3,"ReportingLevel","1:LA","lvl","Fife"),"-")</f>
        <v>-</v>
      </c>
      <c r="F25" s="94">
        <f t="shared" si="0"/>
        <v>0</v>
      </c>
    </row>
    <row r="26" spans="1:6" ht="15" customHeight="1" x14ac:dyDescent="0.35">
      <c r="A26" s="89" t="str">
        <f>IF(A9 = "2019-20","S12000049","S12000046")</f>
        <v>S12000046</v>
      </c>
      <c r="B26" s="48" t="s">
        <v>271</v>
      </c>
      <c r="C26" s="93" t="str">
        <f>IFERROR(GETPIVOTDATA("Sum of Watch Manager",volroleareapivot!$A$3,"ReportingLevel","1:LA","lvl","Glasgow City"),"-")</f>
        <v>-</v>
      </c>
      <c r="D26" s="93" t="str">
        <f>IFERROR(GETPIVOTDATA("Sum of Crew Manager",volroleareapivot!$A$3,"ReportingLevel","1:LA","lvl","Glasgow City"),"-")</f>
        <v>-</v>
      </c>
      <c r="E26" s="93" t="str">
        <f>IFERROR(GETPIVOTDATA("Sum of Firefighter",volroleareapivot!$A$3,"ReportingLevel","1:LA","lvl","Glasgow City"),"-")</f>
        <v>-</v>
      </c>
      <c r="F26" s="94">
        <f t="shared" si="0"/>
        <v>0</v>
      </c>
    </row>
    <row r="27" spans="1:6" ht="15" customHeight="1" x14ac:dyDescent="0.35">
      <c r="A27" s="89" t="s">
        <v>273</v>
      </c>
      <c r="B27" s="48" t="s">
        <v>274</v>
      </c>
      <c r="C27" s="93">
        <f>IFERROR(GETPIVOTDATA("Sum of Watch Manager",volroleareapivot!$A$3,"ReportingLevel","1:LA","lvl","Highland"),"-")</f>
        <v>6</v>
      </c>
      <c r="D27" s="93">
        <f>IFERROR(GETPIVOTDATA("Sum of Crew Manager",volroleareapivot!$A$3,"ReportingLevel","1:LA","lvl","Highland"),"-")</f>
        <v>10</v>
      </c>
      <c r="E27" s="93">
        <f>IFERROR(GETPIVOTDATA("Sum of Firefighter",volroleareapivot!$A$3,"ReportingLevel","1:LA","lvl","Highland"),"-")</f>
        <v>27</v>
      </c>
      <c r="F27" s="94">
        <f t="shared" si="0"/>
        <v>43</v>
      </c>
    </row>
    <row r="28" spans="1:6" ht="15" customHeight="1" x14ac:dyDescent="0.35">
      <c r="A28" s="89" t="s">
        <v>277</v>
      </c>
      <c r="B28" s="48" t="s">
        <v>278</v>
      </c>
      <c r="C28" s="93" t="str">
        <f>IFERROR(GETPIVOTDATA("Sum of Watch Manager",volroleareapivot!$A$3,"ReportingLevel","1:LA","lvl","Inverclyde"),"-")</f>
        <v>-</v>
      </c>
      <c r="D28" s="93" t="str">
        <f>IFERROR(GETPIVOTDATA("Sum of Crew Manager",volroleareapivot!$A$3,"ReportingLevel","1:LA","lvl","Inverclyde"),"-")</f>
        <v>-</v>
      </c>
      <c r="E28" s="93" t="str">
        <f>IFERROR(GETPIVOTDATA("Sum of Firefighter",volroleareapivot!$A$3,"ReportingLevel","1:LA","lvl","Inverclyde"),"-")</f>
        <v>-</v>
      </c>
      <c r="F28" s="94">
        <f t="shared" si="0"/>
        <v>0</v>
      </c>
    </row>
    <row r="29" spans="1:6" ht="15" customHeight="1" x14ac:dyDescent="0.35">
      <c r="A29" s="89" t="s">
        <v>279</v>
      </c>
      <c r="B29" s="48" t="s">
        <v>280</v>
      </c>
      <c r="C29" s="93" t="str">
        <f>IFERROR(GETPIVOTDATA("Sum of Watch Manager",volroleareapivot!$A$3,"ReportingLevel","1:LA","lvl","Midlothian"),"-")</f>
        <v>-</v>
      </c>
      <c r="D29" s="93" t="str">
        <f>IFERROR(GETPIVOTDATA("Sum of Crew Manager",volroleareapivot!$A$3,"ReportingLevel","1:LA","lvl","Midlothian"),"-")</f>
        <v>-</v>
      </c>
      <c r="E29" s="93" t="str">
        <f>IFERROR(GETPIVOTDATA("Sum of Firefighter",volroleareapivot!$A$3,"ReportingLevel","1:LA","lvl","Midlothian"),"-")</f>
        <v>-</v>
      </c>
      <c r="F29" s="94">
        <f t="shared" si="0"/>
        <v>0</v>
      </c>
    </row>
    <row r="30" spans="1:6" ht="15" customHeight="1" x14ac:dyDescent="0.35">
      <c r="A30" s="89" t="s">
        <v>281</v>
      </c>
      <c r="B30" s="48" t="s">
        <v>282</v>
      </c>
      <c r="C30" s="93">
        <f>IFERROR(GETPIVOTDATA("Sum of Watch Manager",volroleareapivot!$A$3,"ReportingLevel","1:LA","lvl","Moray"),"-")</f>
        <v>1</v>
      </c>
      <c r="D30" s="93">
        <f>IFERROR(GETPIVOTDATA("Sum of Crew Manager",volroleareapivot!$A$3,"ReportingLevel","1:LA","lvl","Moray"),"-")</f>
        <v>2</v>
      </c>
      <c r="E30" s="93">
        <f>IFERROR(GETPIVOTDATA("Sum of Firefighter",volroleareapivot!$A$3,"ReportingLevel","1:LA","lvl","Moray"),"-")</f>
        <v>0</v>
      </c>
      <c r="F30" s="69">
        <f t="shared" si="0"/>
        <v>3</v>
      </c>
    </row>
    <row r="31" spans="1:6" ht="15" customHeight="1" x14ac:dyDescent="0.35">
      <c r="A31" s="89" t="s">
        <v>283</v>
      </c>
      <c r="B31" s="48" t="s">
        <v>284</v>
      </c>
      <c r="C31" s="93" t="str">
        <f>IFERROR(GETPIVOTDATA("Sum of Watch Manager",volroleareapivot!$A$3,"ReportingLevel","1:LA","lvl","Na h-Eileanan Siar"),"-")</f>
        <v>-</v>
      </c>
      <c r="D31" s="93" t="str">
        <f>IFERROR(GETPIVOTDATA("Sum of Crew Manager",volroleareapivot!$A$3,"ReportingLevel","1:LA","lvl","Na h-Eileanan Siar"),"-")</f>
        <v>-</v>
      </c>
      <c r="E31" s="93" t="str">
        <f>IFERROR(GETPIVOTDATA("Sum of Firefighter",volroleareapivot!$A$3,"ReportingLevel","1:LA","lvl","Na h-Eileanan Siar"),"-")</f>
        <v>-</v>
      </c>
      <c r="F31" s="94">
        <f t="shared" si="0"/>
        <v>0</v>
      </c>
    </row>
    <row r="32" spans="1:6" ht="15" customHeight="1" x14ac:dyDescent="0.35">
      <c r="A32" s="89" t="s">
        <v>287</v>
      </c>
      <c r="B32" s="48" t="s">
        <v>288</v>
      </c>
      <c r="C32" s="93">
        <f>IFERROR(GETPIVOTDATA("Sum of Watch Manager",volroleareapivot!$A$3,"ReportingLevel","1:LA","lvl","North Ayrshire"),"-")</f>
        <v>2</v>
      </c>
      <c r="D32" s="93">
        <f>IFERROR(GETPIVOTDATA("Sum of Crew Manager",volroleareapivot!$A$3,"ReportingLevel","1:LA","lvl","North Ayrshire"),"-")</f>
        <v>2</v>
      </c>
      <c r="E32" s="93">
        <f>IFERROR(GETPIVOTDATA("Sum of Firefighter",volroleareapivot!$A$3,"ReportingLevel","1:LA","lvl","North Ayrshire"),"-")</f>
        <v>15</v>
      </c>
      <c r="F32" s="94">
        <f t="shared" si="0"/>
        <v>19</v>
      </c>
    </row>
    <row r="33" spans="1:6" ht="15" customHeight="1" x14ac:dyDescent="0.35">
      <c r="A33" s="89" t="str">
        <f>IF(A9="2019-20","S12000050","S12000044")</f>
        <v>S12000044</v>
      </c>
      <c r="B33" s="48" t="s">
        <v>290</v>
      </c>
      <c r="C33" s="93" t="str">
        <f>IFERROR(GETPIVOTDATA("Sum of Watch Manager",volroleareapivot!$A$3,"ReportingLevel","1:LA","lvl","North Lanarkshire"),"-")</f>
        <v>-</v>
      </c>
      <c r="D33" s="93" t="str">
        <f>IFERROR(GETPIVOTDATA("Sum of Crew Manager",volroleareapivot!$A$3,"ReportingLevel","1:LA","lvl","North Lanarkshire"),"-")</f>
        <v>-</v>
      </c>
      <c r="E33" s="93" t="str">
        <f>IFERROR(GETPIVOTDATA("Sum of Firefighter",volroleareapivot!$A$3,"ReportingLevel","1:LA","lvl","North Lanarkshire"),"-")</f>
        <v>-</v>
      </c>
      <c r="F33" s="69">
        <f t="shared" si="0"/>
        <v>0</v>
      </c>
    </row>
    <row r="34" spans="1:6" ht="15" customHeight="1" x14ac:dyDescent="0.35">
      <c r="A34" s="89" t="s">
        <v>292</v>
      </c>
      <c r="B34" s="48" t="s">
        <v>293</v>
      </c>
      <c r="C34" s="93" t="str">
        <f>IFERROR(GETPIVOTDATA("Sum of Watch Manager",volroleareapivot!$A$3,"ReportingLevel","1:LA","lvl","Orkney Islands"),"-")</f>
        <v>-</v>
      </c>
      <c r="D34" s="93" t="str">
        <f>IFERROR(GETPIVOTDATA("Sum of Crew Manager",volroleareapivot!$A$3,"ReportingLevel","1:LA","lvl","Orkney Islands"),"-")</f>
        <v>-</v>
      </c>
      <c r="E34" s="93" t="str">
        <f>IFERROR(GETPIVOTDATA("Sum of Firefighter",volroleareapivot!$A$3,"ReportingLevel","1:LA","lvl","Orkney Islands"),"-")</f>
        <v>-</v>
      </c>
      <c r="F34" s="94">
        <f t="shared" si="0"/>
        <v>0</v>
      </c>
    </row>
    <row r="35" spans="1:6" ht="15" customHeight="1" x14ac:dyDescent="0.35">
      <c r="A35" s="89" t="s">
        <v>294</v>
      </c>
      <c r="B35" s="48" t="s">
        <v>295</v>
      </c>
      <c r="C35" s="93">
        <f>IFERROR(GETPIVOTDATA("Sum of Watch Manager",volroleareapivot!$A$3,"ReportingLevel","1:LA","lvl","Perth and Kinross"),"-")</f>
        <v>1</v>
      </c>
      <c r="D35" s="93">
        <f>IFERROR(GETPIVOTDATA("Sum of Crew Manager",volroleareapivot!$A$3,"ReportingLevel","1:LA","lvl","Perth and Kinross"),"-")</f>
        <v>3</v>
      </c>
      <c r="E35" s="93">
        <f>IFERROR(GETPIVOTDATA("Sum of Firefighter",volroleareapivot!$A$3,"ReportingLevel","1:LA","lvl","Perth and Kinross"),"-")</f>
        <v>17</v>
      </c>
      <c r="F35" s="94">
        <f t="shared" si="0"/>
        <v>21</v>
      </c>
    </row>
    <row r="36" spans="1:6" ht="15" customHeight="1" x14ac:dyDescent="0.35">
      <c r="A36" s="89" t="s">
        <v>296</v>
      </c>
      <c r="B36" s="48" t="s">
        <v>297</v>
      </c>
      <c r="C36" s="93" t="str">
        <f>IFERROR(GETPIVOTDATA("Sum of Watch Manager",volroleareapivot!$A$3,"ReportingLevel","1:LA","lvl","Renfrewshire"),"-")</f>
        <v>-</v>
      </c>
      <c r="D36" s="93" t="str">
        <f>IFERROR(GETPIVOTDATA("Sum of Crew Manager",volroleareapivot!$A$3,"ReportingLevel","1:LA","lvl","Renfrewshire"),"-")</f>
        <v>-</v>
      </c>
      <c r="E36" s="93" t="str">
        <f>IFERROR(GETPIVOTDATA("Sum of Firefighter",volroleareapivot!$A$3,"ReportingLevel","1:LA","lvl","Renfrewshire"),"-")</f>
        <v>-</v>
      </c>
      <c r="F36" s="94">
        <f t="shared" si="0"/>
        <v>0</v>
      </c>
    </row>
    <row r="37" spans="1:6" ht="15" customHeight="1" x14ac:dyDescent="0.35">
      <c r="A37" s="89" t="s">
        <v>298</v>
      </c>
      <c r="B37" s="48" t="s">
        <v>299</v>
      </c>
      <c r="C37" s="93" t="str">
        <f>IFERROR(GETPIVOTDATA("Sum of Watch Manager",volroleareapivot!$A$3,"ReportingLevel","1:LA","lvl","Scottish Borders"),"-")</f>
        <v>-</v>
      </c>
      <c r="D37" s="93" t="str">
        <f>IFERROR(GETPIVOTDATA("Sum of Crew Manager",volroleareapivot!$A$3,"ReportingLevel","1:LA","lvl","Scottish Borders"),"-")</f>
        <v>-</v>
      </c>
      <c r="E37" s="93" t="str">
        <f>IFERROR(GETPIVOTDATA("Sum of Firefighter",volroleareapivot!$A$3,"ReportingLevel","1:LA","lvl","Scottish Borders"),"-")</f>
        <v>-</v>
      </c>
      <c r="F37" s="69">
        <f t="shared" si="0"/>
        <v>0</v>
      </c>
    </row>
    <row r="38" spans="1:6" ht="15" customHeight="1" x14ac:dyDescent="0.35">
      <c r="A38" s="89" t="s">
        <v>300</v>
      </c>
      <c r="B38" s="48" t="s">
        <v>301</v>
      </c>
      <c r="C38" s="93" t="str">
        <f>IFERROR(GETPIVOTDATA("Sum of Watch Manager",volroleareapivot!$A$3,"ReportingLevel","1:LA","lvl","Shetland Islands"),"-")</f>
        <v>-</v>
      </c>
      <c r="D38" s="93" t="str">
        <f>IFERROR(GETPIVOTDATA("Sum of Crew Manager",volroleareapivot!$A$3,"ReportingLevel","1:LA","lvl","Shetland Islands"),"-")</f>
        <v>-</v>
      </c>
      <c r="E38" s="93" t="str">
        <f>IFERROR(GETPIVOTDATA("Sum of Firefighter",volroleareapivot!$A$3,"ReportingLevel","1:LA","lvl","Shetland Islands"),"-")</f>
        <v>-</v>
      </c>
      <c r="F38" s="94">
        <f t="shared" si="0"/>
        <v>0</v>
      </c>
    </row>
    <row r="39" spans="1:6" ht="15" customHeight="1" x14ac:dyDescent="0.35">
      <c r="A39" s="89" t="s">
        <v>302</v>
      </c>
      <c r="B39" s="48" t="s">
        <v>303</v>
      </c>
      <c r="C39" s="93" t="str">
        <f>IFERROR(GETPIVOTDATA("Sum of Watch Manager",volroleareapivot!$A$3,"ReportingLevel","1:LA","lvl","South Ayrshire"),"-")</f>
        <v>-</v>
      </c>
      <c r="D39" s="93" t="str">
        <f>IFERROR(GETPIVOTDATA("Sum of Crew Manager",volroleareapivot!$A$3,"ReportingLevel","1:LA","lvl","South Ayrshire"),"-")</f>
        <v>-</v>
      </c>
      <c r="E39" s="93" t="str">
        <f>IFERROR(GETPIVOTDATA("Sum of Firefighter",volroleareapivot!$A$3,"ReportingLevel","1:LA","lvl","South Ayrshire"),"-")</f>
        <v>-</v>
      </c>
      <c r="F39" s="94">
        <f t="shared" si="0"/>
        <v>0</v>
      </c>
    </row>
    <row r="40" spans="1:6" ht="15" customHeight="1" x14ac:dyDescent="0.35">
      <c r="A40" s="89" t="s">
        <v>304</v>
      </c>
      <c r="B40" s="48" t="s">
        <v>305</v>
      </c>
      <c r="C40" s="93" t="str">
        <f>IFERROR(GETPIVOTDATA("Sum of Watch Manager",volroleareapivot!$A$3,"ReportingLevel","1:LA","lvl","South Lanarkshire"),"-")</f>
        <v>-</v>
      </c>
      <c r="D40" s="93" t="str">
        <f>IFERROR(GETPIVOTDATA("Sum of Crew Manager",volroleareapivot!$A$3,"ReportingLevel","1:LA","lvl","South Lanarkshire"),"-")</f>
        <v>-</v>
      </c>
      <c r="E40" s="93" t="str">
        <f>IFERROR(GETPIVOTDATA("Sum of Firefighter",volroleareapivot!$A$3,"ReportingLevel","1:LA","lvl","South Lanarkshire"),"-")</f>
        <v>-</v>
      </c>
      <c r="F40" s="94">
        <f t="shared" si="0"/>
        <v>0</v>
      </c>
    </row>
    <row r="41" spans="1:6" ht="15" customHeight="1" x14ac:dyDescent="0.35">
      <c r="A41" s="89" t="s">
        <v>307</v>
      </c>
      <c r="B41" s="48" t="s">
        <v>308</v>
      </c>
      <c r="C41" s="93" t="str">
        <f>IFERROR(GETPIVOTDATA("Sum of Watch Manager",volroleareapivot!$A$3,"ReportingLevel","1:LA","lvl","Stirling"),"-")</f>
        <v>-</v>
      </c>
      <c r="D41" s="93" t="str">
        <f>IFERROR(GETPIVOTDATA("Sum of Crew Manager",volroleareapivot!$A$3,"ReportingLevel","1:LA","lvl","Stirling"),"-")</f>
        <v>-</v>
      </c>
      <c r="E41" s="93" t="str">
        <f>IFERROR(GETPIVOTDATA("Sum of Firefighter",volroleareapivot!$A$3,"ReportingLevel","1:LA","lvl","Stirling"),"-")</f>
        <v>-</v>
      </c>
      <c r="F41" s="94">
        <f t="shared" si="0"/>
        <v>0</v>
      </c>
    </row>
    <row r="42" spans="1:6" ht="15" customHeight="1" x14ac:dyDescent="0.35">
      <c r="A42" s="89" t="s">
        <v>309</v>
      </c>
      <c r="B42" s="48" t="s">
        <v>310</v>
      </c>
      <c r="C42" s="93" t="str">
        <f>IFERROR(GETPIVOTDATA("Sum of Watch Manager",volroleareapivot!$A$3,"ReportingLevel","1:LA","lvl","West Dunbartonshire"),"-")</f>
        <v>-</v>
      </c>
      <c r="D42" s="93" t="str">
        <f>IFERROR(GETPIVOTDATA("Sum of Crew Manager",volroleareapivot!$A$3,"ReportingLevel","1:LA","lvl","West Dunbartonshire"),"-")</f>
        <v>-</v>
      </c>
      <c r="E42" s="93" t="str">
        <f>IFERROR(GETPIVOTDATA("Sum of Firefighter",volroleareapivot!$A$3,"ReportingLevel","1:LA","lvl","West Dunbartonshire"),"-")</f>
        <v>-</v>
      </c>
      <c r="F42" s="94">
        <f>SUM(C42:E42)</f>
        <v>0</v>
      </c>
    </row>
    <row r="43" spans="1:6" ht="15" customHeight="1" x14ac:dyDescent="0.35">
      <c r="A43" s="89" t="s">
        <v>311</v>
      </c>
      <c r="B43" s="48" t="s">
        <v>312</v>
      </c>
      <c r="C43" s="93" t="str">
        <f>IFERROR(GETPIVOTDATA("Sum of Watch Manager",volroleareapivot!$A$3,"ReportingLevel","1:LA","lvl","West Lothian"),"-")</f>
        <v>-</v>
      </c>
      <c r="D43" s="93" t="str">
        <f>IFERROR(GETPIVOTDATA("Sum of Crew Manager",volroleareapivot!$A$3,"ReportingLevel","1:LA","lvl","West Lothian"),"-")</f>
        <v>-</v>
      </c>
      <c r="E43" s="93" t="str">
        <f>IFERROR(GETPIVOTDATA("Sum of Firefighter",volroleareapivot!$A$3,"ReportingLevel","1:LA","lvl","West Lothian"),"-")</f>
        <v>-</v>
      </c>
      <c r="F43" s="94">
        <f t="shared" si="0"/>
        <v>0</v>
      </c>
    </row>
    <row r="44" spans="1:6" ht="30" customHeight="1" thickBot="1" x14ac:dyDescent="0.4">
      <c r="A44" s="455"/>
      <c r="B44" s="73" t="s">
        <v>552</v>
      </c>
      <c r="C44" s="53">
        <f>SUM(C12:C43)</f>
        <v>36</v>
      </c>
      <c r="D44" s="53">
        <f>SUM(D12:D43)</f>
        <v>41</v>
      </c>
      <c r="E44" s="53">
        <f>SUM(E12:E43)</f>
        <v>196</v>
      </c>
      <c r="F44" s="53">
        <f>SUM(F12:F43)</f>
        <v>273</v>
      </c>
    </row>
    <row r="45" spans="1:6" ht="13.5" customHeight="1" x14ac:dyDescent="0.35">
      <c r="B45" s="95"/>
      <c r="C45" s="95"/>
      <c r="D45" s="95"/>
      <c r="E45" s="95"/>
      <c r="F45" s="95"/>
    </row>
    <row r="46" spans="1:6" ht="13.5" customHeight="1" x14ac:dyDescent="0.35">
      <c r="A46" s="350" t="s">
        <v>329</v>
      </c>
      <c r="B46" s="347"/>
      <c r="C46" s="347"/>
      <c r="D46" s="347"/>
      <c r="E46" s="347"/>
    </row>
    <row r="47" spans="1:6" ht="15" customHeight="1" x14ac:dyDescent="0.35">
      <c r="A47" s="451" t="s">
        <v>707</v>
      </c>
      <c r="B47" s="423"/>
      <c r="C47" s="423"/>
      <c r="D47" s="423"/>
      <c r="E47" s="423"/>
    </row>
    <row r="48" spans="1:6" ht="15" customHeight="1" x14ac:dyDescent="0.35"/>
  </sheetData>
  <sheetProtection algorithmName="SHA-512" hashValue="v0+DjvdzfnmRVQk+iwJmp7dzwduGLbi3gJIkoCk2eaRpko3iHt0ArUXHLLSWslS8EPU11wk94V615Vx33W/mnA==" saltValue="DDwHEriRzjoccbOfmjUKqA==" spinCount="100000" sheet="1" scenarios="1" formatCells="0" sort="0" autoFilter="0" pivotTables="0"/>
  <mergeCells count="1">
    <mergeCell ref="A1:G1"/>
  </mergeCells>
  <hyperlinks>
    <hyperlink ref="A2" location="'Table of Contents'!A1" display="Back to Table of Contents" xr:uid="{00000000-0004-0000-41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9" tint="0.39997558519241921"/>
  </sheetPr>
  <dimension ref="A1:H60"/>
  <sheetViews>
    <sheetView topLeftCell="A22" zoomScale="70" zoomScaleNormal="70" workbookViewId="0">
      <selection activeCell="C41" sqref="C41"/>
    </sheetView>
  </sheetViews>
  <sheetFormatPr defaultRowHeight="14.5" x14ac:dyDescent="0.35"/>
  <cols>
    <col min="1" max="1" width="62.6328125" bestFit="1" customWidth="1"/>
    <col min="2" max="2" width="28.6328125" bestFit="1" customWidth="1"/>
    <col min="3" max="3" width="25.08984375" bestFit="1" customWidth="1"/>
    <col min="4" max="4" width="26.81640625" bestFit="1" customWidth="1"/>
    <col min="5" max="5" width="27.90625" bestFit="1" customWidth="1"/>
    <col min="6" max="6" width="27" bestFit="1" customWidth="1"/>
    <col min="7" max="7" width="25.453125" bestFit="1" customWidth="1"/>
    <col min="8" max="8" width="21.08984375" bestFit="1" customWidth="1"/>
  </cols>
  <sheetData>
    <row r="1" spans="1:8" x14ac:dyDescent="0.35">
      <c r="A1" s="387" t="s">
        <v>207</v>
      </c>
      <c r="B1" t="s">
        <v>466</v>
      </c>
    </row>
    <row r="3" spans="1:8" x14ac:dyDescent="0.35">
      <c r="A3" s="387" t="s">
        <v>350</v>
      </c>
      <c r="B3" t="s">
        <v>635</v>
      </c>
      <c r="C3" t="s">
        <v>636</v>
      </c>
      <c r="D3" t="s">
        <v>637</v>
      </c>
      <c r="E3" t="s">
        <v>638</v>
      </c>
      <c r="F3" t="s">
        <v>639</v>
      </c>
      <c r="G3" t="s">
        <v>640</v>
      </c>
      <c r="H3" t="s">
        <v>641</v>
      </c>
    </row>
    <row r="4" spans="1:8" x14ac:dyDescent="0.35">
      <c r="A4" s="388" t="s">
        <v>536</v>
      </c>
    </row>
    <row r="5" spans="1:8" x14ac:dyDescent="0.35">
      <c r="A5" s="389" t="s">
        <v>216</v>
      </c>
      <c r="F5">
        <v>20</v>
      </c>
      <c r="G5">
        <v>35</v>
      </c>
      <c r="H5">
        <v>102</v>
      </c>
    </row>
    <row r="6" spans="1:8" x14ac:dyDescent="0.35">
      <c r="A6" s="389" t="s">
        <v>221</v>
      </c>
      <c r="F6">
        <v>5</v>
      </c>
      <c r="G6">
        <v>6</v>
      </c>
      <c r="H6">
        <v>20</v>
      </c>
    </row>
    <row r="7" spans="1:8" x14ac:dyDescent="0.35">
      <c r="A7" s="389" t="s">
        <v>225</v>
      </c>
      <c r="F7">
        <v>6</v>
      </c>
      <c r="G7">
        <v>5</v>
      </c>
      <c r="H7">
        <v>15</v>
      </c>
    </row>
    <row r="8" spans="1:8" x14ac:dyDescent="0.35">
      <c r="A8" s="389" t="s">
        <v>229</v>
      </c>
      <c r="F8">
        <v>11</v>
      </c>
      <c r="G8">
        <v>10</v>
      </c>
      <c r="H8">
        <v>32</v>
      </c>
    </row>
    <row r="9" spans="1:8" x14ac:dyDescent="0.35">
      <c r="A9" s="389" t="s">
        <v>235</v>
      </c>
      <c r="F9">
        <v>34</v>
      </c>
      <c r="G9">
        <v>56</v>
      </c>
      <c r="H9">
        <v>197.5</v>
      </c>
    </row>
    <row r="10" spans="1:8" x14ac:dyDescent="0.35">
      <c r="A10" s="389" t="s">
        <v>241</v>
      </c>
      <c r="F10">
        <v>5</v>
      </c>
      <c r="G10">
        <v>5</v>
      </c>
      <c r="H10">
        <v>16</v>
      </c>
    </row>
    <row r="11" spans="1:8" x14ac:dyDescent="0.35">
      <c r="A11" s="389" t="s">
        <v>245</v>
      </c>
      <c r="F11">
        <v>6</v>
      </c>
      <c r="G11">
        <v>9</v>
      </c>
      <c r="H11">
        <v>37</v>
      </c>
    </row>
    <row r="12" spans="1:8" x14ac:dyDescent="0.35">
      <c r="A12" s="389" t="s">
        <v>248</v>
      </c>
      <c r="F12">
        <v>21</v>
      </c>
      <c r="G12">
        <v>29</v>
      </c>
      <c r="H12">
        <v>112</v>
      </c>
    </row>
    <row r="13" spans="1:8" x14ac:dyDescent="0.35">
      <c r="A13" s="389" t="s">
        <v>250</v>
      </c>
      <c r="F13">
        <v>6</v>
      </c>
      <c r="G13">
        <v>10</v>
      </c>
      <c r="H13">
        <v>39</v>
      </c>
    </row>
    <row r="14" spans="1:8" x14ac:dyDescent="0.35">
      <c r="A14" s="389" t="s">
        <v>254</v>
      </c>
      <c r="F14">
        <v>15</v>
      </c>
      <c r="G14">
        <v>14</v>
      </c>
      <c r="H14">
        <v>46</v>
      </c>
    </row>
    <row r="15" spans="1:8" x14ac:dyDescent="0.35">
      <c r="A15" s="389" t="s">
        <v>256</v>
      </c>
      <c r="F15">
        <v>5</v>
      </c>
      <c r="G15">
        <v>5</v>
      </c>
      <c r="H15">
        <v>16</v>
      </c>
    </row>
    <row r="16" spans="1:8" x14ac:dyDescent="0.35">
      <c r="A16" s="389" t="s">
        <v>260</v>
      </c>
      <c r="F16">
        <v>10</v>
      </c>
      <c r="G16">
        <v>10</v>
      </c>
      <c r="H16">
        <v>32</v>
      </c>
    </row>
    <row r="17" spans="1:8" x14ac:dyDescent="0.35">
      <c r="A17" s="389" t="s">
        <v>264</v>
      </c>
      <c r="F17">
        <v>14</v>
      </c>
      <c r="G17">
        <v>19</v>
      </c>
      <c r="H17">
        <v>50</v>
      </c>
    </row>
    <row r="18" spans="1:8" x14ac:dyDescent="0.35">
      <c r="A18" s="389" t="s">
        <v>268</v>
      </c>
      <c r="F18">
        <v>25</v>
      </c>
      <c r="G18">
        <v>43</v>
      </c>
      <c r="H18">
        <v>143</v>
      </c>
    </row>
    <row r="19" spans="1:8" x14ac:dyDescent="0.35">
      <c r="A19" s="389" t="s">
        <v>271</v>
      </c>
      <c r="F19">
        <v>67</v>
      </c>
      <c r="G19">
        <v>91</v>
      </c>
      <c r="H19">
        <v>290</v>
      </c>
    </row>
    <row r="20" spans="1:8" x14ac:dyDescent="0.35">
      <c r="A20" s="389" t="s">
        <v>274</v>
      </c>
      <c r="F20">
        <v>5</v>
      </c>
      <c r="G20">
        <v>17</v>
      </c>
      <c r="H20">
        <v>51</v>
      </c>
    </row>
    <row r="21" spans="1:8" x14ac:dyDescent="0.35">
      <c r="A21" s="389" t="s">
        <v>278</v>
      </c>
      <c r="F21">
        <v>10</v>
      </c>
      <c r="G21">
        <v>15</v>
      </c>
      <c r="H21">
        <v>39</v>
      </c>
    </row>
    <row r="22" spans="1:8" x14ac:dyDescent="0.35">
      <c r="A22" s="389" t="s">
        <v>280</v>
      </c>
      <c r="F22">
        <v>4</v>
      </c>
      <c r="G22">
        <v>4</v>
      </c>
      <c r="H22">
        <v>21</v>
      </c>
    </row>
    <row r="23" spans="1:8" x14ac:dyDescent="0.35">
      <c r="A23" s="389" t="s">
        <v>282</v>
      </c>
      <c r="F23">
        <v>5</v>
      </c>
      <c r="G23">
        <v>5</v>
      </c>
      <c r="H23">
        <v>20</v>
      </c>
    </row>
    <row r="24" spans="1:8" x14ac:dyDescent="0.35">
      <c r="A24" s="389" t="s">
        <v>284</v>
      </c>
      <c r="F24">
        <v>3</v>
      </c>
    </row>
    <row r="25" spans="1:8" x14ac:dyDescent="0.35">
      <c r="A25" s="389" t="s">
        <v>288</v>
      </c>
      <c r="F25">
        <v>15</v>
      </c>
      <c r="G25">
        <v>15</v>
      </c>
      <c r="H25">
        <v>42</v>
      </c>
    </row>
    <row r="26" spans="1:8" x14ac:dyDescent="0.35">
      <c r="A26" s="389" t="s">
        <v>290</v>
      </c>
      <c r="F26">
        <v>20</v>
      </c>
      <c r="G26">
        <v>31</v>
      </c>
      <c r="H26">
        <v>112</v>
      </c>
    </row>
    <row r="27" spans="1:8" x14ac:dyDescent="0.35">
      <c r="A27" s="389" t="s">
        <v>295</v>
      </c>
      <c r="F27">
        <v>5</v>
      </c>
      <c r="G27">
        <v>11</v>
      </c>
      <c r="H27">
        <v>43</v>
      </c>
    </row>
    <row r="28" spans="1:8" x14ac:dyDescent="0.35">
      <c r="A28" s="389" t="s">
        <v>297</v>
      </c>
      <c r="F28">
        <v>15</v>
      </c>
      <c r="G28">
        <v>21</v>
      </c>
      <c r="H28">
        <v>66</v>
      </c>
    </row>
    <row r="29" spans="1:8" x14ac:dyDescent="0.35">
      <c r="A29" s="389" t="s">
        <v>299</v>
      </c>
      <c r="F29">
        <v>10</v>
      </c>
      <c r="G29">
        <v>10</v>
      </c>
      <c r="H29">
        <v>38</v>
      </c>
    </row>
    <row r="30" spans="1:8" x14ac:dyDescent="0.35">
      <c r="A30" s="389" t="s">
        <v>303</v>
      </c>
      <c r="F30">
        <v>6</v>
      </c>
      <c r="G30">
        <v>11</v>
      </c>
      <c r="H30">
        <v>36</v>
      </c>
    </row>
    <row r="31" spans="1:8" x14ac:dyDescent="0.35">
      <c r="A31" s="389" t="s">
        <v>305</v>
      </c>
      <c r="F31">
        <v>19</v>
      </c>
      <c r="G31">
        <v>28</v>
      </c>
      <c r="H31">
        <v>108</v>
      </c>
    </row>
    <row r="32" spans="1:8" x14ac:dyDescent="0.35">
      <c r="A32" s="389" t="s">
        <v>308</v>
      </c>
      <c r="F32">
        <v>5</v>
      </c>
      <c r="G32">
        <v>10</v>
      </c>
      <c r="H32">
        <v>32</v>
      </c>
    </row>
    <row r="33" spans="1:8" x14ac:dyDescent="0.35">
      <c r="A33" s="389" t="s">
        <v>310</v>
      </c>
      <c r="F33">
        <v>10</v>
      </c>
      <c r="G33">
        <v>15</v>
      </c>
      <c r="H33">
        <v>50</v>
      </c>
    </row>
    <row r="34" spans="1:8" x14ac:dyDescent="0.35">
      <c r="A34" s="389" t="s">
        <v>312</v>
      </c>
      <c r="F34">
        <v>14</v>
      </c>
      <c r="G34">
        <v>11</v>
      </c>
      <c r="H34">
        <v>36.979999999999997</v>
      </c>
    </row>
    <row r="35" spans="1:8" x14ac:dyDescent="0.35">
      <c r="A35" s="388" t="s">
        <v>538</v>
      </c>
      <c r="F35">
        <v>396</v>
      </c>
      <c r="G35">
        <v>551</v>
      </c>
      <c r="H35">
        <v>1842.48</v>
      </c>
    </row>
    <row r="36" spans="1:8" x14ac:dyDescent="0.35">
      <c r="A36" s="388" t="s">
        <v>539</v>
      </c>
    </row>
    <row r="37" spans="1:8" x14ac:dyDescent="0.35">
      <c r="A37" s="389" t="s">
        <v>231</v>
      </c>
      <c r="C37">
        <v>1</v>
      </c>
      <c r="D37">
        <v>4</v>
      </c>
      <c r="E37">
        <v>9</v>
      </c>
      <c r="F37">
        <v>4</v>
      </c>
      <c r="H37">
        <v>2</v>
      </c>
    </row>
    <row r="38" spans="1:8" x14ac:dyDescent="0.35">
      <c r="A38" s="389" t="s">
        <v>245</v>
      </c>
      <c r="C38">
        <v>1</v>
      </c>
      <c r="D38">
        <v>2</v>
      </c>
      <c r="E38">
        <v>6</v>
      </c>
      <c r="F38">
        <v>5</v>
      </c>
      <c r="H38">
        <v>1.83</v>
      </c>
    </row>
    <row r="39" spans="1:8" x14ac:dyDescent="0.35">
      <c r="A39" s="389" t="s">
        <v>227</v>
      </c>
      <c r="C39">
        <v>1</v>
      </c>
      <c r="D39">
        <v>4</v>
      </c>
      <c r="E39">
        <v>8</v>
      </c>
      <c r="F39">
        <v>7.77</v>
      </c>
      <c r="H39">
        <v>4</v>
      </c>
    </row>
    <row r="40" spans="1:8" x14ac:dyDescent="0.35">
      <c r="A40" s="389" t="s">
        <v>252</v>
      </c>
      <c r="C40">
        <v>1</v>
      </c>
      <c r="D40">
        <v>3</v>
      </c>
      <c r="E40">
        <v>9</v>
      </c>
      <c r="F40">
        <v>5</v>
      </c>
    </row>
    <row r="41" spans="1:8" x14ac:dyDescent="0.35">
      <c r="A41" s="389" t="s">
        <v>258</v>
      </c>
      <c r="C41">
        <v>1</v>
      </c>
      <c r="D41">
        <v>3</v>
      </c>
      <c r="E41">
        <v>6</v>
      </c>
      <c r="F41">
        <v>6</v>
      </c>
      <c r="H41">
        <v>4</v>
      </c>
    </row>
    <row r="42" spans="1:8" x14ac:dyDescent="0.35">
      <c r="A42" s="389" t="s">
        <v>262</v>
      </c>
      <c r="C42">
        <v>1</v>
      </c>
      <c r="D42">
        <v>3</v>
      </c>
      <c r="E42">
        <v>5</v>
      </c>
      <c r="F42">
        <v>3</v>
      </c>
      <c r="G42">
        <v>2</v>
      </c>
      <c r="H42">
        <v>1</v>
      </c>
    </row>
    <row r="43" spans="1:8" x14ac:dyDescent="0.35">
      <c r="A43" s="389" t="s">
        <v>237</v>
      </c>
      <c r="C43">
        <v>1</v>
      </c>
      <c r="D43">
        <v>3</v>
      </c>
      <c r="E43">
        <v>6</v>
      </c>
      <c r="F43">
        <v>10</v>
      </c>
      <c r="G43">
        <v>2</v>
      </c>
      <c r="H43">
        <v>3</v>
      </c>
    </row>
    <row r="44" spans="1:8" x14ac:dyDescent="0.35">
      <c r="A44" s="389" t="s">
        <v>266</v>
      </c>
      <c r="C44">
        <v>1</v>
      </c>
      <c r="D44">
        <v>2</v>
      </c>
      <c r="E44">
        <v>6</v>
      </c>
      <c r="F44">
        <v>5</v>
      </c>
      <c r="G44">
        <v>1</v>
      </c>
    </row>
    <row r="45" spans="1:8" x14ac:dyDescent="0.35">
      <c r="A45" s="389" t="s">
        <v>271</v>
      </c>
      <c r="C45">
        <v>1</v>
      </c>
      <c r="D45">
        <v>4</v>
      </c>
      <c r="E45">
        <v>8</v>
      </c>
      <c r="F45">
        <v>6</v>
      </c>
      <c r="H45">
        <v>1</v>
      </c>
    </row>
    <row r="46" spans="1:8" x14ac:dyDescent="0.35">
      <c r="A46" s="389" t="s">
        <v>276</v>
      </c>
      <c r="C46">
        <v>1</v>
      </c>
      <c r="D46">
        <v>4</v>
      </c>
      <c r="E46">
        <v>14</v>
      </c>
      <c r="F46">
        <v>5</v>
      </c>
      <c r="G46">
        <v>1</v>
      </c>
    </row>
    <row r="47" spans="1:8" x14ac:dyDescent="0.35">
      <c r="A47" s="389" t="s">
        <v>314</v>
      </c>
      <c r="C47">
        <v>1</v>
      </c>
      <c r="D47">
        <v>4</v>
      </c>
      <c r="E47">
        <v>10</v>
      </c>
      <c r="F47">
        <v>8</v>
      </c>
      <c r="G47">
        <v>1</v>
      </c>
      <c r="H47">
        <v>2</v>
      </c>
    </row>
    <row r="48" spans="1:8" x14ac:dyDescent="0.35">
      <c r="A48" s="389" t="s">
        <v>286</v>
      </c>
      <c r="C48">
        <v>1</v>
      </c>
      <c r="D48">
        <v>4</v>
      </c>
      <c r="E48">
        <v>6</v>
      </c>
    </row>
    <row r="49" spans="1:8" x14ac:dyDescent="0.35">
      <c r="A49" s="389" t="s">
        <v>323</v>
      </c>
      <c r="C49">
        <v>1</v>
      </c>
      <c r="D49">
        <v>4</v>
      </c>
      <c r="E49">
        <v>10</v>
      </c>
      <c r="F49">
        <v>5</v>
      </c>
    </row>
    <row r="50" spans="1:8" x14ac:dyDescent="0.35">
      <c r="A50" s="389" t="s">
        <v>325</v>
      </c>
      <c r="C50">
        <v>1</v>
      </c>
      <c r="D50">
        <v>3</v>
      </c>
      <c r="E50">
        <v>9</v>
      </c>
      <c r="F50">
        <v>7</v>
      </c>
      <c r="G50">
        <v>1</v>
      </c>
      <c r="H50">
        <v>2</v>
      </c>
    </row>
    <row r="51" spans="1:8" x14ac:dyDescent="0.35">
      <c r="A51" s="388" t="s">
        <v>540</v>
      </c>
      <c r="C51">
        <v>14</v>
      </c>
      <c r="D51">
        <v>47</v>
      </c>
      <c r="E51">
        <v>112</v>
      </c>
      <c r="F51">
        <v>76.77</v>
      </c>
      <c r="G51">
        <v>8</v>
      </c>
      <c r="H51">
        <v>20.83</v>
      </c>
    </row>
    <row r="52" spans="1:8" x14ac:dyDescent="0.35">
      <c r="A52" s="388" t="s">
        <v>541</v>
      </c>
    </row>
    <row r="53" spans="1:8" x14ac:dyDescent="0.35">
      <c r="A53" s="389" t="s">
        <v>239</v>
      </c>
      <c r="C53">
        <v>1</v>
      </c>
      <c r="D53">
        <v>2</v>
      </c>
      <c r="E53">
        <v>8</v>
      </c>
      <c r="F53">
        <v>28</v>
      </c>
      <c r="G53">
        <v>18</v>
      </c>
      <c r="H53">
        <v>16</v>
      </c>
    </row>
    <row r="54" spans="1:8" x14ac:dyDescent="0.35">
      <c r="A54" s="389" t="s">
        <v>219</v>
      </c>
      <c r="C54">
        <v>2</v>
      </c>
      <c r="D54">
        <v>3</v>
      </c>
      <c r="E54">
        <v>9</v>
      </c>
      <c r="F54">
        <v>26</v>
      </c>
      <c r="G54">
        <v>18</v>
      </c>
      <c r="H54">
        <v>6</v>
      </c>
    </row>
    <row r="55" spans="1:8" x14ac:dyDescent="0.35">
      <c r="A55" s="389" t="s">
        <v>233</v>
      </c>
      <c r="C55">
        <v>1</v>
      </c>
      <c r="D55">
        <v>4</v>
      </c>
      <c r="E55">
        <v>7</v>
      </c>
      <c r="F55">
        <v>47</v>
      </c>
      <c r="G55">
        <v>26</v>
      </c>
      <c r="H55">
        <v>47</v>
      </c>
    </row>
    <row r="56" spans="1:8" x14ac:dyDescent="0.35">
      <c r="A56" s="388" t="s">
        <v>542</v>
      </c>
      <c r="C56">
        <v>4</v>
      </c>
      <c r="D56">
        <v>9</v>
      </c>
      <c r="E56">
        <v>24</v>
      </c>
      <c r="F56">
        <v>101</v>
      </c>
      <c r="G56">
        <v>62</v>
      </c>
      <c r="H56">
        <v>69</v>
      </c>
    </row>
    <row r="57" spans="1:8" x14ac:dyDescent="0.35">
      <c r="A57" s="388" t="s">
        <v>543</v>
      </c>
    </row>
    <row r="58" spans="1:8" x14ac:dyDescent="0.35">
      <c r="A58" s="389" t="s">
        <v>544</v>
      </c>
      <c r="B58">
        <v>5</v>
      </c>
      <c r="C58">
        <v>12</v>
      </c>
      <c r="D58">
        <v>16</v>
      </c>
      <c r="E58">
        <v>24</v>
      </c>
      <c r="F58">
        <v>31</v>
      </c>
      <c r="G58">
        <v>1</v>
      </c>
      <c r="H58">
        <v>1</v>
      </c>
    </row>
    <row r="59" spans="1:8" x14ac:dyDescent="0.35">
      <c r="A59" s="388" t="s">
        <v>545</v>
      </c>
      <c r="B59">
        <v>5</v>
      </c>
      <c r="C59">
        <v>12</v>
      </c>
      <c r="D59">
        <v>16</v>
      </c>
      <c r="E59">
        <v>24</v>
      </c>
      <c r="F59">
        <v>31</v>
      </c>
      <c r="G59">
        <v>1</v>
      </c>
      <c r="H59">
        <v>1</v>
      </c>
    </row>
    <row r="60" spans="1:8" x14ac:dyDescent="0.35">
      <c r="A60" s="388" t="s">
        <v>357</v>
      </c>
      <c r="B60">
        <v>5</v>
      </c>
      <c r="C60">
        <v>30</v>
      </c>
      <c r="D60">
        <v>72</v>
      </c>
      <c r="E60">
        <v>160</v>
      </c>
      <c r="F60">
        <v>604.77</v>
      </c>
      <c r="G60">
        <v>622</v>
      </c>
      <c r="H60">
        <v>1933.31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9" tint="0.39997558519241921"/>
  </sheetPr>
  <dimension ref="A1:L614"/>
  <sheetViews>
    <sheetView workbookViewId="0">
      <selection activeCell="D7" sqref="D7"/>
    </sheetView>
  </sheetViews>
  <sheetFormatPr defaultRowHeight="14.5" x14ac:dyDescent="0.35"/>
  <cols>
    <col min="1" max="1" width="7.453125" bestFit="1" customWidth="1"/>
    <col min="2" max="2" width="16.1796875" bestFit="1" customWidth="1"/>
    <col min="3" max="3" width="9.7265625" bestFit="1" customWidth="1"/>
    <col min="4" max="4" width="55.1796875" bestFit="1" customWidth="1"/>
    <col min="5" max="5" width="11.81640625" bestFit="1" customWidth="1"/>
    <col min="6" max="6" width="15.26953125" bestFit="1" customWidth="1"/>
    <col min="7" max="7" width="17.7265625" bestFit="1" customWidth="1"/>
    <col min="8" max="8" width="15.6328125" bestFit="1" customWidth="1"/>
    <col min="9" max="9" width="12.26953125" bestFit="1" customWidth="1"/>
    <col min="10" max="10" width="16.6328125" bestFit="1" customWidth="1"/>
    <col min="11" max="11" width="17.26953125" bestFit="1" customWidth="1"/>
    <col min="12" max="12" width="16.7265625" bestFit="1" customWidth="1"/>
  </cols>
  <sheetData>
    <row r="1" spans="1:12" x14ac:dyDescent="0.35">
      <c r="A1" t="s">
        <v>207</v>
      </c>
      <c r="B1" t="s">
        <v>546</v>
      </c>
      <c r="C1" t="s">
        <v>23</v>
      </c>
      <c r="D1" t="s">
        <v>547</v>
      </c>
      <c r="E1" t="s">
        <v>340</v>
      </c>
      <c r="F1" t="s">
        <v>627</v>
      </c>
      <c r="G1" t="s">
        <v>626</v>
      </c>
      <c r="H1" t="s">
        <v>631</v>
      </c>
      <c r="I1" t="s">
        <v>632</v>
      </c>
      <c r="J1" t="s">
        <v>628</v>
      </c>
      <c r="K1" t="s">
        <v>629</v>
      </c>
      <c r="L1" t="s">
        <v>630</v>
      </c>
    </row>
    <row r="2" spans="1:12" x14ac:dyDescent="0.35">
      <c r="A2" t="s">
        <v>364</v>
      </c>
      <c r="B2" t="s">
        <v>536</v>
      </c>
      <c r="C2" t="s">
        <v>240</v>
      </c>
      <c r="D2" t="s">
        <v>241</v>
      </c>
      <c r="E2">
        <v>43</v>
      </c>
      <c r="F2">
        <v>0</v>
      </c>
      <c r="G2">
        <v>0</v>
      </c>
      <c r="H2">
        <v>9</v>
      </c>
      <c r="I2">
        <v>30</v>
      </c>
      <c r="J2">
        <v>0</v>
      </c>
      <c r="K2">
        <v>0</v>
      </c>
      <c r="L2">
        <v>4</v>
      </c>
    </row>
    <row r="3" spans="1:12" x14ac:dyDescent="0.35">
      <c r="A3" t="s">
        <v>364</v>
      </c>
      <c r="B3" t="s">
        <v>536</v>
      </c>
      <c r="C3" t="s">
        <v>244</v>
      </c>
      <c r="D3" t="s">
        <v>245</v>
      </c>
      <c r="E3">
        <v>69</v>
      </c>
      <c r="F3">
        <v>0</v>
      </c>
      <c r="G3">
        <v>0</v>
      </c>
      <c r="H3">
        <v>11</v>
      </c>
      <c r="I3">
        <v>53</v>
      </c>
      <c r="J3">
        <v>0</v>
      </c>
      <c r="K3">
        <v>0</v>
      </c>
      <c r="L3">
        <v>5</v>
      </c>
    </row>
    <row r="4" spans="1:12" x14ac:dyDescent="0.35">
      <c r="A4" t="s">
        <v>364</v>
      </c>
      <c r="B4" t="s">
        <v>536</v>
      </c>
      <c r="C4" t="s">
        <v>249</v>
      </c>
      <c r="D4" t="s">
        <v>250</v>
      </c>
      <c r="E4">
        <v>59</v>
      </c>
      <c r="F4">
        <v>0</v>
      </c>
      <c r="G4">
        <v>0</v>
      </c>
      <c r="H4">
        <v>11</v>
      </c>
      <c r="I4">
        <v>40</v>
      </c>
      <c r="J4">
        <v>0</v>
      </c>
      <c r="K4">
        <v>0</v>
      </c>
      <c r="L4">
        <v>8</v>
      </c>
    </row>
    <row r="5" spans="1:12" x14ac:dyDescent="0.35">
      <c r="A5" t="s">
        <v>364</v>
      </c>
      <c r="B5" t="s">
        <v>536</v>
      </c>
      <c r="C5" t="s">
        <v>255</v>
      </c>
      <c r="D5" t="s">
        <v>256</v>
      </c>
      <c r="E5">
        <v>29</v>
      </c>
      <c r="F5">
        <v>0</v>
      </c>
      <c r="G5">
        <v>0</v>
      </c>
      <c r="H5">
        <v>5</v>
      </c>
      <c r="I5">
        <v>21</v>
      </c>
      <c r="J5">
        <v>0</v>
      </c>
      <c r="K5">
        <v>0</v>
      </c>
      <c r="L5">
        <v>3</v>
      </c>
    </row>
    <row r="6" spans="1:12" x14ac:dyDescent="0.35">
      <c r="A6" t="s">
        <v>364</v>
      </c>
      <c r="B6" t="s">
        <v>536</v>
      </c>
      <c r="C6" t="s">
        <v>259</v>
      </c>
      <c r="D6" t="s">
        <v>260</v>
      </c>
      <c r="E6">
        <v>59</v>
      </c>
      <c r="F6">
        <v>0</v>
      </c>
      <c r="G6">
        <v>0</v>
      </c>
      <c r="H6">
        <v>14</v>
      </c>
      <c r="I6">
        <v>34</v>
      </c>
      <c r="J6">
        <v>0</v>
      </c>
      <c r="K6">
        <v>0</v>
      </c>
      <c r="L6">
        <v>11</v>
      </c>
    </row>
    <row r="7" spans="1:12" x14ac:dyDescent="0.35">
      <c r="A7" t="s">
        <v>364</v>
      </c>
      <c r="B7" t="s">
        <v>536</v>
      </c>
      <c r="C7" t="s">
        <v>283</v>
      </c>
      <c r="D7" t="s">
        <v>284</v>
      </c>
      <c r="E7">
        <v>0</v>
      </c>
      <c r="F7">
        <v>0</v>
      </c>
      <c r="G7">
        <v>0</v>
      </c>
      <c r="H7">
        <v>0</v>
      </c>
      <c r="I7">
        <v>0</v>
      </c>
      <c r="J7">
        <v>0</v>
      </c>
      <c r="K7">
        <v>0</v>
      </c>
      <c r="L7">
        <v>0</v>
      </c>
    </row>
    <row r="8" spans="1:12" x14ac:dyDescent="0.35">
      <c r="A8" t="s">
        <v>364</v>
      </c>
      <c r="B8" t="s">
        <v>536</v>
      </c>
      <c r="C8" t="s">
        <v>263</v>
      </c>
      <c r="D8" t="s">
        <v>264</v>
      </c>
      <c r="E8">
        <v>96</v>
      </c>
      <c r="F8">
        <v>0</v>
      </c>
      <c r="G8">
        <v>0</v>
      </c>
      <c r="H8">
        <v>18</v>
      </c>
      <c r="I8">
        <v>65</v>
      </c>
      <c r="J8">
        <v>0</v>
      </c>
      <c r="K8">
        <v>1</v>
      </c>
      <c r="L8">
        <v>12</v>
      </c>
    </row>
    <row r="9" spans="1:12" x14ac:dyDescent="0.35">
      <c r="A9" t="s">
        <v>364</v>
      </c>
      <c r="B9" t="s">
        <v>536</v>
      </c>
      <c r="C9" t="s">
        <v>273</v>
      </c>
      <c r="D9" t="s">
        <v>274</v>
      </c>
      <c r="E9">
        <v>81</v>
      </c>
      <c r="F9">
        <v>0</v>
      </c>
      <c r="G9">
        <v>0</v>
      </c>
      <c r="H9">
        <v>9</v>
      </c>
      <c r="I9">
        <v>60</v>
      </c>
      <c r="J9">
        <v>0</v>
      </c>
      <c r="K9">
        <v>2</v>
      </c>
      <c r="L9">
        <v>10</v>
      </c>
    </row>
    <row r="10" spans="1:12" x14ac:dyDescent="0.35">
      <c r="A10" t="s">
        <v>364</v>
      </c>
      <c r="B10" t="s">
        <v>536</v>
      </c>
      <c r="C10" t="s">
        <v>277</v>
      </c>
      <c r="D10" t="s">
        <v>278</v>
      </c>
      <c r="E10">
        <v>78</v>
      </c>
      <c r="F10">
        <v>0</v>
      </c>
      <c r="G10">
        <v>0</v>
      </c>
      <c r="H10">
        <v>18</v>
      </c>
      <c r="I10">
        <v>49</v>
      </c>
      <c r="J10">
        <v>0</v>
      </c>
      <c r="K10">
        <v>0</v>
      </c>
      <c r="L10">
        <v>11</v>
      </c>
    </row>
    <row r="11" spans="1:12" x14ac:dyDescent="0.35">
      <c r="A11" t="s">
        <v>364</v>
      </c>
      <c r="B11" t="s">
        <v>536</v>
      </c>
      <c r="C11" t="s">
        <v>279</v>
      </c>
      <c r="D11" t="s">
        <v>280</v>
      </c>
      <c r="E11">
        <v>35</v>
      </c>
      <c r="F11">
        <v>0</v>
      </c>
      <c r="G11">
        <v>0</v>
      </c>
      <c r="H11">
        <v>4</v>
      </c>
      <c r="I11">
        <v>26</v>
      </c>
      <c r="J11">
        <v>0</v>
      </c>
      <c r="K11">
        <v>0</v>
      </c>
      <c r="L11">
        <v>5</v>
      </c>
    </row>
    <row r="12" spans="1:12" x14ac:dyDescent="0.35">
      <c r="A12" t="s">
        <v>364</v>
      </c>
      <c r="B12" t="s">
        <v>536</v>
      </c>
      <c r="C12" t="s">
        <v>281</v>
      </c>
      <c r="D12" t="s">
        <v>282</v>
      </c>
      <c r="E12">
        <v>20</v>
      </c>
      <c r="F12">
        <v>0</v>
      </c>
      <c r="G12">
        <v>0</v>
      </c>
      <c r="H12">
        <v>2</v>
      </c>
      <c r="I12">
        <v>15</v>
      </c>
      <c r="J12">
        <v>0</v>
      </c>
      <c r="K12">
        <v>0</v>
      </c>
      <c r="L12">
        <v>3</v>
      </c>
    </row>
    <row r="13" spans="1:12" x14ac:dyDescent="0.35">
      <c r="A13" t="s">
        <v>364</v>
      </c>
      <c r="B13" t="s">
        <v>536</v>
      </c>
      <c r="C13" t="s">
        <v>287</v>
      </c>
      <c r="D13" t="s">
        <v>288</v>
      </c>
      <c r="E13">
        <v>76</v>
      </c>
      <c r="F13">
        <v>0</v>
      </c>
      <c r="G13">
        <v>0</v>
      </c>
      <c r="H13">
        <v>13</v>
      </c>
      <c r="I13">
        <v>50</v>
      </c>
      <c r="J13">
        <v>0</v>
      </c>
      <c r="K13">
        <v>0</v>
      </c>
      <c r="L13">
        <v>13</v>
      </c>
    </row>
    <row r="14" spans="1:12" x14ac:dyDescent="0.35">
      <c r="A14" t="s">
        <v>364</v>
      </c>
      <c r="B14" t="s">
        <v>536</v>
      </c>
      <c r="C14" t="s">
        <v>292</v>
      </c>
      <c r="D14" t="s">
        <v>293</v>
      </c>
      <c r="E14">
        <v>0</v>
      </c>
      <c r="F14">
        <v>0</v>
      </c>
      <c r="G14">
        <v>0</v>
      </c>
      <c r="H14">
        <v>0</v>
      </c>
      <c r="I14">
        <v>0</v>
      </c>
      <c r="J14">
        <v>0</v>
      </c>
      <c r="K14">
        <v>0</v>
      </c>
      <c r="L14">
        <v>0</v>
      </c>
    </row>
    <row r="15" spans="1:12" x14ac:dyDescent="0.35">
      <c r="A15" t="s">
        <v>364</v>
      </c>
      <c r="B15" t="s">
        <v>536</v>
      </c>
      <c r="C15" t="s">
        <v>294</v>
      </c>
      <c r="D15" t="s">
        <v>295</v>
      </c>
      <c r="E15">
        <v>88</v>
      </c>
      <c r="F15">
        <v>0</v>
      </c>
      <c r="G15">
        <v>0</v>
      </c>
      <c r="H15">
        <v>14</v>
      </c>
      <c r="I15">
        <v>61</v>
      </c>
      <c r="J15">
        <v>0</v>
      </c>
      <c r="K15">
        <v>2</v>
      </c>
      <c r="L15">
        <v>11</v>
      </c>
    </row>
    <row r="16" spans="1:12" x14ac:dyDescent="0.35">
      <c r="A16" t="s">
        <v>364</v>
      </c>
      <c r="B16" t="s">
        <v>536</v>
      </c>
      <c r="C16" t="s">
        <v>298</v>
      </c>
      <c r="D16" t="s">
        <v>299</v>
      </c>
      <c r="E16">
        <v>75</v>
      </c>
      <c r="F16">
        <v>0</v>
      </c>
      <c r="G16">
        <v>0</v>
      </c>
      <c r="H16">
        <v>11</v>
      </c>
      <c r="I16">
        <v>54</v>
      </c>
      <c r="J16">
        <v>0</v>
      </c>
      <c r="K16">
        <v>0</v>
      </c>
      <c r="L16">
        <v>10</v>
      </c>
    </row>
    <row r="17" spans="1:12" x14ac:dyDescent="0.35">
      <c r="A17" t="s">
        <v>364</v>
      </c>
      <c r="B17" t="s">
        <v>536</v>
      </c>
      <c r="C17" t="s">
        <v>300</v>
      </c>
      <c r="D17" t="s">
        <v>301</v>
      </c>
      <c r="E17">
        <v>0</v>
      </c>
      <c r="F17">
        <v>0</v>
      </c>
      <c r="G17">
        <v>0</v>
      </c>
      <c r="H17">
        <v>0</v>
      </c>
      <c r="I17">
        <v>0</v>
      </c>
      <c r="J17">
        <v>0</v>
      </c>
      <c r="K17">
        <v>0</v>
      </c>
      <c r="L17">
        <v>0</v>
      </c>
    </row>
    <row r="18" spans="1:12" x14ac:dyDescent="0.35">
      <c r="A18" t="s">
        <v>364</v>
      </c>
      <c r="B18" t="s">
        <v>536</v>
      </c>
      <c r="C18" t="s">
        <v>302</v>
      </c>
      <c r="D18" t="s">
        <v>303</v>
      </c>
      <c r="E18">
        <v>65</v>
      </c>
      <c r="F18">
        <v>0</v>
      </c>
      <c r="G18">
        <v>0</v>
      </c>
      <c r="H18">
        <v>10</v>
      </c>
      <c r="I18">
        <v>47</v>
      </c>
      <c r="J18">
        <v>0</v>
      </c>
      <c r="K18">
        <v>0</v>
      </c>
      <c r="L18">
        <v>8</v>
      </c>
    </row>
    <row r="19" spans="1:12" x14ac:dyDescent="0.35">
      <c r="A19" t="s">
        <v>364</v>
      </c>
      <c r="B19" t="s">
        <v>536</v>
      </c>
      <c r="C19" t="s">
        <v>304</v>
      </c>
      <c r="D19" t="s">
        <v>305</v>
      </c>
      <c r="E19">
        <v>190</v>
      </c>
      <c r="F19">
        <v>0</v>
      </c>
      <c r="G19">
        <v>0</v>
      </c>
      <c r="H19">
        <v>33</v>
      </c>
      <c r="I19">
        <v>129</v>
      </c>
      <c r="J19">
        <v>0</v>
      </c>
      <c r="K19">
        <v>2</v>
      </c>
      <c r="L19">
        <v>26</v>
      </c>
    </row>
    <row r="20" spans="1:12" x14ac:dyDescent="0.35">
      <c r="A20" t="s">
        <v>364</v>
      </c>
      <c r="B20" t="s">
        <v>536</v>
      </c>
      <c r="C20" t="s">
        <v>307</v>
      </c>
      <c r="D20" t="s">
        <v>308</v>
      </c>
      <c r="E20">
        <v>61.76</v>
      </c>
      <c r="F20">
        <v>0</v>
      </c>
      <c r="G20">
        <v>0</v>
      </c>
      <c r="H20">
        <v>10</v>
      </c>
      <c r="I20">
        <v>41.76</v>
      </c>
      <c r="J20">
        <v>0</v>
      </c>
      <c r="K20">
        <v>0</v>
      </c>
      <c r="L20">
        <v>10</v>
      </c>
    </row>
    <row r="21" spans="1:12" x14ac:dyDescent="0.35">
      <c r="A21" t="s">
        <v>364</v>
      </c>
      <c r="B21" t="s">
        <v>536</v>
      </c>
      <c r="C21" t="s">
        <v>215</v>
      </c>
      <c r="D21" t="s">
        <v>216</v>
      </c>
      <c r="E21">
        <v>174</v>
      </c>
      <c r="F21">
        <v>0</v>
      </c>
      <c r="G21">
        <v>0</v>
      </c>
      <c r="H21">
        <v>24</v>
      </c>
      <c r="I21">
        <v>128</v>
      </c>
      <c r="J21">
        <v>0</v>
      </c>
      <c r="K21">
        <v>0</v>
      </c>
      <c r="L21">
        <v>22</v>
      </c>
    </row>
    <row r="22" spans="1:12" x14ac:dyDescent="0.35">
      <c r="A22" t="s">
        <v>364</v>
      </c>
      <c r="B22" t="s">
        <v>536</v>
      </c>
      <c r="C22" t="s">
        <v>220</v>
      </c>
      <c r="D22" t="s">
        <v>221</v>
      </c>
      <c r="E22">
        <v>23</v>
      </c>
      <c r="F22">
        <v>0</v>
      </c>
      <c r="G22">
        <v>0</v>
      </c>
      <c r="H22">
        <v>3</v>
      </c>
      <c r="I22">
        <v>16</v>
      </c>
      <c r="J22">
        <v>0</v>
      </c>
      <c r="K22">
        <v>0</v>
      </c>
      <c r="L22">
        <v>4</v>
      </c>
    </row>
    <row r="23" spans="1:12" x14ac:dyDescent="0.35">
      <c r="A23" t="s">
        <v>364</v>
      </c>
      <c r="B23" t="s">
        <v>536</v>
      </c>
      <c r="C23" t="s">
        <v>228</v>
      </c>
      <c r="D23" t="s">
        <v>229</v>
      </c>
      <c r="E23">
        <v>58</v>
      </c>
      <c r="F23">
        <v>0</v>
      </c>
      <c r="G23">
        <v>0</v>
      </c>
      <c r="H23">
        <v>10</v>
      </c>
      <c r="I23">
        <v>31</v>
      </c>
      <c r="J23">
        <v>0</v>
      </c>
      <c r="K23">
        <v>2</v>
      </c>
      <c r="L23">
        <v>15</v>
      </c>
    </row>
    <row r="24" spans="1:12" x14ac:dyDescent="0.35">
      <c r="A24" t="s">
        <v>364</v>
      </c>
      <c r="B24" t="s">
        <v>536</v>
      </c>
      <c r="C24" t="s">
        <v>234</v>
      </c>
      <c r="D24" t="s">
        <v>235</v>
      </c>
      <c r="E24">
        <v>370</v>
      </c>
      <c r="F24">
        <v>0</v>
      </c>
      <c r="G24">
        <v>0</v>
      </c>
      <c r="H24">
        <v>70</v>
      </c>
      <c r="I24">
        <v>275</v>
      </c>
      <c r="J24">
        <v>0</v>
      </c>
      <c r="K24">
        <v>0</v>
      </c>
      <c r="L24">
        <v>25</v>
      </c>
    </row>
    <row r="25" spans="1:12" x14ac:dyDescent="0.35">
      <c r="A25" t="s">
        <v>364</v>
      </c>
      <c r="B25" t="s">
        <v>536</v>
      </c>
      <c r="C25" t="s">
        <v>296</v>
      </c>
      <c r="D25" t="s">
        <v>297</v>
      </c>
      <c r="E25">
        <v>116</v>
      </c>
      <c r="F25">
        <v>0</v>
      </c>
      <c r="G25">
        <v>0</v>
      </c>
      <c r="H25">
        <v>22</v>
      </c>
      <c r="I25">
        <v>74</v>
      </c>
      <c r="J25">
        <v>0</v>
      </c>
      <c r="K25">
        <v>1</v>
      </c>
      <c r="L25">
        <v>19</v>
      </c>
    </row>
    <row r="26" spans="1:12" x14ac:dyDescent="0.35">
      <c r="A26" t="s">
        <v>364</v>
      </c>
      <c r="B26" t="s">
        <v>536</v>
      </c>
      <c r="C26" t="s">
        <v>309</v>
      </c>
      <c r="D26" t="s">
        <v>310</v>
      </c>
      <c r="E26">
        <v>80</v>
      </c>
      <c r="F26">
        <v>0</v>
      </c>
      <c r="G26">
        <v>0</v>
      </c>
      <c r="H26">
        <v>18</v>
      </c>
      <c r="I26">
        <v>52</v>
      </c>
      <c r="J26">
        <v>0</v>
      </c>
      <c r="K26">
        <v>0</v>
      </c>
      <c r="L26">
        <v>10</v>
      </c>
    </row>
    <row r="27" spans="1:12" x14ac:dyDescent="0.35">
      <c r="A27" t="s">
        <v>364</v>
      </c>
      <c r="B27" t="s">
        <v>536</v>
      </c>
      <c r="C27" t="s">
        <v>311</v>
      </c>
      <c r="D27" t="s">
        <v>312</v>
      </c>
      <c r="E27">
        <v>85</v>
      </c>
      <c r="F27">
        <v>0</v>
      </c>
      <c r="G27">
        <v>0</v>
      </c>
      <c r="H27">
        <v>14</v>
      </c>
      <c r="I27">
        <v>61</v>
      </c>
      <c r="J27">
        <v>0</v>
      </c>
      <c r="K27">
        <v>0</v>
      </c>
      <c r="L27">
        <v>10</v>
      </c>
    </row>
    <row r="28" spans="1:12" x14ac:dyDescent="0.35">
      <c r="A28" t="s">
        <v>364</v>
      </c>
      <c r="B28" t="s">
        <v>536</v>
      </c>
      <c r="C28" t="s">
        <v>224</v>
      </c>
      <c r="D28" t="s">
        <v>225</v>
      </c>
      <c r="E28">
        <v>35</v>
      </c>
      <c r="F28">
        <v>0</v>
      </c>
      <c r="G28">
        <v>0</v>
      </c>
      <c r="H28">
        <v>0</v>
      </c>
      <c r="I28">
        <v>25</v>
      </c>
      <c r="J28">
        <v>0</v>
      </c>
      <c r="K28">
        <v>1</v>
      </c>
      <c r="L28">
        <v>9</v>
      </c>
    </row>
    <row r="29" spans="1:12" x14ac:dyDescent="0.35">
      <c r="A29" t="s">
        <v>364</v>
      </c>
      <c r="B29" t="s">
        <v>536</v>
      </c>
      <c r="C29" t="s">
        <v>247</v>
      </c>
      <c r="D29" t="s">
        <v>248</v>
      </c>
      <c r="E29">
        <v>215</v>
      </c>
      <c r="F29">
        <v>0</v>
      </c>
      <c r="G29">
        <v>0</v>
      </c>
      <c r="H29">
        <v>29</v>
      </c>
      <c r="I29">
        <v>162</v>
      </c>
      <c r="J29">
        <v>0</v>
      </c>
      <c r="K29">
        <v>1</v>
      </c>
      <c r="L29">
        <v>23</v>
      </c>
    </row>
    <row r="30" spans="1:12" x14ac:dyDescent="0.35">
      <c r="A30" t="s">
        <v>364</v>
      </c>
      <c r="B30" t="s">
        <v>536</v>
      </c>
      <c r="C30" t="s">
        <v>289</v>
      </c>
      <c r="D30" t="s">
        <v>290</v>
      </c>
      <c r="E30">
        <v>188</v>
      </c>
      <c r="F30">
        <v>0</v>
      </c>
      <c r="G30">
        <v>0</v>
      </c>
      <c r="H30">
        <v>34</v>
      </c>
      <c r="I30">
        <v>129</v>
      </c>
      <c r="J30">
        <v>0</v>
      </c>
      <c r="K30">
        <v>1</v>
      </c>
      <c r="L30">
        <v>24</v>
      </c>
    </row>
    <row r="31" spans="1:12" x14ac:dyDescent="0.35">
      <c r="A31" t="s">
        <v>364</v>
      </c>
      <c r="B31" t="s">
        <v>536</v>
      </c>
      <c r="C31" t="s">
        <v>253</v>
      </c>
      <c r="D31" t="s">
        <v>254</v>
      </c>
      <c r="E31">
        <v>74</v>
      </c>
      <c r="F31">
        <v>0</v>
      </c>
      <c r="G31">
        <v>0</v>
      </c>
      <c r="H31">
        <v>15</v>
      </c>
      <c r="I31">
        <v>45</v>
      </c>
      <c r="J31">
        <v>0</v>
      </c>
      <c r="K31">
        <v>0</v>
      </c>
      <c r="L31">
        <v>14</v>
      </c>
    </row>
    <row r="32" spans="1:12" x14ac:dyDescent="0.35">
      <c r="A32" t="s">
        <v>364</v>
      </c>
      <c r="B32" t="s">
        <v>536</v>
      </c>
      <c r="C32" t="s">
        <v>270</v>
      </c>
      <c r="D32" t="s">
        <v>271</v>
      </c>
      <c r="E32">
        <v>560</v>
      </c>
      <c r="F32">
        <v>0</v>
      </c>
      <c r="G32">
        <v>0</v>
      </c>
      <c r="H32">
        <v>119</v>
      </c>
      <c r="I32">
        <v>373</v>
      </c>
      <c r="J32">
        <v>0</v>
      </c>
      <c r="K32">
        <v>0</v>
      </c>
      <c r="L32">
        <v>68</v>
      </c>
    </row>
    <row r="33" spans="1:12" x14ac:dyDescent="0.35">
      <c r="A33" t="s">
        <v>364</v>
      </c>
      <c r="B33" t="s">
        <v>536</v>
      </c>
      <c r="C33" t="s">
        <v>267</v>
      </c>
      <c r="D33" t="s">
        <v>268</v>
      </c>
      <c r="E33">
        <v>289</v>
      </c>
      <c r="F33">
        <v>0</v>
      </c>
      <c r="G33">
        <v>0</v>
      </c>
      <c r="H33">
        <v>58</v>
      </c>
      <c r="I33">
        <v>208</v>
      </c>
      <c r="J33">
        <v>0</v>
      </c>
      <c r="K33">
        <v>0</v>
      </c>
      <c r="L33">
        <v>23</v>
      </c>
    </row>
    <row r="34" spans="1:12" x14ac:dyDescent="0.35">
      <c r="A34" t="s">
        <v>364</v>
      </c>
      <c r="B34" t="s">
        <v>539</v>
      </c>
      <c r="C34" t="s">
        <v>217</v>
      </c>
      <c r="D34" t="s">
        <v>216</v>
      </c>
      <c r="E34">
        <v>23</v>
      </c>
      <c r="F34">
        <v>1</v>
      </c>
      <c r="G34">
        <v>0</v>
      </c>
      <c r="H34">
        <v>0</v>
      </c>
      <c r="I34">
        <v>1</v>
      </c>
      <c r="J34">
        <v>7</v>
      </c>
      <c r="K34">
        <v>6</v>
      </c>
      <c r="L34">
        <v>8</v>
      </c>
    </row>
    <row r="35" spans="1:12" x14ac:dyDescent="0.35">
      <c r="A35" t="s">
        <v>364</v>
      </c>
      <c r="B35" t="s">
        <v>539</v>
      </c>
      <c r="C35" t="s">
        <v>222</v>
      </c>
      <c r="D35" t="s">
        <v>223</v>
      </c>
      <c r="E35">
        <v>15</v>
      </c>
      <c r="F35">
        <v>1</v>
      </c>
      <c r="G35">
        <v>0</v>
      </c>
      <c r="H35">
        <v>0</v>
      </c>
      <c r="I35">
        <v>0</v>
      </c>
      <c r="J35">
        <v>2</v>
      </c>
      <c r="K35">
        <v>4</v>
      </c>
      <c r="L35">
        <v>8</v>
      </c>
    </row>
    <row r="36" spans="1:12" x14ac:dyDescent="0.35">
      <c r="A36" t="s">
        <v>364</v>
      </c>
      <c r="B36" t="s">
        <v>539</v>
      </c>
      <c r="C36" t="s">
        <v>230</v>
      </c>
      <c r="D36" t="s">
        <v>231</v>
      </c>
      <c r="E36">
        <v>22</v>
      </c>
      <c r="F36">
        <v>1</v>
      </c>
      <c r="G36">
        <v>0</v>
      </c>
      <c r="H36">
        <v>1</v>
      </c>
      <c r="I36">
        <v>1</v>
      </c>
      <c r="J36">
        <v>3</v>
      </c>
      <c r="K36">
        <v>6</v>
      </c>
      <c r="L36">
        <v>10</v>
      </c>
    </row>
    <row r="37" spans="1:12" x14ac:dyDescent="0.35">
      <c r="A37" t="s">
        <v>364</v>
      </c>
      <c r="B37" t="s">
        <v>539</v>
      </c>
      <c r="C37" t="s">
        <v>246</v>
      </c>
      <c r="D37" t="s">
        <v>245</v>
      </c>
      <c r="E37">
        <v>16</v>
      </c>
      <c r="F37">
        <v>0</v>
      </c>
      <c r="G37">
        <v>0</v>
      </c>
      <c r="H37">
        <v>0</v>
      </c>
      <c r="I37">
        <v>0</v>
      </c>
      <c r="J37">
        <v>2</v>
      </c>
      <c r="K37">
        <v>5</v>
      </c>
      <c r="L37">
        <v>9</v>
      </c>
    </row>
    <row r="38" spans="1:12" x14ac:dyDescent="0.35">
      <c r="A38" t="s">
        <v>364</v>
      </c>
      <c r="B38" t="s">
        <v>539</v>
      </c>
      <c r="C38" t="s">
        <v>251</v>
      </c>
      <c r="D38" t="s">
        <v>252</v>
      </c>
      <c r="E38">
        <v>21</v>
      </c>
      <c r="F38">
        <v>1</v>
      </c>
      <c r="G38">
        <v>0</v>
      </c>
      <c r="H38">
        <v>0</v>
      </c>
      <c r="I38">
        <v>5</v>
      </c>
      <c r="J38">
        <v>7</v>
      </c>
      <c r="K38">
        <v>0</v>
      </c>
      <c r="L38">
        <v>8</v>
      </c>
    </row>
    <row r="39" spans="1:12" x14ac:dyDescent="0.35">
      <c r="A39" t="s">
        <v>364</v>
      </c>
      <c r="B39" t="s">
        <v>539</v>
      </c>
      <c r="C39" t="s">
        <v>257</v>
      </c>
      <c r="D39" t="s">
        <v>258</v>
      </c>
      <c r="E39">
        <v>12</v>
      </c>
      <c r="F39">
        <v>1</v>
      </c>
      <c r="G39">
        <v>0</v>
      </c>
      <c r="H39">
        <v>0</v>
      </c>
      <c r="I39">
        <v>1</v>
      </c>
      <c r="J39">
        <v>3</v>
      </c>
      <c r="K39">
        <v>5</v>
      </c>
      <c r="L39">
        <v>2</v>
      </c>
    </row>
    <row r="40" spans="1:12" x14ac:dyDescent="0.35">
      <c r="A40" t="s">
        <v>364</v>
      </c>
      <c r="B40" t="s">
        <v>539</v>
      </c>
      <c r="C40" t="s">
        <v>261</v>
      </c>
      <c r="D40" t="s">
        <v>262</v>
      </c>
      <c r="E40">
        <v>23</v>
      </c>
      <c r="F40">
        <v>1</v>
      </c>
      <c r="G40">
        <v>0</v>
      </c>
      <c r="H40">
        <v>0</v>
      </c>
      <c r="I40">
        <v>0</v>
      </c>
      <c r="J40">
        <v>9</v>
      </c>
      <c r="K40">
        <v>7</v>
      </c>
      <c r="L40">
        <v>6</v>
      </c>
    </row>
    <row r="41" spans="1:12" x14ac:dyDescent="0.35">
      <c r="A41" t="s">
        <v>364</v>
      </c>
      <c r="B41" t="s">
        <v>539</v>
      </c>
      <c r="C41" t="s">
        <v>236</v>
      </c>
      <c r="D41" t="s">
        <v>237</v>
      </c>
      <c r="E41">
        <v>26</v>
      </c>
      <c r="F41">
        <v>2</v>
      </c>
      <c r="G41">
        <v>0</v>
      </c>
      <c r="H41">
        <v>3</v>
      </c>
      <c r="I41">
        <v>2</v>
      </c>
      <c r="J41">
        <v>9</v>
      </c>
      <c r="K41">
        <v>3</v>
      </c>
      <c r="L41">
        <v>7</v>
      </c>
    </row>
    <row r="42" spans="1:12" x14ac:dyDescent="0.35">
      <c r="A42" t="s">
        <v>364</v>
      </c>
      <c r="B42" t="s">
        <v>539</v>
      </c>
      <c r="C42" t="s">
        <v>265</v>
      </c>
      <c r="D42" t="s">
        <v>266</v>
      </c>
      <c r="E42">
        <v>13</v>
      </c>
      <c r="F42">
        <v>1</v>
      </c>
      <c r="G42">
        <v>0</v>
      </c>
      <c r="H42">
        <v>0</v>
      </c>
      <c r="I42">
        <v>2</v>
      </c>
      <c r="J42">
        <v>2</v>
      </c>
      <c r="K42">
        <v>2</v>
      </c>
      <c r="L42">
        <v>6</v>
      </c>
    </row>
    <row r="43" spans="1:12" x14ac:dyDescent="0.35">
      <c r="A43" t="s">
        <v>364</v>
      </c>
      <c r="B43" t="s">
        <v>539</v>
      </c>
      <c r="C43" t="s">
        <v>272</v>
      </c>
      <c r="D43" t="s">
        <v>271</v>
      </c>
      <c r="E43">
        <v>28</v>
      </c>
      <c r="F43">
        <v>1</v>
      </c>
      <c r="G43">
        <v>0</v>
      </c>
      <c r="H43">
        <v>0</v>
      </c>
      <c r="I43">
        <v>3</v>
      </c>
      <c r="J43">
        <v>4</v>
      </c>
      <c r="K43">
        <v>10</v>
      </c>
      <c r="L43">
        <v>10</v>
      </c>
    </row>
    <row r="44" spans="1:12" x14ac:dyDescent="0.35">
      <c r="A44" t="s">
        <v>364</v>
      </c>
      <c r="B44" t="s">
        <v>539</v>
      </c>
      <c r="C44" t="s">
        <v>275</v>
      </c>
      <c r="D44" t="s">
        <v>276</v>
      </c>
      <c r="E44">
        <v>13</v>
      </c>
      <c r="F44">
        <v>1</v>
      </c>
      <c r="G44">
        <v>0</v>
      </c>
      <c r="H44">
        <v>0</v>
      </c>
      <c r="I44">
        <v>0</v>
      </c>
      <c r="J44">
        <v>4</v>
      </c>
      <c r="K44">
        <v>7</v>
      </c>
      <c r="L44">
        <v>1</v>
      </c>
    </row>
    <row r="45" spans="1:12" x14ac:dyDescent="0.35">
      <c r="A45" t="s">
        <v>364</v>
      </c>
      <c r="B45" t="s">
        <v>539</v>
      </c>
      <c r="C45" t="s">
        <v>291</v>
      </c>
      <c r="D45" t="s">
        <v>290</v>
      </c>
      <c r="E45">
        <v>14</v>
      </c>
      <c r="F45">
        <v>1</v>
      </c>
      <c r="G45">
        <v>0</v>
      </c>
      <c r="H45">
        <v>1</v>
      </c>
      <c r="I45">
        <v>0</v>
      </c>
      <c r="J45">
        <v>2</v>
      </c>
      <c r="K45">
        <v>6</v>
      </c>
      <c r="L45">
        <v>4</v>
      </c>
    </row>
    <row r="46" spans="1:12" x14ac:dyDescent="0.35">
      <c r="A46" t="s">
        <v>364</v>
      </c>
      <c r="B46" t="s">
        <v>539</v>
      </c>
      <c r="C46" t="s">
        <v>306</v>
      </c>
      <c r="D46" t="s">
        <v>305</v>
      </c>
      <c r="E46">
        <v>10</v>
      </c>
      <c r="F46">
        <v>1</v>
      </c>
      <c r="G46">
        <v>0</v>
      </c>
      <c r="H46">
        <v>0</v>
      </c>
      <c r="I46">
        <v>0</v>
      </c>
      <c r="J46">
        <v>3</v>
      </c>
      <c r="K46">
        <v>4</v>
      </c>
      <c r="L46">
        <v>2</v>
      </c>
    </row>
    <row r="47" spans="1:12" x14ac:dyDescent="0.35">
      <c r="A47" t="s">
        <v>364</v>
      </c>
      <c r="B47" t="s">
        <v>539</v>
      </c>
      <c r="C47" t="s">
        <v>242</v>
      </c>
      <c r="D47" t="s">
        <v>243</v>
      </c>
      <c r="E47">
        <v>8</v>
      </c>
      <c r="F47">
        <v>1</v>
      </c>
      <c r="G47">
        <v>0</v>
      </c>
      <c r="H47">
        <v>0</v>
      </c>
      <c r="I47">
        <v>0</v>
      </c>
      <c r="J47">
        <v>3</v>
      </c>
      <c r="K47">
        <v>4</v>
      </c>
      <c r="L47">
        <v>0</v>
      </c>
    </row>
    <row r="48" spans="1:12" x14ac:dyDescent="0.35">
      <c r="A48" t="s">
        <v>364</v>
      </c>
      <c r="B48" t="s">
        <v>539</v>
      </c>
      <c r="C48" t="s">
        <v>285</v>
      </c>
      <c r="D48" t="s">
        <v>286</v>
      </c>
      <c r="E48">
        <v>9</v>
      </c>
      <c r="F48">
        <v>1</v>
      </c>
      <c r="G48">
        <v>0</v>
      </c>
      <c r="H48">
        <v>0</v>
      </c>
      <c r="I48">
        <v>0</v>
      </c>
      <c r="J48">
        <v>3</v>
      </c>
      <c r="K48">
        <v>5</v>
      </c>
      <c r="L48">
        <v>0</v>
      </c>
    </row>
    <row r="49" spans="1:12" x14ac:dyDescent="0.35">
      <c r="A49" t="s">
        <v>364</v>
      </c>
      <c r="B49" t="s">
        <v>539</v>
      </c>
      <c r="C49" t="s">
        <v>226</v>
      </c>
      <c r="D49" t="s">
        <v>227</v>
      </c>
      <c r="E49">
        <v>11</v>
      </c>
      <c r="F49">
        <v>1</v>
      </c>
      <c r="G49">
        <v>0</v>
      </c>
      <c r="H49">
        <v>0</v>
      </c>
      <c r="I49">
        <v>0</v>
      </c>
      <c r="J49">
        <v>3</v>
      </c>
      <c r="K49">
        <v>5</v>
      </c>
      <c r="L49">
        <v>2</v>
      </c>
    </row>
    <row r="50" spans="1:12" x14ac:dyDescent="0.35">
      <c r="A50" t="s">
        <v>364</v>
      </c>
      <c r="B50" t="s">
        <v>539</v>
      </c>
      <c r="C50" t="s">
        <v>269</v>
      </c>
      <c r="D50" t="s">
        <v>268</v>
      </c>
      <c r="E50">
        <v>21</v>
      </c>
      <c r="F50">
        <v>1</v>
      </c>
      <c r="G50">
        <v>0</v>
      </c>
      <c r="H50">
        <v>0</v>
      </c>
      <c r="I50">
        <v>0</v>
      </c>
      <c r="J50">
        <v>3</v>
      </c>
      <c r="K50">
        <v>6</v>
      </c>
      <c r="L50">
        <v>11</v>
      </c>
    </row>
    <row r="51" spans="1:12" x14ac:dyDescent="0.35">
      <c r="A51" t="s">
        <v>364</v>
      </c>
      <c r="B51" t="s">
        <v>541</v>
      </c>
      <c r="C51" t="s">
        <v>232</v>
      </c>
      <c r="D51" t="s">
        <v>233</v>
      </c>
      <c r="E51">
        <v>111</v>
      </c>
      <c r="F51">
        <v>3</v>
      </c>
      <c r="G51">
        <v>1</v>
      </c>
      <c r="H51">
        <v>8</v>
      </c>
      <c r="I51">
        <v>0</v>
      </c>
      <c r="J51">
        <v>12</v>
      </c>
      <c r="K51">
        <v>8</v>
      </c>
      <c r="L51">
        <v>79</v>
      </c>
    </row>
    <row r="52" spans="1:12" x14ac:dyDescent="0.35">
      <c r="A52" t="s">
        <v>364</v>
      </c>
      <c r="B52" t="s">
        <v>541</v>
      </c>
      <c r="C52" t="s">
        <v>238</v>
      </c>
      <c r="D52" t="s">
        <v>239</v>
      </c>
      <c r="E52">
        <v>80</v>
      </c>
      <c r="F52">
        <v>1</v>
      </c>
      <c r="G52">
        <v>1</v>
      </c>
      <c r="H52">
        <v>8</v>
      </c>
      <c r="I52">
        <v>3</v>
      </c>
      <c r="J52">
        <v>3</v>
      </c>
      <c r="K52">
        <v>15</v>
      </c>
      <c r="L52">
        <v>49</v>
      </c>
    </row>
    <row r="53" spans="1:12" x14ac:dyDescent="0.35">
      <c r="A53" t="s">
        <v>364</v>
      </c>
      <c r="B53" t="s">
        <v>541</v>
      </c>
      <c r="C53" t="s">
        <v>218</v>
      </c>
      <c r="D53" t="s">
        <v>219</v>
      </c>
      <c r="E53">
        <v>77</v>
      </c>
      <c r="F53">
        <v>2</v>
      </c>
      <c r="G53">
        <v>1</v>
      </c>
      <c r="H53">
        <v>24</v>
      </c>
      <c r="I53">
        <v>1</v>
      </c>
      <c r="J53">
        <v>9</v>
      </c>
      <c r="K53">
        <v>10</v>
      </c>
      <c r="L53">
        <v>30</v>
      </c>
    </row>
    <row r="54" spans="1:12" x14ac:dyDescent="0.35">
      <c r="A54" t="s">
        <v>364</v>
      </c>
      <c r="B54" t="s">
        <v>543</v>
      </c>
      <c r="C54" t="s">
        <v>548</v>
      </c>
      <c r="D54" t="s">
        <v>544</v>
      </c>
      <c r="E54">
        <v>56</v>
      </c>
      <c r="F54">
        <v>5</v>
      </c>
      <c r="G54">
        <v>6</v>
      </c>
      <c r="H54">
        <v>7</v>
      </c>
      <c r="I54">
        <v>0</v>
      </c>
      <c r="J54">
        <v>22</v>
      </c>
      <c r="K54">
        <v>5</v>
      </c>
      <c r="L54">
        <v>11</v>
      </c>
    </row>
    <row r="55" spans="1:12" x14ac:dyDescent="0.35">
      <c r="A55" t="s">
        <v>364</v>
      </c>
      <c r="B55" t="s">
        <v>340</v>
      </c>
      <c r="C55" t="s">
        <v>548</v>
      </c>
      <c r="D55" t="s">
        <v>544</v>
      </c>
      <c r="E55">
        <v>4000.76</v>
      </c>
      <c r="F55">
        <v>28</v>
      </c>
      <c r="G55">
        <v>9</v>
      </c>
      <c r="H55">
        <v>660</v>
      </c>
      <c r="I55">
        <v>2373.7600000000002</v>
      </c>
      <c r="J55">
        <v>115</v>
      </c>
      <c r="K55">
        <v>136</v>
      </c>
      <c r="L55">
        <v>679</v>
      </c>
    </row>
    <row r="56" spans="1:12" x14ac:dyDescent="0.35">
      <c r="A56" t="s">
        <v>365</v>
      </c>
      <c r="B56" t="s">
        <v>536</v>
      </c>
      <c r="C56" t="s">
        <v>240</v>
      </c>
      <c r="D56" t="s">
        <v>241</v>
      </c>
      <c r="E56">
        <v>37</v>
      </c>
      <c r="H56">
        <v>8</v>
      </c>
      <c r="I56">
        <v>25</v>
      </c>
      <c r="K56">
        <v>0</v>
      </c>
      <c r="L56">
        <v>4</v>
      </c>
    </row>
    <row r="57" spans="1:12" x14ac:dyDescent="0.35">
      <c r="A57" t="s">
        <v>365</v>
      </c>
      <c r="B57" t="s">
        <v>536</v>
      </c>
      <c r="C57" t="s">
        <v>244</v>
      </c>
      <c r="D57" t="s">
        <v>245</v>
      </c>
      <c r="E57">
        <v>69</v>
      </c>
      <c r="H57">
        <v>11</v>
      </c>
      <c r="I57">
        <v>52</v>
      </c>
      <c r="K57">
        <v>0</v>
      </c>
      <c r="L57">
        <v>6</v>
      </c>
    </row>
    <row r="58" spans="1:12" x14ac:dyDescent="0.35">
      <c r="A58" t="s">
        <v>365</v>
      </c>
      <c r="B58" t="s">
        <v>536</v>
      </c>
      <c r="C58" t="s">
        <v>249</v>
      </c>
      <c r="D58" t="s">
        <v>250</v>
      </c>
      <c r="E58">
        <v>56</v>
      </c>
      <c r="H58">
        <v>9</v>
      </c>
      <c r="I58">
        <v>39</v>
      </c>
      <c r="K58">
        <v>0</v>
      </c>
      <c r="L58">
        <v>8</v>
      </c>
    </row>
    <row r="59" spans="1:12" x14ac:dyDescent="0.35">
      <c r="A59" t="s">
        <v>365</v>
      </c>
      <c r="B59" t="s">
        <v>536</v>
      </c>
      <c r="C59" t="s">
        <v>255</v>
      </c>
      <c r="D59" t="s">
        <v>256</v>
      </c>
      <c r="E59">
        <v>28</v>
      </c>
      <c r="H59">
        <v>3</v>
      </c>
      <c r="I59">
        <v>21</v>
      </c>
      <c r="K59">
        <v>0</v>
      </c>
      <c r="L59">
        <v>4</v>
      </c>
    </row>
    <row r="60" spans="1:12" x14ac:dyDescent="0.35">
      <c r="A60" t="s">
        <v>365</v>
      </c>
      <c r="B60" t="s">
        <v>536</v>
      </c>
      <c r="C60" t="s">
        <v>259</v>
      </c>
      <c r="D60" t="s">
        <v>260</v>
      </c>
      <c r="E60">
        <v>57</v>
      </c>
      <c r="H60">
        <v>13</v>
      </c>
      <c r="I60">
        <v>35</v>
      </c>
      <c r="K60">
        <v>0</v>
      </c>
      <c r="L60">
        <v>9</v>
      </c>
    </row>
    <row r="61" spans="1:12" x14ac:dyDescent="0.35">
      <c r="A61" t="s">
        <v>365</v>
      </c>
      <c r="B61" t="s">
        <v>536</v>
      </c>
      <c r="C61" t="s">
        <v>283</v>
      </c>
      <c r="D61" t="s">
        <v>284</v>
      </c>
      <c r="E61">
        <v>0</v>
      </c>
      <c r="H61">
        <v>0</v>
      </c>
      <c r="I61">
        <v>0</v>
      </c>
      <c r="K61">
        <v>0</v>
      </c>
      <c r="L61">
        <v>0</v>
      </c>
    </row>
    <row r="62" spans="1:12" x14ac:dyDescent="0.35">
      <c r="A62" t="s">
        <v>365</v>
      </c>
      <c r="B62" t="s">
        <v>536</v>
      </c>
      <c r="C62" t="s">
        <v>263</v>
      </c>
      <c r="D62" t="s">
        <v>264</v>
      </c>
      <c r="E62">
        <v>94</v>
      </c>
      <c r="H62">
        <v>17</v>
      </c>
      <c r="I62">
        <v>60</v>
      </c>
      <c r="K62">
        <v>2</v>
      </c>
      <c r="L62">
        <v>15</v>
      </c>
    </row>
    <row r="63" spans="1:12" x14ac:dyDescent="0.35">
      <c r="A63" t="s">
        <v>365</v>
      </c>
      <c r="B63" t="s">
        <v>536</v>
      </c>
      <c r="C63" t="s">
        <v>273</v>
      </c>
      <c r="D63" t="s">
        <v>274</v>
      </c>
      <c r="E63">
        <v>81</v>
      </c>
      <c r="H63">
        <v>11</v>
      </c>
      <c r="I63">
        <v>57</v>
      </c>
      <c r="K63">
        <v>1</v>
      </c>
      <c r="L63">
        <v>12</v>
      </c>
    </row>
    <row r="64" spans="1:12" x14ac:dyDescent="0.35">
      <c r="A64" t="s">
        <v>365</v>
      </c>
      <c r="B64" t="s">
        <v>536</v>
      </c>
      <c r="C64" t="s">
        <v>277</v>
      </c>
      <c r="D64" t="s">
        <v>278</v>
      </c>
      <c r="E64">
        <v>77</v>
      </c>
      <c r="H64">
        <v>16</v>
      </c>
      <c r="I64">
        <v>49</v>
      </c>
      <c r="K64">
        <v>0</v>
      </c>
      <c r="L64">
        <v>12</v>
      </c>
    </row>
    <row r="65" spans="1:12" x14ac:dyDescent="0.35">
      <c r="A65" t="s">
        <v>365</v>
      </c>
      <c r="B65" t="s">
        <v>536</v>
      </c>
      <c r="C65" t="s">
        <v>279</v>
      </c>
      <c r="D65" t="s">
        <v>280</v>
      </c>
      <c r="E65">
        <v>35</v>
      </c>
      <c r="H65">
        <v>4</v>
      </c>
      <c r="I65">
        <v>26</v>
      </c>
      <c r="K65">
        <v>0</v>
      </c>
      <c r="L65">
        <v>5</v>
      </c>
    </row>
    <row r="66" spans="1:12" x14ac:dyDescent="0.35">
      <c r="A66" t="s">
        <v>365</v>
      </c>
      <c r="B66" t="s">
        <v>536</v>
      </c>
      <c r="C66" t="s">
        <v>281</v>
      </c>
      <c r="D66" t="s">
        <v>282</v>
      </c>
      <c r="E66">
        <v>21</v>
      </c>
      <c r="H66">
        <v>3</v>
      </c>
      <c r="I66">
        <v>14</v>
      </c>
      <c r="K66">
        <v>0</v>
      </c>
      <c r="L66">
        <v>4</v>
      </c>
    </row>
    <row r="67" spans="1:12" x14ac:dyDescent="0.35">
      <c r="A67" t="s">
        <v>365</v>
      </c>
      <c r="B67" t="s">
        <v>536</v>
      </c>
      <c r="C67" t="s">
        <v>287</v>
      </c>
      <c r="D67" t="s">
        <v>288</v>
      </c>
      <c r="E67">
        <v>78</v>
      </c>
      <c r="H67">
        <v>14</v>
      </c>
      <c r="I67">
        <v>50</v>
      </c>
      <c r="K67">
        <v>0</v>
      </c>
      <c r="L67">
        <v>14</v>
      </c>
    </row>
    <row r="68" spans="1:12" x14ac:dyDescent="0.35">
      <c r="A68" t="s">
        <v>365</v>
      </c>
      <c r="B68" t="s">
        <v>536</v>
      </c>
      <c r="C68" t="s">
        <v>292</v>
      </c>
      <c r="D68" t="s">
        <v>293</v>
      </c>
      <c r="E68">
        <v>0</v>
      </c>
      <c r="H68">
        <v>0</v>
      </c>
      <c r="I68">
        <v>0</v>
      </c>
      <c r="K68">
        <v>0</v>
      </c>
      <c r="L68">
        <v>0</v>
      </c>
    </row>
    <row r="69" spans="1:12" x14ac:dyDescent="0.35">
      <c r="A69" t="s">
        <v>365</v>
      </c>
      <c r="B69" t="s">
        <v>536</v>
      </c>
      <c r="C69" t="s">
        <v>294</v>
      </c>
      <c r="D69" t="s">
        <v>295</v>
      </c>
      <c r="E69">
        <v>86</v>
      </c>
      <c r="H69">
        <v>16</v>
      </c>
      <c r="I69">
        <v>58</v>
      </c>
      <c r="K69">
        <v>1</v>
      </c>
      <c r="L69">
        <v>11</v>
      </c>
    </row>
    <row r="70" spans="1:12" x14ac:dyDescent="0.35">
      <c r="A70" t="s">
        <v>365</v>
      </c>
      <c r="B70" t="s">
        <v>536</v>
      </c>
      <c r="C70" t="s">
        <v>298</v>
      </c>
      <c r="D70" t="s">
        <v>299</v>
      </c>
      <c r="E70">
        <v>73</v>
      </c>
      <c r="H70">
        <v>11</v>
      </c>
      <c r="I70">
        <v>51</v>
      </c>
      <c r="K70">
        <v>0</v>
      </c>
      <c r="L70">
        <v>11</v>
      </c>
    </row>
    <row r="71" spans="1:12" x14ac:dyDescent="0.35">
      <c r="A71" t="s">
        <v>365</v>
      </c>
      <c r="B71" t="s">
        <v>536</v>
      </c>
      <c r="C71" t="s">
        <v>300</v>
      </c>
      <c r="D71" t="s">
        <v>301</v>
      </c>
      <c r="E71">
        <v>0</v>
      </c>
      <c r="H71">
        <v>0</v>
      </c>
      <c r="I71">
        <v>0</v>
      </c>
      <c r="K71">
        <v>0</v>
      </c>
      <c r="L71">
        <v>0</v>
      </c>
    </row>
    <row r="72" spans="1:12" x14ac:dyDescent="0.35">
      <c r="A72" t="s">
        <v>365</v>
      </c>
      <c r="B72" t="s">
        <v>536</v>
      </c>
      <c r="C72" t="s">
        <v>302</v>
      </c>
      <c r="D72" t="s">
        <v>303</v>
      </c>
      <c r="E72">
        <v>60</v>
      </c>
      <c r="H72">
        <v>9</v>
      </c>
      <c r="I72">
        <v>43</v>
      </c>
      <c r="K72">
        <v>0</v>
      </c>
      <c r="L72">
        <v>8</v>
      </c>
    </row>
    <row r="73" spans="1:12" x14ac:dyDescent="0.35">
      <c r="A73" t="s">
        <v>365</v>
      </c>
      <c r="B73" t="s">
        <v>536</v>
      </c>
      <c r="C73" t="s">
        <v>304</v>
      </c>
      <c r="D73" t="s">
        <v>305</v>
      </c>
      <c r="E73">
        <v>187</v>
      </c>
      <c r="H73">
        <v>35</v>
      </c>
      <c r="I73">
        <v>126</v>
      </c>
      <c r="K73">
        <v>2</v>
      </c>
      <c r="L73">
        <v>24</v>
      </c>
    </row>
    <row r="74" spans="1:12" x14ac:dyDescent="0.35">
      <c r="A74" t="s">
        <v>365</v>
      </c>
      <c r="B74" t="s">
        <v>536</v>
      </c>
      <c r="C74" t="s">
        <v>307</v>
      </c>
      <c r="D74" t="s">
        <v>308</v>
      </c>
      <c r="E74">
        <v>55</v>
      </c>
      <c r="H74">
        <v>10</v>
      </c>
      <c r="I74">
        <v>37</v>
      </c>
      <c r="K74">
        <v>0</v>
      </c>
      <c r="L74">
        <v>8</v>
      </c>
    </row>
    <row r="75" spans="1:12" x14ac:dyDescent="0.35">
      <c r="A75" t="s">
        <v>365</v>
      </c>
      <c r="B75" t="s">
        <v>536</v>
      </c>
      <c r="C75" t="s">
        <v>215</v>
      </c>
      <c r="D75" t="s">
        <v>216</v>
      </c>
      <c r="E75">
        <v>173</v>
      </c>
      <c r="H75">
        <v>25</v>
      </c>
      <c r="I75">
        <v>122</v>
      </c>
      <c r="K75">
        <v>0</v>
      </c>
      <c r="L75">
        <v>26</v>
      </c>
    </row>
    <row r="76" spans="1:12" x14ac:dyDescent="0.35">
      <c r="A76" t="s">
        <v>365</v>
      </c>
      <c r="B76" t="s">
        <v>536</v>
      </c>
      <c r="C76" t="s">
        <v>220</v>
      </c>
      <c r="D76" t="s">
        <v>221</v>
      </c>
      <c r="E76">
        <v>23</v>
      </c>
      <c r="H76">
        <v>3</v>
      </c>
      <c r="I76">
        <v>18</v>
      </c>
      <c r="K76">
        <v>0</v>
      </c>
      <c r="L76">
        <v>2</v>
      </c>
    </row>
    <row r="77" spans="1:12" x14ac:dyDescent="0.35">
      <c r="A77" t="s">
        <v>365</v>
      </c>
      <c r="B77" t="s">
        <v>536</v>
      </c>
      <c r="C77" t="s">
        <v>228</v>
      </c>
      <c r="D77" t="s">
        <v>229</v>
      </c>
      <c r="E77">
        <v>54</v>
      </c>
      <c r="H77">
        <v>10</v>
      </c>
      <c r="I77">
        <v>27</v>
      </c>
      <c r="K77">
        <v>2</v>
      </c>
      <c r="L77">
        <v>15</v>
      </c>
    </row>
    <row r="78" spans="1:12" x14ac:dyDescent="0.35">
      <c r="A78" t="s">
        <v>365</v>
      </c>
      <c r="B78" t="s">
        <v>536</v>
      </c>
      <c r="C78" t="s">
        <v>234</v>
      </c>
      <c r="D78" t="s">
        <v>235</v>
      </c>
      <c r="E78">
        <v>348</v>
      </c>
      <c r="H78">
        <v>64</v>
      </c>
      <c r="I78">
        <v>257</v>
      </c>
      <c r="K78">
        <v>1</v>
      </c>
      <c r="L78">
        <v>26</v>
      </c>
    </row>
    <row r="79" spans="1:12" x14ac:dyDescent="0.35">
      <c r="A79" t="s">
        <v>365</v>
      </c>
      <c r="B79" t="s">
        <v>536</v>
      </c>
      <c r="C79" t="s">
        <v>296</v>
      </c>
      <c r="D79" t="s">
        <v>297</v>
      </c>
      <c r="E79">
        <v>115</v>
      </c>
      <c r="H79">
        <v>23</v>
      </c>
      <c r="I79">
        <v>72</v>
      </c>
      <c r="K79">
        <v>0</v>
      </c>
      <c r="L79">
        <v>20</v>
      </c>
    </row>
    <row r="80" spans="1:12" x14ac:dyDescent="0.35">
      <c r="A80" t="s">
        <v>365</v>
      </c>
      <c r="B80" t="s">
        <v>536</v>
      </c>
      <c r="C80" t="s">
        <v>309</v>
      </c>
      <c r="D80" t="s">
        <v>310</v>
      </c>
      <c r="E80">
        <v>74</v>
      </c>
      <c r="H80">
        <v>20</v>
      </c>
      <c r="I80">
        <v>45</v>
      </c>
      <c r="K80">
        <v>0</v>
      </c>
      <c r="L80">
        <v>9</v>
      </c>
    </row>
    <row r="81" spans="1:12" x14ac:dyDescent="0.35">
      <c r="A81" t="s">
        <v>365</v>
      </c>
      <c r="B81" t="s">
        <v>536</v>
      </c>
      <c r="C81" t="s">
        <v>311</v>
      </c>
      <c r="D81" t="s">
        <v>312</v>
      </c>
      <c r="E81">
        <v>79</v>
      </c>
      <c r="H81">
        <v>9</v>
      </c>
      <c r="I81">
        <v>59</v>
      </c>
      <c r="K81">
        <v>1</v>
      </c>
      <c r="L81">
        <v>10</v>
      </c>
    </row>
    <row r="82" spans="1:12" x14ac:dyDescent="0.35">
      <c r="A82" t="s">
        <v>365</v>
      </c>
      <c r="B82" t="s">
        <v>536</v>
      </c>
      <c r="C82" t="s">
        <v>224</v>
      </c>
      <c r="D82" t="s">
        <v>225</v>
      </c>
      <c r="E82">
        <v>27</v>
      </c>
      <c r="H82">
        <v>0</v>
      </c>
      <c r="I82">
        <v>22</v>
      </c>
      <c r="K82">
        <v>1</v>
      </c>
      <c r="L82">
        <v>4</v>
      </c>
    </row>
    <row r="83" spans="1:12" x14ac:dyDescent="0.35">
      <c r="A83" t="s">
        <v>365</v>
      </c>
      <c r="B83" t="s">
        <v>536</v>
      </c>
      <c r="C83" t="s">
        <v>247</v>
      </c>
      <c r="D83" t="s">
        <v>248</v>
      </c>
      <c r="E83">
        <v>207</v>
      </c>
      <c r="H83">
        <v>27</v>
      </c>
      <c r="I83">
        <v>158</v>
      </c>
      <c r="K83">
        <v>1</v>
      </c>
      <c r="L83">
        <v>21</v>
      </c>
    </row>
    <row r="84" spans="1:12" x14ac:dyDescent="0.35">
      <c r="A84" t="s">
        <v>365</v>
      </c>
      <c r="B84" t="s">
        <v>536</v>
      </c>
      <c r="C84" t="s">
        <v>289</v>
      </c>
      <c r="D84" t="s">
        <v>290</v>
      </c>
      <c r="E84">
        <v>187</v>
      </c>
      <c r="H84">
        <v>37</v>
      </c>
      <c r="I84">
        <v>125</v>
      </c>
      <c r="K84">
        <v>1</v>
      </c>
      <c r="L84">
        <v>24</v>
      </c>
    </row>
    <row r="85" spans="1:12" x14ac:dyDescent="0.35">
      <c r="A85" t="s">
        <v>365</v>
      </c>
      <c r="B85" t="s">
        <v>536</v>
      </c>
      <c r="C85" t="s">
        <v>253</v>
      </c>
      <c r="D85" t="s">
        <v>254</v>
      </c>
      <c r="E85">
        <v>72</v>
      </c>
      <c r="H85">
        <v>14</v>
      </c>
      <c r="I85">
        <v>44</v>
      </c>
      <c r="K85">
        <v>0</v>
      </c>
      <c r="L85">
        <v>14</v>
      </c>
    </row>
    <row r="86" spans="1:12" x14ac:dyDescent="0.35">
      <c r="A86" t="s">
        <v>365</v>
      </c>
      <c r="B86" t="s">
        <v>536</v>
      </c>
      <c r="C86" t="s">
        <v>270</v>
      </c>
      <c r="D86" t="s">
        <v>271</v>
      </c>
      <c r="E86">
        <v>544</v>
      </c>
      <c r="H86">
        <v>116</v>
      </c>
      <c r="I86">
        <v>362</v>
      </c>
      <c r="K86">
        <v>1</v>
      </c>
      <c r="L86">
        <v>65</v>
      </c>
    </row>
    <row r="87" spans="1:12" x14ac:dyDescent="0.35">
      <c r="A87" t="s">
        <v>365</v>
      </c>
      <c r="B87" t="s">
        <v>536</v>
      </c>
      <c r="C87" t="s">
        <v>267</v>
      </c>
      <c r="D87" t="s">
        <v>268</v>
      </c>
      <c r="E87">
        <v>288</v>
      </c>
      <c r="H87">
        <v>54</v>
      </c>
      <c r="I87">
        <v>209</v>
      </c>
      <c r="K87">
        <v>0</v>
      </c>
      <c r="L87">
        <v>25</v>
      </c>
    </row>
    <row r="88" spans="1:12" x14ac:dyDescent="0.35">
      <c r="A88" t="s">
        <v>365</v>
      </c>
      <c r="B88" t="s">
        <v>539</v>
      </c>
      <c r="C88" t="s">
        <v>217</v>
      </c>
      <c r="D88" t="s">
        <v>216</v>
      </c>
      <c r="E88">
        <v>18</v>
      </c>
      <c r="F88">
        <v>1</v>
      </c>
      <c r="H88">
        <v>0</v>
      </c>
      <c r="I88">
        <v>0</v>
      </c>
      <c r="J88">
        <v>3</v>
      </c>
      <c r="K88">
        <v>7</v>
      </c>
      <c r="L88">
        <v>7</v>
      </c>
    </row>
    <row r="89" spans="1:12" x14ac:dyDescent="0.35">
      <c r="A89" t="s">
        <v>365</v>
      </c>
      <c r="B89" t="s">
        <v>539</v>
      </c>
      <c r="C89" t="s">
        <v>222</v>
      </c>
      <c r="D89" t="s">
        <v>223</v>
      </c>
      <c r="E89">
        <v>18</v>
      </c>
      <c r="F89">
        <v>1</v>
      </c>
      <c r="H89">
        <v>0</v>
      </c>
      <c r="I89">
        <v>2</v>
      </c>
      <c r="J89">
        <v>1</v>
      </c>
      <c r="K89">
        <v>4</v>
      </c>
      <c r="L89">
        <v>10</v>
      </c>
    </row>
    <row r="90" spans="1:12" x14ac:dyDescent="0.35">
      <c r="A90" t="s">
        <v>365</v>
      </c>
      <c r="B90" t="s">
        <v>539</v>
      </c>
      <c r="C90" t="s">
        <v>230</v>
      </c>
      <c r="D90" t="s">
        <v>231</v>
      </c>
      <c r="E90">
        <v>21</v>
      </c>
      <c r="F90">
        <v>1</v>
      </c>
      <c r="H90">
        <v>0</v>
      </c>
      <c r="I90">
        <v>1</v>
      </c>
      <c r="J90">
        <v>7</v>
      </c>
      <c r="K90">
        <v>5</v>
      </c>
      <c r="L90">
        <v>7</v>
      </c>
    </row>
    <row r="91" spans="1:12" x14ac:dyDescent="0.35">
      <c r="A91" t="s">
        <v>365</v>
      </c>
      <c r="B91" t="s">
        <v>539</v>
      </c>
      <c r="C91" t="s">
        <v>246</v>
      </c>
      <c r="D91" t="s">
        <v>245</v>
      </c>
      <c r="E91">
        <v>18</v>
      </c>
      <c r="F91">
        <v>0</v>
      </c>
      <c r="H91">
        <v>0</v>
      </c>
      <c r="I91">
        <v>1</v>
      </c>
      <c r="J91">
        <v>2</v>
      </c>
      <c r="K91">
        <v>5</v>
      </c>
      <c r="L91">
        <v>10</v>
      </c>
    </row>
    <row r="92" spans="1:12" x14ac:dyDescent="0.35">
      <c r="A92" t="s">
        <v>365</v>
      </c>
      <c r="B92" t="s">
        <v>539</v>
      </c>
      <c r="C92" t="s">
        <v>251</v>
      </c>
      <c r="D92" t="s">
        <v>252</v>
      </c>
      <c r="E92">
        <v>20</v>
      </c>
      <c r="F92">
        <v>1</v>
      </c>
      <c r="H92">
        <v>0</v>
      </c>
      <c r="I92">
        <v>0</v>
      </c>
      <c r="J92">
        <v>7</v>
      </c>
      <c r="K92">
        <v>7</v>
      </c>
      <c r="L92">
        <v>5</v>
      </c>
    </row>
    <row r="93" spans="1:12" x14ac:dyDescent="0.35">
      <c r="A93" t="s">
        <v>365</v>
      </c>
      <c r="B93" t="s">
        <v>539</v>
      </c>
      <c r="C93" t="s">
        <v>257</v>
      </c>
      <c r="D93" t="s">
        <v>258</v>
      </c>
      <c r="E93">
        <v>17</v>
      </c>
      <c r="F93">
        <v>1</v>
      </c>
      <c r="H93">
        <v>0</v>
      </c>
      <c r="I93">
        <v>4</v>
      </c>
      <c r="J93">
        <v>5</v>
      </c>
      <c r="K93">
        <v>1</v>
      </c>
      <c r="L93">
        <v>6</v>
      </c>
    </row>
    <row r="94" spans="1:12" x14ac:dyDescent="0.35">
      <c r="A94" t="s">
        <v>365</v>
      </c>
      <c r="B94" t="s">
        <v>539</v>
      </c>
      <c r="C94" t="s">
        <v>261</v>
      </c>
      <c r="D94" t="s">
        <v>262</v>
      </c>
      <c r="E94">
        <v>12</v>
      </c>
      <c r="F94">
        <v>1</v>
      </c>
      <c r="H94">
        <v>0</v>
      </c>
      <c r="I94">
        <v>0</v>
      </c>
      <c r="J94">
        <v>3</v>
      </c>
      <c r="K94">
        <v>5</v>
      </c>
      <c r="L94">
        <v>3</v>
      </c>
    </row>
    <row r="95" spans="1:12" x14ac:dyDescent="0.35">
      <c r="A95" t="s">
        <v>365</v>
      </c>
      <c r="B95" t="s">
        <v>539</v>
      </c>
      <c r="C95" t="s">
        <v>236</v>
      </c>
      <c r="D95" t="s">
        <v>237</v>
      </c>
      <c r="E95">
        <v>24</v>
      </c>
      <c r="F95">
        <v>2</v>
      </c>
      <c r="H95">
        <v>2</v>
      </c>
      <c r="I95">
        <v>2</v>
      </c>
      <c r="J95">
        <v>8</v>
      </c>
      <c r="K95">
        <v>4</v>
      </c>
      <c r="L95">
        <v>6</v>
      </c>
    </row>
    <row r="96" spans="1:12" x14ac:dyDescent="0.35">
      <c r="A96" t="s">
        <v>365</v>
      </c>
      <c r="B96" t="s">
        <v>539</v>
      </c>
      <c r="C96" t="s">
        <v>265</v>
      </c>
      <c r="D96" t="s">
        <v>266</v>
      </c>
      <c r="E96">
        <v>13</v>
      </c>
      <c r="F96">
        <v>1</v>
      </c>
      <c r="H96">
        <v>0</v>
      </c>
      <c r="I96">
        <v>1</v>
      </c>
      <c r="J96">
        <v>3</v>
      </c>
      <c r="K96">
        <v>3</v>
      </c>
      <c r="L96">
        <v>5</v>
      </c>
    </row>
    <row r="97" spans="1:12" x14ac:dyDescent="0.35">
      <c r="A97" t="s">
        <v>365</v>
      </c>
      <c r="B97" t="s">
        <v>539</v>
      </c>
      <c r="C97" t="s">
        <v>272</v>
      </c>
      <c r="D97" t="s">
        <v>271</v>
      </c>
      <c r="E97">
        <v>25</v>
      </c>
      <c r="F97">
        <v>1</v>
      </c>
      <c r="H97">
        <v>1</v>
      </c>
      <c r="I97">
        <v>2</v>
      </c>
      <c r="J97">
        <v>4</v>
      </c>
      <c r="K97">
        <v>8</v>
      </c>
      <c r="L97">
        <v>9</v>
      </c>
    </row>
    <row r="98" spans="1:12" x14ac:dyDescent="0.35">
      <c r="A98" t="s">
        <v>365</v>
      </c>
      <c r="B98" t="s">
        <v>539</v>
      </c>
      <c r="C98" t="s">
        <v>275</v>
      </c>
      <c r="D98" t="s">
        <v>276</v>
      </c>
      <c r="E98">
        <v>13</v>
      </c>
      <c r="F98">
        <v>1</v>
      </c>
      <c r="H98">
        <v>0</v>
      </c>
      <c r="I98">
        <v>0</v>
      </c>
      <c r="J98">
        <v>6</v>
      </c>
      <c r="K98">
        <v>5</v>
      </c>
      <c r="L98">
        <v>1</v>
      </c>
    </row>
    <row r="99" spans="1:12" x14ac:dyDescent="0.35">
      <c r="A99" t="s">
        <v>365</v>
      </c>
      <c r="B99" t="s">
        <v>539</v>
      </c>
      <c r="C99" t="s">
        <v>291</v>
      </c>
      <c r="D99" t="s">
        <v>290</v>
      </c>
      <c r="E99">
        <v>16</v>
      </c>
      <c r="F99">
        <v>2</v>
      </c>
      <c r="H99">
        <v>1</v>
      </c>
      <c r="I99">
        <v>1</v>
      </c>
      <c r="J99">
        <v>3</v>
      </c>
      <c r="K99">
        <v>5</v>
      </c>
      <c r="L99">
        <v>4</v>
      </c>
    </row>
    <row r="100" spans="1:12" x14ac:dyDescent="0.35">
      <c r="A100" t="s">
        <v>365</v>
      </c>
      <c r="B100" t="s">
        <v>539</v>
      </c>
      <c r="C100" t="s">
        <v>306</v>
      </c>
      <c r="D100" t="s">
        <v>305</v>
      </c>
      <c r="E100">
        <v>10</v>
      </c>
      <c r="F100">
        <v>1</v>
      </c>
      <c r="H100">
        <v>0</v>
      </c>
      <c r="I100">
        <v>0</v>
      </c>
      <c r="J100">
        <v>4</v>
      </c>
      <c r="K100">
        <v>2</v>
      </c>
      <c r="L100">
        <v>3</v>
      </c>
    </row>
    <row r="101" spans="1:12" x14ac:dyDescent="0.35">
      <c r="A101" t="s">
        <v>365</v>
      </c>
      <c r="B101" t="s">
        <v>539</v>
      </c>
      <c r="C101" t="s">
        <v>242</v>
      </c>
      <c r="D101" t="s">
        <v>243</v>
      </c>
      <c r="E101">
        <v>5</v>
      </c>
      <c r="F101">
        <v>0</v>
      </c>
      <c r="H101">
        <v>0</v>
      </c>
      <c r="I101">
        <v>0</v>
      </c>
      <c r="J101">
        <v>1</v>
      </c>
      <c r="K101">
        <v>4</v>
      </c>
      <c r="L101">
        <v>0</v>
      </c>
    </row>
    <row r="102" spans="1:12" x14ac:dyDescent="0.35">
      <c r="A102" t="s">
        <v>365</v>
      </c>
      <c r="B102" t="s">
        <v>539</v>
      </c>
      <c r="C102" t="s">
        <v>285</v>
      </c>
      <c r="D102" t="s">
        <v>286</v>
      </c>
      <c r="E102">
        <v>7</v>
      </c>
      <c r="F102">
        <v>1</v>
      </c>
      <c r="H102">
        <v>0</v>
      </c>
      <c r="I102">
        <v>0</v>
      </c>
      <c r="J102">
        <v>3</v>
      </c>
      <c r="K102">
        <v>3</v>
      </c>
      <c r="L102">
        <v>0</v>
      </c>
    </row>
    <row r="103" spans="1:12" x14ac:dyDescent="0.35">
      <c r="A103" t="s">
        <v>365</v>
      </c>
      <c r="B103" t="s">
        <v>539</v>
      </c>
      <c r="C103" t="s">
        <v>226</v>
      </c>
      <c r="D103" t="s">
        <v>227</v>
      </c>
      <c r="E103">
        <v>12</v>
      </c>
      <c r="F103">
        <v>1</v>
      </c>
      <c r="H103">
        <v>0</v>
      </c>
      <c r="I103">
        <v>0</v>
      </c>
      <c r="J103">
        <v>3</v>
      </c>
      <c r="K103">
        <v>5</v>
      </c>
      <c r="L103">
        <v>3</v>
      </c>
    </row>
    <row r="104" spans="1:12" x14ac:dyDescent="0.35">
      <c r="A104" t="s">
        <v>365</v>
      </c>
      <c r="B104" t="s">
        <v>539</v>
      </c>
      <c r="C104" t="s">
        <v>269</v>
      </c>
      <c r="D104" t="s">
        <v>268</v>
      </c>
      <c r="E104">
        <v>21</v>
      </c>
      <c r="F104">
        <v>2</v>
      </c>
      <c r="H104">
        <v>0</v>
      </c>
      <c r="I104">
        <v>0</v>
      </c>
      <c r="J104">
        <v>2</v>
      </c>
      <c r="K104">
        <v>6</v>
      </c>
      <c r="L104">
        <v>11</v>
      </c>
    </row>
    <row r="105" spans="1:12" x14ac:dyDescent="0.35">
      <c r="A105" t="s">
        <v>365</v>
      </c>
      <c r="B105" t="s">
        <v>541</v>
      </c>
      <c r="C105" t="s">
        <v>232</v>
      </c>
      <c r="D105" t="s">
        <v>233</v>
      </c>
      <c r="E105">
        <v>105</v>
      </c>
      <c r="F105">
        <v>2</v>
      </c>
      <c r="H105">
        <v>9</v>
      </c>
      <c r="I105">
        <v>0</v>
      </c>
      <c r="J105">
        <v>15</v>
      </c>
      <c r="K105">
        <v>4</v>
      </c>
      <c r="L105">
        <v>75</v>
      </c>
    </row>
    <row r="106" spans="1:12" x14ac:dyDescent="0.35">
      <c r="A106" t="s">
        <v>365</v>
      </c>
      <c r="B106" t="s">
        <v>541</v>
      </c>
      <c r="C106" t="s">
        <v>238</v>
      </c>
      <c r="D106" t="s">
        <v>239</v>
      </c>
      <c r="E106">
        <v>78</v>
      </c>
      <c r="F106">
        <v>1</v>
      </c>
      <c r="H106">
        <v>4</v>
      </c>
      <c r="I106">
        <v>6</v>
      </c>
      <c r="J106">
        <v>4</v>
      </c>
      <c r="K106">
        <v>17</v>
      </c>
      <c r="L106">
        <v>46</v>
      </c>
    </row>
    <row r="107" spans="1:12" x14ac:dyDescent="0.35">
      <c r="A107" t="s">
        <v>365</v>
      </c>
      <c r="B107" t="s">
        <v>541</v>
      </c>
      <c r="C107" t="s">
        <v>218</v>
      </c>
      <c r="D107" t="s">
        <v>219</v>
      </c>
      <c r="E107">
        <v>66</v>
      </c>
      <c r="F107">
        <v>1</v>
      </c>
      <c r="H107">
        <v>21</v>
      </c>
      <c r="I107">
        <v>1</v>
      </c>
      <c r="J107">
        <v>7</v>
      </c>
      <c r="K107">
        <v>10</v>
      </c>
      <c r="L107">
        <v>26</v>
      </c>
    </row>
    <row r="108" spans="1:12" x14ac:dyDescent="0.35">
      <c r="A108" t="s">
        <v>365</v>
      </c>
      <c r="B108" t="s">
        <v>543</v>
      </c>
      <c r="C108" t="s">
        <v>548</v>
      </c>
      <c r="D108" t="s">
        <v>544</v>
      </c>
      <c r="E108">
        <v>52</v>
      </c>
      <c r="F108">
        <v>11</v>
      </c>
      <c r="G108">
        <v>7</v>
      </c>
      <c r="H108">
        <v>4</v>
      </c>
      <c r="I108">
        <v>1</v>
      </c>
      <c r="J108">
        <v>12</v>
      </c>
      <c r="K108">
        <v>6</v>
      </c>
      <c r="L108">
        <v>11</v>
      </c>
    </row>
    <row r="109" spans="1:12" x14ac:dyDescent="0.35">
      <c r="A109" t="s">
        <v>365</v>
      </c>
      <c r="B109" t="s">
        <v>340</v>
      </c>
      <c r="C109" t="s">
        <v>548</v>
      </c>
      <c r="D109" t="s">
        <v>544</v>
      </c>
      <c r="E109">
        <v>3856</v>
      </c>
      <c r="F109">
        <v>33</v>
      </c>
      <c r="G109">
        <v>7</v>
      </c>
      <c r="H109">
        <v>634</v>
      </c>
      <c r="I109">
        <v>2285</v>
      </c>
      <c r="J109">
        <v>103</v>
      </c>
      <c r="K109">
        <v>130</v>
      </c>
      <c r="L109">
        <v>664</v>
      </c>
    </row>
    <row r="110" spans="1:12" x14ac:dyDescent="0.35">
      <c r="A110" t="s">
        <v>366</v>
      </c>
      <c r="B110" t="s">
        <v>536</v>
      </c>
      <c r="C110" t="s">
        <v>240</v>
      </c>
      <c r="D110" t="s">
        <v>241</v>
      </c>
      <c r="E110">
        <v>26</v>
      </c>
      <c r="H110">
        <v>5</v>
      </c>
      <c r="I110">
        <v>17</v>
      </c>
      <c r="K110">
        <v>0</v>
      </c>
      <c r="L110">
        <v>4</v>
      </c>
    </row>
    <row r="111" spans="1:12" x14ac:dyDescent="0.35">
      <c r="A111" t="s">
        <v>366</v>
      </c>
      <c r="B111" t="s">
        <v>536</v>
      </c>
      <c r="C111" t="s">
        <v>244</v>
      </c>
      <c r="D111" t="s">
        <v>245</v>
      </c>
      <c r="E111">
        <v>65</v>
      </c>
      <c r="H111">
        <v>14</v>
      </c>
      <c r="I111">
        <v>48</v>
      </c>
      <c r="K111">
        <v>0</v>
      </c>
      <c r="L111">
        <v>3</v>
      </c>
    </row>
    <row r="112" spans="1:12" x14ac:dyDescent="0.35">
      <c r="A112" t="s">
        <v>366</v>
      </c>
      <c r="B112" t="s">
        <v>536</v>
      </c>
      <c r="C112" t="s">
        <v>249</v>
      </c>
      <c r="D112" t="s">
        <v>250</v>
      </c>
      <c r="E112">
        <v>53</v>
      </c>
      <c r="H112">
        <v>7</v>
      </c>
      <c r="I112">
        <v>41</v>
      </c>
      <c r="K112">
        <v>0</v>
      </c>
      <c r="L112">
        <v>5</v>
      </c>
    </row>
    <row r="113" spans="1:12" x14ac:dyDescent="0.35">
      <c r="A113" t="s">
        <v>366</v>
      </c>
      <c r="B113" t="s">
        <v>536</v>
      </c>
      <c r="C113" t="s">
        <v>255</v>
      </c>
      <c r="D113" t="s">
        <v>256</v>
      </c>
      <c r="E113">
        <v>27</v>
      </c>
      <c r="H113">
        <v>4</v>
      </c>
      <c r="I113">
        <v>19</v>
      </c>
      <c r="K113">
        <v>0</v>
      </c>
      <c r="L113">
        <v>4</v>
      </c>
    </row>
    <row r="114" spans="1:12" x14ac:dyDescent="0.35">
      <c r="A114" t="s">
        <v>366</v>
      </c>
      <c r="B114" t="s">
        <v>536</v>
      </c>
      <c r="C114" t="s">
        <v>259</v>
      </c>
      <c r="D114" t="s">
        <v>260</v>
      </c>
      <c r="E114">
        <v>53</v>
      </c>
      <c r="H114">
        <v>10</v>
      </c>
      <c r="I114">
        <v>34</v>
      </c>
      <c r="K114">
        <v>0</v>
      </c>
      <c r="L114">
        <v>9</v>
      </c>
    </row>
    <row r="115" spans="1:12" x14ac:dyDescent="0.35">
      <c r="A115" t="s">
        <v>366</v>
      </c>
      <c r="B115" t="s">
        <v>536</v>
      </c>
      <c r="C115" t="s">
        <v>283</v>
      </c>
      <c r="D115" t="s">
        <v>284</v>
      </c>
      <c r="E115">
        <v>95</v>
      </c>
      <c r="H115">
        <v>17</v>
      </c>
      <c r="I115">
        <v>66</v>
      </c>
      <c r="K115">
        <v>0</v>
      </c>
      <c r="L115">
        <v>12</v>
      </c>
    </row>
    <row r="116" spans="1:12" x14ac:dyDescent="0.35">
      <c r="A116" t="s">
        <v>366</v>
      </c>
      <c r="B116" t="s">
        <v>536</v>
      </c>
      <c r="C116" t="s">
        <v>263</v>
      </c>
      <c r="D116" t="s">
        <v>264</v>
      </c>
      <c r="E116">
        <v>277.07499999999999</v>
      </c>
      <c r="H116">
        <v>47</v>
      </c>
      <c r="I116">
        <v>210.07499999999999</v>
      </c>
      <c r="K116">
        <v>0</v>
      </c>
      <c r="L116">
        <v>20</v>
      </c>
    </row>
    <row r="117" spans="1:12" x14ac:dyDescent="0.35">
      <c r="A117" t="s">
        <v>366</v>
      </c>
      <c r="B117" t="s">
        <v>536</v>
      </c>
      <c r="C117" t="s">
        <v>273</v>
      </c>
      <c r="D117" t="s">
        <v>274</v>
      </c>
      <c r="E117">
        <v>70</v>
      </c>
      <c r="H117">
        <v>12</v>
      </c>
      <c r="I117">
        <v>48</v>
      </c>
      <c r="K117">
        <v>1</v>
      </c>
      <c r="L117">
        <v>9</v>
      </c>
    </row>
    <row r="118" spans="1:12" x14ac:dyDescent="0.35">
      <c r="A118" t="s">
        <v>366</v>
      </c>
      <c r="B118" t="s">
        <v>536</v>
      </c>
      <c r="C118" t="s">
        <v>277</v>
      </c>
      <c r="D118" t="s">
        <v>278</v>
      </c>
      <c r="E118">
        <v>23</v>
      </c>
      <c r="H118">
        <v>4</v>
      </c>
      <c r="I118">
        <v>16</v>
      </c>
      <c r="K118">
        <v>0</v>
      </c>
      <c r="L118">
        <v>3</v>
      </c>
    </row>
    <row r="119" spans="1:12" x14ac:dyDescent="0.35">
      <c r="A119" t="s">
        <v>366</v>
      </c>
      <c r="B119" t="s">
        <v>536</v>
      </c>
      <c r="C119" t="s">
        <v>279</v>
      </c>
      <c r="D119" t="s">
        <v>280</v>
      </c>
      <c r="E119">
        <v>31</v>
      </c>
      <c r="H119">
        <v>5</v>
      </c>
      <c r="I119">
        <v>21</v>
      </c>
      <c r="K119">
        <v>0</v>
      </c>
      <c r="L119">
        <v>5</v>
      </c>
    </row>
    <row r="120" spans="1:12" x14ac:dyDescent="0.35">
      <c r="A120" t="s">
        <v>366</v>
      </c>
      <c r="B120" t="s">
        <v>536</v>
      </c>
      <c r="C120" t="s">
        <v>281</v>
      </c>
      <c r="D120" t="s">
        <v>282</v>
      </c>
      <c r="E120">
        <v>0</v>
      </c>
      <c r="H120">
        <v>0</v>
      </c>
      <c r="I120">
        <v>0</v>
      </c>
      <c r="K120">
        <v>0</v>
      </c>
      <c r="L120">
        <v>0</v>
      </c>
    </row>
    <row r="121" spans="1:12" x14ac:dyDescent="0.35">
      <c r="A121" t="s">
        <v>366</v>
      </c>
      <c r="B121" t="s">
        <v>536</v>
      </c>
      <c r="C121" t="s">
        <v>287</v>
      </c>
      <c r="D121" t="s">
        <v>288</v>
      </c>
      <c r="E121">
        <v>75.095238095238102</v>
      </c>
      <c r="H121">
        <v>13.095238095238095</v>
      </c>
      <c r="I121">
        <v>50</v>
      </c>
      <c r="K121">
        <v>0</v>
      </c>
      <c r="L121">
        <v>12</v>
      </c>
    </row>
    <row r="122" spans="1:12" x14ac:dyDescent="0.35">
      <c r="A122" t="s">
        <v>366</v>
      </c>
      <c r="B122" t="s">
        <v>536</v>
      </c>
      <c r="C122" t="s">
        <v>292</v>
      </c>
      <c r="D122" t="s">
        <v>293</v>
      </c>
      <c r="E122">
        <v>0</v>
      </c>
      <c r="H122">
        <v>0</v>
      </c>
      <c r="I122">
        <v>0</v>
      </c>
      <c r="K122">
        <v>0</v>
      </c>
      <c r="L122">
        <v>0</v>
      </c>
    </row>
    <row r="123" spans="1:12" x14ac:dyDescent="0.35">
      <c r="A123" t="s">
        <v>366</v>
      </c>
      <c r="B123" t="s">
        <v>536</v>
      </c>
      <c r="C123" t="s">
        <v>294</v>
      </c>
      <c r="D123" t="s">
        <v>295</v>
      </c>
      <c r="E123">
        <v>72.75</v>
      </c>
      <c r="H123">
        <v>13</v>
      </c>
      <c r="I123">
        <v>55.75</v>
      </c>
      <c r="K123">
        <v>0</v>
      </c>
      <c r="L123">
        <v>4</v>
      </c>
    </row>
    <row r="124" spans="1:12" x14ac:dyDescent="0.35">
      <c r="A124" t="s">
        <v>366</v>
      </c>
      <c r="B124" t="s">
        <v>536</v>
      </c>
      <c r="C124" t="s">
        <v>298</v>
      </c>
      <c r="D124" t="s">
        <v>299</v>
      </c>
      <c r="E124">
        <v>69.075000000000003</v>
      </c>
      <c r="H124">
        <v>12</v>
      </c>
      <c r="I124">
        <v>48.075000000000003</v>
      </c>
      <c r="K124">
        <v>0</v>
      </c>
      <c r="L124">
        <v>9</v>
      </c>
    </row>
    <row r="125" spans="1:12" x14ac:dyDescent="0.35">
      <c r="A125" t="s">
        <v>366</v>
      </c>
      <c r="B125" t="s">
        <v>536</v>
      </c>
      <c r="C125" t="s">
        <v>300</v>
      </c>
      <c r="D125" t="s">
        <v>301</v>
      </c>
      <c r="E125">
        <v>0</v>
      </c>
      <c r="H125">
        <v>0</v>
      </c>
      <c r="I125">
        <v>0</v>
      </c>
      <c r="K125">
        <v>0</v>
      </c>
      <c r="L125">
        <v>0</v>
      </c>
    </row>
    <row r="126" spans="1:12" x14ac:dyDescent="0.35">
      <c r="A126" t="s">
        <v>366</v>
      </c>
      <c r="B126" t="s">
        <v>536</v>
      </c>
      <c r="C126" t="s">
        <v>302</v>
      </c>
      <c r="D126" t="s">
        <v>303</v>
      </c>
      <c r="E126">
        <v>55</v>
      </c>
      <c r="H126">
        <v>10</v>
      </c>
      <c r="I126">
        <v>40</v>
      </c>
      <c r="K126">
        <v>0</v>
      </c>
      <c r="L126">
        <v>5</v>
      </c>
    </row>
    <row r="127" spans="1:12" x14ac:dyDescent="0.35">
      <c r="A127" t="s">
        <v>366</v>
      </c>
      <c r="B127" t="s">
        <v>536</v>
      </c>
      <c r="C127" t="s">
        <v>304</v>
      </c>
      <c r="D127" t="s">
        <v>305</v>
      </c>
      <c r="E127">
        <v>178</v>
      </c>
      <c r="H127">
        <v>28</v>
      </c>
      <c r="I127">
        <v>132</v>
      </c>
      <c r="K127">
        <v>0</v>
      </c>
      <c r="L127">
        <v>18</v>
      </c>
    </row>
    <row r="128" spans="1:12" x14ac:dyDescent="0.35">
      <c r="A128" t="s">
        <v>366</v>
      </c>
      <c r="B128" t="s">
        <v>536</v>
      </c>
      <c r="C128" t="s">
        <v>307</v>
      </c>
      <c r="D128" t="s">
        <v>308</v>
      </c>
      <c r="E128">
        <v>51</v>
      </c>
      <c r="H128">
        <v>9</v>
      </c>
      <c r="I128">
        <v>40</v>
      </c>
      <c r="K128">
        <v>0</v>
      </c>
      <c r="L128">
        <v>2</v>
      </c>
    </row>
    <row r="129" spans="1:12" x14ac:dyDescent="0.35">
      <c r="A129" t="s">
        <v>366</v>
      </c>
      <c r="B129" t="s">
        <v>536</v>
      </c>
      <c r="C129" t="s">
        <v>215</v>
      </c>
      <c r="D129" t="s">
        <v>216</v>
      </c>
      <c r="E129">
        <v>142</v>
      </c>
      <c r="H129">
        <v>22</v>
      </c>
      <c r="I129">
        <v>107</v>
      </c>
      <c r="K129">
        <v>0</v>
      </c>
      <c r="L129">
        <v>13</v>
      </c>
    </row>
    <row r="130" spans="1:12" x14ac:dyDescent="0.35">
      <c r="A130" t="s">
        <v>366</v>
      </c>
      <c r="B130" t="s">
        <v>536</v>
      </c>
      <c r="C130" t="s">
        <v>220</v>
      </c>
      <c r="D130" t="s">
        <v>221</v>
      </c>
      <c r="E130">
        <v>32</v>
      </c>
      <c r="H130">
        <v>6</v>
      </c>
      <c r="I130">
        <v>22</v>
      </c>
      <c r="K130">
        <v>0</v>
      </c>
      <c r="L130">
        <v>4</v>
      </c>
    </row>
    <row r="131" spans="1:12" x14ac:dyDescent="0.35">
      <c r="A131" t="s">
        <v>366</v>
      </c>
      <c r="B131" t="s">
        <v>536</v>
      </c>
      <c r="C131" t="s">
        <v>228</v>
      </c>
      <c r="D131" t="s">
        <v>229</v>
      </c>
      <c r="E131">
        <v>55</v>
      </c>
      <c r="H131">
        <v>8</v>
      </c>
      <c r="I131">
        <v>37</v>
      </c>
      <c r="K131">
        <v>0</v>
      </c>
      <c r="L131">
        <v>10</v>
      </c>
    </row>
    <row r="132" spans="1:12" x14ac:dyDescent="0.35">
      <c r="A132" t="s">
        <v>366</v>
      </c>
      <c r="B132" t="s">
        <v>536</v>
      </c>
      <c r="C132" t="s">
        <v>234</v>
      </c>
      <c r="D132" t="s">
        <v>235</v>
      </c>
      <c r="E132">
        <v>315</v>
      </c>
      <c r="H132">
        <v>48</v>
      </c>
      <c r="I132">
        <v>248</v>
      </c>
      <c r="K132">
        <v>0</v>
      </c>
      <c r="L132">
        <v>19</v>
      </c>
    </row>
    <row r="133" spans="1:12" x14ac:dyDescent="0.35">
      <c r="A133" t="s">
        <v>366</v>
      </c>
      <c r="B133" t="s">
        <v>536</v>
      </c>
      <c r="C133" t="s">
        <v>296</v>
      </c>
      <c r="D133" t="s">
        <v>297</v>
      </c>
      <c r="E133">
        <v>92</v>
      </c>
      <c r="H133">
        <v>15</v>
      </c>
      <c r="I133">
        <v>62</v>
      </c>
      <c r="K133">
        <v>0</v>
      </c>
      <c r="L133">
        <v>15</v>
      </c>
    </row>
    <row r="134" spans="1:12" x14ac:dyDescent="0.35">
      <c r="A134" t="s">
        <v>366</v>
      </c>
      <c r="B134" t="s">
        <v>536</v>
      </c>
      <c r="C134" t="s">
        <v>309</v>
      </c>
      <c r="D134" t="s">
        <v>310</v>
      </c>
      <c r="E134">
        <v>70</v>
      </c>
      <c r="H134">
        <v>11</v>
      </c>
      <c r="I134">
        <v>49</v>
      </c>
      <c r="K134">
        <v>0</v>
      </c>
      <c r="L134">
        <v>10</v>
      </c>
    </row>
    <row r="135" spans="1:12" x14ac:dyDescent="0.35">
      <c r="A135" t="s">
        <v>366</v>
      </c>
      <c r="B135" t="s">
        <v>536</v>
      </c>
      <c r="C135" t="s">
        <v>311</v>
      </c>
      <c r="D135" t="s">
        <v>312</v>
      </c>
      <c r="E135">
        <v>61</v>
      </c>
      <c r="H135">
        <v>9</v>
      </c>
      <c r="I135">
        <v>44</v>
      </c>
      <c r="K135">
        <v>0</v>
      </c>
      <c r="L135">
        <v>8</v>
      </c>
    </row>
    <row r="136" spans="1:12" x14ac:dyDescent="0.35">
      <c r="A136" t="s">
        <v>366</v>
      </c>
      <c r="B136" t="s">
        <v>536</v>
      </c>
      <c r="C136" t="s">
        <v>224</v>
      </c>
      <c r="D136" t="s">
        <v>225</v>
      </c>
      <c r="E136">
        <v>36</v>
      </c>
      <c r="H136">
        <v>8</v>
      </c>
      <c r="I136">
        <v>25</v>
      </c>
      <c r="K136">
        <v>0</v>
      </c>
      <c r="L136">
        <v>3</v>
      </c>
    </row>
    <row r="137" spans="1:12" x14ac:dyDescent="0.35">
      <c r="A137" t="s">
        <v>366</v>
      </c>
      <c r="B137" t="s">
        <v>536</v>
      </c>
      <c r="C137" t="s">
        <v>247</v>
      </c>
      <c r="D137" t="s">
        <v>248</v>
      </c>
      <c r="E137">
        <v>176</v>
      </c>
      <c r="H137">
        <v>26</v>
      </c>
      <c r="I137">
        <v>135</v>
      </c>
      <c r="K137">
        <v>1</v>
      </c>
      <c r="L137">
        <v>14</v>
      </c>
    </row>
    <row r="138" spans="1:12" x14ac:dyDescent="0.35">
      <c r="A138" t="s">
        <v>366</v>
      </c>
      <c r="B138" t="s">
        <v>536</v>
      </c>
      <c r="C138" t="s">
        <v>289</v>
      </c>
      <c r="D138" t="s">
        <v>290</v>
      </c>
      <c r="E138">
        <v>179.75</v>
      </c>
      <c r="H138">
        <v>27.75</v>
      </c>
      <c r="I138">
        <v>136</v>
      </c>
      <c r="K138">
        <v>0</v>
      </c>
      <c r="L138">
        <v>16</v>
      </c>
    </row>
    <row r="139" spans="1:12" x14ac:dyDescent="0.35">
      <c r="A139" t="s">
        <v>366</v>
      </c>
      <c r="B139" t="s">
        <v>536</v>
      </c>
      <c r="C139" t="s">
        <v>253</v>
      </c>
      <c r="D139" t="s">
        <v>254</v>
      </c>
      <c r="E139">
        <v>70</v>
      </c>
      <c r="H139">
        <v>9</v>
      </c>
      <c r="I139">
        <v>46</v>
      </c>
      <c r="K139">
        <v>0</v>
      </c>
      <c r="L139">
        <v>15</v>
      </c>
    </row>
    <row r="140" spans="1:12" x14ac:dyDescent="0.35">
      <c r="A140" t="s">
        <v>366</v>
      </c>
      <c r="B140" t="s">
        <v>536</v>
      </c>
      <c r="C140" t="s">
        <v>270</v>
      </c>
      <c r="D140" t="s">
        <v>271</v>
      </c>
      <c r="E140">
        <v>68</v>
      </c>
      <c r="H140">
        <v>11</v>
      </c>
      <c r="I140">
        <v>53</v>
      </c>
      <c r="K140">
        <v>0</v>
      </c>
      <c r="L140">
        <v>4</v>
      </c>
    </row>
    <row r="141" spans="1:12" x14ac:dyDescent="0.35">
      <c r="A141" t="s">
        <v>366</v>
      </c>
      <c r="B141" t="s">
        <v>536</v>
      </c>
      <c r="C141" t="s">
        <v>267</v>
      </c>
      <c r="D141" t="s">
        <v>268</v>
      </c>
      <c r="E141">
        <v>498.15952380952382</v>
      </c>
      <c r="H141">
        <v>98.5</v>
      </c>
      <c r="I141">
        <v>350</v>
      </c>
      <c r="K141">
        <v>0</v>
      </c>
      <c r="L141">
        <v>49.659523809523812</v>
      </c>
    </row>
    <row r="142" spans="1:12" x14ac:dyDescent="0.35">
      <c r="A142" t="s">
        <v>366</v>
      </c>
      <c r="B142" t="s">
        <v>539</v>
      </c>
      <c r="C142" t="s">
        <v>217</v>
      </c>
      <c r="D142" t="s">
        <v>216</v>
      </c>
      <c r="E142">
        <v>16</v>
      </c>
      <c r="F142">
        <v>1</v>
      </c>
      <c r="H142">
        <v>0</v>
      </c>
      <c r="I142">
        <v>3</v>
      </c>
      <c r="J142">
        <v>3</v>
      </c>
      <c r="K142">
        <v>2</v>
      </c>
      <c r="L142">
        <v>7</v>
      </c>
    </row>
    <row r="143" spans="1:12" x14ac:dyDescent="0.35">
      <c r="A143" t="s">
        <v>366</v>
      </c>
      <c r="B143" t="s">
        <v>539</v>
      </c>
      <c r="C143" t="s">
        <v>222</v>
      </c>
      <c r="D143" t="s">
        <v>223</v>
      </c>
      <c r="E143">
        <v>27</v>
      </c>
      <c r="F143">
        <v>1</v>
      </c>
      <c r="H143">
        <v>7</v>
      </c>
      <c r="I143">
        <v>1</v>
      </c>
      <c r="J143">
        <v>2</v>
      </c>
      <c r="K143">
        <v>6</v>
      </c>
      <c r="L143">
        <v>10</v>
      </c>
    </row>
    <row r="144" spans="1:12" x14ac:dyDescent="0.35">
      <c r="A144" t="s">
        <v>366</v>
      </c>
      <c r="B144" t="s">
        <v>539</v>
      </c>
      <c r="C144" t="s">
        <v>230</v>
      </c>
      <c r="D144" t="s">
        <v>231</v>
      </c>
      <c r="E144">
        <v>25</v>
      </c>
      <c r="F144">
        <v>1</v>
      </c>
      <c r="H144">
        <v>2</v>
      </c>
      <c r="I144">
        <v>4</v>
      </c>
      <c r="J144">
        <v>5</v>
      </c>
      <c r="K144">
        <v>7</v>
      </c>
      <c r="L144">
        <v>6</v>
      </c>
    </row>
    <row r="145" spans="1:12" x14ac:dyDescent="0.35">
      <c r="A145" t="s">
        <v>366</v>
      </c>
      <c r="B145" t="s">
        <v>539</v>
      </c>
      <c r="C145" t="s">
        <v>246</v>
      </c>
      <c r="D145" t="s">
        <v>245</v>
      </c>
      <c r="E145">
        <v>19</v>
      </c>
      <c r="F145">
        <v>0</v>
      </c>
      <c r="H145">
        <v>0</v>
      </c>
      <c r="I145">
        <v>2</v>
      </c>
      <c r="J145">
        <v>2</v>
      </c>
      <c r="K145">
        <v>5</v>
      </c>
      <c r="L145">
        <v>10</v>
      </c>
    </row>
    <row r="146" spans="1:12" x14ac:dyDescent="0.35">
      <c r="A146" t="s">
        <v>366</v>
      </c>
      <c r="B146" t="s">
        <v>539</v>
      </c>
      <c r="C146" t="s">
        <v>251</v>
      </c>
      <c r="D146" t="s">
        <v>252</v>
      </c>
      <c r="E146">
        <v>28.885714285714286</v>
      </c>
      <c r="F146">
        <v>1</v>
      </c>
      <c r="H146">
        <v>4</v>
      </c>
      <c r="I146">
        <v>1.8857142857142857</v>
      </c>
      <c r="J146">
        <v>6</v>
      </c>
      <c r="K146">
        <v>7</v>
      </c>
      <c r="L146">
        <v>9</v>
      </c>
    </row>
    <row r="147" spans="1:12" x14ac:dyDescent="0.35">
      <c r="A147" t="s">
        <v>366</v>
      </c>
      <c r="B147" t="s">
        <v>539</v>
      </c>
      <c r="C147" t="s">
        <v>257</v>
      </c>
      <c r="D147" t="s">
        <v>258</v>
      </c>
      <c r="E147">
        <v>38</v>
      </c>
      <c r="F147">
        <v>1</v>
      </c>
      <c r="H147">
        <v>10</v>
      </c>
      <c r="I147">
        <v>5</v>
      </c>
      <c r="J147">
        <v>5</v>
      </c>
      <c r="K147">
        <v>6</v>
      </c>
      <c r="L147">
        <v>11</v>
      </c>
    </row>
    <row r="148" spans="1:12" x14ac:dyDescent="0.35">
      <c r="A148" t="s">
        <v>366</v>
      </c>
      <c r="B148" t="s">
        <v>539</v>
      </c>
      <c r="C148" t="s">
        <v>261</v>
      </c>
      <c r="D148" t="s">
        <v>262</v>
      </c>
      <c r="E148">
        <v>17</v>
      </c>
      <c r="F148">
        <v>1</v>
      </c>
      <c r="H148">
        <v>1</v>
      </c>
      <c r="I148">
        <v>3</v>
      </c>
      <c r="J148">
        <v>2</v>
      </c>
      <c r="K148">
        <v>3</v>
      </c>
      <c r="L148">
        <v>7</v>
      </c>
    </row>
    <row r="149" spans="1:12" x14ac:dyDescent="0.35">
      <c r="A149" t="s">
        <v>366</v>
      </c>
      <c r="B149" t="s">
        <v>539</v>
      </c>
      <c r="C149" t="s">
        <v>236</v>
      </c>
      <c r="D149" t="s">
        <v>237</v>
      </c>
      <c r="E149">
        <v>27</v>
      </c>
      <c r="F149">
        <v>0</v>
      </c>
      <c r="H149">
        <v>5</v>
      </c>
      <c r="I149">
        <v>4</v>
      </c>
      <c r="J149">
        <v>7</v>
      </c>
      <c r="K149">
        <v>2</v>
      </c>
      <c r="L149">
        <v>9</v>
      </c>
    </row>
    <row r="150" spans="1:12" x14ac:dyDescent="0.35">
      <c r="A150" t="s">
        <v>366</v>
      </c>
      <c r="B150" t="s">
        <v>539</v>
      </c>
      <c r="C150" t="s">
        <v>265</v>
      </c>
      <c r="D150" t="s">
        <v>266</v>
      </c>
      <c r="E150">
        <v>25</v>
      </c>
      <c r="F150">
        <v>1</v>
      </c>
      <c r="H150">
        <v>1</v>
      </c>
      <c r="I150">
        <v>2</v>
      </c>
      <c r="J150">
        <v>2</v>
      </c>
      <c r="K150">
        <v>3</v>
      </c>
      <c r="L150">
        <v>16</v>
      </c>
    </row>
    <row r="151" spans="1:12" x14ac:dyDescent="0.35">
      <c r="A151" t="s">
        <v>366</v>
      </c>
      <c r="B151" t="s">
        <v>539</v>
      </c>
      <c r="C151" t="s">
        <v>272</v>
      </c>
      <c r="D151" t="s">
        <v>271</v>
      </c>
      <c r="E151">
        <v>31.659523809523812</v>
      </c>
      <c r="F151">
        <v>1</v>
      </c>
      <c r="H151">
        <v>1</v>
      </c>
      <c r="I151">
        <v>2</v>
      </c>
      <c r="J151">
        <v>5</v>
      </c>
      <c r="K151">
        <v>8</v>
      </c>
      <c r="L151">
        <v>14.65952380952381</v>
      </c>
    </row>
    <row r="152" spans="1:12" x14ac:dyDescent="0.35">
      <c r="A152" t="s">
        <v>366</v>
      </c>
      <c r="B152" t="s">
        <v>539</v>
      </c>
      <c r="C152" t="s">
        <v>275</v>
      </c>
      <c r="D152" t="s">
        <v>276</v>
      </c>
      <c r="E152">
        <v>29</v>
      </c>
      <c r="F152">
        <v>1</v>
      </c>
      <c r="H152">
        <v>7</v>
      </c>
      <c r="I152">
        <v>0</v>
      </c>
      <c r="J152">
        <v>6</v>
      </c>
      <c r="K152">
        <v>8</v>
      </c>
      <c r="L152">
        <v>7</v>
      </c>
    </row>
    <row r="153" spans="1:12" x14ac:dyDescent="0.35">
      <c r="A153" t="s">
        <v>366</v>
      </c>
      <c r="B153" t="s">
        <v>539</v>
      </c>
      <c r="C153" t="s">
        <v>291</v>
      </c>
      <c r="D153" t="s">
        <v>290</v>
      </c>
      <c r="E153">
        <v>20</v>
      </c>
      <c r="F153">
        <v>1</v>
      </c>
      <c r="H153">
        <v>3</v>
      </c>
      <c r="I153">
        <v>0</v>
      </c>
      <c r="J153">
        <v>3</v>
      </c>
      <c r="K153">
        <v>4</v>
      </c>
      <c r="L153">
        <v>9</v>
      </c>
    </row>
    <row r="154" spans="1:12" x14ac:dyDescent="0.35">
      <c r="A154" t="s">
        <v>366</v>
      </c>
      <c r="B154" t="s">
        <v>539</v>
      </c>
      <c r="C154" t="s">
        <v>306</v>
      </c>
      <c r="D154" t="s">
        <v>305</v>
      </c>
      <c r="E154">
        <v>16</v>
      </c>
      <c r="F154">
        <v>1</v>
      </c>
      <c r="H154">
        <v>3</v>
      </c>
      <c r="I154">
        <v>1</v>
      </c>
      <c r="J154">
        <v>3</v>
      </c>
      <c r="K154">
        <v>5</v>
      </c>
      <c r="L154">
        <v>3</v>
      </c>
    </row>
    <row r="155" spans="1:12" x14ac:dyDescent="0.35">
      <c r="A155" t="s">
        <v>366</v>
      </c>
      <c r="B155" t="s">
        <v>539</v>
      </c>
      <c r="C155" t="s">
        <v>242</v>
      </c>
      <c r="D155" t="s">
        <v>243</v>
      </c>
      <c r="E155">
        <v>13</v>
      </c>
      <c r="F155">
        <v>0</v>
      </c>
      <c r="H155">
        <v>2</v>
      </c>
      <c r="I155">
        <v>1</v>
      </c>
      <c r="J155">
        <v>2</v>
      </c>
      <c r="K155">
        <v>5</v>
      </c>
      <c r="L155">
        <v>3</v>
      </c>
    </row>
    <row r="156" spans="1:12" x14ac:dyDescent="0.35">
      <c r="A156" t="s">
        <v>366</v>
      </c>
      <c r="B156" t="s">
        <v>539</v>
      </c>
      <c r="C156" t="s">
        <v>285</v>
      </c>
      <c r="D156" t="s">
        <v>286</v>
      </c>
      <c r="E156">
        <v>11</v>
      </c>
      <c r="F156">
        <v>1</v>
      </c>
      <c r="H156">
        <v>1</v>
      </c>
      <c r="I156">
        <v>0</v>
      </c>
      <c r="J156">
        <v>3</v>
      </c>
      <c r="K156">
        <v>5</v>
      </c>
      <c r="L156">
        <v>1</v>
      </c>
    </row>
    <row r="157" spans="1:12" x14ac:dyDescent="0.35">
      <c r="A157" t="s">
        <v>366</v>
      </c>
      <c r="B157" t="s">
        <v>539</v>
      </c>
      <c r="C157" t="s">
        <v>226</v>
      </c>
      <c r="D157" t="s">
        <v>227</v>
      </c>
      <c r="E157">
        <v>24</v>
      </c>
      <c r="F157">
        <v>1</v>
      </c>
      <c r="H157">
        <v>0</v>
      </c>
      <c r="I157">
        <v>1</v>
      </c>
      <c r="J157">
        <v>4</v>
      </c>
      <c r="K157">
        <v>10</v>
      </c>
      <c r="L157">
        <v>8</v>
      </c>
    </row>
    <row r="158" spans="1:12" x14ac:dyDescent="0.35">
      <c r="A158" t="s">
        <v>366</v>
      </c>
      <c r="B158" t="s">
        <v>539</v>
      </c>
      <c r="C158" t="s">
        <v>269</v>
      </c>
      <c r="D158" t="s">
        <v>268</v>
      </c>
      <c r="E158">
        <v>26</v>
      </c>
      <c r="F158">
        <v>1</v>
      </c>
      <c r="H158">
        <v>3</v>
      </c>
      <c r="I158">
        <v>4</v>
      </c>
      <c r="J158">
        <v>2</v>
      </c>
      <c r="K158">
        <v>5</v>
      </c>
      <c r="L158">
        <v>11</v>
      </c>
    </row>
    <row r="159" spans="1:12" x14ac:dyDescent="0.35">
      <c r="A159" t="s">
        <v>366</v>
      </c>
      <c r="B159" t="s">
        <v>541</v>
      </c>
      <c r="C159" t="s">
        <v>232</v>
      </c>
      <c r="D159" t="s">
        <v>233</v>
      </c>
      <c r="E159">
        <v>16</v>
      </c>
      <c r="F159">
        <v>1</v>
      </c>
      <c r="H159">
        <v>3</v>
      </c>
      <c r="I159">
        <v>0</v>
      </c>
      <c r="J159">
        <v>5</v>
      </c>
      <c r="K159">
        <v>3</v>
      </c>
      <c r="L159">
        <v>4</v>
      </c>
    </row>
    <row r="160" spans="1:12" x14ac:dyDescent="0.35">
      <c r="A160" t="s">
        <v>366</v>
      </c>
      <c r="B160" t="s">
        <v>541</v>
      </c>
      <c r="C160" t="s">
        <v>238</v>
      </c>
      <c r="D160" t="s">
        <v>239</v>
      </c>
      <c r="E160">
        <v>25</v>
      </c>
      <c r="F160">
        <v>1</v>
      </c>
      <c r="H160">
        <v>2</v>
      </c>
      <c r="I160">
        <v>0</v>
      </c>
      <c r="J160">
        <v>2</v>
      </c>
      <c r="K160">
        <v>3</v>
      </c>
      <c r="L160">
        <v>17</v>
      </c>
    </row>
    <row r="161" spans="1:12" x14ac:dyDescent="0.35">
      <c r="A161" t="s">
        <v>366</v>
      </c>
      <c r="B161" t="s">
        <v>541</v>
      </c>
      <c r="C161" t="s">
        <v>218</v>
      </c>
      <c r="D161" t="s">
        <v>219</v>
      </c>
      <c r="E161">
        <v>44</v>
      </c>
      <c r="F161">
        <v>1</v>
      </c>
      <c r="H161">
        <v>8</v>
      </c>
      <c r="I161">
        <v>0</v>
      </c>
      <c r="J161">
        <v>2</v>
      </c>
      <c r="K161">
        <v>8</v>
      </c>
      <c r="L161">
        <v>25</v>
      </c>
    </row>
    <row r="162" spans="1:12" x14ac:dyDescent="0.35">
      <c r="A162" t="s">
        <v>366</v>
      </c>
      <c r="B162" t="s">
        <v>543</v>
      </c>
      <c r="C162" t="s">
        <v>548</v>
      </c>
      <c r="D162" t="s">
        <v>544</v>
      </c>
      <c r="E162">
        <v>195</v>
      </c>
      <c r="F162">
        <v>18</v>
      </c>
      <c r="G162">
        <v>10</v>
      </c>
      <c r="H162">
        <v>26</v>
      </c>
      <c r="I162">
        <v>16</v>
      </c>
      <c r="J162">
        <v>19</v>
      </c>
      <c r="K162">
        <v>19</v>
      </c>
      <c r="L162">
        <v>93</v>
      </c>
    </row>
    <row r="163" spans="1:12" x14ac:dyDescent="0.35">
      <c r="A163" t="s">
        <v>366</v>
      </c>
      <c r="B163" t="s">
        <v>340</v>
      </c>
      <c r="C163" t="s">
        <v>548</v>
      </c>
      <c r="D163" t="s">
        <v>544</v>
      </c>
      <c r="E163">
        <v>3690</v>
      </c>
      <c r="F163">
        <v>35</v>
      </c>
      <c r="G163">
        <v>4</v>
      </c>
      <c r="H163">
        <v>598.34523809523807</v>
      </c>
      <c r="I163">
        <v>2250.7857142857142</v>
      </c>
      <c r="J163">
        <v>90</v>
      </c>
      <c r="K163">
        <v>126</v>
      </c>
      <c r="L163">
        <v>585.31904761904764</v>
      </c>
    </row>
    <row r="164" spans="1:12" x14ac:dyDescent="0.35">
      <c r="A164" t="s">
        <v>341</v>
      </c>
      <c r="B164" t="s">
        <v>536</v>
      </c>
      <c r="C164" t="s">
        <v>240</v>
      </c>
      <c r="D164" t="s">
        <v>241</v>
      </c>
      <c r="E164">
        <v>22</v>
      </c>
      <c r="F164">
        <v>0</v>
      </c>
      <c r="G164">
        <v>0</v>
      </c>
      <c r="H164">
        <v>4</v>
      </c>
      <c r="I164">
        <v>14</v>
      </c>
      <c r="J164">
        <v>0</v>
      </c>
      <c r="K164">
        <v>0</v>
      </c>
      <c r="L164">
        <v>4</v>
      </c>
    </row>
    <row r="165" spans="1:12" x14ac:dyDescent="0.35">
      <c r="A165" t="s">
        <v>341</v>
      </c>
      <c r="B165" t="s">
        <v>536</v>
      </c>
      <c r="C165" t="s">
        <v>244</v>
      </c>
      <c r="D165" t="s">
        <v>245</v>
      </c>
      <c r="E165">
        <v>63</v>
      </c>
      <c r="F165">
        <v>0</v>
      </c>
      <c r="G165">
        <v>0</v>
      </c>
      <c r="H165">
        <v>11</v>
      </c>
      <c r="I165">
        <v>48</v>
      </c>
      <c r="J165">
        <v>0</v>
      </c>
      <c r="K165">
        <v>0</v>
      </c>
      <c r="L165">
        <v>4</v>
      </c>
    </row>
    <row r="166" spans="1:12" x14ac:dyDescent="0.35">
      <c r="A166" t="s">
        <v>341</v>
      </c>
      <c r="B166" t="s">
        <v>536</v>
      </c>
      <c r="C166" t="s">
        <v>249</v>
      </c>
      <c r="D166" t="s">
        <v>250</v>
      </c>
      <c r="E166">
        <v>46</v>
      </c>
      <c r="F166">
        <v>0</v>
      </c>
      <c r="G166">
        <v>0</v>
      </c>
      <c r="H166">
        <v>9</v>
      </c>
      <c r="I166">
        <v>32</v>
      </c>
      <c r="J166">
        <v>0</v>
      </c>
      <c r="K166">
        <v>0</v>
      </c>
      <c r="L166">
        <v>5</v>
      </c>
    </row>
    <row r="167" spans="1:12" x14ac:dyDescent="0.35">
      <c r="A167" t="s">
        <v>341</v>
      </c>
      <c r="B167" t="s">
        <v>536</v>
      </c>
      <c r="C167" t="s">
        <v>255</v>
      </c>
      <c r="D167" t="s">
        <v>256</v>
      </c>
      <c r="E167">
        <v>27</v>
      </c>
      <c r="F167">
        <v>0</v>
      </c>
      <c r="G167">
        <v>0</v>
      </c>
      <c r="H167">
        <v>4</v>
      </c>
      <c r="I167">
        <v>19</v>
      </c>
      <c r="J167">
        <v>0</v>
      </c>
      <c r="K167">
        <v>0</v>
      </c>
      <c r="L167">
        <v>4</v>
      </c>
    </row>
    <row r="168" spans="1:12" x14ac:dyDescent="0.35">
      <c r="A168" t="s">
        <v>341</v>
      </c>
      <c r="B168" t="s">
        <v>536</v>
      </c>
      <c r="C168" t="s">
        <v>259</v>
      </c>
      <c r="D168" t="s">
        <v>260</v>
      </c>
      <c r="E168">
        <v>50</v>
      </c>
      <c r="F168">
        <v>0</v>
      </c>
      <c r="G168">
        <v>0</v>
      </c>
      <c r="H168">
        <v>10</v>
      </c>
      <c r="I168">
        <v>30</v>
      </c>
      <c r="J168">
        <v>0</v>
      </c>
      <c r="K168">
        <v>0</v>
      </c>
      <c r="L168">
        <v>10</v>
      </c>
    </row>
    <row r="169" spans="1:12" x14ac:dyDescent="0.35">
      <c r="A169" t="s">
        <v>341</v>
      </c>
      <c r="B169" t="s">
        <v>536</v>
      </c>
      <c r="C169" t="s">
        <v>283</v>
      </c>
      <c r="D169" t="s">
        <v>284</v>
      </c>
      <c r="E169">
        <v>0</v>
      </c>
      <c r="F169">
        <v>0</v>
      </c>
      <c r="G169">
        <v>0</v>
      </c>
      <c r="H169">
        <v>0</v>
      </c>
      <c r="I169">
        <v>0</v>
      </c>
      <c r="J169">
        <v>0</v>
      </c>
      <c r="K169">
        <v>0</v>
      </c>
      <c r="L169">
        <v>0</v>
      </c>
    </row>
    <row r="170" spans="1:12" x14ac:dyDescent="0.35">
      <c r="A170" t="s">
        <v>341</v>
      </c>
      <c r="B170" t="s">
        <v>536</v>
      </c>
      <c r="C170" t="s">
        <v>263</v>
      </c>
      <c r="D170" t="s">
        <v>264</v>
      </c>
      <c r="E170">
        <v>86</v>
      </c>
      <c r="F170">
        <v>0</v>
      </c>
      <c r="G170">
        <v>0</v>
      </c>
      <c r="H170">
        <v>16</v>
      </c>
      <c r="I170">
        <v>57</v>
      </c>
      <c r="J170">
        <v>0</v>
      </c>
      <c r="K170">
        <v>0</v>
      </c>
      <c r="L170">
        <v>13</v>
      </c>
    </row>
    <row r="171" spans="1:12" x14ac:dyDescent="0.35">
      <c r="A171" t="s">
        <v>341</v>
      </c>
      <c r="B171" t="s">
        <v>536</v>
      </c>
      <c r="C171" t="s">
        <v>273</v>
      </c>
      <c r="D171" t="s">
        <v>274</v>
      </c>
      <c r="E171">
        <v>67</v>
      </c>
      <c r="F171">
        <v>0</v>
      </c>
      <c r="G171">
        <v>0</v>
      </c>
      <c r="H171">
        <v>11</v>
      </c>
      <c r="I171">
        <v>52</v>
      </c>
      <c r="J171">
        <v>0</v>
      </c>
      <c r="K171">
        <v>0</v>
      </c>
      <c r="L171">
        <v>4</v>
      </c>
    </row>
    <row r="172" spans="1:12" x14ac:dyDescent="0.35">
      <c r="A172" t="s">
        <v>341</v>
      </c>
      <c r="B172" t="s">
        <v>536</v>
      </c>
      <c r="C172" t="s">
        <v>277</v>
      </c>
      <c r="D172" t="s">
        <v>278</v>
      </c>
      <c r="E172">
        <v>68</v>
      </c>
      <c r="F172">
        <v>0</v>
      </c>
      <c r="G172">
        <v>0</v>
      </c>
      <c r="H172">
        <v>13</v>
      </c>
      <c r="I172">
        <v>43</v>
      </c>
      <c r="J172">
        <v>0</v>
      </c>
      <c r="K172">
        <v>1</v>
      </c>
      <c r="L172">
        <v>11</v>
      </c>
    </row>
    <row r="173" spans="1:12" x14ac:dyDescent="0.35">
      <c r="A173" t="s">
        <v>341</v>
      </c>
      <c r="B173" t="s">
        <v>536</v>
      </c>
      <c r="C173" t="s">
        <v>279</v>
      </c>
      <c r="D173" t="s">
        <v>280</v>
      </c>
      <c r="E173">
        <v>22</v>
      </c>
      <c r="F173">
        <v>0</v>
      </c>
      <c r="G173">
        <v>0</v>
      </c>
      <c r="H173">
        <v>4</v>
      </c>
      <c r="I173">
        <v>14</v>
      </c>
      <c r="J173">
        <v>0</v>
      </c>
      <c r="K173">
        <v>0</v>
      </c>
      <c r="L173">
        <v>4</v>
      </c>
    </row>
    <row r="174" spans="1:12" x14ac:dyDescent="0.35">
      <c r="A174" t="s">
        <v>341</v>
      </c>
      <c r="B174" t="s">
        <v>536</v>
      </c>
      <c r="C174" t="s">
        <v>281</v>
      </c>
      <c r="D174" t="s">
        <v>282</v>
      </c>
      <c r="E174">
        <v>27</v>
      </c>
      <c r="F174">
        <v>0</v>
      </c>
      <c r="G174">
        <v>0</v>
      </c>
      <c r="H174">
        <v>4</v>
      </c>
      <c r="I174">
        <v>19</v>
      </c>
      <c r="J174">
        <v>0</v>
      </c>
      <c r="K174">
        <v>0</v>
      </c>
      <c r="L174">
        <v>4</v>
      </c>
    </row>
    <row r="175" spans="1:12" x14ac:dyDescent="0.35">
      <c r="A175" t="s">
        <v>341</v>
      </c>
      <c r="B175" t="s">
        <v>536</v>
      </c>
      <c r="C175" t="s">
        <v>287</v>
      </c>
      <c r="D175" t="s">
        <v>288</v>
      </c>
      <c r="E175">
        <v>78</v>
      </c>
      <c r="F175">
        <v>0</v>
      </c>
      <c r="G175">
        <v>0</v>
      </c>
      <c r="H175">
        <v>17</v>
      </c>
      <c r="I175">
        <v>46</v>
      </c>
      <c r="J175">
        <v>0</v>
      </c>
      <c r="K175">
        <v>0</v>
      </c>
      <c r="L175">
        <v>15</v>
      </c>
    </row>
    <row r="176" spans="1:12" x14ac:dyDescent="0.35">
      <c r="A176" t="s">
        <v>341</v>
      </c>
      <c r="B176" t="s">
        <v>536</v>
      </c>
      <c r="C176" t="s">
        <v>292</v>
      </c>
      <c r="D176" t="s">
        <v>293</v>
      </c>
      <c r="E176">
        <v>0</v>
      </c>
      <c r="F176">
        <v>0</v>
      </c>
      <c r="G176">
        <v>0</v>
      </c>
      <c r="H176">
        <v>0</v>
      </c>
      <c r="I176">
        <v>0</v>
      </c>
      <c r="J176">
        <v>0</v>
      </c>
      <c r="K176">
        <v>0</v>
      </c>
      <c r="L176">
        <v>0</v>
      </c>
    </row>
    <row r="177" spans="1:12" x14ac:dyDescent="0.35">
      <c r="A177" t="s">
        <v>341</v>
      </c>
      <c r="B177" t="s">
        <v>536</v>
      </c>
      <c r="C177" t="s">
        <v>294</v>
      </c>
      <c r="D177" t="s">
        <v>295</v>
      </c>
      <c r="E177">
        <v>68</v>
      </c>
      <c r="F177">
        <v>0</v>
      </c>
      <c r="G177">
        <v>0</v>
      </c>
      <c r="H177">
        <v>12</v>
      </c>
      <c r="I177">
        <v>52</v>
      </c>
      <c r="J177">
        <v>0</v>
      </c>
      <c r="K177">
        <v>0</v>
      </c>
      <c r="L177">
        <v>4</v>
      </c>
    </row>
    <row r="178" spans="1:12" x14ac:dyDescent="0.35">
      <c r="A178" t="s">
        <v>341</v>
      </c>
      <c r="B178" t="s">
        <v>536</v>
      </c>
      <c r="C178" t="s">
        <v>298</v>
      </c>
      <c r="D178" t="s">
        <v>299</v>
      </c>
      <c r="E178">
        <v>56</v>
      </c>
      <c r="F178">
        <v>0</v>
      </c>
      <c r="G178">
        <v>0</v>
      </c>
      <c r="H178">
        <v>8</v>
      </c>
      <c r="I178">
        <v>40</v>
      </c>
      <c r="J178">
        <v>0</v>
      </c>
      <c r="K178">
        <v>0</v>
      </c>
      <c r="L178">
        <v>8</v>
      </c>
    </row>
    <row r="179" spans="1:12" x14ac:dyDescent="0.35">
      <c r="A179" t="s">
        <v>341</v>
      </c>
      <c r="B179" t="s">
        <v>536</v>
      </c>
      <c r="C179" t="s">
        <v>300</v>
      </c>
      <c r="D179" t="s">
        <v>301</v>
      </c>
      <c r="E179">
        <v>0</v>
      </c>
      <c r="F179">
        <v>0</v>
      </c>
      <c r="G179">
        <v>0</v>
      </c>
      <c r="H179">
        <v>0</v>
      </c>
      <c r="I179">
        <v>0</v>
      </c>
      <c r="J179">
        <v>0</v>
      </c>
      <c r="K179">
        <v>0</v>
      </c>
      <c r="L179">
        <v>0</v>
      </c>
    </row>
    <row r="180" spans="1:12" x14ac:dyDescent="0.35">
      <c r="A180" t="s">
        <v>341</v>
      </c>
      <c r="B180" t="s">
        <v>536</v>
      </c>
      <c r="C180" t="s">
        <v>302</v>
      </c>
      <c r="D180" t="s">
        <v>303</v>
      </c>
      <c r="E180">
        <v>54</v>
      </c>
      <c r="F180">
        <v>0</v>
      </c>
      <c r="G180">
        <v>0</v>
      </c>
      <c r="H180">
        <v>10</v>
      </c>
      <c r="I180">
        <v>39</v>
      </c>
      <c r="J180">
        <v>0</v>
      </c>
      <c r="K180">
        <v>0</v>
      </c>
      <c r="L180">
        <v>5</v>
      </c>
    </row>
    <row r="181" spans="1:12" x14ac:dyDescent="0.35">
      <c r="A181" t="s">
        <v>341</v>
      </c>
      <c r="B181" t="s">
        <v>536</v>
      </c>
      <c r="C181" t="s">
        <v>304</v>
      </c>
      <c r="D181" t="s">
        <v>305</v>
      </c>
      <c r="E181">
        <v>171</v>
      </c>
      <c r="F181">
        <v>0</v>
      </c>
      <c r="G181">
        <v>0</v>
      </c>
      <c r="H181">
        <v>34</v>
      </c>
      <c r="I181">
        <v>117</v>
      </c>
      <c r="J181">
        <v>0</v>
      </c>
      <c r="K181">
        <v>0</v>
      </c>
      <c r="L181">
        <v>20</v>
      </c>
    </row>
    <row r="182" spans="1:12" x14ac:dyDescent="0.35">
      <c r="A182" t="s">
        <v>341</v>
      </c>
      <c r="B182" t="s">
        <v>536</v>
      </c>
      <c r="C182" t="s">
        <v>307</v>
      </c>
      <c r="D182" t="s">
        <v>308</v>
      </c>
      <c r="E182">
        <v>53</v>
      </c>
      <c r="F182">
        <v>0</v>
      </c>
      <c r="G182">
        <v>0</v>
      </c>
      <c r="H182">
        <v>9</v>
      </c>
      <c r="I182">
        <v>40</v>
      </c>
      <c r="J182">
        <v>0</v>
      </c>
      <c r="K182">
        <v>0</v>
      </c>
      <c r="L182">
        <v>4</v>
      </c>
    </row>
    <row r="183" spans="1:12" x14ac:dyDescent="0.35">
      <c r="A183" t="s">
        <v>341</v>
      </c>
      <c r="B183" t="s">
        <v>536</v>
      </c>
      <c r="C183" t="s">
        <v>215</v>
      </c>
      <c r="D183" t="s">
        <v>216</v>
      </c>
      <c r="E183">
        <v>155</v>
      </c>
      <c r="F183">
        <v>0</v>
      </c>
      <c r="G183">
        <v>0</v>
      </c>
      <c r="H183">
        <v>26</v>
      </c>
      <c r="I183">
        <v>113</v>
      </c>
      <c r="J183">
        <v>0</v>
      </c>
      <c r="K183">
        <v>0</v>
      </c>
      <c r="L183">
        <v>16</v>
      </c>
    </row>
    <row r="184" spans="1:12" x14ac:dyDescent="0.35">
      <c r="A184" t="s">
        <v>341</v>
      </c>
      <c r="B184" t="s">
        <v>536</v>
      </c>
      <c r="C184" t="s">
        <v>220</v>
      </c>
      <c r="D184" t="s">
        <v>221</v>
      </c>
      <c r="E184">
        <v>25</v>
      </c>
      <c r="F184">
        <v>0</v>
      </c>
      <c r="G184">
        <v>0</v>
      </c>
      <c r="H184">
        <v>4</v>
      </c>
      <c r="I184">
        <v>17</v>
      </c>
      <c r="J184">
        <v>0</v>
      </c>
      <c r="K184">
        <v>0</v>
      </c>
      <c r="L184">
        <v>4</v>
      </c>
    </row>
    <row r="185" spans="1:12" x14ac:dyDescent="0.35">
      <c r="A185" t="s">
        <v>341</v>
      </c>
      <c r="B185" t="s">
        <v>536</v>
      </c>
      <c r="C185" t="s">
        <v>228</v>
      </c>
      <c r="D185" t="s">
        <v>229</v>
      </c>
      <c r="E185">
        <v>43</v>
      </c>
      <c r="F185">
        <v>0</v>
      </c>
      <c r="G185">
        <v>0</v>
      </c>
      <c r="H185">
        <v>9</v>
      </c>
      <c r="I185">
        <v>24</v>
      </c>
      <c r="J185">
        <v>0</v>
      </c>
      <c r="K185">
        <v>0</v>
      </c>
      <c r="L185">
        <v>10</v>
      </c>
    </row>
    <row r="186" spans="1:12" x14ac:dyDescent="0.35">
      <c r="A186" t="s">
        <v>341</v>
      </c>
      <c r="B186" t="s">
        <v>536</v>
      </c>
      <c r="C186" t="s">
        <v>234</v>
      </c>
      <c r="D186" t="s">
        <v>235</v>
      </c>
      <c r="E186">
        <v>313</v>
      </c>
      <c r="F186">
        <v>0</v>
      </c>
      <c r="G186">
        <v>0</v>
      </c>
      <c r="H186">
        <v>60</v>
      </c>
      <c r="I186">
        <v>227</v>
      </c>
      <c r="J186">
        <v>0</v>
      </c>
      <c r="K186">
        <v>0</v>
      </c>
      <c r="L186">
        <v>26</v>
      </c>
    </row>
    <row r="187" spans="1:12" x14ac:dyDescent="0.35">
      <c r="A187" t="s">
        <v>341</v>
      </c>
      <c r="B187" t="s">
        <v>536</v>
      </c>
      <c r="C187" t="s">
        <v>296</v>
      </c>
      <c r="D187" t="s">
        <v>297</v>
      </c>
      <c r="E187">
        <v>97</v>
      </c>
      <c r="F187">
        <v>0</v>
      </c>
      <c r="G187">
        <v>0</v>
      </c>
      <c r="H187">
        <v>21</v>
      </c>
      <c r="I187">
        <v>60</v>
      </c>
      <c r="J187">
        <v>0</v>
      </c>
      <c r="K187">
        <v>0</v>
      </c>
      <c r="L187">
        <v>16</v>
      </c>
    </row>
    <row r="188" spans="1:12" x14ac:dyDescent="0.35">
      <c r="A188" t="s">
        <v>341</v>
      </c>
      <c r="B188" t="s">
        <v>536</v>
      </c>
      <c r="C188" t="s">
        <v>309</v>
      </c>
      <c r="D188" t="s">
        <v>310</v>
      </c>
      <c r="E188">
        <v>69</v>
      </c>
      <c r="F188">
        <v>0</v>
      </c>
      <c r="G188">
        <v>0</v>
      </c>
      <c r="H188">
        <v>15</v>
      </c>
      <c r="I188">
        <v>44</v>
      </c>
      <c r="J188">
        <v>0</v>
      </c>
      <c r="K188">
        <v>0</v>
      </c>
      <c r="L188">
        <v>10</v>
      </c>
    </row>
    <row r="189" spans="1:12" x14ac:dyDescent="0.35">
      <c r="A189" t="s">
        <v>341</v>
      </c>
      <c r="B189" t="s">
        <v>536</v>
      </c>
      <c r="C189" t="s">
        <v>311</v>
      </c>
      <c r="D189" t="s">
        <v>312</v>
      </c>
      <c r="E189">
        <v>60</v>
      </c>
      <c r="F189">
        <v>0</v>
      </c>
      <c r="G189">
        <v>0</v>
      </c>
      <c r="H189">
        <v>10</v>
      </c>
      <c r="I189">
        <v>42</v>
      </c>
      <c r="J189">
        <v>0</v>
      </c>
      <c r="K189">
        <v>0</v>
      </c>
      <c r="L189">
        <v>8</v>
      </c>
    </row>
    <row r="190" spans="1:12" x14ac:dyDescent="0.35">
      <c r="A190" t="s">
        <v>341</v>
      </c>
      <c r="B190" t="s">
        <v>536</v>
      </c>
      <c r="C190" t="s">
        <v>224</v>
      </c>
      <c r="D190" t="s">
        <v>225</v>
      </c>
      <c r="E190">
        <v>25</v>
      </c>
      <c r="F190">
        <v>0</v>
      </c>
      <c r="G190">
        <v>0</v>
      </c>
      <c r="H190">
        <v>4</v>
      </c>
      <c r="I190">
        <v>18</v>
      </c>
      <c r="J190">
        <v>0</v>
      </c>
      <c r="K190">
        <v>0</v>
      </c>
      <c r="L190">
        <v>3</v>
      </c>
    </row>
    <row r="191" spans="1:12" x14ac:dyDescent="0.35">
      <c r="A191" t="s">
        <v>341</v>
      </c>
      <c r="B191" t="s">
        <v>536</v>
      </c>
      <c r="C191" t="s">
        <v>247</v>
      </c>
      <c r="D191" t="s">
        <v>248</v>
      </c>
      <c r="E191">
        <v>192</v>
      </c>
      <c r="F191">
        <v>0</v>
      </c>
      <c r="G191">
        <v>0</v>
      </c>
      <c r="H191">
        <v>30</v>
      </c>
      <c r="I191">
        <v>144</v>
      </c>
      <c r="J191">
        <v>0</v>
      </c>
      <c r="K191">
        <v>0</v>
      </c>
      <c r="L191">
        <v>18</v>
      </c>
    </row>
    <row r="192" spans="1:12" x14ac:dyDescent="0.35">
      <c r="A192" t="s">
        <v>341</v>
      </c>
      <c r="B192" t="s">
        <v>536</v>
      </c>
      <c r="C192" t="s">
        <v>289</v>
      </c>
      <c r="D192" t="s">
        <v>290</v>
      </c>
      <c r="E192">
        <v>173</v>
      </c>
      <c r="F192">
        <v>0</v>
      </c>
      <c r="G192">
        <v>0</v>
      </c>
      <c r="H192">
        <v>30</v>
      </c>
      <c r="I192">
        <v>123</v>
      </c>
      <c r="J192">
        <v>0</v>
      </c>
      <c r="K192">
        <v>0</v>
      </c>
      <c r="L192">
        <v>20</v>
      </c>
    </row>
    <row r="193" spans="1:12" x14ac:dyDescent="0.35">
      <c r="A193" t="s">
        <v>341</v>
      </c>
      <c r="B193" t="s">
        <v>536</v>
      </c>
      <c r="C193" t="s">
        <v>253</v>
      </c>
      <c r="D193" t="s">
        <v>254</v>
      </c>
      <c r="E193">
        <v>68</v>
      </c>
      <c r="F193">
        <v>0</v>
      </c>
      <c r="G193">
        <v>0</v>
      </c>
      <c r="H193">
        <v>14</v>
      </c>
      <c r="I193">
        <v>39</v>
      </c>
      <c r="J193">
        <v>0</v>
      </c>
      <c r="K193">
        <v>0</v>
      </c>
      <c r="L193">
        <v>15</v>
      </c>
    </row>
    <row r="194" spans="1:12" x14ac:dyDescent="0.35">
      <c r="A194" t="s">
        <v>341</v>
      </c>
      <c r="B194" t="s">
        <v>536</v>
      </c>
      <c r="C194" t="s">
        <v>270</v>
      </c>
      <c r="D194" t="s">
        <v>271</v>
      </c>
      <c r="E194">
        <v>475</v>
      </c>
      <c r="F194">
        <v>0</v>
      </c>
      <c r="G194">
        <v>0</v>
      </c>
      <c r="H194">
        <v>105</v>
      </c>
      <c r="I194">
        <v>313</v>
      </c>
      <c r="J194">
        <v>0</v>
      </c>
      <c r="K194">
        <v>0</v>
      </c>
      <c r="L194">
        <v>57</v>
      </c>
    </row>
    <row r="195" spans="1:12" x14ac:dyDescent="0.35">
      <c r="A195" t="s">
        <v>341</v>
      </c>
      <c r="B195" t="s">
        <v>536</v>
      </c>
      <c r="C195" t="s">
        <v>267</v>
      </c>
      <c r="D195" t="s">
        <v>268</v>
      </c>
      <c r="E195">
        <v>270</v>
      </c>
      <c r="F195">
        <v>0</v>
      </c>
      <c r="G195">
        <v>0</v>
      </c>
      <c r="H195">
        <v>48</v>
      </c>
      <c r="I195">
        <v>201</v>
      </c>
      <c r="J195">
        <v>0</v>
      </c>
      <c r="K195">
        <v>0</v>
      </c>
      <c r="L195">
        <v>21</v>
      </c>
    </row>
    <row r="196" spans="1:12" x14ac:dyDescent="0.35">
      <c r="A196" t="s">
        <v>341</v>
      </c>
      <c r="B196" t="s">
        <v>539</v>
      </c>
      <c r="C196" t="s">
        <v>217</v>
      </c>
      <c r="D196" t="s">
        <v>216</v>
      </c>
      <c r="E196">
        <v>14</v>
      </c>
      <c r="F196">
        <v>1</v>
      </c>
      <c r="G196">
        <v>0</v>
      </c>
      <c r="H196">
        <v>2</v>
      </c>
      <c r="I196">
        <v>2</v>
      </c>
      <c r="J196">
        <v>1</v>
      </c>
      <c r="K196">
        <v>3</v>
      </c>
      <c r="L196">
        <v>5</v>
      </c>
    </row>
    <row r="197" spans="1:12" x14ac:dyDescent="0.35">
      <c r="A197" t="s">
        <v>341</v>
      </c>
      <c r="B197" t="s">
        <v>539</v>
      </c>
      <c r="C197" t="s">
        <v>222</v>
      </c>
      <c r="D197" t="s">
        <v>223</v>
      </c>
      <c r="E197">
        <v>25</v>
      </c>
      <c r="F197">
        <v>1</v>
      </c>
      <c r="G197">
        <v>0</v>
      </c>
      <c r="H197">
        <v>5</v>
      </c>
      <c r="I197">
        <v>0</v>
      </c>
      <c r="J197">
        <v>2</v>
      </c>
      <c r="K197">
        <v>8</v>
      </c>
      <c r="L197">
        <v>9</v>
      </c>
    </row>
    <row r="198" spans="1:12" x14ac:dyDescent="0.35">
      <c r="A198" t="s">
        <v>341</v>
      </c>
      <c r="B198" t="s">
        <v>539</v>
      </c>
      <c r="C198" t="s">
        <v>230</v>
      </c>
      <c r="D198" t="s">
        <v>231</v>
      </c>
      <c r="E198">
        <v>26</v>
      </c>
      <c r="F198">
        <v>1</v>
      </c>
      <c r="G198">
        <v>0</v>
      </c>
      <c r="H198">
        <v>4</v>
      </c>
      <c r="I198">
        <v>2</v>
      </c>
      <c r="J198">
        <v>3</v>
      </c>
      <c r="K198">
        <v>9</v>
      </c>
      <c r="L198">
        <v>7</v>
      </c>
    </row>
    <row r="199" spans="1:12" x14ac:dyDescent="0.35">
      <c r="A199" t="s">
        <v>341</v>
      </c>
      <c r="B199" t="s">
        <v>539</v>
      </c>
      <c r="C199" t="s">
        <v>246</v>
      </c>
      <c r="D199" t="s">
        <v>245</v>
      </c>
      <c r="E199">
        <v>21</v>
      </c>
      <c r="F199">
        <v>1</v>
      </c>
      <c r="G199">
        <v>0</v>
      </c>
      <c r="H199">
        <v>3</v>
      </c>
      <c r="I199">
        <v>0</v>
      </c>
      <c r="J199">
        <v>2</v>
      </c>
      <c r="K199">
        <v>6</v>
      </c>
      <c r="L199">
        <v>9</v>
      </c>
    </row>
    <row r="200" spans="1:12" x14ac:dyDescent="0.35">
      <c r="A200" t="s">
        <v>341</v>
      </c>
      <c r="B200" t="s">
        <v>539</v>
      </c>
      <c r="C200" t="s">
        <v>251</v>
      </c>
      <c r="D200" t="s">
        <v>252</v>
      </c>
      <c r="E200">
        <v>29</v>
      </c>
      <c r="F200">
        <v>1</v>
      </c>
      <c r="G200">
        <v>0</v>
      </c>
      <c r="H200">
        <v>5</v>
      </c>
      <c r="I200">
        <v>1</v>
      </c>
      <c r="J200">
        <v>4</v>
      </c>
      <c r="K200">
        <v>9</v>
      </c>
      <c r="L200">
        <v>9</v>
      </c>
    </row>
    <row r="201" spans="1:12" x14ac:dyDescent="0.35">
      <c r="A201" t="s">
        <v>341</v>
      </c>
      <c r="B201" t="s">
        <v>539</v>
      </c>
      <c r="C201" t="s">
        <v>257</v>
      </c>
      <c r="D201" t="s">
        <v>258</v>
      </c>
      <c r="E201">
        <v>31</v>
      </c>
      <c r="F201">
        <v>1</v>
      </c>
      <c r="G201">
        <v>0</v>
      </c>
      <c r="H201">
        <v>5</v>
      </c>
      <c r="I201">
        <v>5</v>
      </c>
      <c r="J201">
        <v>4</v>
      </c>
      <c r="K201">
        <v>8</v>
      </c>
      <c r="L201">
        <v>8</v>
      </c>
    </row>
    <row r="202" spans="1:12" x14ac:dyDescent="0.35">
      <c r="A202" t="s">
        <v>341</v>
      </c>
      <c r="B202" t="s">
        <v>539</v>
      </c>
      <c r="C202" t="s">
        <v>261</v>
      </c>
      <c r="D202" t="s">
        <v>262</v>
      </c>
      <c r="E202">
        <v>18</v>
      </c>
      <c r="F202">
        <v>1</v>
      </c>
      <c r="G202">
        <v>0</v>
      </c>
      <c r="H202">
        <v>2</v>
      </c>
      <c r="I202">
        <v>1</v>
      </c>
      <c r="J202">
        <v>3</v>
      </c>
      <c r="K202">
        <v>4</v>
      </c>
      <c r="L202">
        <v>7</v>
      </c>
    </row>
    <row r="203" spans="1:12" x14ac:dyDescent="0.35">
      <c r="A203" t="s">
        <v>341</v>
      </c>
      <c r="B203" t="s">
        <v>539</v>
      </c>
      <c r="C203" t="s">
        <v>236</v>
      </c>
      <c r="D203" t="s">
        <v>237</v>
      </c>
      <c r="E203">
        <v>27</v>
      </c>
      <c r="F203">
        <v>1</v>
      </c>
      <c r="G203">
        <v>0</v>
      </c>
      <c r="H203">
        <v>2</v>
      </c>
      <c r="I203">
        <v>4</v>
      </c>
      <c r="J203">
        <v>3</v>
      </c>
      <c r="K203">
        <v>6</v>
      </c>
      <c r="L203">
        <v>11</v>
      </c>
    </row>
    <row r="204" spans="1:12" x14ac:dyDescent="0.35">
      <c r="A204" t="s">
        <v>341</v>
      </c>
      <c r="B204" t="s">
        <v>539</v>
      </c>
      <c r="C204" t="s">
        <v>265</v>
      </c>
      <c r="D204" t="s">
        <v>266</v>
      </c>
      <c r="E204">
        <v>21</v>
      </c>
      <c r="F204">
        <v>1</v>
      </c>
      <c r="G204">
        <v>0</v>
      </c>
      <c r="H204">
        <v>3</v>
      </c>
      <c r="I204">
        <v>2</v>
      </c>
      <c r="J204">
        <v>2</v>
      </c>
      <c r="K204">
        <v>6</v>
      </c>
      <c r="L204">
        <v>7</v>
      </c>
    </row>
    <row r="205" spans="1:12" x14ac:dyDescent="0.35">
      <c r="A205" t="s">
        <v>341</v>
      </c>
      <c r="B205" t="s">
        <v>539</v>
      </c>
      <c r="C205" t="s">
        <v>272</v>
      </c>
      <c r="D205" t="s">
        <v>271</v>
      </c>
      <c r="E205">
        <v>25</v>
      </c>
      <c r="F205">
        <v>1</v>
      </c>
      <c r="G205">
        <v>0</v>
      </c>
      <c r="H205">
        <v>3</v>
      </c>
      <c r="I205">
        <v>2</v>
      </c>
      <c r="J205">
        <v>4</v>
      </c>
      <c r="K205">
        <v>9</v>
      </c>
      <c r="L205">
        <v>6</v>
      </c>
    </row>
    <row r="206" spans="1:12" x14ac:dyDescent="0.35">
      <c r="A206" t="s">
        <v>341</v>
      </c>
      <c r="B206" t="s">
        <v>539</v>
      </c>
      <c r="C206" t="s">
        <v>275</v>
      </c>
      <c r="D206" t="s">
        <v>276</v>
      </c>
      <c r="E206">
        <v>36</v>
      </c>
      <c r="F206">
        <v>1</v>
      </c>
      <c r="G206">
        <v>0</v>
      </c>
      <c r="H206">
        <v>10</v>
      </c>
      <c r="I206">
        <v>0</v>
      </c>
      <c r="J206">
        <v>4</v>
      </c>
      <c r="K206">
        <v>13</v>
      </c>
      <c r="L206">
        <v>8</v>
      </c>
    </row>
    <row r="207" spans="1:12" x14ac:dyDescent="0.35">
      <c r="A207" t="s">
        <v>341</v>
      </c>
      <c r="B207" t="s">
        <v>539</v>
      </c>
      <c r="C207" t="s">
        <v>291</v>
      </c>
      <c r="D207" t="s">
        <v>290</v>
      </c>
      <c r="E207">
        <v>15</v>
      </c>
      <c r="F207">
        <v>1</v>
      </c>
      <c r="G207">
        <v>0</v>
      </c>
      <c r="H207">
        <v>1</v>
      </c>
      <c r="I207">
        <v>1</v>
      </c>
      <c r="J207">
        <v>2</v>
      </c>
      <c r="K207">
        <v>5</v>
      </c>
      <c r="L207">
        <v>5</v>
      </c>
    </row>
    <row r="208" spans="1:12" x14ac:dyDescent="0.35">
      <c r="A208" t="s">
        <v>341</v>
      </c>
      <c r="B208" t="s">
        <v>539</v>
      </c>
      <c r="C208" t="s">
        <v>306</v>
      </c>
      <c r="D208" t="s">
        <v>305</v>
      </c>
      <c r="E208">
        <v>15</v>
      </c>
      <c r="F208">
        <v>1</v>
      </c>
      <c r="G208">
        <v>0</v>
      </c>
      <c r="H208">
        <v>2</v>
      </c>
      <c r="I208">
        <v>1</v>
      </c>
      <c r="J208">
        <v>2</v>
      </c>
      <c r="K208">
        <v>5</v>
      </c>
      <c r="L208">
        <v>4</v>
      </c>
    </row>
    <row r="209" spans="1:12" x14ac:dyDescent="0.35">
      <c r="A209" t="s">
        <v>341</v>
      </c>
      <c r="B209" t="s">
        <v>539</v>
      </c>
      <c r="C209" t="s">
        <v>242</v>
      </c>
      <c r="D209" t="s">
        <v>243</v>
      </c>
      <c r="E209">
        <v>15</v>
      </c>
      <c r="F209">
        <v>0</v>
      </c>
      <c r="G209">
        <v>0</v>
      </c>
      <c r="H209">
        <v>3</v>
      </c>
      <c r="I209">
        <v>1</v>
      </c>
      <c r="J209">
        <v>2</v>
      </c>
      <c r="K209">
        <v>4</v>
      </c>
      <c r="L209">
        <v>5</v>
      </c>
    </row>
    <row r="210" spans="1:12" x14ac:dyDescent="0.35">
      <c r="A210" t="s">
        <v>341</v>
      </c>
      <c r="B210" t="s">
        <v>539</v>
      </c>
      <c r="C210" t="s">
        <v>285</v>
      </c>
      <c r="D210" t="s">
        <v>286</v>
      </c>
      <c r="E210">
        <v>16</v>
      </c>
      <c r="F210">
        <v>1</v>
      </c>
      <c r="G210">
        <v>0</v>
      </c>
      <c r="H210">
        <v>6</v>
      </c>
      <c r="I210">
        <v>0</v>
      </c>
      <c r="J210">
        <v>3</v>
      </c>
      <c r="K210">
        <v>5</v>
      </c>
      <c r="L210">
        <v>1</v>
      </c>
    </row>
    <row r="211" spans="1:12" x14ac:dyDescent="0.35">
      <c r="A211" t="s">
        <v>341</v>
      </c>
      <c r="B211" t="s">
        <v>539</v>
      </c>
      <c r="C211" t="s">
        <v>226</v>
      </c>
      <c r="D211" t="s">
        <v>227</v>
      </c>
      <c r="E211">
        <v>28</v>
      </c>
      <c r="F211">
        <v>1</v>
      </c>
      <c r="G211">
        <v>0</v>
      </c>
      <c r="H211">
        <v>2</v>
      </c>
      <c r="I211">
        <v>2</v>
      </c>
      <c r="J211">
        <v>4</v>
      </c>
      <c r="K211">
        <v>9</v>
      </c>
      <c r="L211">
        <v>10</v>
      </c>
    </row>
    <row r="212" spans="1:12" x14ac:dyDescent="0.35">
      <c r="A212" t="s">
        <v>341</v>
      </c>
      <c r="B212" t="s">
        <v>539</v>
      </c>
      <c r="C212" t="s">
        <v>269</v>
      </c>
      <c r="D212" t="s">
        <v>268</v>
      </c>
      <c r="E212">
        <v>24</v>
      </c>
      <c r="F212">
        <v>1</v>
      </c>
      <c r="G212">
        <v>0</v>
      </c>
      <c r="H212">
        <v>3</v>
      </c>
      <c r="I212">
        <v>3</v>
      </c>
      <c r="J212">
        <v>2</v>
      </c>
      <c r="K212">
        <v>7</v>
      </c>
      <c r="L212">
        <v>8</v>
      </c>
    </row>
    <row r="213" spans="1:12" x14ac:dyDescent="0.35">
      <c r="A213" t="s">
        <v>341</v>
      </c>
      <c r="B213" t="s">
        <v>541</v>
      </c>
      <c r="C213" t="s">
        <v>232</v>
      </c>
      <c r="D213" t="s">
        <v>233</v>
      </c>
      <c r="E213">
        <v>68</v>
      </c>
      <c r="F213">
        <v>1</v>
      </c>
      <c r="G213">
        <v>0</v>
      </c>
      <c r="H213">
        <v>10</v>
      </c>
      <c r="I213">
        <v>1</v>
      </c>
      <c r="J213">
        <v>3</v>
      </c>
      <c r="K213">
        <v>11</v>
      </c>
      <c r="L213">
        <v>42</v>
      </c>
    </row>
    <row r="214" spans="1:12" x14ac:dyDescent="0.35">
      <c r="A214" t="s">
        <v>341</v>
      </c>
      <c r="B214" t="s">
        <v>541</v>
      </c>
      <c r="C214" t="s">
        <v>238</v>
      </c>
      <c r="D214" t="s">
        <v>239</v>
      </c>
      <c r="E214">
        <v>38</v>
      </c>
      <c r="F214">
        <v>1</v>
      </c>
      <c r="G214">
        <v>0</v>
      </c>
      <c r="H214">
        <v>6</v>
      </c>
      <c r="I214">
        <v>1</v>
      </c>
      <c r="J214">
        <v>5</v>
      </c>
      <c r="K214">
        <v>5</v>
      </c>
      <c r="L214">
        <v>20</v>
      </c>
    </row>
    <row r="215" spans="1:12" x14ac:dyDescent="0.35">
      <c r="A215" t="s">
        <v>341</v>
      </c>
      <c r="B215" t="s">
        <v>541</v>
      </c>
      <c r="C215" t="s">
        <v>218</v>
      </c>
      <c r="D215" t="s">
        <v>219</v>
      </c>
      <c r="E215">
        <v>45</v>
      </c>
      <c r="F215">
        <v>1</v>
      </c>
      <c r="G215">
        <v>0</v>
      </c>
      <c r="H215">
        <v>6</v>
      </c>
      <c r="I215">
        <v>1</v>
      </c>
      <c r="J215">
        <v>4</v>
      </c>
      <c r="K215">
        <v>9</v>
      </c>
      <c r="L215">
        <v>24</v>
      </c>
    </row>
    <row r="216" spans="1:12" x14ac:dyDescent="0.35">
      <c r="A216" t="s">
        <v>341</v>
      </c>
      <c r="B216" t="s">
        <v>543</v>
      </c>
      <c r="C216" t="s">
        <v>548</v>
      </c>
      <c r="D216" t="s">
        <v>544</v>
      </c>
      <c r="E216">
        <v>182</v>
      </c>
      <c r="F216">
        <v>15</v>
      </c>
      <c r="G216">
        <v>4</v>
      </c>
      <c r="H216">
        <v>0</v>
      </c>
      <c r="I216">
        <v>101</v>
      </c>
      <c r="J216">
        <v>11</v>
      </c>
      <c r="K216">
        <v>9</v>
      </c>
      <c r="L216">
        <v>42</v>
      </c>
    </row>
    <row r="217" spans="1:12" x14ac:dyDescent="0.35">
      <c r="A217" t="s">
        <v>341</v>
      </c>
      <c r="B217" t="s">
        <v>340</v>
      </c>
      <c r="C217" t="s">
        <v>548</v>
      </c>
      <c r="D217" t="s">
        <v>544</v>
      </c>
      <c r="E217">
        <v>3644</v>
      </c>
      <c r="F217">
        <v>34</v>
      </c>
      <c r="G217">
        <v>4</v>
      </c>
      <c r="H217">
        <v>635</v>
      </c>
      <c r="I217">
        <v>2158</v>
      </c>
      <c r="J217">
        <v>70</v>
      </c>
      <c r="K217">
        <v>151</v>
      </c>
      <c r="L217">
        <v>590</v>
      </c>
    </row>
    <row r="218" spans="1:12" x14ac:dyDescent="0.35">
      <c r="A218" t="s">
        <v>342</v>
      </c>
      <c r="B218" t="s">
        <v>536</v>
      </c>
      <c r="C218" t="s">
        <v>240</v>
      </c>
      <c r="D218" t="s">
        <v>241</v>
      </c>
      <c r="E218">
        <v>25</v>
      </c>
      <c r="H218">
        <v>5</v>
      </c>
      <c r="I218">
        <v>15</v>
      </c>
      <c r="L218">
        <v>5</v>
      </c>
    </row>
    <row r="219" spans="1:12" x14ac:dyDescent="0.35">
      <c r="A219" t="s">
        <v>342</v>
      </c>
      <c r="B219" t="s">
        <v>536</v>
      </c>
      <c r="C219" t="s">
        <v>244</v>
      </c>
      <c r="D219" t="s">
        <v>245</v>
      </c>
      <c r="E219">
        <v>54</v>
      </c>
      <c r="H219">
        <v>11</v>
      </c>
      <c r="I219">
        <v>38</v>
      </c>
      <c r="L219">
        <v>5</v>
      </c>
    </row>
    <row r="220" spans="1:12" x14ac:dyDescent="0.35">
      <c r="A220" t="s">
        <v>342</v>
      </c>
      <c r="B220" t="s">
        <v>536</v>
      </c>
      <c r="C220" t="s">
        <v>249</v>
      </c>
      <c r="D220" t="s">
        <v>250</v>
      </c>
      <c r="E220">
        <v>49</v>
      </c>
      <c r="H220">
        <v>10</v>
      </c>
      <c r="I220">
        <v>34</v>
      </c>
      <c r="L220">
        <v>5</v>
      </c>
    </row>
    <row r="221" spans="1:12" x14ac:dyDescent="0.35">
      <c r="A221" t="s">
        <v>342</v>
      </c>
      <c r="B221" t="s">
        <v>536</v>
      </c>
      <c r="C221" t="s">
        <v>255</v>
      </c>
      <c r="D221" t="s">
        <v>256</v>
      </c>
      <c r="E221">
        <v>23</v>
      </c>
      <c r="H221">
        <v>5</v>
      </c>
      <c r="I221">
        <v>13</v>
      </c>
      <c r="L221">
        <v>5</v>
      </c>
    </row>
    <row r="222" spans="1:12" x14ac:dyDescent="0.35">
      <c r="A222" t="s">
        <v>342</v>
      </c>
      <c r="B222" t="s">
        <v>536</v>
      </c>
      <c r="C222" t="s">
        <v>259</v>
      </c>
      <c r="D222" t="s">
        <v>260</v>
      </c>
      <c r="E222">
        <v>51</v>
      </c>
      <c r="H222">
        <v>10</v>
      </c>
      <c r="I222">
        <v>30</v>
      </c>
      <c r="L222">
        <v>11</v>
      </c>
    </row>
    <row r="223" spans="1:12" x14ac:dyDescent="0.35">
      <c r="A223" t="s">
        <v>342</v>
      </c>
      <c r="B223" t="s">
        <v>536</v>
      </c>
      <c r="C223" t="s">
        <v>263</v>
      </c>
      <c r="D223" t="s">
        <v>264</v>
      </c>
      <c r="E223">
        <v>87</v>
      </c>
      <c r="H223">
        <v>22</v>
      </c>
      <c r="I223">
        <v>49</v>
      </c>
      <c r="L223">
        <v>16</v>
      </c>
    </row>
    <row r="224" spans="1:12" x14ac:dyDescent="0.35">
      <c r="A224" t="s">
        <v>342</v>
      </c>
      <c r="B224" t="s">
        <v>536</v>
      </c>
      <c r="C224" t="s">
        <v>273</v>
      </c>
      <c r="D224" t="s">
        <v>274</v>
      </c>
      <c r="E224">
        <v>68</v>
      </c>
      <c r="H224">
        <v>15</v>
      </c>
      <c r="I224">
        <v>49</v>
      </c>
      <c r="L224">
        <v>4</v>
      </c>
    </row>
    <row r="225" spans="1:12" x14ac:dyDescent="0.35">
      <c r="A225" t="s">
        <v>342</v>
      </c>
      <c r="B225" t="s">
        <v>536</v>
      </c>
      <c r="C225" t="s">
        <v>277</v>
      </c>
      <c r="D225" t="s">
        <v>278</v>
      </c>
      <c r="E225">
        <v>72</v>
      </c>
      <c r="H225">
        <v>15</v>
      </c>
      <c r="I225">
        <v>44</v>
      </c>
      <c r="L225">
        <v>13</v>
      </c>
    </row>
    <row r="226" spans="1:12" x14ac:dyDescent="0.35">
      <c r="A226" t="s">
        <v>342</v>
      </c>
      <c r="B226" t="s">
        <v>536</v>
      </c>
      <c r="C226" t="s">
        <v>279</v>
      </c>
      <c r="D226" t="s">
        <v>280</v>
      </c>
      <c r="E226">
        <v>28</v>
      </c>
      <c r="H226">
        <v>5</v>
      </c>
      <c r="I226">
        <v>18</v>
      </c>
      <c r="L226">
        <v>5</v>
      </c>
    </row>
    <row r="227" spans="1:12" x14ac:dyDescent="0.35">
      <c r="A227" t="s">
        <v>342</v>
      </c>
      <c r="B227" t="s">
        <v>536</v>
      </c>
      <c r="C227" t="s">
        <v>281</v>
      </c>
      <c r="D227" t="s">
        <v>282</v>
      </c>
      <c r="E227">
        <v>29</v>
      </c>
      <c r="H227">
        <v>5</v>
      </c>
      <c r="I227">
        <v>19</v>
      </c>
      <c r="L227">
        <v>5</v>
      </c>
    </row>
    <row r="228" spans="1:12" x14ac:dyDescent="0.35">
      <c r="A228" t="s">
        <v>342</v>
      </c>
      <c r="B228" t="s">
        <v>536</v>
      </c>
      <c r="C228" t="s">
        <v>287</v>
      </c>
      <c r="D228" t="s">
        <v>288</v>
      </c>
      <c r="E228">
        <v>76</v>
      </c>
      <c r="H228">
        <v>16</v>
      </c>
      <c r="I228">
        <v>45</v>
      </c>
      <c r="L228">
        <v>15</v>
      </c>
    </row>
    <row r="229" spans="1:12" x14ac:dyDescent="0.35">
      <c r="A229" t="s">
        <v>342</v>
      </c>
      <c r="B229" t="s">
        <v>536</v>
      </c>
      <c r="C229" t="s">
        <v>294</v>
      </c>
      <c r="D229" t="s">
        <v>295</v>
      </c>
      <c r="E229">
        <v>69</v>
      </c>
      <c r="H229">
        <v>10</v>
      </c>
      <c r="I229">
        <v>54</v>
      </c>
      <c r="L229">
        <v>5</v>
      </c>
    </row>
    <row r="230" spans="1:12" x14ac:dyDescent="0.35">
      <c r="A230" t="s">
        <v>342</v>
      </c>
      <c r="B230" t="s">
        <v>536</v>
      </c>
      <c r="C230" t="s">
        <v>298</v>
      </c>
      <c r="D230" t="s">
        <v>299</v>
      </c>
      <c r="E230">
        <v>51</v>
      </c>
      <c r="H230">
        <v>9</v>
      </c>
      <c r="I230">
        <v>32</v>
      </c>
      <c r="L230">
        <v>10</v>
      </c>
    </row>
    <row r="231" spans="1:12" x14ac:dyDescent="0.35">
      <c r="A231" t="s">
        <v>342</v>
      </c>
      <c r="B231" t="s">
        <v>536</v>
      </c>
      <c r="C231" t="s">
        <v>302</v>
      </c>
      <c r="D231" t="s">
        <v>303</v>
      </c>
      <c r="E231">
        <v>50</v>
      </c>
      <c r="H231">
        <v>10</v>
      </c>
      <c r="I231">
        <v>35</v>
      </c>
      <c r="L231">
        <v>5</v>
      </c>
    </row>
    <row r="232" spans="1:12" x14ac:dyDescent="0.35">
      <c r="A232" t="s">
        <v>342</v>
      </c>
      <c r="B232" t="s">
        <v>536</v>
      </c>
      <c r="C232" t="s">
        <v>304</v>
      </c>
      <c r="D232" t="s">
        <v>305</v>
      </c>
      <c r="E232">
        <v>166</v>
      </c>
      <c r="H232">
        <v>35</v>
      </c>
      <c r="I232">
        <v>111</v>
      </c>
      <c r="L232">
        <v>20</v>
      </c>
    </row>
    <row r="233" spans="1:12" x14ac:dyDescent="0.35">
      <c r="A233" t="s">
        <v>342</v>
      </c>
      <c r="B233" t="s">
        <v>536</v>
      </c>
      <c r="C233" t="s">
        <v>307</v>
      </c>
      <c r="D233" t="s">
        <v>308</v>
      </c>
      <c r="E233">
        <v>48</v>
      </c>
      <c r="H233">
        <v>9</v>
      </c>
      <c r="I233">
        <v>34</v>
      </c>
      <c r="L233">
        <v>5</v>
      </c>
    </row>
    <row r="234" spans="1:12" x14ac:dyDescent="0.35">
      <c r="A234" t="s">
        <v>342</v>
      </c>
      <c r="B234" t="s">
        <v>536</v>
      </c>
      <c r="C234" t="s">
        <v>215</v>
      </c>
      <c r="D234" t="s">
        <v>216</v>
      </c>
      <c r="E234">
        <v>145</v>
      </c>
      <c r="H234">
        <v>33</v>
      </c>
      <c r="I234">
        <v>97</v>
      </c>
      <c r="L234">
        <v>15</v>
      </c>
    </row>
    <row r="235" spans="1:12" x14ac:dyDescent="0.35">
      <c r="A235" t="s">
        <v>342</v>
      </c>
      <c r="B235" t="s">
        <v>536</v>
      </c>
      <c r="C235" t="s">
        <v>220</v>
      </c>
      <c r="D235" t="s">
        <v>221</v>
      </c>
      <c r="E235">
        <v>24</v>
      </c>
      <c r="H235">
        <v>5</v>
      </c>
      <c r="I235">
        <v>14</v>
      </c>
      <c r="L235">
        <v>5</v>
      </c>
    </row>
    <row r="236" spans="1:12" x14ac:dyDescent="0.35">
      <c r="A236" t="s">
        <v>342</v>
      </c>
      <c r="B236" t="s">
        <v>536</v>
      </c>
      <c r="C236" t="s">
        <v>228</v>
      </c>
      <c r="D236" t="s">
        <v>229</v>
      </c>
      <c r="E236">
        <v>50</v>
      </c>
      <c r="H236">
        <v>10</v>
      </c>
      <c r="I236">
        <v>30</v>
      </c>
      <c r="L236">
        <v>10</v>
      </c>
    </row>
    <row r="237" spans="1:12" x14ac:dyDescent="0.35">
      <c r="A237" t="s">
        <v>342</v>
      </c>
      <c r="B237" t="s">
        <v>536</v>
      </c>
      <c r="C237" t="s">
        <v>234</v>
      </c>
      <c r="D237" t="s">
        <v>235</v>
      </c>
      <c r="E237">
        <v>293</v>
      </c>
      <c r="H237">
        <v>54</v>
      </c>
      <c r="I237">
        <v>204</v>
      </c>
      <c r="L237">
        <v>35</v>
      </c>
    </row>
    <row r="238" spans="1:12" x14ac:dyDescent="0.35">
      <c r="A238" t="s">
        <v>342</v>
      </c>
      <c r="B238" t="s">
        <v>536</v>
      </c>
      <c r="C238" t="s">
        <v>296</v>
      </c>
      <c r="D238" t="s">
        <v>297</v>
      </c>
      <c r="E238">
        <v>94</v>
      </c>
      <c r="H238">
        <v>20</v>
      </c>
      <c r="I238">
        <v>59</v>
      </c>
      <c r="L238">
        <v>15</v>
      </c>
    </row>
    <row r="239" spans="1:12" x14ac:dyDescent="0.35">
      <c r="A239" t="s">
        <v>342</v>
      </c>
      <c r="B239" t="s">
        <v>536</v>
      </c>
      <c r="C239" t="s">
        <v>309</v>
      </c>
      <c r="D239" t="s">
        <v>310</v>
      </c>
      <c r="E239">
        <v>68</v>
      </c>
      <c r="H239">
        <v>15</v>
      </c>
      <c r="I239">
        <v>43</v>
      </c>
      <c r="L239">
        <v>10</v>
      </c>
    </row>
    <row r="240" spans="1:12" x14ac:dyDescent="0.35">
      <c r="A240" t="s">
        <v>342</v>
      </c>
      <c r="B240" t="s">
        <v>536</v>
      </c>
      <c r="C240" t="s">
        <v>311</v>
      </c>
      <c r="D240" t="s">
        <v>312</v>
      </c>
      <c r="E240">
        <v>58</v>
      </c>
      <c r="H240">
        <v>11</v>
      </c>
      <c r="I240">
        <v>37</v>
      </c>
      <c r="L240">
        <v>10</v>
      </c>
    </row>
    <row r="241" spans="1:12" x14ac:dyDescent="0.35">
      <c r="A241" t="s">
        <v>342</v>
      </c>
      <c r="B241" t="s">
        <v>536</v>
      </c>
      <c r="C241" t="s">
        <v>224</v>
      </c>
      <c r="D241" t="s">
        <v>225</v>
      </c>
      <c r="E241">
        <v>28</v>
      </c>
      <c r="H241">
        <v>5</v>
      </c>
      <c r="I241">
        <v>18</v>
      </c>
      <c r="L241">
        <v>5</v>
      </c>
    </row>
    <row r="242" spans="1:12" x14ac:dyDescent="0.35">
      <c r="A242" t="s">
        <v>342</v>
      </c>
      <c r="B242" t="s">
        <v>536</v>
      </c>
      <c r="C242" t="s">
        <v>247</v>
      </c>
      <c r="D242" t="s">
        <v>248</v>
      </c>
      <c r="E242">
        <v>178</v>
      </c>
      <c r="H242">
        <v>35</v>
      </c>
      <c r="I242">
        <v>122</v>
      </c>
      <c r="L242">
        <v>21</v>
      </c>
    </row>
    <row r="243" spans="1:12" x14ac:dyDescent="0.35">
      <c r="A243" t="s">
        <v>342</v>
      </c>
      <c r="B243" t="s">
        <v>536</v>
      </c>
      <c r="C243" t="s">
        <v>289</v>
      </c>
      <c r="D243" t="s">
        <v>290</v>
      </c>
      <c r="E243">
        <v>163</v>
      </c>
      <c r="H243">
        <v>31</v>
      </c>
      <c r="I243">
        <v>113</v>
      </c>
      <c r="L243">
        <v>19</v>
      </c>
    </row>
    <row r="244" spans="1:12" x14ac:dyDescent="0.35">
      <c r="A244" t="s">
        <v>342</v>
      </c>
      <c r="B244" t="s">
        <v>536</v>
      </c>
      <c r="C244" t="s">
        <v>253</v>
      </c>
      <c r="D244" t="s">
        <v>254</v>
      </c>
      <c r="E244">
        <v>78</v>
      </c>
      <c r="H244">
        <v>15</v>
      </c>
      <c r="I244">
        <v>48</v>
      </c>
      <c r="L244">
        <v>15</v>
      </c>
    </row>
    <row r="245" spans="1:12" x14ac:dyDescent="0.35">
      <c r="A245" t="s">
        <v>342</v>
      </c>
      <c r="B245" t="s">
        <v>536</v>
      </c>
      <c r="C245" t="s">
        <v>270</v>
      </c>
      <c r="D245" t="s">
        <v>271</v>
      </c>
      <c r="E245">
        <v>489</v>
      </c>
      <c r="H245">
        <v>113</v>
      </c>
      <c r="I245">
        <v>319</v>
      </c>
      <c r="L245">
        <v>57</v>
      </c>
    </row>
    <row r="246" spans="1:12" x14ac:dyDescent="0.35">
      <c r="A246" t="s">
        <v>342</v>
      </c>
      <c r="B246" t="s">
        <v>536</v>
      </c>
      <c r="C246" t="s">
        <v>267</v>
      </c>
      <c r="D246" t="s">
        <v>268</v>
      </c>
      <c r="E246">
        <v>254</v>
      </c>
      <c r="H246">
        <v>49</v>
      </c>
      <c r="I246">
        <v>181</v>
      </c>
      <c r="L246">
        <v>24</v>
      </c>
    </row>
    <row r="247" spans="1:12" x14ac:dyDescent="0.35">
      <c r="A247" t="s">
        <v>342</v>
      </c>
      <c r="B247" t="s">
        <v>539</v>
      </c>
      <c r="C247" t="s">
        <v>217</v>
      </c>
      <c r="D247" t="s">
        <v>216</v>
      </c>
      <c r="E247">
        <v>15</v>
      </c>
      <c r="F247">
        <v>1</v>
      </c>
      <c r="H247">
        <v>2</v>
      </c>
      <c r="I247">
        <v>2</v>
      </c>
      <c r="J247">
        <v>2</v>
      </c>
      <c r="K247">
        <v>3</v>
      </c>
      <c r="L247">
        <v>5</v>
      </c>
    </row>
    <row r="248" spans="1:12" x14ac:dyDescent="0.35">
      <c r="A248" t="s">
        <v>342</v>
      </c>
      <c r="B248" t="s">
        <v>539</v>
      </c>
      <c r="C248" t="s">
        <v>222</v>
      </c>
      <c r="D248" t="s">
        <v>223</v>
      </c>
      <c r="E248">
        <v>25</v>
      </c>
      <c r="F248">
        <v>1</v>
      </c>
      <c r="H248">
        <v>7</v>
      </c>
      <c r="J248">
        <v>2</v>
      </c>
      <c r="K248">
        <v>7</v>
      </c>
      <c r="L248">
        <v>8</v>
      </c>
    </row>
    <row r="249" spans="1:12" x14ac:dyDescent="0.35">
      <c r="A249" t="s">
        <v>342</v>
      </c>
      <c r="B249" t="s">
        <v>539</v>
      </c>
      <c r="C249" t="s">
        <v>230</v>
      </c>
      <c r="D249" t="s">
        <v>231</v>
      </c>
      <c r="E249">
        <v>26</v>
      </c>
      <c r="F249">
        <v>1</v>
      </c>
      <c r="H249">
        <v>6</v>
      </c>
      <c r="I249">
        <v>1</v>
      </c>
      <c r="J249">
        <v>3</v>
      </c>
      <c r="K249">
        <v>9</v>
      </c>
      <c r="L249">
        <v>6</v>
      </c>
    </row>
    <row r="250" spans="1:12" x14ac:dyDescent="0.35">
      <c r="A250" t="s">
        <v>342</v>
      </c>
      <c r="B250" t="s">
        <v>539</v>
      </c>
      <c r="C250" t="s">
        <v>246</v>
      </c>
      <c r="D250" t="s">
        <v>245</v>
      </c>
      <c r="E250">
        <v>22</v>
      </c>
      <c r="F250">
        <v>1</v>
      </c>
      <c r="H250">
        <v>4</v>
      </c>
      <c r="I250">
        <v>2</v>
      </c>
      <c r="J250">
        <v>2</v>
      </c>
      <c r="K250">
        <v>6</v>
      </c>
      <c r="L250">
        <v>7</v>
      </c>
    </row>
    <row r="251" spans="1:12" x14ac:dyDescent="0.35">
      <c r="A251" t="s">
        <v>342</v>
      </c>
      <c r="B251" t="s">
        <v>539</v>
      </c>
      <c r="C251" t="s">
        <v>251</v>
      </c>
      <c r="D251" t="s">
        <v>252</v>
      </c>
      <c r="E251">
        <v>27</v>
      </c>
      <c r="F251">
        <v>1</v>
      </c>
      <c r="H251">
        <v>5</v>
      </c>
      <c r="I251">
        <v>1</v>
      </c>
      <c r="J251">
        <v>3</v>
      </c>
      <c r="K251">
        <v>9</v>
      </c>
      <c r="L251">
        <v>8</v>
      </c>
    </row>
    <row r="252" spans="1:12" x14ac:dyDescent="0.35">
      <c r="A252" t="s">
        <v>342</v>
      </c>
      <c r="B252" t="s">
        <v>539</v>
      </c>
      <c r="C252" t="s">
        <v>257</v>
      </c>
      <c r="D252" t="s">
        <v>258</v>
      </c>
      <c r="E252">
        <v>27</v>
      </c>
      <c r="F252">
        <v>1</v>
      </c>
      <c r="H252">
        <v>3</v>
      </c>
      <c r="I252">
        <v>5</v>
      </c>
      <c r="J252">
        <v>3</v>
      </c>
      <c r="K252">
        <v>7</v>
      </c>
      <c r="L252">
        <v>8</v>
      </c>
    </row>
    <row r="253" spans="1:12" x14ac:dyDescent="0.35">
      <c r="A253" t="s">
        <v>342</v>
      </c>
      <c r="B253" t="s">
        <v>539</v>
      </c>
      <c r="C253" t="s">
        <v>261</v>
      </c>
      <c r="D253" t="s">
        <v>262</v>
      </c>
      <c r="E253">
        <v>16</v>
      </c>
      <c r="F253">
        <v>1</v>
      </c>
      <c r="H253">
        <v>2</v>
      </c>
      <c r="I253">
        <v>2</v>
      </c>
      <c r="J253">
        <v>3</v>
      </c>
      <c r="K253">
        <v>4</v>
      </c>
      <c r="L253">
        <v>4</v>
      </c>
    </row>
    <row r="254" spans="1:12" x14ac:dyDescent="0.35">
      <c r="A254" t="s">
        <v>342</v>
      </c>
      <c r="B254" t="s">
        <v>539</v>
      </c>
      <c r="C254" t="s">
        <v>236</v>
      </c>
      <c r="D254" t="s">
        <v>237</v>
      </c>
      <c r="E254">
        <v>31</v>
      </c>
      <c r="F254">
        <v>1</v>
      </c>
      <c r="H254">
        <v>6</v>
      </c>
      <c r="I254">
        <v>3</v>
      </c>
      <c r="J254">
        <v>3</v>
      </c>
      <c r="K254">
        <v>7</v>
      </c>
      <c r="L254">
        <v>11</v>
      </c>
    </row>
    <row r="255" spans="1:12" x14ac:dyDescent="0.35">
      <c r="A255" t="s">
        <v>342</v>
      </c>
      <c r="B255" t="s">
        <v>539</v>
      </c>
      <c r="C255" t="s">
        <v>265</v>
      </c>
      <c r="D255" t="s">
        <v>266</v>
      </c>
      <c r="E255">
        <v>19</v>
      </c>
      <c r="F255">
        <v>1</v>
      </c>
      <c r="H255">
        <v>3</v>
      </c>
      <c r="I255">
        <v>2</v>
      </c>
      <c r="J255">
        <v>2</v>
      </c>
      <c r="K255">
        <v>5</v>
      </c>
      <c r="L255">
        <v>6</v>
      </c>
    </row>
    <row r="256" spans="1:12" x14ac:dyDescent="0.35">
      <c r="A256" t="s">
        <v>342</v>
      </c>
      <c r="B256" t="s">
        <v>539</v>
      </c>
      <c r="C256" t="s">
        <v>272</v>
      </c>
      <c r="D256" t="s">
        <v>271</v>
      </c>
      <c r="E256">
        <v>22</v>
      </c>
      <c r="F256">
        <v>1</v>
      </c>
      <c r="H256">
        <v>2</v>
      </c>
      <c r="I256">
        <v>1</v>
      </c>
      <c r="J256">
        <v>4</v>
      </c>
      <c r="K256">
        <v>8</v>
      </c>
      <c r="L256">
        <v>6</v>
      </c>
    </row>
    <row r="257" spans="1:12" x14ac:dyDescent="0.35">
      <c r="A257" t="s">
        <v>342</v>
      </c>
      <c r="B257" t="s">
        <v>539</v>
      </c>
      <c r="C257" t="s">
        <v>275</v>
      </c>
      <c r="D257" t="s">
        <v>276</v>
      </c>
      <c r="E257">
        <v>32</v>
      </c>
      <c r="F257">
        <v>1</v>
      </c>
      <c r="H257">
        <v>7</v>
      </c>
      <c r="I257">
        <v>1</v>
      </c>
      <c r="J257">
        <v>4</v>
      </c>
      <c r="K257">
        <v>12</v>
      </c>
      <c r="L257">
        <v>7</v>
      </c>
    </row>
    <row r="258" spans="1:12" x14ac:dyDescent="0.35">
      <c r="A258" t="s">
        <v>342</v>
      </c>
      <c r="B258" t="s">
        <v>539</v>
      </c>
      <c r="C258" t="s">
        <v>291</v>
      </c>
      <c r="D258" t="s">
        <v>290</v>
      </c>
      <c r="E258">
        <v>17</v>
      </c>
      <c r="F258">
        <v>1</v>
      </c>
      <c r="H258">
        <v>2</v>
      </c>
      <c r="I258">
        <v>1</v>
      </c>
      <c r="J258">
        <v>2</v>
      </c>
      <c r="K258">
        <v>6</v>
      </c>
      <c r="L258">
        <v>5</v>
      </c>
    </row>
    <row r="259" spans="1:12" x14ac:dyDescent="0.35">
      <c r="A259" t="s">
        <v>342</v>
      </c>
      <c r="B259" t="s">
        <v>539</v>
      </c>
      <c r="C259" t="s">
        <v>306</v>
      </c>
      <c r="D259" t="s">
        <v>305</v>
      </c>
      <c r="E259">
        <v>16</v>
      </c>
      <c r="F259">
        <v>1</v>
      </c>
      <c r="H259">
        <v>2</v>
      </c>
      <c r="I259">
        <v>1</v>
      </c>
      <c r="J259">
        <v>2</v>
      </c>
      <c r="K259">
        <v>6</v>
      </c>
      <c r="L259">
        <v>4</v>
      </c>
    </row>
    <row r="260" spans="1:12" x14ac:dyDescent="0.35">
      <c r="A260" t="s">
        <v>342</v>
      </c>
      <c r="B260" t="s">
        <v>539</v>
      </c>
      <c r="C260" t="s">
        <v>242</v>
      </c>
      <c r="D260" t="s">
        <v>243</v>
      </c>
      <c r="E260">
        <v>18</v>
      </c>
      <c r="F260">
        <v>1</v>
      </c>
      <c r="H260">
        <v>3</v>
      </c>
      <c r="I260">
        <v>1</v>
      </c>
      <c r="J260">
        <v>3</v>
      </c>
      <c r="K260">
        <v>5</v>
      </c>
      <c r="L260">
        <v>5</v>
      </c>
    </row>
    <row r="261" spans="1:12" x14ac:dyDescent="0.35">
      <c r="A261" t="s">
        <v>342</v>
      </c>
      <c r="B261" t="s">
        <v>539</v>
      </c>
      <c r="C261" t="s">
        <v>285</v>
      </c>
      <c r="D261" t="s">
        <v>286</v>
      </c>
      <c r="E261">
        <v>18</v>
      </c>
      <c r="F261">
        <v>1</v>
      </c>
      <c r="H261">
        <v>5</v>
      </c>
      <c r="J261">
        <v>2</v>
      </c>
      <c r="K261">
        <v>6</v>
      </c>
      <c r="L261">
        <v>4</v>
      </c>
    </row>
    <row r="262" spans="1:12" x14ac:dyDescent="0.35">
      <c r="A262" t="s">
        <v>342</v>
      </c>
      <c r="B262" t="s">
        <v>539</v>
      </c>
      <c r="C262" t="s">
        <v>226</v>
      </c>
      <c r="D262" t="s">
        <v>227</v>
      </c>
      <c r="E262">
        <v>28</v>
      </c>
      <c r="F262">
        <v>1</v>
      </c>
      <c r="H262">
        <v>3</v>
      </c>
      <c r="I262">
        <v>2</v>
      </c>
      <c r="J262">
        <v>4</v>
      </c>
      <c r="K262">
        <v>9</v>
      </c>
      <c r="L262">
        <v>9</v>
      </c>
    </row>
    <row r="263" spans="1:12" x14ac:dyDescent="0.35">
      <c r="A263" t="s">
        <v>342</v>
      </c>
      <c r="B263" t="s">
        <v>539</v>
      </c>
      <c r="C263" t="s">
        <v>269</v>
      </c>
      <c r="D263" t="s">
        <v>268</v>
      </c>
      <c r="E263">
        <v>19</v>
      </c>
      <c r="H263">
        <v>1</v>
      </c>
      <c r="I263">
        <v>4</v>
      </c>
      <c r="J263">
        <v>2</v>
      </c>
      <c r="K263">
        <v>6</v>
      </c>
      <c r="L263">
        <v>6</v>
      </c>
    </row>
    <row r="264" spans="1:12" x14ac:dyDescent="0.35">
      <c r="A264" t="s">
        <v>342</v>
      </c>
      <c r="B264" t="s">
        <v>541</v>
      </c>
      <c r="C264" t="s">
        <v>232</v>
      </c>
      <c r="D264" t="s">
        <v>233</v>
      </c>
      <c r="E264">
        <v>73</v>
      </c>
      <c r="F264">
        <v>1</v>
      </c>
      <c r="H264">
        <v>18</v>
      </c>
      <c r="J264">
        <v>4</v>
      </c>
      <c r="K264">
        <v>13</v>
      </c>
      <c r="L264">
        <v>37</v>
      </c>
    </row>
    <row r="265" spans="1:12" x14ac:dyDescent="0.35">
      <c r="A265" t="s">
        <v>342</v>
      </c>
      <c r="B265" t="s">
        <v>541</v>
      </c>
      <c r="C265" t="s">
        <v>238</v>
      </c>
      <c r="D265" t="s">
        <v>239</v>
      </c>
      <c r="E265">
        <v>37</v>
      </c>
      <c r="F265">
        <v>1</v>
      </c>
      <c r="H265">
        <v>9</v>
      </c>
      <c r="J265">
        <v>5</v>
      </c>
      <c r="K265">
        <v>6</v>
      </c>
      <c r="L265">
        <v>16</v>
      </c>
    </row>
    <row r="266" spans="1:12" x14ac:dyDescent="0.35">
      <c r="A266" t="s">
        <v>342</v>
      </c>
      <c r="B266" t="s">
        <v>541</v>
      </c>
      <c r="C266" t="s">
        <v>218</v>
      </c>
      <c r="D266" t="s">
        <v>219</v>
      </c>
      <c r="E266">
        <v>46</v>
      </c>
      <c r="F266">
        <v>1</v>
      </c>
      <c r="H266">
        <v>11</v>
      </c>
      <c r="J266">
        <v>6</v>
      </c>
      <c r="K266">
        <v>10</v>
      </c>
      <c r="L266">
        <v>18</v>
      </c>
    </row>
    <row r="267" spans="1:12" x14ac:dyDescent="0.35">
      <c r="A267" t="s">
        <v>342</v>
      </c>
      <c r="B267" t="s">
        <v>543</v>
      </c>
      <c r="C267" t="s">
        <v>548</v>
      </c>
      <c r="D267" t="s">
        <v>544</v>
      </c>
      <c r="E267">
        <v>143</v>
      </c>
      <c r="F267">
        <v>15</v>
      </c>
      <c r="G267">
        <v>4</v>
      </c>
      <c r="I267">
        <v>55</v>
      </c>
      <c r="J267">
        <v>13</v>
      </c>
      <c r="K267">
        <v>9</v>
      </c>
      <c r="L267">
        <v>47</v>
      </c>
    </row>
    <row r="268" spans="1:12" x14ac:dyDescent="0.35">
      <c r="A268" t="s">
        <v>342</v>
      </c>
      <c r="B268" t="s">
        <v>340</v>
      </c>
      <c r="C268" t="s">
        <v>548</v>
      </c>
      <c r="D268" t="s">
        <v>544</v>
      </c>
      <c r="E268">
        <v>3544</v>
      </c>
      <c r="F268">
        <v>34</v>
      </c>
      <c r="G268">
        <v>4</v>
      </c>
      <c r="H268">
        <v>689</v>
      </c>
      <c r="I268">
        <v>1988</v>
      </c>
      <c r="J268">
        <v>74</v>
      </c>
      <c r="K268">
        <v>153</v>
      </c>
      <c r="L268">
        <v>602</v>
      </c>
    </row>
    <row r="269" spans="1:12" x14ac:dyDescent="0.35">
      <c r="A269" t="s">
        <v>214</v>
      </c>
      <c r="B269" t="s">
        <v>536</v>
      </c>
      <c r="C269" t="s">
        <v>240</v>
      </c>
      <c r="D269" t="s">
        <v>241</v>
      </c>
      <c r="H269">
        <v>5</v>
      </c>
      <c r="I269">
        <v>15</v>
      </c>
      <c r="L269">
        <v>5</v>
      </c>
    </row>
    <row r="270" spans="1:12" x14ac:dyDescent="0.35">
      <c r="A270" t="s">
        <v>214</v>
      </c>
      <c r="B270" t="s">
        <v>536</v>
      </c>
      <c r="C270" t="s">
        <v>244</v>
      </c>
      <c r="D270" t="s">
        <v>245</v>
      </c>
      <c r="H270">
        <v>10</v>
      </c>
      <c r="I270">
        <v>38</v>
      </c>
      <c r="L270">
        <v>5</v>
      </c>
    </row>
    <row r="271" spans="1:12" x14ac:dyDescent="0.35">
      <c r="A271" t="s">
        <v>214</v>
      </c>
      <c r="B271" t="s">
        <v>536</v>
      </c>
      <c r="C271" t="s">
        <v>249</v>
      </c>
      <c r="D271" t="s">
        <v>250</v>
      </c>
      <c r="H271">
        <v>10</v>
      </c>
      <c r="I271">
        <v>32</v>
      </c>
      <c r="L271">
        <v>5</v>
      </c>
    </row>
    <row r="272" spans="1:12" x14ac:dyDescent="0.35">
      <c r="A272" t="s">
        <v>214</v>
      </c>
      <c r="B272" t="s">
        <v>536</v>
      </c>
      <c r="C272" t="s">
        <v>255</v>
      </c>
      <c r="D272" t="s">
        <v>256</v>
      </c>
      <c r="H272">
        <v>5</v>
      </c>
      <c r="I272">
        <v>14</v>
      </c>
      <c r="L272">
        <v>5</v>
      </c>
    </row>
    <row r="273" spans="1:12" x14ac:dyDescent="0.35">
      <c r="A273" t="s">
        <v>214</v>
      </c>
      <c r="B273" t="s">
        <v>536</v>
      </c>
      <c r="C273" t="s">
        <v>259</v>
      </c>
      <c r="D273" t="s">
        <v>260</v>
      </c>
      <c r="H273">
        <v>10</v>
      </c>
      <c r="I273">
        <v>31</v>
      </c>
      <c r="L273">
        <v>11</v>
      </c>
    </row>
    <row r="274" spans="1:12" x14ac:dyDescent="0.35">
      <c r="A274" t="s">
        <v>214</v>
      </c>
      <c r="B274" t="s">
        <v>536</v>
      </c>
      <c r="C274" t="s">
        <v>263</v>
      </c>
      <c r="D274" t="s">
        <v>264</v>
      </c>
      <c r="H274">
        <v>20</v>
      </c>
      <c r="I274">
        <v>53</v>
      </c>
      <c r="L274">
        <v>15</v>
      </c>
    </row>
    <row r="275" spans="1:12" x14ac:dyDescent="0.35">
      <c r="A275" t="s">
        <v>214</v>
      </c>
      <c r="B275" t="s">
        <v>536</v>
      </c>
      <c r="C275" t="s">
        <v>273</v>
      </c>
      <c r="D275" t="s">
        <v>274</v>
      </c>
      <c r="H275">
        <v>15</v>
      </c>
      <c r="I275">
        <v>50</v>
      </c>
      <c r="L275">
        <v>5</v>
      </c>
    </row>
    <row r="276" spans="1:12" x14ac:dyDescent="0.35">
      <c r="A276" t="s">
        <v>214</v>
      </c>
      <c r="B276" t="s">
        <v>536</v>
      </c>
      <c r="C276" t="s">
        <v>277</v>
      </c>
      <c r="D276" t="s">
        <v>278</v>
      </c>
      <c r="H276">
        <v>15</v>
      </c>
      <c r="I276">
        <v>47</v>
      </c>
      <c r="L276">
        <v>10</v>
      </c>
    </row>
    <row r="277" spans="1:12" x14ac:dyDescent="0.35">
      <c r="A277" t="s">
        <v>214</v>
      </c>
      <c r="B277" t="s">
        <v>536</v>
      </c>
      <c r="C277" t="s">
        <v>279</v>
      </c>
      <c r="D277" t="s">
        <v>280</v>
      </c>
      <c r="H277">
        <v>4</v>
      </c>
      <c r="I277">
        <v>17</v>
      </c>
      <c r="L277">
        <v>5</v>
      </c>
    </row>
    <row r="278" spans="1:12" x14ac:dyDescent="0.35">
      <c r="A278" t="s">
        <v>214</v>
      </c>
      <c r="B278" t="s">
        <v>536</v>
      </c>
      <c r="C278" t="s">
        <v>281</v>
      </c>
      <c r="D278" t="s">
        <v>282</v>
      </c>
      <c r="H278">
        <v>5</v>
      </c>
      <c r="I278">
        <v>20</v>
      </c>
      <c r="L278">
        <v>5</v>
      </c>
    </row>
    <row r="279" spans="1:12" x14ac:dyDescent="0.35">
      <c r="A279" t="s">
        <v>214</v>
      </c>
      <c r="B279" t="s">
        <v>536</v>
      </c>
      <c r="C279" t="s">
        <v>287</v>
      </c>
      <c r="D279" t="s">
        <v>288</v>
      </c>
      <c r="H279">
        <v>15</v>
      </c>
      <c r="I279">
        <v>45</v>
      </c>
      <c r="L279">
        <v>16</v>
      </c>
    </row>
    <row r="280" spans="1:12" x14ac:dyDescent="0.35">
      <c r="A280" t="s">
        <v>214</v>
      </c>
      <c r="B280" t="s">
        <v>536</v>
      </c>
      <c r="C280" t="s">
        <v>298</v>
      </c>
      <c r="D280" t="s">
        <v>299</v>
      </c>
      <c r="H280">
        <v>10</v>
      </c>
      <c r="I280">
        <v>36</v>
      </c>
      <c r="L280">
        <v>10</v>
      </c>
    </row>
    <row r="281" spans="1:12" x14ac:dyDescent="0.35">
      <c r="A281" t="s">
        <v>214</v>
      </c>
      <c r="B281" t="s">
        <v>536</v>
      </c>
      <c r="C281" t="s">
        <v>302</v>
      </c>
      <c r="D281" t="s">
        <v>303</v>
      </c>
      <c r="H281">
        <v>11</v>
      </c>
      <c r="I281">
        <v>34</v>
      </c>
      <c r="L281">
        <v>5</v>
      </c>
    </row>
    <row r="282" spans="1:12" x14ac:dyDescent="0.35">
      <c r="A282" t="s">
        <v>214</v>
      </c>
      <c r="B282" t="s">
        <v>536</v>
      </c>
      <c r="C282" t="s">
        <v>304</v>
      </c>
      <c r="D282" t="s">
        <v>305</v>
      </c>
      <c r="H282">
        <v>36</v>
      </c>
      <c r="I282">
        <v>111</v>
      </c>
      <c r="L282">
        <v>20</v>
      </c>
    </row>
    <row r="283" spans="1:12" x14ac:dyDescent="0.35">
      <c r="A283" t="s">
        <v>214</v>
      </c>
      <c r="B283" t="s">
        <v>536</v>
      </c>
      <c r="C283" t="s">
        <v>307</v>
      </c>
      <c r="D283" t="s">
        <v>308</v>
      </c>
      <c r="H283">
        <v>10</v>
      </c>
      <c r="I283">
        <v>34</v>
      </c>
      <c r="L283">
        <v>5</v>
      </c>
    </row>
    <row r="284" spans="1:12" x14ac:dyDescent="0.35">
      <c r="A284" t="s">
        <v>214</v>
      </c>
      <c r="B284" t="s">
        <v>536</v>
      </c>
      <c r="C284" t="s">
        <v>215</v>
      </c>
      <c r="D284" t="s">
        <v>216</v>
      </c>
      <c r="H284">
        <v>35</v>
      </c>
      <c r="I284">
        <v>104</v>
      </c>
      <c r="L284">
        <v>15</v>
      </c>
    </row>
    <row r="285" spans="1:12" x14ac:dyDescent="0.35">
      <c r="A285" t="s">
        <v>214</v>
      </c>
      <c r="B285" t="s">
        <v>536</v>
      </c>
      <c r="C285" t="s">
        <v>220</v>
      </c>
      <c r="D285" t="s">
        <v>221</v>
      </c>
      <c r="H285">
        <v>5</v>
      </c>
      <c r="I285">
        <v>20</v>
      </c>
      <c r="L285">
        <v>5</v>
      </c>
    </row>
    <row r="286" spans="1:12" x14ac:dyDescent="0.35">
      <c r="A286" t="s">
        <v>214</v>
      </c>
      <c r="B286" t="s">
        <v>536</v>
      </c>
      <c r="C286" t="s">
        <v>228</v>
      </c>
      <c r="D286" t="s">
        <v>229</v>
      </c>
      <c r="H286">
        <v>11</v>
      </c>
      <c r="I286">
        <v>33</v>
      </c>
      <c r="L286">
        <v>10</v>
      </c>
    </row>
    <row r="287" spans="1:12" x14ac:dyDescent="0.35">
      <c r="A287" t="s">
        <v>214</v>
      </c>
      <c r="B287" t="s">
        <v>536</v>
      </c>
      <c r="C287" t="s">
        <v>234</v>
      </c>
      <c r="D287" t="s">
        <v>235</v>
      </c>
      <c r="H287">
        <v>59</v>
      </c>
      <c r="I287">
        <v>203</v>
      </c>
      <c r="L287">
        <v>35</v>
      </c>
    </row>
    <row r="288" spans="1:12" x14ac:dyDescent="0.35">
      <c r="A288" t="s">
        <v>214</v>
      </c>
      <c r="B288" t="s">
        <v>536</v>
      </c>
      <c r="C288" t="s">
        <v>296</v>
      </c>
      <c r="D288" t="s">
        <v>297</v>
      </c>
      <c r="H288">
        <v>18</v>
      </c>
      <c r="I288">
        <v>65</v>
      </c>
      <c r="L288">
        <v>16</v>
      </c>
    </row>
    <row r="289" spans="1:12" x14ac:dyDescent="0.35">
      <c r="A289" t="s">
        <v>214</v>
      </c>
      <c r="B289" t="s">
        <v>536</v>
      </c>
      <c r="C289" t="s">
        <v>309</v>
      </c>
      <c r="D289" t="s">
        <v>310</v>
      </c>
      <c r="H289">
        <v>15</v>
      </c>
      <c r="I289">
        <v>48</v>
      </c>
      <c r="L289">
        <v>10</v>
      </c>
    </row>
    <row r="290" spans="1:12" x14ac:dyDescent="0.35">
      <c r="A290" t="s">
        <v>214</v>
      </c>
      <c r="B290" t="s">
        <v>536</v>
      </c>
      <c r="C290" t="s">
        <v>311</v>
      </c>
      <c r="D290" t="s">
        <v>312</v>
      </c>
      <c r="H290">
        <v>10</v>
      </c>
      <c r="I290">
        <v>36</v>
      </c>
      <c r="L290">
        <v>10</v>
      </c>
    </row>
    <row r="291" spans="1:12" x14ac:dyDescent="0.35">
      <c r="A291" t="s">
        <v>214</v>
      </c>
      <c r="B291" t="s">
        <v>536</v>
      </c>
      <c r="C291" t="s">
        <v>224</v>
      </c>
      <c r="D291" t="s">
        <v>225</v>
      </c>
      <c r="H291">
        <v>5</v>
      </c>
      <c r="I291">
        <v>18</v>
      </c>
      <c r="L291">
        <v>5</v>
      </c>
    </row>
    <row r="292" spans="1:12" x14ac:dyDescent="0.35">
      <c r="A292" t="s">
        <v>214</v>
      </c>
      <c r="B292" t="s">
        <v>536</v>
      </c>
      <c r="C292" t="s">
        <v>247</v>
      </c>
      <c r="D292" t="s">
        <v>248</v>
      </c>
      <c r="H292">
        <v>35</v>
      </c>
      <c r="I292">
        <v>122</v>
      </c>
      <c r="L292">
        <v>20</v>
      </c>
    </row>
    <row r="293" spans="1:12" x14ac:dyDescent="0.35">
      <c r="A293" t="s">
        <v>214</v>
      </c>
      <c r="B293" t="s">
        <v>536</v>
      </c>
      <c r="C293" t="s">
        <v>289</v>
      </c>
      <c r="D293" t="s">
        <v>290</v>
      </c>
      <c r="H293">
        <v>35</v>
      </c>
      <c r="I293">
        <v>111</v>
      </c>
      <c r="L293">
        <v>20</v>
      </c>
    </row>
    <row r="294" spans="1:12" x14ac:dyDescent="0.35">
      <c r="A294" t="s">
        <v>214</v>
      </c>
      <c r="B294" t="s">
        <v>536</v>
      </c>
      <c r="C294" t="s">
        <v>253</v>
      </c>
      <c r="D294" t="s">
        <v>254</v>
      </c>
      <c r="H294">
        <v>15</v>
      </c>
      <c r="I294">
        <v>47</v>
      </c>
      <c r="L294">
        <v>16</v>
      </c>
    </row>
    <row r="295" spans="1:12" x14ac:dyDescent="0.35">
      <c r="A295" t="s">
        <v>214</v>
      </c>
      <c r="B295" t="s">
        <v>536</v>
      </c>
      <c r="C295" t="s">
        <v>270</v>
      </c>
      <c r="D295" t="s">
        <v>271</v>
      </c>
      <c r="H295">
        <v>110</v>
      </c>
      <c r="I295">
        <v>349</v>
      </c>
      <c r="L295">
        <v>56</v>
      </c>
    </row>
    <row r="296" spans="1:12" x14ac:dyDescent="0.35">
      <c r="A296" t="s">
        <v>214</v>
      </c>
      <c r="B296" t="s">
        <v>536</v>
      </c>
      <c r="C296" t="s">
        <v>267</v>
      </c>
      <c r="D296" t="s">
        <v>268</v>
      </c>
      <c r="H296">
        <v>48</v>
      </c>
      <c r="I296">
        <v>199</v>
      </c>
      <c r="L296">
        <v>27</v>
      </c>
    </row>
    <row r="297" spans="1:12" x14ac:dyDescent="0.35">
      <c r="A297" t="s">
        <v>214</v>
      </c>
      <c r="B297" t="s">
        <v>536</v>
      </c>
      <c r="C297" t="s">
        <v>494</v>
      </c>
      <c r="D297" t="s">
        <v>295</v>
      </c>
      <c r="H297">
        <v>10</v>
      </c>
      <c r="I297">
        <v>54</v>
      </c>
      <c r="L297">
        <v>5</v>
      </c>
    </row>
    <row r="298" spans="1:12" x14ac:dyDescent="0.35">
      <c r="A298" t="s">
        <v>214</v>
      </c>
      <c r="B298" t="s">
        <v>539</v>
      </c>
      <c r="C298" t="s">
        <v>217</v>
      </c>
      <c r="D298" t="s">
        <v>216</v>
      </c>
      <c r="F298">
        <v>1</v>
      </c>
      <c r="H298">
        <v>2</v>
      </c>
      <c r="I298">
        <v>1</v>
      </c>
      <c r="J298">
        <v>2</v>
      </c>
      <c r="K298">
        <v>4</v>
      </c>
      <c r="L298">
        <v>6</v>
      </c>
    </row>
    <row r="299" spans="1:12" x14ac:dyDescent="0.35">
      <c r="A299" t="s">
        <v>214</v>
      </c>
      <c r="B299" t="s">
        <v>539</v>
      </c>
      <c r="C299" t="s">
        <v>222</v>
      </c>
      <c r="D299" t="s">
        <v>223</v>
      </c>
      <c r="F299">
        <v>1</v>
      </c>
      <c r="H299">
        <v>6</v>
      </c>
      <c r="J299">
        <v>2</v>
      </c>
      <c r="K299">
        <v>8</v>
      </c>
      <c r="L299">
        <v>8</v>
      </c>
    </row>
    <row r="300" spans="1:12" x14ac:dyDescent="0.35">
      <c r="A300" t="s">
        <v>214</v>
      </c>
      <c r="B300" t="s">
        <v>539</v>
      </c>
      <c r="C300" t="s">
        <v>230</v>
      </c>
      <c r="D300" t="s">
        <v>231</v>
      </c>
      <c r="F300">
        <v>1</v>
      </c>
      <c r="H300">
        <v>6</v>
      </c>
      <c r="I300">
        <v>2</v>
      </c>
      <c r="J300">
        <v>3</v>
      </c>
      <c r="K300">
        <v>8</v>
      </c>
      <c r="L300">
        <v>6</v>
      </c>
    </row>
    <row r="301" spans="1:12" x14ac:dyDescent="0.35">
      <c r="A301" t="s">
        <v>214</v>
      </c>
      <c r="B301" t="s">
        <v>539</v>
      </c>
      <c r="C301" t="s">
        <v>246</v>
      </c>
      <c r="D301" t="s">
        <v>245</v>
      </c>
      <c r="F301">
        <v>1</v>
      </c>
      <c r="H301">
        <v>4</v>
      </c>
      <c r="I301">
        <v>1.83</v>
      </c>
      <c r="J301">
        <v>2</v>
      </c>
      <c r="K301">
        <v>6</v>
      </c>
      <c r="L301">
        <v>7</v>
      </c>
    </row>
    <row r="302" spans="1:12" x14ac:dyDescent="0.35">
      <c r="A302" t="s">
        <v>214</v>
      </c>
      <c r="B302" t="s">
        <v>539</v>
      </c>
      <c r="C302" t="s">
        <v>251</v>
      </c>
      <c r="D302" t="s">
        <v>252</v>
      </c>
      <c r="F302">
        <v>1</v>
      </c>
      <c r="H302">
        <v>2</v>
      </c>
      <c r="I302">
        <v>1.6</v>
      </c>
      <c r="J302">
        <v>3</v>
      </c>
      <c r="K302">
        <v>9</v>
      </c>
      <c r="L302">
        <v>8</v>
      </c>
    </row>
    <row r="303" spans="1:12" x14ac:dyDescent="0.35">
      <c r="A303" t="s">
        <v>214</v>
      </c>
      <c r="B303" t="s">
        <v>539</v>
      </c>
      <c r="C303" t="s">
        <v>257</v>
      </c>
      <c r="D303" t="s">
        <v>258</v>
      </c>
      <c r="F303">
        <v>1</v>
      </c>
      <c r="H303">
        <v>2</v>
      </c>
      <c r="I303">
        <v>3</v>
      </c>
      <c r="J303">
        <v>3</v>
      </c>
      <c r="K303">
        <v>7</v>
      </c>
      <c r="L303">
        <v>9</v>
      </c>
    </row>
    <row r="304" spans="1:12" x14ac:dyDescent="0.35">
      <c r="A304" t="s">
        <v>214</v>
      </c>
      <c r="B304" t="s">
        <v>539</v>
      </c>
      <c r="C304" t="s">
        <v>261</v>
      </c>
      <c r="D304" t="s">
        <v>262</v>
      </c>
      <c r="F304">
        <v>1</v>
      </c>
      <c r="I304">
        <v>2</v>
      </c>
      <c r="J304">
        <v>4</v>
      </c>
      <c r="K304">
        <v>4</v>
      </c>
      <c r="L304">
        <v>3</v>
      </c>
    </row>
    <row r="305" spans="1:12" x14ac:dyDescent="0.35">
      <c r="A305" t="s">
        <v>214</v>
      </c>
      <c r="B305" t="s">
        <v>539</v>
      </c>
      <c r="C305" t="s">
        <v>236</v>
      </c>
      <c r="D305" t="s">
        <v>237</v>
      </c>
      <c r="F305">
        <v>1</v>
      </c>
      <c r="H305">
        <v>5</v>
      </c>
      <c r="I305">
        <v>2.5</v>
      </c>
      <c r="J305">
        <v>5</v>
      </c>
      <c r="K305">
        <v>4</v>
      </c>
      <c r="L305">
        <v>12</v>
      </c>
    </row>
    <row r="306" spans="1:12" x14ac:dyDescent="0.35">
      <c r="A306" t="s">
        <v>214</v>
      </c>
      <c r="B306" t="s">
        <v>539</v>
      </c>
      <c r="C306" t="s">
        <v>265</v>
      </c>
      <c r="D306" t="s">
        <v>266</v>
      </c>
      <c r="F306">
        <v>1</v>
      </c>
      <c r="H306">
        <v>3</v>
      </c>
      <c r="I306">
        <v>2</v>
      </c>
      <c r="J306">
        <v>2</v>
      </c>
      <c r="K306">
        <v>6</v>
      </c>
      <c r="L306">
        <v>6</v>
      </c>
    </row>
    <row r="307" spans="1:12" x14ac:dyDescent="0.35">
      <c r="A307" t="s">
        <v>214</v>
      </c>
      <c r="B307" t="s">
        <v>539</v>
      </c>
      <c r="C307" t="s">
        <v>272</v>
      </c>
      <c r="D307" t="s">
        <v>271</v>
      </c>
      <c r="F307">
        <v>1</v>
      </c>
      <c r="H307">
        <v>2</v>
      </c>
      <c r="I307">
        <v>2</v>
      </c>
      <c r="J307">
        <v>4</v>
      </c>
      <c r="K307">
        <v>9</v>
      </c>
      <c r="L307">
        <v>7</v>
      </c>
    </row>
    <row r="308" spans="1:12" x14ac:dyDescent="0.35">
      <c r="A308" t="s">
        <v>214</v>
      </c>
      <c r="B308" t="s">
        <v>539</v>
      </c>
      <c r="C308" t="s">
        <v>275</v>
      </c>
      <c r="D308" t="s">
        <v>276</v>
      </c>
      <c r="F308">
        <v>1</v>
      </c>
      <c r="H308">
        <v>9</v>
      </c>
      <c r="I308">
        <v>1</v>
      </c>
      <c r="J308">
        <v>4</v>
      </c>
      <c r="K308">
        <v>14</v>
      </c>
      <c r="L308">
        <v>16</v>
      </c>
    </row>
    <row r="309" spans="1:12" x14ac:dyDescent="0.35">
      <c r="A309" t="s">
        <v>214</v>
      </c>
      <c r="B309" t="s">
        <v>539</v>
      </c>
      <c r="C309" t="s">
        <v>291</v>
      </c>
      <c r="D309" t="s">
        <v>290</v>
      </c>
      <c r="F309">
        <v>1</v>
      </c>
      <c r="H309">
        <v>2</v>
      </c>
      <c r="I309">
        <v>1</v>
      </c>
      <c r="J309">
        <v>2</v>
      </c>
      <c r="K309">
        <v>5</v>
      </c>
      <c r="L309">
        <v>6</v>
      </c>
    </row>
    <row r="310" spans="1:12" x14ac:dyDescent="0.35">
      <c r="A310" t="s">
        <v>214</v>
      </c>
      <c r="B310" t="s">
        <v>539</v>
      </c>
      <c r="C310" t="s">
        <v>306</v>
      </c>
      <c r="D310" t="s">
        <v>305</v>
      </c>
      <c r="F310">
        <v>1</v>
      </c>
      <c r="H310">
        <v>2</v>
      </c>
      <c r="I310">
        <v>1</v>
      </c>
      <c r="J310">
        <v>2</v>
      </c>
      <c r="K310">
        <v>6</v>
      </c>
      <c r="L310">
        <v>4</v>
      </c>
    </row>
    <row r="311" spans="1:12" x14ac:dyDescent="0.35">
      <c r="A311" t="s">
        <v>214</v>
      </c>
      <c r="B311" t="s">
        <v>539</v>
      </c>
      <c r="C311" t="s">
        <v>242</v>
      </c>
      <c r="D311" t="s">
        <v>243</v>
      </c>
      <c r="F311">
        <v>1</v>
      </c>
      <c r="H311">
        <v>3</v>
      </c>
      <c r="I311">
        <v>1</v>
      </c>
      <c r="J311">
        <v>2</v>
      </c>
      <c r="K311">
        <v>6</v>
      </c>
      <c r="L311">
        <v>5</v>
      </c>
    </row>
    <row r="312" spans="1:12" x14ac:dyDescent="0.35">
      <c r="A312" t="s">
        <v>214</v>
      </c>
      <c r="B312" t="s">
        <v>539</v>
      </c>
      <c r="C312" t="s">
        <v>285</v>
      </c>
      <c r="D312" t="s">
        <v>286</v>
      </c>
      <c r="F312">
        <v>1</v>
      </c>
      <c r="H312">
        <v>3</v>
      </c>
      <c r="J312">
        <v>3</v>
      </c>
      <c r="K312">
        <v>5</v>
      </c>
      <c r="L312">
        <v>4</v>
      </c>
    </row>
    <row r="313" spans="1:12" x14ac:dyDescent="0.35">
      <c r="A313" t="s">
        <v>214</v>
      </c>
      <c r="B313" t="s">
        <v>539</v>
      </c>
      <c r="C313" t="s">
        <v>226</v>
      </c>
      <c r="D313" t="s">
        <v>227</v>
      </c>
      <c r="F313">
        <v>1</v>
      </c>
      <c r="H313">
        <v>3</v>
      </c>
      <c r="I313">
        <v>2</v>
      </c>
      <c r="J313">
        <v>4</v>
      </c>
      <c r="K313">
        <v>8</v>
      </c>
      <c r="L313">
        <v>11</v>
      </c>
    </row>
    <row r="314" spans="1:12" x14ac:dyDescent="0.35">
      <c r="A314" t="s">
        <v>214</v>
      </c>
      <c r="B314" t="s">
        <v>539</v>
      </c>
      <c r="C314" t="s">
        <v>269</v>
      </c>
      <c r="D314" t="s">
        <v>268</v>
      </c>
      <c r="I314">
        <v>4</v>
      </c>
      <c r="J314">
        <v>2</v>
      </c>
      <c r="K314">
        <v>6</v>
      </c>
      <c r="L314">
        <v>6</v>
      </c>
    </row>
    <row r="315" spans="1:12" x14ac:dyDescent="0.35">
      <c r="A315" t="s">
        <v>214</v>
      </c>
      <c r="B315" t="s">
        <v>541</v>
      </c>
      <c r="C315" t="s">
        <v>232</v>
      </c>
      <c r="D315" t="s">
        <v>233</v>
      </c>
      <c r="F315">
        <v>1</v>
      </c>
      <c r="H315">
        <v>26</v>
      </c>
      <c r="J315">
        <v>5</v>
      </c>
      <c r="K315">
        <v>12</v>
      </c>
      <c r="L315">
        <v>35</v>
      </c>
    </row>
    <row r="316" spans="1:12" x14ac:dyDescent="0.35">
      <c r="A316" t="s">
        <v>214</v>
      </c>
      <c r="B316" t="s">
        <v>541</v>
      </c>
      <c r="C316" t="s">
        <v>238</v>
      </c>
      <c r="D316" t="s">
        <v>239</v>
      </c>
      <c r="F316">
        <v>1</v>
      </c>
      <c r="H316">
        <v>8</v>
      </c>
      <c r="J316">
        <v>5</v>
      </c>
      <c r="K316">
        <v>5</v>
      </c>
      <c r="L316">
        <v>18</v>
      </c>
    </row>
    <row r="317" spans="1:12" x14ac:dyDescent="0.35">
      <c r="A317" t="s">
        <v>214</v>
      </c>
      <c r="B317" t="s">
        <v>541</v>
      </c>
      <c r="C317" t="s">
        <v>218</v>
      </c>
      <c r="D317" t="s">
        <v>219</v>
      </c>
      <c r="F317">
        <v>1</v>
      </c>
      <c r="H317">
        <v>7</v>
      </c>
      <c r="J317">
        <v>4</v>
      </c>
      <c r="K317">
        <v>7</v>
      </c>
      <c r="L317">
        <v>11</v>
      </c>
    </row>
    <row r="318" spans="1:12" x14ac:dyDescent="0.35">
      <c r="A318" t="s">
        <v>214</v>
      </c>
      <c r="B318" t="s">
        <v>543</v>
      </c>
      <c r="C318" t="s">
        <v>548</v>
      </c>
      <c r="D318" t="s">
        <v>544</v>
      </c>
      <c r="F318">
        <v>14</v>
      </c>
      <c r="G318">
        <v>4</v>
      </c>
      <c r="I318">
        <v>60</v>
      </c>
      <c r="J318">
        <v>17</v>
      </c>
      <c r="K318">
        <v>8</v>
      </c>
      <c r="L318">
        <v>46</v>
      </c>
    </row>
    <row r="319" spans="1:12" x14ac:dyDescent="0.35">
      <c r="A319" t="s">
        <v>313</v>
      </c>
      <c r="B319" t="s">
        <v>536</v>
      </c>
      <c r="C319" t="s">
        <v>232</v>
      </c>
      <c r="D319" t="s">
        <v>229</v>
      </c>
      <c r="H319">
        <v>10</v>
      </c>
      <c r="I319">
        <v>33</v>
      </c>
      <c r="L319">
        <v>10</v>
      </c>
    </row>
    <row r="320" spans="1:12" x14ac:dyDescent="0.35">
      <c r="A320" t="s">
        <v>313</v>
      </c>
      <c r="B320" t="s">
        <v>536</v>
      </c>
      <c r="C320" t="s">
        <v>232</v>
      </c>
      <c r="D320" t="s">
        <v>245</v>
      </c>
      <c r="H320">
        <v>10</v>
      </c>
      <c r="I320">
        <v>37</v>
      </c>
      <c r="L320">
        <v>5</v>
      </c>
    </row>
    <row r="321" spans="1:12" x14ac:dyDescent="0.35">
      <c r="A321" t="s">
        <v>313</v>
      </c>
      <c r="B321" t="s">
        <v>536</v>
      </c>
      <c r="C321" t="s">
        <v>232</v>
      </c>
      <c r="D321" t="s">
        <v>250</v>
      </c>
      <c r="H321">
        <v>10</v>
      </c>
      <c r="I321">
        <v>34</v>
      </c>
      <c r="L321">
        <v>5</v>
      </c>
    </row>
    <row r="322" spans="1:12" x14ac:dyDescent="0.35">
      <c r="A322" t="s">
        <v>313</v>
      </c>
      <c r="B322" t="s">
        <v>536</v>
      </c>
      <c r="C322" t="s">
        <v>232</v>
      </c>
      <c r="D322" t="s">
        <v>254</v>
      </c>
      <c r="H322">
        <v>15</v>
      </c>
      <c r="I322">
        <v>49</v>
      </c>
      <c r="L322">
        <v>15</v>
      </c>
    </row>
    <row r="323" spans="1:12" x14ac:dyDescent="0.35">
      <c r="A323" t="s">
        <v>313</v>
      </c>
      <c r="B323" t="s">
        <v>536</v>
      </c>
      <c r="C323" t="s">
        <v>232</v>
      </c>
      <c r="D323" t="s">
        <v>260</v>
      </c>
      <c r="H323">
        <v>10</v>
      </c>
      <c r="I323">
        <v>30</v>
      </c>
      <c r="L323">
        <v>10</v>
      </c>
    </row>
    <row r="324" spans="1:12" x14ac:dyDescent="0.35">
      <c r="A324" t="s">
        <v>313</v>
      </c>
      <c r="B324" t="s">
        <v>536</v>
      </c>
      <c r="C324" t="s">
        <v>232</v>
      </c>
      <c r="D324" t="s">
        <v>271</v>
      </c>
      <c r="H324">
        <v>114</v>
      </c>
      <c r="I324">
        <v>346</v>
      </c>
      <c r="L324">
        <v>57</v>
      </c>
    </row>
    <row r="325" spans="1:12" x14ac:dyDescent="0.35">
      <c r="A325" t="s">
        <v>313</v>
      </c>
      <c r="B325" t="s">
        <v>536</v>
      </c>
      <c r="C325" t="s">
        <v>232</v>
      </c>
      <c r="D325" t="s">
        <v>278</v>
      </c>
      <c r="H325">
        <v>15</v>
      </c>
      <c r="I325">
        <v>45</v>
      </c>
      <c r="L325">
        <v>10</v>
      </c>
    </row>
    <row r="326" spans="1:12" x14ac:dyDescent="0.35">
      <c r="A326" t="s">
        <v>313</v>
      </c>
      <c r="B326" t="s">
        <v>536</v>
      </c>
      <c r="C326" t="s">
        <v>232</v>
      </c>
      <c r="D326" t="s">
        <v>288</v>
      </c>
      <c r="H326">
        <v>15</v>
      </c>
      <c r="I326">
        <v>45</v>
      </c>
      <c r="L326">
        <v>15</v>
      </c>
    </row>
    <row r="327" spans="1:12" x14ac:dyDescent="0.35">
      <c r="A327" t="s">
        <v>313</v>
      </c>
      <c r="B327" t="s">
        <v>536</v>
      </c>
      <c r="C327" t="s">
        <v>232</v>
      </c>
      <c r="D327" t="s">
        <v>290</v>
      </c>
      <c r="H327">
        <v>37</v>
      </c>
      <c r="I327">
        <v>105</v>
      </c>
      <c r="L327">
        <v>21</v>
      </c>
    </row>
    <row r="328" spans="1:12" x14ac:dyDescent="0.35">
      <c r="A328" t="s">
        <v>313</v>
      </c>
      <c r="B328" t="s">
        <v>536</v>
      </c>
      <c r="C328" t="s">
        <v>232</v>
      </c>
      <c r="D328" t="s">
        <v>297</v>
      </c>
      <c r="H328">
        <v>21</v>
      </c>
      <c r="I328">
        <v>66</v>
      </c>
      <c r="L328">
        <v>15</v>
      </c>
    </row>
    <row r="329" spans="1:12" x14ac:dyDescent="0.35">
      <c r="A329" t="s">
        <v>313</v>
      </c>
      <c r="B329" t="s">
        <v>536</v>
      </c>
      <c r="C329" t="s">
        <v>232</v>
      </c>
      <c r="D329" t="s">
        <v>303</v>
      </c>
      <c r="H329">
        <v>9</v>
      </c>
      <c r="I329">
        <v>36</v>
      </c>
      <c r="L329">
        <v>5</v>
      </c>
    </row>
    <row r="330" spans="1:12" x14ac:dyDescent="0.35">
      <c r="A330" t="s">
        <v>313</v>
      </c>
      <c r="B330" t="s">
        <v>536</v>
      </c>
      <c r="C330" t="s">
        <v>232</v>
      </c>
      <c r="D330" t="s">
        <v>305</v>
      </c>
      <c r="H330">
        <v>37</v>
      </c>
      <c r="I330">
        <v>111</v>
      </c>
      <c r="L330">
        <v>20</v>
      </c>
    </row>
    <row r="331" spans="1:12" x14ac:dyDescent="0.35">
      <c r="A331" t="s">
        <v>313</v>
      </c>
      <c r="B331" t="s">
        <v>536</v>
      </c>
      <c r="C331" t="s">
        <v>232</v>
      </c>
      <c r="D331" t="s">
        <v>310</v>
      </c>
      <c r="H331">
        <v>15</v>
      </c>
      <c r="I331">
        <v>48</v>
      </c>
      <c r="L331">
        <v>10</v>
      </c>
    </row>
    <row r="332" spans="1:12" x14ac:dyDescent="0.35">
      <c r="A332" t="s">
        <v>313</v>
      </c>
      <c r="B332" t="s">
        <v>536</v>
      </c>
      <c r="C332" t="s">
        <v>238</v>
      </c>
      <c r="D332" t="s">
        <v>235</v>
      </c>
      <c r="H332">
        <v>56</v>
      </c>
      <c r="I332">
        <v>214</v>
      </c>
      <c r="L332">
        <v>36</v>
      </c>
    </row>
    <row r="333" spans="1:12" x14ac:dyDescent="0.35">
      <c r="A333" t="s">
        <v>313</v>
      </c>
      <c r="B333" t="s">
        <v>536</v>
      </c>
      <c r="C333" t="s">
        <v>238</v>
      </c>
      <c r="D333" t="s">
        <v>241</v>
      </c>
      <c r="H333">
        <v>5</v>
      </c>
      <c r="I333">
        <v>15</v>
      </c>
      <c r="L333">
        <v>5</v>
      </c>
    </row>
    <row r="334" spans="1:12" x14ac:dyDescent="0.35">
      <c r="A334" t="s">
        <v>313</v>
      </c>
      <c r="B334" t="s">
        <v>536</v>
      </c>
      <c r="C334" t="s">
        <v>238</v>
      </c>
      <c r="D334" t="s">
        <v>256</v>
      </c>
      <c r="H334">
        <v>5</v>
      </c>
      <c r="I334">
        <v>15</v>
      </c>
      <c r="L334">
        <v>5</v>
      </c>
    </row>
    <row r="335" spans="1:12" x14ac:dyDescent="0.35">
      <c r="A335" t="s">
        <v>313</v>
      </c>
      <c r="B335" t="s">
        <v>536</v>
      </c>
      <c r="C335" t="s">
        <v>238</v>
      </c>
      <c r="D335" t="s">
        <v>264</v>
      </c>
      <c r="H335">
        <v>19</v>
      </c>
      <c r="I335">
        <v>54</v>
      </c>
      <c r="L335">
        <v>15</v>
      </c>
    </row>
    <row r="336" spans="1:12" x14ac:dyDescent="0.35">
      <c r="A336" t="s">
        <v>313</v>
      </c>
      <c r="B336" t="s">
        <v>536</v>
      </c>
      <c r="C336" t="s">
        <v>238</v>
      </c>
      <c r="D336" t="s">
        <v>268</v>
      </c>
      <c r="H336">
        <v>51</v>
      </c>
      <c r="I336">
        <v>192</v>
      </c>
      <c r="L336">
        <v>26</v>
      </c>
    </row>
    <row r="337" spans="1:12" x14ac:dyDescent="0.35">
      <c r="A337" t="s">
        <v>313</v>
      </c>
      <c r="B337" t="s">
        <v>536</v>
      </c>
      <c r="C337" t="s">
        <v>238</v>
      </c>
      <c r="D337" t="s">
        <v>280</v>
      </c>
      <c r="H337">
        <v>4</v>
      </c>
      <c r="I337">
        <v>17</v>
      </c>
      <c r="L337">
        <v>5</v>
      </c>
    </row>
    <row r="338" spans="1:12" x14ac:dyDescent="0.35">
      <c r="A338" t="s">
        <v>313</v>
      </c>
      <c r="B338" t="s">
        <v>536</v>
      </c>
      <c r="C338" t="s">
        <v>238</v>
      </c>
      <c r="D338" t="s">
        <v>299</v>
      </c>
      <c r="H338">
        <v>10</v>
      </c>
      <c r="I338">
        <v>33</v>
      </c>
      <c r="L338">
        <v>10</v>
      </c>
    </row>
    <row r="339" spans="1:12" x14ac:dyDescent="0.35">
      <c r="A339" t="s">
        <v>313</v>
      </c>
      <c r="B339" t="s">
        <v>536</v>
      </c>
      <c r="C339" t="s">
        <v>238</v>
      </c>
      <c r="D339" t="s">
        <v>308</v>
      </c>
      <c r="H339">
        <v>10</v>
      </c>
      <c r="I339">
        <v>36</v>
      </c>
      <c r="L339">
        <v>5</v>
      </c>
    </row>
    <row r="340" spans="1:12" x14ac:dyDescent="0.35">
      <c r="A340" t="s">
        <v>313</v>
      </c>
      <c r="B340" t="s">
        <v>536</v>
      </c>
      <c r="C340" t="s">
        <v>238</v>
      </c>
      <c r="D340" t="s">
        <v>312</v>
      </c>
      <c r="H340">
        <v>10</v>
      </c>
      <c r="I340">
        <v>37</v>
      </c>
      <c r="L340">
        <v>10</v>
      </c>
    </row>
    <row r="341" spans="1:12" x14ac:dyDescent="0.35">
      <c r="A341" t="s">
        <v>313</v>
      </c>
      <c r="B341" t="s">
        <v>536</v>
      </c>
      <c r="C341" t="s">
        <v>218</v>
      </c>
      <c r="D341" t="s">
        <v>216</v>
      </c>
      <c r="H341">
        <v>35</v>
      </c>
      <c r="I341">
        <v>105</v>
      </c>
      <c r="L341">
        <v>15</v>
      </c>
    </row>
    <row r="342" spans="1:12" x14ac:dyDescent="0.35">
      <c r="A342" t="s">
        <v>313</v>
      </c>
      <c r="B342" t="s">
        <v>536</v>
      </c>
      <c r="C342" t="s">
        <v>218</v>
      </c>
      <c r="D342" t="s">
        <v>221</v>
      </c>
      <c r="H342">
        <v>4</v>
      </c>
      <c r="I342">
        <v>22</v>
      </c>
      <c r="L342">
        <v>6</v>
      </c>
    </row>
    <row r="343" spans="1:12" x14ac:dyDescent="0.35">
      <c r="A343" t="s">
        <v>313</v>
      </c>
      <c r="B343" t="s">
        <v>536</v>
      </c>
      <c r="C343" t="s">
        <v>218</v>
      </c>
      <c r="D343" t="s">
        <v>225</v>
      </c>
      <c r="H343">
        <v>5</v>
      </c>
      <c r="I343">
        <v>17</v>
      </c>
      <c r="L343">
        <v>5</v>
      </c>
    </row>
    <row r="344" spans="1:12" x14ac:dyDescent="0.35">
      <c r="A344" t="s">
        <v>313</v>
      </c>
      <c r="B344" t="s">
        <v>536</v>
      </c>
      <c r="C344" t="s">
        <v>218</v>
      </c>
      <c r="D344" t="s">
        <v>248</v>
      </c>
      <c r="H344">
        <v>36</v>
      </c>
      <c r="I344">
        <v>126</v>
      </c>
      <c r="L344">
        <v>20</v>
      </c>
    </row>
    <row r="345" spans="1:12" x14ac:dyDescent="0.35">
      <c r="A345" t="s">
        <v>313</v>
      </c>
      <c r="B345" t="s">
        <v>536</v>
      </c>
      <c r="C345" t="s">
        <v>218</v>
      </c>
      <c r="D345" t="s">
        <v>274</v>
      </c>
      <c r="H345">
        <v>14</v>
      </c>
      <c r="I345">
        <v>52</v>
      </c>
      <c r="L345">
        <v>5</v>
      </c>
    </row>
    <row r="346" spans="1:12" x14ac:dyDescent="0.35">
      <c r="A346" t="s">
        <v>313</v>
      </c>
      <c r="B346" t="s">
        <v>536</v>
      </c>
      <c r="C346" t="s">
        <v>218</v>
      </c>
      <c r="D346" t="s">
        <v>282</v>
      </c>
      <c r="H346">
        <v>5</v>
      </c>
      <c r="I346">
        <v>20</v>
      </c>
      <c r="L346">
        <v>5</v>
      </c>
    </row>
    <row r="347" spans="1:12" x14ac:dyDescent="0.35">
      <c r="A347" t="s">
        <v>313</v>
      </c>
      <c r="B347" t="s">
        <v>536</v>
      </c>
      <c r="C347" t="s">
        <v>218</v>
      </c>
      <c r="D347" t="s">
        <v>295</v>
      </c>
      <c r="H347">
        <v>10</v>
      </c>
      <c r="I347">
        <v>52</v>
      </c>
      <c r="L347">
        <v>5</v>
      </c>
    </row>
    <row r="348" spans="1:12" x14ac:dyDescent="0.35">
      <c r="A348" t="s">
        <v>313</v>
      </c>
      <c r="B348" t="s">
        <v>539</v>
      </c>
      <c r="D348" t="s">
        <v>314</v>
      </c>
      <c r="F348">
        <v>1</v>
      </c>
      <c r="H348">
        <v>6</v>
      </c>
      <c r="I348">
        <v>4</v>
      </c>
      <c r="J348">
        <v>4</v>
      </c>
      <c r="K348">
        <v>12</v>
      </c>
      <c r="L348">
        <v>11</v>
      </c>
    </row>
    <row r="349" spans="1:12" x14ac:dyDescent="0.35">
      <c r="A349" t="s">
        <v>313</v>
      </c>
      <c r="B349" t="s">
        <v>539</v>
      </c>
      <c r="C349" t="s">
        <v>232</v>
      </c>
      <c r="D349" t="s">
        <v>231</v>
      </c>
      <c r="F349">
        <v>1</v>
      </c>
      <c r="H349">
        <v>7</v>
      </c>
      <c r="I349">
        <v>2</v>
      </c>
      <c r="J349">
        <v>3</v>
      </c>
      <c r="K349">
        <v>8</v>
      </c>
      <c r="L349">
        <v>7</v>
      </c>
    </row>
    <row r="350" spans="1:12" x14ac:dyDescent="0.35">
      <c r="A350" t="s">
        <v>313</v>
      </c>
      <c r="B350" t="s">
        <v>539</v>
      </c>
      <c r="C350" t="s">
        <v>232</v>
      </c>
      <c r="D350" t="s">
        <v>245</v>
      </c>
      <c r="F350">
        <v>1</v>
      </c>
      <c r="H350">
        <v>3</v>
      </c>
      <c r="I350">
        <v>1.83</v>
      </c>
      <c r="J350">
        <v>2</v>
      </c>
      <c r="K350">
        <v>6</v>
      </c>
      <c r="L350">
        <v>8</v>
      </c>
    </row>
    <row r="351" spans="1:12" x14ac:dyDescent="0.35">
      <c r="A351" t="s">
        <v>313</v>
      </c>
      <c r="B351" t="s">
        <v>539</v>
      </c>
      <c r="C351" t="s">
        <v>232</v>
      </c>
      <c r="D351" t="s">
        <v>252</v>
      </c>
      <c r="F351">
        <v>1</v>
      </c>
      <c r="H351">
        <v>5</v>
      </c>
      <c r="I351">
        <v>0.6</v>
      </c>
      <c r="J351">
        <v>3</v>
      </c>
      <c r="K351">
        <v>10</v>
      </c>
      <c r="L351">
        <v>8</v>
      </c>
    </row>
    <row r="352" spans="1:12" x14ac:dyDescent="0.35">
      <c r="A352" t="s">
        <v>313</v>
      </c>
      <c r="B352" t="s">
        <v>539</v>
      </c>
      <c r="C352" t="s">
        <v>232</v>
      </c>
      <c r="D352" t="s">
        <v>262</v>
      </c>
      <c r="F352">
        <v>1</v>
      </c>
      <c r="I352">
        <v>1</v>
      </c>
      <c r="J352">
        <v>4</v>
      </c>
      <c r="K352">
        <v>4</v>
      </c>
      <c r="L352">
        <v>3</v>
      </c>
    </row>
    <row r="353" spans="1:12" x14ac:dyDescent="0.35">
      <c r="A353" t="s">
        <v>313</v>
      </c>
      <c r="B353" t="s">
        <v>539</v>
      </c>
      <c r="C353" t="s">
        <v>232</v>
      </c>
      <c r="D353" t="s">
        <v>271</v>
      </c>
      <c r="F353">
        <v>1</v>
      </c>
      <c r="H353">
        <v>2</v>
      </c>
      <c r="I353">
        <v>2</v>
      </c>
      <c r="J353">
        <v>5</v>
      </c>
      <c r="K353">
        <v>10</v>
      </c>
      <c r="L353">
        <v>5</v>
      </c>
    </row>
    <row r="354" spans="1:12" x14ac:dyDescent="0.35">
      <c r="A354" t="s">
        <v>313</v>
      </c>
      <c r="B354" t="s">
        <v>539</v>
      </c>
      <c r="C354" t="s">
        <v>232</v>
      </c>
      <c r="D354" t="s">
        <v>290</v>
      </c>
      <c r="F354">
        <v>1</v>
      </c>
      <c r="H354">
        <v>2</v>
      </c>
      <c r="I354">
        <v>1</v>
      </c>
      <c r="J354">
        <v>2</v>
      </c>
      <c r="K354">
        <v>5</v>
      </c>
      <c r="L354">
        <v>5</v>
      </c>
    </row>
    <row r="355" spans="1:12" x14ac:dyDescent="0.35">
      <c r="A355" t="s">
        <v>313</v>
      </c>
      <c r="B355" t="s">
        <v>539</v>
      </c>
      <c r="C355" t="s">
        <v>232</v>
      </c>
      <c r="D355" t="s">
        <v>305</v>
      </c>
      <c r="F355">
        <v>1</v>
      </c>
      <c r="H355">
        <v>3</v>
      </c>
      <c r="J355">
        <v>2</v>
      </c>
      <c r="K355">
        <v>6</v>
      </c>
      <c r="L355">
        <v>4</v>
      </c>
    </row>
    <row r="356" spans="1:12" x14ac:dyDescent="0.35">
      <c r="A356" t="s">
        <v>313</v>
      </c>
      <c r="B356" t="s">
        <v>539</v>
      </c>
      <c r="C356" t="s">
        <v>238</v>
      </c>
      <c r="D356" t="s">
        <v>258</v>
      </c>
      <c r="F356">
        <v>1</v>
      </c>
      <c r="H356">
        <v>5</v>
      </c>
      <c r="I356">
        <v>4</v>
      </c>
      <c r="J356">
        <v>3</v>
      </c>
      <c r="K356">
        <v>7</v>
      </c>
      <c r="L356">
        <v>9</v>
      </c>
    </row>
    <row r="357" spans="1:12" x14ac:dyDescent="0.35">
      <c r="A357" t="s">
        <v>313</v>
      </c>
      <c r="B357" t="s">
        <v>539</v>
      </c>
      <c r="C357" t="s">
        <v>238</v>
      </c>
      <c r="D357" t="s">
        <v>237</v>
      </c>
      <c r="F357">
        <v>1</v>
      </c>
      <c r="H357">
        <v>4</v>
      </c>
      <c r="I357">
        <v>3.5</v>
      </c>
      <c r="J357">
        <v>4</v>
      </c>
      <c r="K357">
        <v>5</v>
      </c>
      <c r="L357">
        <v>10</v>
      </c>
    </row>
    <row r="358" spans="1:12" x14ac:dyDescent="0.35">
      <c r="A358" t="s">
        <v>313</v>
      </c>
      <c r="B358" t="s">
        <v>539</v>
      </c>
      <c r="C358" t="s">
        <v>238</v>
      </c>
      <c r="D358" t="s">
        <v>266</v>
      </c>
      <c r="F358">
        <v>1</v>
      </c>
      <c r="H358">
        <v>2</v>
      </c>
      <c r="I358">
        <v>2</v>
      </c>
      <c r="J358">
        <v>2</v>
      </c>
      <c r="K358">
        <v>6</v>
      </c>
      <c r="L358">
        <v>6</v>
      </c>
    </row>
    <row r="359" spans="1:12" x14ac:dyDescent="0.35">
      <c r="A359" t="s">
        <v>313</v>
      </c>
      <c r="B359" t="s">
        <v>539</v>
      </c>
      <c r="C359" t="s">
        <v>218</v>
      </c>
      <c r="D359" t="s">
        <v>216</v>
      </c>
      <c r="F359">
        <v>1</v>
      </c>
      <c r="H359">
        <v>2</v>
      </c>
      <c r="I359">
        <v>1</v>
      </c>
      <c r="J359">
        <v>2</v>
      </c>
      <c r="K359">
        <v>3</v>
      </c>
      <c r="L359">
        <v>4</v>
      </c>
    </row>
    <row r="360" spans="1:12" x14ac:dyDescent="0.35">
      <c r="A360" t="s">
        <v>313</v>
      </c>
      <c r="B360" t="s">
        <v>539</v>
      </c>
      <c r="C360" t="s">
        <v>218</v>
      </c>
      <c r="D360" t="s">
        <v>223</v>
      </c>
      <c r="F360">
        <v>1</v>
      </c>
      <c r="H360">
        <v>4</v>
      </c>
      <c r="I360">
        <v>1</v>
      </c>
      <c r="J360">
        <v>3</v>
      </c>
      <c r="K360">
        <v>9</v>
      </c>
      <c r="L360">
        <v>7</v>
      </c>
    </row>
    <row r="361" spans="1:12" x14ac:dyDescent="0.35">
      <c r="A361" t="s">
        <v>313</v>
      </c>
      <c r="B361" t="s">
        <v>539</v>
      </c>
      <c r="C361" t="s">
        <v>218</v>
      </c>
      <c r="D361" t="s">
        <v>227</v>
      </c>
      <c r="F361">
        <v>1</v>
      </c>
      <c r="H361">
        <v>4</v>
      </c>
      <c r="I361">
        <v>2</v>
      </c>
      <c r="J361">
        <v>4</v>
      </c>
      <c r="K361">
        <v>9</v>
      </c>
      <c r="L361">
        <v>11</v>
      </c>
    </row>
    <row r="362" spans="1:12" x14ac:dyDescent="0.35">
      <c r="A362" t="s">
        <v>313</v>
      </c>
      <c r="B362" t="s">
        <v>539</v>
      </c>
      <c r="C362" t="s">
        <v>218</v>
      </c>
      <c r="D362" t="s">
        <v>276</v>
      </c>
      <c r="F362">
        <v>1</v>
      </c>
      <c r="H362">
        <v>8</v>
      </c>
      <c r="I362">
        <v>1</v>
      </c>
      <c r="J362">
        <v>4</v>
      </c>
      <c r="K362">
        <v>13</v>
      </c>
      <c r="L362">
        <v>11</v>
      </c>
    </row>
    <row r="363" spans="1:12" x14ac:dyDescent="0.35">
      <c r="A363" t="s">
        <v>313</v>
      </c>
      <c r="B363" t="s">
        <v>539</v>
      </c>
      <c r="C363" t="s">
        <v>218</v>
      </c>
      <c r="D363" t="s">
        <v>286</v>
      </c>
      <c r="F363">
        <v>1</v>
      </c>
      <c r="H363">
        <v>1</v>
      </c>
      <c r="J363">
        <v>3</v>
      </c>
      <c r="K363">
        <v>5</v>
      </c>
      <c r="L363">
        <v>4</v>
      </c>
    </row>
    <row r="364" spans="1:12" x14ac:dyDescent="0.35">
      <c r="A364" t="s">
        <v>313</v>
      </c>
      <c r="B364" t="s">
        <v>541</v>
      </c>
      <c r="C364" t="s">
        <v>232</v>
      </c>
      <c r="D364" t="s">
        <v>233</v>
      </c>
      <c r="F364">
        <v>3</v>
      </c>
      <c r="H364">
        <v>21</v>
      </c>
      <c r="J364">
        <v>10</v>
      </c>
      <c r="K364">
        <v>14</v>
      </c>
      <c r="L364">
        <v>55</v>
      </c>
    </row>
    <row r="365" spans="1:12" x14ac:dyDescent="0.35">
      <c r="A365" t="s">
        <v>313</v>
      </c>
      <c r="B365" t="s">
        <v>541</v>
      </c>
      <c r="C365" t="s">
        <v>238</v>
      </c>
      <c r="D365" t="s">
        <v>239</v>
      </c>
      <c r="F365">
        <v>1</v>
      </c>
      <c r="H365">
        <v>6</v>
      </c>
      <c r="J365">
        <v>4</v>
      </c>
      <c r="K365">
        <v>8</v>
      </c>
      <c r="L365">
        <v>33</v>
      </c>
    </row>
    <row r="366" spans="1:12" x14ac:dyDescent="0.35">
      <c r="A366" t="s">
        <v>313</v>
      </c>
      <c r="B366" t="s">
        <v>541</v>
      </c>
      <c r="C366" t="s">
        <v>218</v>
      </c>
      <c r="D366" t="s">
        <v>219</v>
      </c>
      <c r="F366">
        <v>2</v>
      </c>
      <c r="H366">
        <v>6</v>
      </c>
      <c r="J366">
        <v>3</v>
      </c>
      <c r="K366">
        <v>7</v>
      </c>
      <c r="L366">
        <v>24</v>
      </c>
    </row>
    <row r="367" spans="1:12" x14ac:dyDescent="0.35">
      <c r="A367" t="s">
        <v>313</v>
      </c>
      <c r="B367" t="s">
        <v>543</v>
      </c>
      <c r="C367" t="s">
        <v>548</v>
      </c>
      <c r="D367" t="s">
        <v>544</v>
      </c>
      <c r="F367">
        <v>9</v>
      </c>
      <c r="G367">
        <v>6</v>
      </c>
      <c r="I367">
        <v>49</v>
      </c>
      <c r="J367">
        <v>13</v>
      </c>
      <c r="K367">
        <v>6</v>
      </c>
      <c r="L367">
        <v>7</v>
      </c>
    </row>
    <row r="368" spans="1:12" x14ac:dyDescent="0.35">
      <c r="A368" t="s">
        <v>319</v>
      </c>
      <c r="B368" t="s">
        <v>536</v>
      </c>
      <c r="C368" t="s">
        <v>621</v>
      </c>
      <c r="D368" t="s">
        <v>241</v>
      </c>
      <c r="H368">
        <v>5</v>
      </c>
      <c r="I368">
        <v>13</v>
      </c>
      <c r="L368">
        <v>6</v>
      </c>
    </row>
    <row r="369" spans="1:12" x14ac:dyDescent="0.35">
      <c r="A369" t="s">
        <v>319</v>
      </c>
      <c r="B369" t="s">
        <v>536</v>
      </c>
      <c r="C369" t="s">
        <v>621</v>
      </c>
      <c r="D369" t="s">
        <v>268</v>
      </c>
      <c r="H369">
        <v>50</v>
      </c>
      <c r="I369">
        <v>179</v>
      </c>
      <c r="L369">
        <v>25</v>
      </c>
    </row>
    <row r="370" spans="1:12" x14ac:dyDescent="0.35">
      <c r="A370" t="s">
        <v>319</v>
      </c>
      <c r="B370" t="s">
        <v>536</v>
      </c>
      <c r="C370" t="s">
        <v>621</v>
      </c>
      <c r="D370" t="s">
        <v>308</v>
      </c>
      <c r="H370">
        <v>10</v>
      </c>
      <c r="I370">
        <v>37</v>
      </c>
      <c r="L370">
        <v>5</v>
      </c>
    </row>
    <row r="371" spans="1:12" x14ac:dyDescent="0.35">
      <c r="A371" t="s">
        <v>319</v>
      </c>
      <c r="B371" t="s">
        <v>536</v>
      </c>
      <c r="C371" t="s">
        <v>232</v>
      </c>
      <c r="D371" t="s">
        <v>229</v>
      </c>
      <c r="H371">
        <v>10</v>
      </c>
      <c r="I371">
        <v>32</v>
      </c>
      <c r="L371">
        <v>10</v>
      </c>
    </row>
    <row r="372" spans="1:12" x14ac:dyDescent="0.35">
      <c r="A372" t="s">
        <v>319</v>
      </c>
      <c r="B372" t="s">
        <v>536</v>
      </c>
      <c r="C372" t="s">
        <v>232</v>
      </c>
      <c r="D372" t="s">
        <v>245</v>
      </c>
      <c r="H372">
        <v>10</v>
      </c>
      <c r="I372">
        <v>36</v>
      </c>
      <c r="L372">
        <v>5</v>
      </c>
    </row>
    <row r="373" spans="1:12" x14ac:dyDescent="0.35">
      <c r="A373" t="s">
        <v>319</v>
      </c>
      <c r="B373" t="s">
        <v>536</v>
      </c>
      <c r="C373" t="s">
        <v>232</v>
      </c>
      <c r="D373" t="s">
        <v>250</v>
      </c>
      <c r="H373">
        <v>10</v>
      </c>
      <c r="I373">
        <v>32</v>
      </c>
      <c r="L373">
        <v>5</v>
      </c>
    </row>
    <row r="374" spans="1:12" x14ac:dyDescent="0.35">
      <c r="A374" t="s">
        <v>319</v>
      </c>
      <c r="B374" t="s">
        <v>536</v>
      </c>
      <c r="C374" t="s">
        <v>232</v>
      </c>
      <c r="D374" t="s">
        <v>254</v>
      </c>
      <c r="H374">
        <v>14</v>
      </c>
      <c r="I374">
        <v>46</v>
      </c>
      <c r="L374">
        <v>16</v>
      </c>
    </row>
    <row r="375" spans="1:12" x14ac:dyDescent="0.35">
      <c r="A375" t="s">
        <v>319</v>
      </c>
      <c r="B375" t="s">
        <v>536</v>
      </c>
      <c r="C375" t="s">
        <v>232</v>
      </c>
      <c r="D375" t="s">
        <v>260</v>
      </c>
      <c r="H375">
        <v>10</v>
      </c>
      <c r="I375">
        <v>28</v>
      </c>
      <c r="L375">
        <v>10</v>
      </c>
    </row>
    <row r="376" spans="1:12" x14ac:dyDescent="0.35">
      <c r="A376" t="s">
        <v>319</v>
      </c>
      <c r="B376" t="s">
        <v>536</v>
      </c>
      <c r="C376" t="s">
        <v>232</v>
      </c>
      <c r="D376" t="s">
        <v>271</v>
      </c>
      <c r="H376">
        <v>109</v>
      </c>
      <c r="I376">
        <v>335</v>
      </c>
      <c r="L376">
        <v>55</v>
      </c>
    </row>
    <row r="377" spans="1:12" x14ac:dyDescent="0.35">
      <c r="A377" t="s">
        <v>319</v>
      </c>
      <c r="B377" t="s">
        <v>536</v>
      </c>
      <c r="C377" t="s">
        <v>232</v>
      </c>
      <c r="D377" t="s">
        <v>278</v>
      </c>
      <c r="H377">
        <v>15</v>
      </c>
      <c r="I377">
        <v>45</v>
      </c>
      <c r="L377">
        <v>10</v>
      </c>
    </row>
    <row r="378" spans="1:12" x14ac:dyDescent="0.35">
      <c r="A378" t="s">
        <v>319</v>
      </c>
      <c r="B378" t="s">
        <v>536</v>
      </c>
      <c r="C378" t="s">
        <v>232</v>
      </c>
      <c r="D378" t="s">
        <v>288</v>
      </c>
      <c r="H378">
        <v>15</v>
      </c>
      <c r="I378">
        <v>45</v>
      </c>
      <c r="L378">
        <v>15</v>
      </c>
    </row>
    <row r="379" spans="1:12" x14ac:dyDescent="0.35">
      <c r="A379" t="s">
        <v>319</v>
      </c>
      <c r="B379" t="s">
        <v>536</v>
      </c>
      <c r="C379" t="s">
        <v>232</v>
      </c>
      <c r="D379" t="s">
        <v>290</v>
      </c>
      <c r="H379">
        <v>35</v>
      </c>
      <c r="I379">
        <v>105</v>
      </c>
      <c r="L379">
        <v>20</v>
      </c>
    </row>
    <row r="380" spans="1:12" x14ac:dyDescent="0.35">
      <c r="A380" t="s">
        <v>319</v>
      </c>
      <c r="B380" t="s">
        <v>536</v>
      </c>
      <c r="C380" t="s">
        <v>232</v>
      </c>
      <c r="D380" t="s">
        <v>297</v>
      </c>
      <c r="H380">
        <v>21</v>
      </c>
      <c r="I380">
        <v>64</v>
      </c>
      <c r="L380">
        <v>15</v>
      </c>
    </row>
    <row r="381" spans="1:12" x14ac:dyDescent="0.35">
      <c r="A381" t="s">
        <v>319</v>
      </c>
      <c r="B381" t="s">
        <v>536</v>
      </c>
      <c r="C381" t="s">
        <v>232</v>
      </c>
      <c r="D381" t="s">
        <v>303</v>
      </c>
      <c r="H381">
        <v>10</v>
      </c>
      <c r="I381">
        <v>36</v>
      </c>
      <c r="L381">
        <v>5</v>
      </c>
    </row>
    <row r="382" spans="1:12" x14ac:dyDescent="0.35">
      <c r="A382" t="s">
        <v>319</v>
      </c>
      <c r="B382" t="s">
        <v>536</v>
      </c>
      <c r="C382" t="s">
        <v>232</v>
      </c>
      <c r="D382" t="s">
        <v>305</v>
      </c>
      <c r="H382">
        <v>37</v>
      </c>
      <c r="I382">
        <v>111</v>
      </c>
      <c r="L382">
        <v>20</v>
      </c>
    </row>
    <row r="383" spans="1:12" x14ac:dyDescent="0.35">
      <c r="A383" t="s">
        <v>319</v>
      </c>
      <c r="B383" t="s">
        <v>536</v>
      </c>
      <c r="C383" t="s">
        <v>232</v>
      </c>
      <c r="D383" t="s">
        <v>310</v>
      </c>
      <c r="H383">
        <v>17</v>
      </c>
      <c r="I383">
        <v>46</v>
      </c>
      <c r="L383">
        <v>10</v>
      </c>
    </row>
    <row r="384" spans="1:12" x14ac:dyDescent="0.35">
      <c r="A384" t="s">
        <v>319</v>
      </c>
      <c r="B384" t="s">
        <v>536</v>
      </c>
      <c r="C384" t="s">
        <v>238</v>
      </c>
      <c r="D384" t="s">
        <v>235</v>
      </c>
      <c r="H384">
        <v>58</v>
      </c>
      <c r="I384">
        <v>205.5</v>
      </c>
      <c r="L384">
        <v>36</v>
      </c>
    </row>
    <row r="385" spans="1:12" x14ac:dyDescent="0.35">
      <c r="A385" t="s">
        <v>319</v>
      </c>
      <c r="B385" t="s">
        <v>536</v>
      </c>
      <c r="C385" t="s">
        <v>238</v>
      </c>
      <c r="D385" t="s">
        <v>256</v>
      </c>
      <c r="H385">
        <v>5</v>
      </c>
      <c r="I385">
        <v>16</v>
      </c>
      <c r="L385">
        <v>5</v>
      </c>
    </row>
    <row r="386" spans="1:12" x14ac:dyDescent="0.35">
      <c r="A386" t="s">
        <v>319</v>
      </c>
      <c r="B386" t="s">
        <v>536</v>
      </c>
      <c r="C386" t="s">
        <v>238</v>
      </c>
      <c r="D386" t="s">
        <v>264</v>
      </c>
      <c r="H386">
        <v>20</v>
      </c>
      <c r="I386">
        <v>53</v>
      </c>
      <c r="L386">
        <v>15</v>
      </c>
    </row>
    <row r="387" spans="1:12" x14ac:dyDescent="0.35">
      <c r="A387" t="s">
        <v>319</v>
      </c>
      <c r="B387" t="s">
        <v>536</v>
      </c>
      <c r="C387" t="s">
        <v>238</v>
      </c>
      <c r="D387" t="s">
        <v>280</v>
      </c>
      <c r="H387">
        <v>5</v>
      </c>
      <c r="I387">
        <v>17</v>
      </c>
      <c r="L387">
        <v>5</v>
      </c>
    </row>
    <row r="388" spans="1:12" x14ac:dyDescent="0.35">
      <c r="A388" t="s">
        <v>319</v>
      </c>
      <c r="B388" t="s">
        <v>536</v>
      </c>
      <c r="C388" t="s">
        <v>238</v>
      </c>
      <c r="D388" t="s">
        <v>299</v>
      </c>
      <c r="H388">
        <v>8</v>
      </c>
      <c r="I388">
        <v>33</v>
      </c>
      <c r="L388">
        <v>10</v>
      </c>
    </row>
    <row r="389" spans="1:12" x14ac:dyDescent="0.35">
      <c r="A389" t="s">
        <v>319</v>
      </c>
      <c r="B389" t="s">
        <v>536</v>
      </c>
      <c r="C389" t="s">
        <v>238</v>
      </c>
      <c r="D389" t="s">
        <v>312</v>
      </c>
      <c r="H389">
        <v>11</v>
      </c>
      <c r="I389">
        <v>35</v>
      </c>
      <c r="L389">
        <v>10</v>
      </c>
    </row>
    <row r="390" spans="1:12" x14ac:dyDescent="0.35">
      <c r="A390" t="s">
        <v>319</v>
      </c>
      <c r="B390" t="s">
        <v>536</v>
      </c>
      <c r="C390" t="s">
        <v>218</v>
      </c>
      <c r="D390" t="s">
        <v>216</v>
      </c>
      <c r="H390">
        <v>35</v>
      </c>
      <c r="I390">
        <v>99</v>
      </c>
      <c r="L390">
        <v>15</v>
      </c>
    </row>
    <row r="391" spans="1:12" x14ac:dyDescent="0.35">
      <c r="A391" t="s">
        <v>319</v>
      </c>
      <c r="B391" t="s">
        <v>536</v>
      </c>
      <c r="C391" t="s">
        <v>218</v>
      </c>
      <c r="D391" t="s">
        <v>221</v>
      </c>
      <c r="H391">
        <v>5</v>
      </c>
      <c r="I391">
        <v>19</v>
      </c>
      <c r="L391">
        <v>5</v>
      </c>
    </row>
    <row r="392" spans="1:12" x14ac:dyDescent="0.35">
      <c r="A392" t="s">
        <v>319</v>
      </c>
      <c r="B392" t="s">
        <v>536</v>
      </c>
      <c r="C392" t="s">
        <v>218</v>
      </c>
      <c r="D392" t="s">
        <v>225</v>
      </c>
      <c r="H392">
        <v>5</v>
      </c>
      <c r="I392">
        <v>17</v>
      </c>
      <c r="L392">
        <v>5</v>
      </c>
    </row>
    <row r="393" spans="1:12" x14ac:dyDescent="0.35">
      <c r="A393" t="s">
        <v>319</v>
      </c>
      <c r="B393" t="s">
        <v>536</v>
      </c>
      <c r="C393" t="s">
        <v>218</v>
      </c>
      <c r="D393" t="s">
        <v>248</v>
      </c>
      <c r="H393">
        <v>36</v>
      </c>
      <c r="I393">
        <v>127</v>
      </c>
      <c r="L393">
        <v>19</v>
      </c>
    </row>
    <row r="394" spans="1:12" x14ac:dyDescent="0.35">
      <c r="A394" t="s">
        <v>319</v>
      </c>
      <c r="B394" t="s">
        <v>536</v>
      </c>
      <c r="C394" t="s">
        <v>218</v>
      </c>
      <c r="D394" t="s">
        <v>274</v>
      </c>
      <c r="H394">
        <v>15</v>
      </c>
      <c r="I394">
        <v>54</v>
      </c>
      <c r="L394">
        <v>5</v>
      </c>
    </row>
    <row r="395" spans="1:12" x14ac:dyDescent="0.35">
      <c r="A395" t="s">
        <v>319</v>
      </c>
      <c r="B395" t="s">
        <v>536</v>
      </c>
      <c r="C395" t="s">
        <v>218</v>
      </c>
      <c r="D395" t="s">
        <v>282</v>
      </c>
      <c r="H395">
        <v>5</v>
      </c>
      <c r="I395">
        <v>20</v>
      </c>
      <c r="L395">
        <v>5</v>
      </c>
    </row>
    <row r="396" spans="1:12" x14ac:dyDescent="0.35">
      <c r="A396" t="s">
        <v>319</v>
      </c>
      <c r="B396" t="s">
        <v>536</v>
      </c>
      <c r="C396" t="s">
        <v>218</v>
      </c>
      <c r="D396" t="s">
        <v>295</v>
      </c>
      <c r="H396">
        <v>10</v>
      </c>
      <c r="I396">
        <v>48</v>
      </c>
      <c r="L396">
        <v>5</v>
      </c>
    </row>
    <row r="397" spans="1:12" x14ac:dyDescent="0.35">
      <c r="A397" t="s">
        <v>319</v>
      </c>
      <c r="B397" t="s">
        <v>539</v>
      </c>
      <c r="D397" t="s">
        <v>314</v>
      </c>
      <c r="F397">
        <v>1</v>
      </c>
      <c r="H397">
        <v>6</v>
      </c>
      <c r="I397">
        <v>4</v>
      </c>
      <c r="J397">
        <v>4</v>
      </c>
      <c r="K397">
        <v>11</v>
      </c>
      <c r="L397">
        <v>11</v>
      </c>
    </row>
    <row r="398" spans="1:12" x14ac:dyDescent="0.35">
      <c r="A398" t="s">
        <v>319</v>
      </c>
      <c r="B398" t="s">
        <v>539</v>
      </c>
      <c r="C398" t="s">
        <v>232</v>
      </c>
      <c r="D398" t="s">
        <v>231</v>
      </c>
      <c r="F398">
        <v>1</v>
      </c>
      <c r="H398">
        <v>6</v>
      </c>
      <c r="I398">
        <v>2</v>
      </c>
      <c r="J398">
        <v>3</v>
      </c>
      <c r="K398">
        <v>7</v>
      </c>
      <c r="L398">
        <v>7</v>
      </c>
    </row>
    <row r="399" spans="1:12" x14ac:dyDescent="0.35">
      <c r="A399" t="s">
        <v>319</v>
      </c>
      <c r="B399" t="s">
        <v>539</v>
      </c>
      <c r="C399" t="s">
        <v>232</v>
      </c>
      <c r="D399" t="s">
        <v>245</v>
      </c>
      <c r="F399">
        <v>1</v>
      </c>
      <c r="H399">
        <v>4</v>
      </c>
      <c r="I399">
        <v>1.83</v>
      </c>
      <c r="J399">
        <v>2</v>
      </c>
      <c r="K399">
        <v>6</v>
      </c>
      <c r="L399">
        <v>6</v>
      </c>
    </row>
    <row r="400" spans="1:12" x14ac:dyDescent="0.35">
      <c r="A400" t="s">
        <v>319</v>
      </c>
      <c r="B400" t="s">
        <v>539</v>
      </c>
      <c r="C400" t="s">
        <v>232</v>
      </c>
      <c r="D400" t="s">
        <v>252</v>
      </c>
      <c r="F400">
        <v>1</v>
      </c>
      <c r="H400">
        <v>5</v>
      </c>
      <c r="I400">
        <v>0.6</v>
      </c>
      <c r="J400">
        <v>3</v>
      </c>
      <c r="K400">
        <v>9</v>
      </c>
      <c r="L400">
        <v>8</v>
      </c>
    </row>
    <row r="401" spans="1:12" x14ac:dyDescent="0.35">
      <c r="A401" t="s">
        <v>319</v>
      </c>
      <c r="B401" t="s">
        <v>539</v>
      </c>
      <c r="C401" t="s">
        <v>232</v>
      </c>
      <c r="D401" t="s">
        <v>262</v>
      </c>
      <c r="F401">
        <v>1</v>
      </c>
      <c r="H401">
        <v>2</v>
      </c>
      <c r="I401">
        <v>1</v>
      </c>
      <c r="J401">
        <v>4</v>
      </c>
      <c r="K401">
        <v>5</v>
      </c>
      <c r="L401">
        <v>4</v>
      </c>
    </row>
    <row r="402" spans="1:12" x14ac:dyDescent="0.35">
      <c r="A402" t="s">
        <v>319</v>
      </c>
      <c r="B402" t="s">
        <v>539</v>
      </c>
      <c r="C402" t="s">
        <v>232</v>
      </c>
      <c r="D402" t="s">
        <v>271</v>
      </c>
      <c r="F402">
        <v>1</v>
      </c>
      <c r="H402">
        <v>2</v>
      </c>
      <c r="I402">
        <v>2</v>
      </c>
      <c r="J402">
        <v>5</v>
      </c>
      <c r="K402">
        <v>9</v>
      </c>
      <c r="L402">
        <v>7</v>
      </c>
    </row>
    <row r="403" spans="1:12" x14ac:dyDescent="0.35">
      <c r="A403" t="s">
        <v>319</v>
      </c>
      <c r="B403" t="s">
        <v>539</v>
      </c>
      <c r="C403" t="s">
        <v>232</v>
      </c>
      <c r="D403" t="s">
        <v>290</v>
      </c>
      <c r="F403">
        <v>1</v>
      </c>
      <c r="H403">
        <v>2</v>
      </c>
      <c r="J403">
        <v>2</v>
      </c>
      <c r="K403">
        <v>5</v>
      </c>
      <c r="L403">
        <v>5</v>
      </c>
    </row>
    <row r="404" spans="1:12" x14ac:dyDescent="0.35">
      <c r="A404" t="s">
        <v>319</v>
      </c>
      <c r="B404" t="s">
        <v>539</v>
      </c>
      <c r="C404" t="s">
        <v>232</v>
      </c>
      <c r="D404" t="s">
        <v>305</v>
      </c>
      <c r="F404">
        <v>1</v>
      </c>
      <c r="H404">
        <v>3</v>
      </c>
      <c r="J404">
        <v>2</v>
      </c>
      <c r="K404">
        <v>6</v>
      </c>
      <c r="L404">
        <v>4</v>
      </c>
    </row>
    <row r="405" spans="1:12" x14ac:dyDescent="0.35">
      <c r="A405" t="s">
        <v>319</v>
      </c>
      <c r="B405" t="s">
        <v>539</v>
      </c>
      <c r="C405" t="s">
        <v>238</v>
      </c>
      <c r="D405" t="s">
        <v>258</v>
      </c>
      <c r="F405">
        <v>1</v>
      </c>
      <c r="H405">
        <v>3</v>
      </c>
      <c r="I405">
        <v>4</v>
      </c>
      <c r="J405">
        <v>3</v>
      </c>
      <c r="K405">
        <v>7</v>
      </c>
      <c r="L405">
        <v>10</v>
      </c>
    </row>
    <row r="406" spans="1:12" x14ac:dyDescent="0.35">
      <c r="A406" t="s">
        <v>319</v>
      </c>
      <c r="B406" t="s">
        <v>539</v>
      </c>
      <c r="C406" t="s">
        <v>238</v>
      </c>
      <c r="D406" t="s">
        <v>237</v>
      </c>
      <c r="F406">
        <v>1</v>
      </c>
      <c r="H406">
        <v>3</v>
      </c>
      <c r="I406">
        <v>3.5</v>
      </c>
      <c r="J406">
        <v>3</v>
      </c>
      <c r="K406">
        <v>7</v>
      </c>
      <c r="L406">
        <v>10</v>
      </c>
    </row>
    <row r="407" spans="1:12" x14ac:dyDescent="0.35">
      <c r="A407" t="s">
        <v>319</v>
      </c>
      <c r="B407" t="s">
        <v>539</v>
      </c>
      <c r="C407" t="s">
        <v>238</v>
      </c>
      <c r="D407" t="s">
        <v>266</v>
      </c>
      <c r="F407">
        <v>1</v>
      </c>
      <c r="H407">
        <v>3</v>
      </c>
      <c r="I407">
        <v>2</v>
      </c>
      <c r="J407">
        <v>2</v>
      </c>
      <c r="K407">
        <v>5</v>
      </c>
      <c r="L407">
        <v>6</v>
      </c>
    </row>
    <row r="408" spans="1:12" x14ac:dyDescent="0.35">
      <c r="A408" t="s">
        <v>319</v>
      </c>
      <c r="B408" t="s">
        <v>539</v>
      </c>
      <c r="C408" t="s">
        <v>218</v>
      </c>
      <c r="D408" t="s">
        <v>216</v>
      </c>
      <c r="F408">
        <v>1</v>
      </c>
      <c r="H408">
        <v>1</v>
      </c>
      <c r="I408">
        <v>1</v>
      </c>
      <c r="J408">
        <v>2</v>
      </c>
      <c r="K408">
        <v>3</v>
      </c>
      <c r="L408">
        <v>4</v>
      </c>
    </row>
    <row r="409" spans="1:12" x14ac:dyDescent="0.35">
      <c r="A409" t="s">
        <v>319</v>
      </c>
      <c r="B409" t="s">
        <v>539</v>
      </c>
      <c r="C409" t="s">
        <v>218</v>
      </c>
      <c r="D409" t="s">
        <v>223</v>
      </c>
      <c r="F409">
        <v>1</v>
      </c>
      <c r="H409">
        <v>4</v>
      </c>
      <c r="I409">
        <v>1</v>
      </c>
      <c r="J409">
        <v>3</v>
      </c>
      <c r="K409">
        <v>9</v>
      </c>
      <c r="L409">
        <v>8</v>
      </c>
    </row>
    <row r="410" spans="1:12" x14ac:dyDescent="0.35">
      <c r="A410" t="s">
        <v>319</v>
      </c>
      <c r="B410" t="s">
        <v>539</v>
      </c>
      <c r="C410" t="s">
        <v>218</v>
      </c>
      <c r="D410" t="s">
        <v>227</v>
      </c>
      <c r="F410">
        <v>1</v>
      </c>
      <c r="H410">
        <v>4</v>
      </c>
      <c r="I410">
        <v>1</v>
      </c>
      <c r="J410">
        <v>4</v>
      </c>
      <c r="K410">
        <v>8</v>
      </c>
      <c r="L410">
        <v>10</v>
      </c>
    </row>
    <row r="411" spans="1:12" x14ac:dyDescent="0.35">
      <c r="A411" t="s">
        <v>319</v>
      </c>
      <c r="B411" t="s">
        <v>539</v>
      </c>
      <c r="C411" t="s">
        <v>218</v>
      </c>
      <c r="D411" t="s">
        <v>276</v>
      </c>
      <c r="F411">
        <v>1</v>
      </c>
      <c r="H411">
        <v>7</v>
      </c>
      <c r="I411">
        <v>1</v>
      </c>
      <c r="J411">
        <v>4</v>
      </c>
      <c r="K411">
        <v>12</v>
      </c>
      <c r="L411">
        <v>10</v>
      </c>
    </row>
    <row r="412" spans="1:12" x14ac:dyDescent="0.35">
      <c r="A412" t="s">
        <v>319</v>
      </c>
      <c r="B412" t="s">
        <v>539</v>
      </c>
      <c r="C412" t="s">
        <v>218</v>
      </c>
      <c r="D412" t="s">
        <v>286</v>
      </c>
      <c r="F412">
        <v>1</v>
      </c>
      <c r="J412">
        <v>3</v>
      </c>
      <c r="K412">
        <v>7</v>
      </c>
      <c r="L412">
        <v>4</v>
      </c>
    </row>
    <row r="413" spans="1:12" x14ac:dyDescent="0.35">
      <c r="A413" t="s">
        <v>319</v>
      </c>
      <c r="B413" t="s">
        <v>541</v>
      </c>
      <c r="C413" t="s">
        <v>232</v>
      </c>
      <c r="D413" t="s">
        <v>233</v>
      </c>
      <c r="F413">
        <v>3</v>
      </c>
      <c r="H413">
        <v>17</v>
      </c>
      <c r="I413">
        <v>25</v>
      </c>
      <c r="J413">
        <v>5</v>
      </c>
      <c r="K413">
        <v>5</v>
      </c>
      <c r="L413">
        <v>36</v>
      </c>
    </row>
    <row r="414" spans="1:12" x14ac:dyDescent="0.35">
      <c r="A414" t="s">
        <v>319</v>
      </c>
      <c r="B414" t="s">
        <v>541</v>
      </c>
      <c r="C414" t="s">
        <v>238</v>
      </c>
      <c r="D414" t="s">
        <v>239</v>
      </c>
      <c r="F414">
        <v>1</v>
      </c>
      <c r="H414">
        <v>6</v>
      </c>
      <c r="I414">
        <v>20</v>
      </c>
      <c r="J414">
        <v>2</v>
      </c>
      <c r="K414">
        <v>5</v>
      </c>
      <c r="L414">
        <v>32</v>
      </c>
    </row>
    <row r="415" spans="1:12" x14ac:dyDescent="0.35">
      <c r="A415" t="s">
        <v>319</v>
      </c>
      <c r="B415" t="s">
        <v>541</v>
      </c>
      <c r="C415" t="s">
        <v>218</v>
      </c>
      <c r="D415" t="s">
        <v>219</v>
      </c>
      <c r="F415">
        <v>2</v>
      </c>
      <c r="H415">
        <v>13</v>
      </c>
      <c r="I415">
        <v>13</v>
      </c>
      <c r="J415">
        <v>2</v>
      </c>
      <c r="K415">
        <v>6</v>
      </c>
      <c r="L415">
        <v>19</v>
      </c>
    </row>
    <row r="416" spans="1:12" x14ac:dyDescent="0.35">
      <c r="A416" t="s">
        <v>319</v>
      </c>
      <c r="B416" t="s">
        <v>543</v>
      </c>
      <c r="C416" t="s">
        <v>548</v>
      </c>
      <c r="D416" t="s">
        <v>544</v>
      </c>
      <c r="F416">
        <v>13</v>
      </c>
      <c r="G416">
        <v>5</v>
      </c>
      <c r="I416">
        <v>1</v>
      </c>
      <c r="J416">
        <v>21</v>
      </c>
      <c r="K416">
        <v>20</v>
      </c>
      <c r="L416">
        <v>30</v>
      </c>
    </row>
    <row r="417" spans="1:12" x14ac:dyDescent="0.35">
      <c r="A417" t="s">
        <v>321</v>
      </c>
      <c r="B417" t="s">
        <v>536</v>
      </c>
      <c r="D417" t="s">
        <v>216</v>
      </c>
      <c r="H417">
        <v>35</v>
      </c>
      <c r="I417">
        <v>103</v>
      </c>
      <c r="L417">
        <v>16</v>
      </c>
    </row>
    <row r="418" spans="1:12" x14ac:dyDescent="0.35">
      <c r="A418" t="s">
        <v>321</v>
      </c>
      <c r="B418" t="s">
        <v>536</v>
      </c>
      <c r="D418" t="s">
        <v>221</v>
      </c>
      <c r="H418">
        <v>5</v>
      </c>
      <c r="I418">
        <v>18</v>
      </c>
      <c r="L418">
        <v>5</v>
      </c>
    </row>
    <row r="419" spans="1:12" x14ac:dyDescent="0.35">
      <c r="A419" t="s">
        <v>321</v>
      </c>
      <c r="B419" t="s">
        <v>536</v>
      </c>
      <c r="D419" t="s">
        <v>225</v>
      </c>
      <c r="H419">
        <v>5</v>
      </c>
      <c r="I419">
        <v>16</v>
      </c>
      <c r="L419">
        <v>5</v>
      </c>
    </row>
    <row r="420" spans="1:12" x14ac:dyDescent="0.35">
      <c r="A420" t="s">
        <v>321</v>
      </c>
      <c r="B420" t="s">
        <v>536</v>
      </c>
      <c r="D420" t="s">
        <v>229</v>
      </c>
      <c r="H420">
        <v>8</v>
      </c>
      <c r="I420">
        <v>28</v>
      </c>
      <c r="L420">
        <v>10</v>
      </c>
    </row>
    <row r="421" spans="1:12" x14ac:dyDescent="0.35">
      <c r="A421" t="s">
        <v>321</v>
      </c>
      <c r="B421" t="s">
        <v>536</v>
      </c>
      <c r="D421" t="s">
        <v>235</v>
      </c>
      <c r="H421">
        <v>58</v>
      </c>
      <c r="I421">
        <v>201.5</v>
      </c>
      <c r="L421">
        <v>35</v>
      </c>
    </row>
    <row r="422" spans="1:12" x14ac:dyDescent="0.35">
      <c r="A422" t="s">
        <v>321</v>
      </c>
      <c r="B422" t="s">
        <v>536</v>
      </c>
      <c r="D422" t="s">
        <v>241</v>
      </c>
      <c r="H422">
        <v>4</v>
      </c>
      <c r="I422">
        <v>15</v>
      </c>
      <c r="L422">
        <v>5</v>
      </c>
    </row>
    <row r="423" spans="1:12" x14ac:dyDescent="0.35">
      <c r="A423" t="s">
        <v>321</v>
      </c>
      <c r="B423" t="s">
        <v>536</v>
      </c>
      <c r="D423" t="s">
        <v>245</v>
      </c>
      <c r="H423">
        <v>10</v>
      </c>
      <c r="I423">
        <v>35</v>
      </c>
      <c r="L423">
        <v>5</v>
      </c>
    </row>
    <row r="424" spans="1:12" x14ac:dyDescent="0.35">
      <c r="A424" t="s">
        <v>321</v>
      </c>
      <c r="B424" t="s">
        <v>536</v>
      </c>
      <c r="D424" t="s">
        <v>248</v>
      </c>
      <c r="H424">
        <v>35</v>
      </c>
      <c r="I424">
        <v>119</v>
      </c>
      <c r="L424">
        <v>20</v>
      </c>
    </row>
    <row r="425" spans="1:12" x14ac:dyDescent="0.35">
      <c r="A425" t="s">
        <v>321</v>
      </c>
      <c r="B425" t="s">
        <v>536</v>
      </c>
      <c r="D425" t="s">
        <v>250</v>
      </c>
      <c r="H425">
        <v>10</v>
      </c>
      <c r="I425">
        <v>31</v>
      </c>
      <c r="L425">
        <v>5</v>
      </c>
    </row>
    <row r="426" spans="1:12" x14ac:dyDescent="0.35">
      <c r="A426" t="s">
        <v>321</v>
      </c>
      <c r="B426" t="s">
        <v>536</v>
      </c>
      <c r="D426" t="s">
        <v>254</v>
      </c>
      <c r="H426">
        <v>13</v>
      </c>
      <c r="I426">
        <v>46</v>
      </c>
      <c r="L426">
        <v>16</v>
      </c>
    </row>
    <row r="427" spans="1:12" x14ac:dyDescent="0.35">
      <c r="A427" t="s">
        <v>321</v>
      </c>
      <c r="B427" t="s">
        <v>536</v>
      </c>
      <c r="D427" t="s">
        <v>256</v>
      </c>
      <c r="H427">
        <v>4</v>
      </c>
      <c r="I427">
        <v>14</v>
      </c>
      <c r="L427">
        <v>6</v>
      </c>
    </row>
    <row r="428" spans="1:12" x14ac:dyDescent="0.35">
      <c r="A428" t="s">
        <v>321</v>
      </c>
      <c r="B428" t="s">
        <v>536</v>
      </c>
      <c r="D428" t="s">
        <v>260</v>
      </c>
      <c r="H428">
        <v>7</v>
      </c>
      <c r="I428">
        <v>30</v>
      </c>
      <c r="L428">
        <v>10</v>
      </c>
    </row>
    <row r="429" spans="1:12" x14ac:dyDescent="0.35">
      <c r="A429" t="s">
        <v>321</v>
      </c>
      <c r="B429" t="s">
        <v>536</v>
      </c>
      <c r="D429" t="s">
        <v>264</v>
      </c>
      <c r="H429">
        <v>19</v>
      </c>
      <c r="I429">
        <v>53</v>
      </c>
      <c r="L429">
        <v>15</v>
      </c>
    </row>
    <row r="430" spans="1:12" x14ac:dyDescent="0.35">
      <c r="A430" t="s">
        <v>321</v>
      </c>
      <c r="B430" t="s">
        <v>536</v>
      </c>
      <c r="D430" t="s">
        <v>268</v>
      </c>
      <c r="H430">
        <v>50</v>
      </c>
      <c r="I430">
        <v>179</v>
      </c>
      <c r="L430">
        <v>25</v>
      </c>
    </row>
    <row r="431" spans="1:12" x14ac:dyDescent="0.35">
      <c r="A431" t="s">
        <v>321</v>
      </c>
      <c r="B431" t="s">
        <v>536</v>
      </c>
      <c r="D431" t="s">
        <v>271</v>
      </c>
      <c r="H431">
        <v>106</v>
      </c>
      <c r="I431">
        <v>332</v>
      </c>
      <c r="L431">
        <v>55</v>
      </c>
    </row>
    <row r="432" spans="1:12" x14ac:dyDescent="0.35">
      <c r="A432" t="s">
        <v>321</v>
      </c>
      <c r="B432" t="s">
        <v>536</v>
      </c>
      <c r="D432" t="s">
        <v>274</v>
      </c>
      <c r="H432">
        <v>15</v>
      </c>
      <c r="I432">
        <v>50</v>
      </c>
      <c r="L432">
        <v>5</v>
      </c>
    </row>
    <row r="433" spans="1:12" x14ac:dyDescent="0.35">
      <c r="A433" t="s">
        <v>321</v>
      </c>
      <c r="B433" t="s">
        <v>536</v>
      </c>
      <c r="D433" t="s">
        <v>278</v>
      </c>
      <c r="H433">
        <v>12</v>
      </c>
      <c r="I433">
        <v>46</v>
      </c>
      <c r="L433">
        <v>10</v>
      </c>
    </row>
    <row r="434" spans="1:12" x14ac:dyDescent="0.35">
      <c r="A434" t="s">
        <v>321</v>
      </c>
      <c r="B434" t="s">
        <v>536</v>
      </c>
      <c r="D434" t="s">
        <v>280</v>
      </c>
      <c r="H434">
        <v>4</v>
      </c>
      <c r="I434">
        <v>17</v>
      </c>
      <c r="L434">
        <v>5</v>
      </c>
    </row>
    <row r="435" spans="1:12" x14ac:dyDescent="0.35">
      <c r="A435" t="s">
        <v>321</v>
      </c>
      <c r="B435" t="s">
        <v>536</v>
      </c>
      <c r="D435" t="s">
        <v>282</v>
      </c>
      <c r="H435">
        <v>5</v>
      </c>
      <c r="I435">
        <v>20</v>
      </c>
      <c r="L435">
        <v>5</v>
      </c>
    </row>
    <row r="436" spans="1:12" x14ac:dyDescent="0.35">
      <c r="A436" t="s">
        <v>321</v>
      </c>
      <c r="B436" t="s">
        <v>536</v>
      </c>
      <c r="D436" t="s">
        <v>288</v>
      </c>
      <c r="H436">
        <v>14</v>
      </c>
      <c r="I436">
        <v>46</v>
      </c>
      <c r="L436">
        <v>14</v>
      </c>
    </row>
    <row r="437" spans="1:12" x14ac:dyDescent="0.35">
      <c r="A437" t="s">
        <v>321</v>
      </c>
      <c r="B437" t="s">
        <v>536</v>
      </c>
      <c r="D437" t="s">
        <v>290</v>
      </c>
      <c r="H437">
        <v>37</v>
      </c>
      <c r="I437">
        <v>100</v>
      </c>
      <c r="L437">
        <v>19</v>
      </c>
    </row>
    <row r="438" spans="1:12" x14ac:dyDescent="0.35">
      <c r="A438" t="s">
        <v>321</v>
      </c>
      <c r="B438" t="s">
        <v>536</v>
      </c>
      <c r="D438" t="s">
        <v>295</v>
      </c>
      <c r="H438">
        <v>9</v>
      </c>
      <c r="I438">
        <v>53</v>
      </c>
      <c r="L438">
        <v>4</v>
      </c>
    </row>
    <row r="439" spans="1:12" x14ac:dyDescent="0.35">
      <c r="A439" t="s">
        <v>321</v>
      </c>
      <c r="B439" t="s">
        <v>536</v>
      </c>
      <c r="D439" t="s">
        <v>297</v>
      </c>
      <c r="H439">
        <v>19</v>
      </c>
      <c r="I439">
        <v>63</v>
      </c>
      <c r="L439">
        <v>17</v>
      </c>
    </row>
    <row r="440" spans="1:12" x14ac:dyDescent="0.35">
      <c r="A440" t="s">
        <v>321</v>
      </c>
      <c r="B440" t="s">
        <v>536</v>
      </c>
      <c r="D440" t="s">
        <v>299</v>
      </c>
      <c r="H440">
        <v>10</v>
      </c>
      <c r="I440">
        <v>33</v>
      </c>
      <c r="L440">
        <v>10</v>
      </c>
    </row>
    <row r="441" spans="1:12" x14ac:dyDescent="0.35">
      <c r="A441" t="s">
        <v>321</v>
      </c>
      <c r="B441" t="s">
        <v>536</v>
      </c>
      <c r="D441" t="s">
        <v>303</v>
      </c>
      <c r="H441">
        <v>10</v>
      </c>
      <c r="I441">
        <v>32</v>
      </c>
      <c r="L441">
        <v>5</v>
      </c>
    </row>
    <row r="442" spans="1:12" x14ac:dyDescent="0.35">
      <c r="A442" t="s">
        <v>321</v>
      </c>
      <c r="B442" t="s">
        <v>536</v>
      </c>
      <c r="D442" t="s">
        <v>305</v>
      </c>
      <c r="H442">
        <v>36</v>
      </c>
      <c r="I442">
        <v>99</v>
      </c>
      <c r="L442">
        <v>20</v>
      </c>
    </row>
    <row r="443" spans="1:12" x14ac:dyDescent="0.35">
      <c r="A443" t="s">
        <v>321</v>
      </c>
      <c r="B443" t="s">
        <v>536</v>
      </c>
      <c r="D443" t="s">
        <v>308</v>
      </c>
      <c r="H443">
        <v>11</v>
      </c>
      <c r="I443">
        <v>33</v>
      </c>
      <c r="L443">
        <v>5</v>
      </c>
    </row>
    <row r="444" spans="1:12" x14ac:dyDescent="0.35">
      <c r="A444" t="s">
        <v>321</v>
      </c>
      <c r="B444" t="s">
        <v>536</v>
      </c>
      <c r="D444" t="s">
        <v>310</v>
      </c>
      <c r="H444">
        <v>11</v>
      </c>
      <c r="I444">
        <v>47</v>
      </c>
      <c r="L444">
        <v>11</v>
      </c>
    </row>
    <row r="445" spans="1:12" x14ac:dyDescent="0.35">
      <c r="A445" t="s">
        <v>321</v>
      </c>
      <c r="B445" t="s">
        <v>536</v>
      </c>
      <c r="D445" t="s">
        <v>312</v>
      </c>
      <c r="H445">
        <v>10</v>
      </c>
      <c r="I445">
        <v>37.5</v>
      </c>
      <c r="L445">
        <v>10</v>
      </c>
    </row>
    <row r="446" spans="1:12" x14ac:dyDescent="0.35">
      <c r="A446" t="s">
        <v>321</v>
      </c>
      <c r="B446" t="s">
        <v>539</v>
      </c>
      <c r="D446" t="s">
        <v>323</v>
      </c>
      <c r="F446">
        <v>1</v>
      </c>
      <c r="H446">
        <v>5</v>
      </c>
      <c r="I446">
        <v>2</v>
      </c>
      <c r="J446">
        <v>4</v>
      </c>
      <c r="K446">
        <v>12</v>
      </c>
      <c r="L446">
        <v>12</v>
      </c>
    </row>
    <row r="447" spans="1:12" x14ac:dyDescent="0.35">
      <c r="A447" t="s">
        <v>321</v>
      </c>
      <c r="B447" t="s">
        <v>539</v>
      </c>
      <c r="D447" t="s">
        <v>231</v>
      </c>
      <c r="F447">
        <v>1</v>
      </c>
      <c r="H447">
        <v>6</v>
      </c>
      <c r="I447">
        <v>2</v>
      </c>
      <c r="J447">
        <v>4</v>
      </c>
      <c r="K447">
        <v>8</v>
      </c>
      <c r="L447">
        <v>7</v>
      </c>
    </row>
    <row r="448" spans="1:12" x14ac:dyDescent="0.35">
      <c r="A448" t="s">
        <v>321</v>
      </c>
      <c r="B448" t="s">
        <v>539</v>
      </c>
      <c r="D448" t="s">
        <v>245</v>
      </c>
      <c r="F448">
        <v>1</v>
      </c>
      <c r="H448">
        <v>4</v>
      </c>
      <c r="I448">
        <v>1.83</v>
      </c>
      <c r="J448">
        <v>2</v>
      </c>
      <c r="K448">
        <v>6</v>
      </c>
      <c r="L448">
        <v>7</v>
      </c>
    </row>
    <row r="449" spans="1:12" x14ac:dyDescent="0.35">
      <c r="A449" t="s">
        <v>321</v>
      </c>
      <c r="B449" t="s">
        <v>539</v>
      </c>
      <c r="D449" t="s">
        <v>227</v>
      </c>
      <c r="F449">
        <v>1</v>
      </c>
      <c r="H449">
        <v>5</v>
      </c>
      <c r="I449">
        <v>2</v>
      </c>
      <c r="J449">
        <v>4</v>
      </c>
      <c r="K449">
        <v>8</v>
      </c>
      <c r="L449">
        <v>11</v>
      </c>
    </row>
    <row r="450" spans="1:12" x14ac:dyDescent="0.35">
      <c r="A450" t="s">
        <v>321</v>
      </c>
      <c r="B450" t="s">
        <v>539</v>
      </c>
      <c r="D450" t="s">
        <v>252</v>
      </c>
      <c r="F450">
        <v>1</v>
      </c>
      <c r="H450">
        <v>3</v>
      </c>
      <c r="I450">
        <v>0.6</v>
      </c>
      <c r="J450">
        <v>3</v>
      </c>
      <c r="K450">
        <v>11</v>
      </c>
      <c r="L450">
        <v>8</v>
      </c>
    </row>
    <row r="451" spans="1:12" x14ac:dyDescent="0.35">
      <c r="A451" t="s">
        <v>321</v>
      </c>
      <c r="B451" t="s">
        <v>539</v>
      </c>
      <c r="D451" t="s">
        <v>258</v>
      </c>
      <c r="F451">
        <v>1</v>
      </c>
      <c r="H451">
        <v>6</v>
      </c>
      <c r="I451">
        <v>4</v>
      </c>
      <c r="J451">
        <v>3</v>
      </c>
      <c r="K451">
        <v>7</v>
      </c>
      <c r="L451">
        <v>8</v>
      </c>
    </row>
    <row r="452" spans="1:12" x14ac:dyDescent="0.35">
      <c r="A452" t="s">
        <v>321</v>
      </c>
      <c r="B452" t="s">
        <v>539</v>
      </c>
      <c r="D452" t="s">
        <v>262</v>
      </c>
      <c r="F452">
        <v>1</v>
      </c>
      <c r="H452">
        <v>3</v>
      </c>
      <c r="I452">
        <v>1</v>
      </c>
      <c r="J452">
        <v>3</v>
      </c>
      <c r="K452">
        <v>6</v>
      </c>
      <c r="L452">
        <v>5</v>
      </c>
    </row>
    <row r="453" spans="1:12" x14ac:dyDescent="0.35">
      <c r="A453" t="s">
        <v>321</v>
      </c>
      <c r="B453" t="s">
        <v>539</v>
      </c>
      <c r="D453" t="s">
        <v>237</v>
      </c>
      <c r="F453">
        <v>1</v>
      </c>
      <c r="H453">
        <v>3</v>
      </c>
      <c r="I453">
        <v>4</v>
      </c>
      <c r="J453">
        <v>3</v>
      </c>
      <c r="K453">
        <v>7</v>
      </c>
      <c r="L453">
        <v>9</v>
      </c>
    </row>
    <row r="454" spans="1:12" x14ac:dyDescent="0.35">
      <c r="A454" t="s">
        <v>321</v>
      </c>
      <c r="B454" t="s">
        <v>539</v>
      </c>
      <c r="D454" t="s">
        <v>266</v>
      </c>
      <c r="F454">
        <v>1</v>
      </c>
      <c r="H454">
        <v>3</v>
      </c>
      <c r="I454">
        <v>2</v>
      </c>
      <c r="J454">
        <v>2</v>
      </c>
      <c r="K454">
        <v>4</v>
      </c>
      <c r="L454">
        <v>6</v>
      </c>
    </row>
    <row r="455" spans="1:12" x14ac:dyDescent="0.35">
      <c r="A455" t="s">
        <v>321</v>
      </c>
      <c r="B455" t="s">
        <v>539</v>
      </c>
      <c r="D455" t="s">
        <v>271</v>
      </c>
      <c r="F455">
        <v>1</v>
      </c>
      <c r="H455">
        <v>1</v>
      </c>
      <c r="I455">
        <v>1</v>
      </c>
      <c r="J455">
        <v>4</v>
      </c>
      <c r="K455">
        <v>9</v>
      </c>
      <c r="L455">
        <v>7</v>
      </c>
    </row>
    <row r="456" spans="1:12" x14ac:dyDescent="0.35">
      <c r="A456" t="s">
        <v>321</v>
      </c>
      <c r="B456" t="s">
        <v>539</v>
      </c>
      <c r="D456" t="s">
        <v>276</v>
      </c>
      <c r="F456">
        <v>1</v>
      </c>
      <c r="H456">
        <v>6</v>
      </c>
      <c r="I456">
        <v>2</v>
      </c>
      <c r="J456">
        <v>4</v>
      </c>
      <c r="K456">
        <v>10</v>
      </c>
      <c r="L456">
        <v>10</v>
      </c>
    </row>
    <row r="457" spans="1:12" x14ac:dyDescent="0.35">
      <c r="A457" t="s">
        <v>321</v>
      </c>
      <c r="B457" t="s">
        <v>539</v>
      </c>
      <c r="D457" t="s">
        <v>325</v>
      </c>
      <c r="F457">
        <v>1</v>
      </c>
      <c r="H457">
        <v>4</v>
      </c>
      <c r="I457">
        <v>1</v>
      </c>
      <c r="J457">
        <v>3</v>
      </c>
      <c r="K457">
        <v>11</v>
      </c>
      <c r="L457">
        <v>10</v>
      </c>
    </row>
    <row r="458" spans="1:12" x14ac:dyDescent="0.35">
      <c r="A458" t="s">
        <v>321</v>
      </c>
      <c r="B458" t="s">
        <v>539</v>
      </c>
      <c r="D458" t="s">
        <v>314</v>
      </c>
      <c r="F458">
        <v>1</v>
      </c>
      <c r="H458">
        <v>7</v>
      </c>
      <c r="I458">
        <v>3</v>
      </c>
      <c r="J458">
        <v>4</v>
      </c>
      <c r="K458">
        <v>13</v>
      </c>
      <c r="L458">
        <v>10</v>
      </c>
    </row>
    <row r="459" spans="1:12" x14ac:dyDescent="0.35">
      <c r="A459" t="s">
        <v>321</v>
      </c>
      <c r="B459" t="s">
        <v>539</v>
      </c>
      <c r="D459" t="s">
        <v>286</v>
      </c>
      <c r="F459">
        <v>1</v>
      </c>
      <c r="J459">
        <v>4</v>
      </c>
      <c r="K459">
        <v>7</v>
      </c>
      <c r="L459">
        <v>5</v>
      </c>
    </row>
    <row r="460" spans="1:12" x14ac:dyDescent="0.35">
      <c r="A460" t="s">
        <v>321</v>
      </c>
      <c r="B460" t="s">
        <v>541</v>
      </c>
      <c r="D460" t="s">
        <v>219</v>
      </c>
      <c r="F460">
        <v>2</v>
      </c>
      <c r="H460">
        <v>10</v>
      </c>
      <c r="I460">
        <v>10</v>
      </c>
      <c r="J460">
        <v>2</v>
      </c>
      <c r="K460">
        <v>7</v>
      </c>
      <c r="L460">
        <v>17</v>
      </c>
    </row>
    <row r="461" spans="1:12" x14ac:dyDescent="0.35">
      <c r="A461" t="s">
        <v>321</v>
      </c>
      <c r="B461" t="s">
        <v>541</v>
      </c>
      <c r="D461" t="s">
        <v>233</v>
      </c>
      <c r="F461">
        <v>2</v>
      </c>
      <c r="H461">
        <v>16</v>
      </c>
      <c r="I461">
        <v>34</v>
      </c>
      <c r="J461">
        <v>5</v>
      </c>
      <c r="K461">
        <v>7</v>
      </c>
      <c r="L461">
        <v>43</v>
      </c>
    </row>
    <row r="462" spans="1:12" x14ac:dyDescent="0.35">
      <c r="A462" t="s">
        <v>321</v>
      </c>
      <c r="B462" t="s">
        <v>541</v>
      </c>
      <c r="C462" t="s">
        <v>238</v>
      </c>
      <c r="D462" t="s">
        <v>239</v>
      </c>
      <c r="F462">
        <v>1</v>
      </c>
      <c r="H462">
        <v>6</v>
      </c>
      <c r="I462">
        <v>21</v>
      </c>
      <c r="J462">
        <v>2</v>
      </c>
      <c r="K462">
        <v>5</v>
      </c>
      <c r="L462">
        <v>31</v>
      </c>
    </row>
    <row r="463" spans="1:12" x14ac:dyDescent="0.35">
      <c r="A463" t="s">
        <v>321</v>
      </c>
      <c r="B463" t="s">
        <v>543</v>
      </c>
      <c r="C463" t="s">
        <v>548</v>
      </c>
      <c r="D463" t="s">
        <v>544</v>
      </c>
      <c r="F463">
        <v>16</v>
      </c>
      <c r="G463">
        <v>5</v>
      </c>
      <c r="J463">
        <v>20</v>
      </c>
      <c r="K463">
        <v>19</v>
      </c>
      <c r="L463">
        <v>28</v>
      </c>
    </row>
    <row r="464" spans="1:12" x14ac:dyDescent="0.35">
      <c r="A464" t="s">
        <v>326</v>
      </c>
      <c r="B464" t="s">
        <v>536</v>
      </c>
      <c r="D464" t="s">
        <v>216</v>
      </c>
      <c r="H464">
        <v>32</v>
      </c>
      <c r="I464">
        <v>103</v>
      </c>
      <c r="L464">
        <v>20</v>
      </c>
    </row>
    <row r="465" spans="1:12" x14ac:dyDescent="0.35">
      <c r="A465" t="s">
        <v>326</v>
      </c>
      <c r="B465" t="s">
        <v>536</v>
      </c>
      <c r="D465" t="s">
        <v>221</v>
      </c>
      <c r="H465">
        <v>5</v>
      </c>
      <c r="I465">
        <v>18</v>
      </c>
      <c r="L465">
        <v>5</v>
      </c>
    </row>
    <row r="466" spans="1:12" x14ac:dyDescent="0.35">
      <c r="A466" t="s">
        <v>326</v>
      </c>
      <c r="B466" t="s">
        <v>536</v>
      </c>
      <c r="D466" t="s">
        <v>225</v>
      </c>
      <c r="H466">
        <v>5</v>
      </c>
      <c r="I466">
        <v>14</v>
      </c>
      <c r="L466">
        <v>5</v>
      </c>
    </row>
    <row r="467" spans="1:12" x14ac:dyDescent="0.35">
      <c r="A467" t="s">
        <v>326</v>
      </c>
      <c r="B467" t="s">
        <v>536</v>
      </c>
      <c r="D467" t="s">
        <v>229</v>
      </c>
      <c r="H467">
        <v>11</v>
      </c>
      <c r="I467">
        <v>29</v>
      </c>
      <c r="L467">
        <v>10</v>
      </c>
    </row>
    <row r="468" spans="1:12" x14ac:dyDescent="0.35">
      <c r="A468" t="s">
        <v>326</v>
      </c>
      <c r="B468" t="s">
        <v>536</v>
      </c>
      <c r="D468" t="s">
        <v>235</v>
      </c>
      <c r="H468">
        <v>53</v>
      </c>
      <c r="I468">
        <v>191.5</v>
      </c>
      <c r="L468">
        <v>38</v>
      </c>
    </row>
    <row r="469" spans="1:12" x14ac:dyDescent="0.35">
      <c r="A469" t="s">
        <v>326</v>
      </c>
      <c r="B469" t="s">
        <v>536</v>
      </c>
      <c r="D469" t="s">
        <v>241</v>
      </c>
      <c r="H469">
        <v>6</v>
      </c>
      <c r="I469">
        <v>14</v>
      </c>
      <c r="L469">
        <v>5</v>
      </c>
    </row>
    <row r="470" spans="1:12" x14ac:dyDescent="0.35">
      <c r="A470" t="s">
        <v>326</v>
      </c>
      <c r="B470" t="s">
        <v>536</v>
      </c>
      <c r="D470" t="s">
        <v>245</v>
      </c>
      <c r="H470">
        <v>9</v>
      </c>
      <c r="I470">
        <v>37</v>
      </c>
      <c r="L470">
        <v>5</v>
      </c>
    </row>
    <row r="471" spans="1:12" x14ac:dyDescent="0.35">
      <c r="A471" t="s">
        <v>326</v>
      </c>
      <c r="B471" t="s">
        <v>536</v>
      </c>
      <c r="D471" t="s">
        <v>248</v>
      </c>
      <c r="H471">
        <v>37</v>
      </c>
      <c r="I471">
        <v>112</v>
      </c>
      <c r="L471">
        <v>20</v>
      </c>
    </row>
    <row r="472" spans="1:12" x14ac:dyDescent="0.35">
      <c r="A472" t="s">
        <v>326</v>
      </c>
      <c r="B472" t="s">
        <v>536</v>
      </c>
      <c r="D472" t="s">
        <v>250</v>
      </c>
      <c r="H472">
        <v>8</v>
      </c>
      <c r="I472">
        <v>33.6</v>
      </c>
      <c r="L472">
        <v>5</v>
      </c>
    </row>
    <row r="473" spans="1:12" x14ac:dyDescent="0.35">
      <c r="A473" t="s">
        <v>326</v>
      </c>
      <c r="B473" t="s">
        <v>536</v>
      </c>
      <c r="D473" t="s">
        <v>254</v>
      </c>
      <c r="H473">
        <v>12</v>
      </c>
      <c r="I473">
        <v>44</v>
      </c>
      <c r="L473">
        <v>15</v>
      </c>
    </row>
    <row r="474" spans="1:12" x14ac:dyDescent="0.35">
      <c r="A474" t="s">
        <v>326</v>
      </c>
      <c r="B474" t="s">
        <v>536</v>
      </c>
      <c r="D474" t="s">
        <v>256</v>
      </c>
      <c r="H474">
        <v>4</v>
      </c>
      <c r="I474">
        <v>15</v>
      </c>
      <c r="L474">
        <v>5</v>
      </c>
    </row>
    <row r="475" spans="1:12" x14ac:dyDescent="0.35">
      <c r="A475" t="s">
        <v>326</v>
      </c>
      <c r="B475" t="s">
        <v>536</v>
      </c>
      <c r="D475" t="s">
        <v>260</v>
      </c>
      <c r="H475">
        <v>10</v>
      </c>
      <c r="I475">
        <v>27</v>
      </c>
      <c r="L475">
        <v>10</v>
      </c>
    </row>
    <row r="476" spans="1:12" x14ac:dyDescent="0.35">
      <c r="A476" t="s">
        <v>326</v>
      </c>
      <c r="B476" t="s">
        <v>536</v>
      </c>
      <c r="D476" t="s">
        <v>264</v>
      </c>
      <c r="H476">
        <v>19</v>
      </c>
      <c r="I476">
        <v>50</v>
      </c>
      <c r="L476">
        <v>15</v>
      </c>
    </row>
    <row r="477" spans="1:12" x14ac:dyDescent="0.35">
      <c r="A477" t="s">
        <v>326</v>
      </c>
      <c r="B477" t="s">
        <v>536</v>
      </c>
      <c r="D477" t="s">
        <v>268</v>
      </c>
      <c r="H477">
        <v>51</v>
      </c>
      <c r="I477">
        <v>163</v>
      </c>
      <c r="L477">
        <v>25</v>
      </c>
    </row>
    <row r="478" spans="1:12" x14ac:dyDescent="0.35">
      <c r="A478" t="s">
        <v>326</v>
      </c>
      <c r="B478" t="s">
        <v>536</v>
      </c>
      <c r="D478" t="s">
        <v>271</v>
      </c>
      <c r="H478">
        <v>108</v>
      </c>
      <c r="I478">
        <v>317</v>
      </c>
      <c r="L478">
        <v>66</v>
      </c>
    </row>
    <row r="479" spans="1:12" x14ac:dyDescent="0.35">
      <c r="A479" t="s">
        <v>326</v>
      </c>
      <c r="B479" t="s">
        <v>536</v>
      </c>
      <c r="D479" t="s">
        <v>274</v>
      </c>
      <c r="H479">
        <v>7</v>
      </c>
      <c r="L479">
        <v>4</v>
      </c>
    </row>
    <row r="480" spans="1:12" x14ac:dyDescent="0.35">
      <c r="A480" t="s">
        <v>326</v>
      </c>
      <c r="B480" t="s">
        <v>536</v>
      </c>
      <c r="D480" t="s">
        <v>274</v>
      </c>
      <c r="H480">
        <v>16</v>
      </c>
      <c r="I480">
        <v>51</v>
      </c>
      <c r="L480">
        <v>6</v>
      </c>
    </row>
    <row r="481" spans="1:12" x14ac:dyDescent="0.35">
      <c r="A481" t="s">
        <v>326</v>
      </c>
      <c r="B481" t="s">
        <v>536</v>
      </c>
      <c r="D481" t="s">
        <v>278</v>
      </c>
      <c r="H481">
        <v>14</v>
      </c>
      <c r="I481">
        <v>43</v>
      </c>
      <c r="L481">
        <v>10</v>
      </c>
    </row>
    <row r="482" spans="1:12" x14ac:dyDescent="0.35">
      <c r="A482" t="s">
        <v>326</v>
      </c>
      <c r="B482" t="s">
        <v>536</v>
      </c>
      <c r="D482" t="s">
        <v>280</v>
      </c>
      <c r="H482">
        <v>4</v>
      </c>
      <c r="I482">
        <v>15</v>
      </c>
      <c r="L482">
        <v>6</v>
      </c>
    </row>
    <row r="483" spans="1:12" x14ac:dyDescent="0.35">
      <c r="A483" t="s">
        <v>326</v>
      </c>
      <c r="B483" t="s">
        <v>536</v>
      </c>
      <c r="D483" t="s">
        <v>282</v>
      </c>
      <c r="H483">
        <v>4</v>
      </c>
      <c r="I483">
        <v>20</v>
      </c>
      <c r="L483">
        <v>5</v>
      </c>
    </row>
    <row r="484" spans="1:12" x14ac:dyDescent="0.35">
      <c r="A484" t="s">
        <v>326</v>
      </c>
      <c r="B484" t="s">
        <v>536</v>
      </c>
      <c r="D484" t="s">
        <v>284</v>
      </c>
      <c r="L484">
        <v>3</v>
      </c>
    </row>
    <row r="485" spans="1:12" x14ac:dyDescent="0.35">
      <c r="A485" t="s">
        <v>326</v>
      </c>
      <c r="B485" t="s">
        <v>536</v>
      </c>
      <c r="D485" t="s">
        <v>288</v>
      </c>
      <c r="H485">
        <v>16</v>
      </c>
      <c r="I485">
        <v>44</v>
      </c>
      <c r="L485">
        <v>15</v>
      </c>
    </row>
    <row r="486" spans="1:12" x14ac:dyDescent="0.35">
      <c r="A486" t="s">
        <v>326</v>
      </c>
      <c r="B486" t="s">
        <v>536</v>
      </c>
      <c r="D486" t="s">
        <v>290</v>
      </c>
      <c r="H486">
        <v>36</v>
      </c>
      <c r="I486">
        <v>102</v>
      </c>
      <c r="L486">
        <v>21</v>
      </c>
    </row>
    <row r="487" spans="1:12" x14ac:dyDescent="0.35">
      <c r="A487" t="s">
        <v>326</v>
      </c>
      <c r="B487" t="s">
        <v>536</v>
      </c>
      <c r="D487" t="s">
        <v>293</v>
      </c>
      <c r="L487">
        <v>1</v>
      </c>
    </row>
    <row r="488" spans="1:12" x14ac:dyDescent="0.35">
      <c r="A488" t="s">
        <v>326</v>
      </c>
      <c r="B488" t="s">
        <v>536</v>
      </c>
      <c r="D488" t="s">
        <v>295</v>
      </c>
      <c r="H488">
        <v>11</v>
      </c>
      <c r="I488">
        <v>53</v>
      </c>
      <c r="L488">
        <v>5</v>
      </c>
    </row>
    <row r="489" spans="1:12" x14ac:dyDescent="0.35">
      <c r="A489" t="s">
        <v>326</v>
      </c>
      <c r="B489" t="s">
        <v>536</v>
      </c>
      <c r="D489" t="s">
        <v>297</v>
      </c>
      <c r="H489">
        <v>20</v>
      </c>
      <c r="I489">
        <v>60</v>
      </c>
      <c r="L489">
        <v>15</v>
      </c>
    </row>
    <row r="490" spans="1:12" x14ac:dyDescent="0.35">
      <c r="A490" t="s">
        <v>326</v>
      </c>
      <c r="B490" t="s">
        <v>536</v>
      </c>
      <c r="D490" t="s">
        <v>299</v>
      </c>
      <c r="H490">
        <v>9</v>
      </c>
      <c r="I490">
        <v>37</v>
      </c>
      <c r="L490">
        <v>10</v>
      </c>
    </row>
    <row r="491" spans="1:12" x14ac:dyDescent="0.35">
      <c r="A491" t="s">
        <v>326</v>
      </c>
      <c r="B491" t="s">
        <v>536</v>
      </c>
      <c r="D491" t="s">
        <v>301</v>
      </c>
      <c r="L491">
        <v>1</v>
      </c>
    </row>
    <row r="492" spans="1:12" x14ac:dyDescent="0.35">
      <c r="A492" t="s">
        <v>326</v>
      </c>
      <c r="B492" t="s">
        <v>536</v>
      </c>
      <c r="D492" t="s">
        <v>303</v>
      </c>
      <c r="H492">
        <v>9</v>
      </c>
      <c r="I492">
        <v>34</v>
      </c>
      <c r="L492">
        <v>5</v>
      </c>
    </row>
    <row r="493" spans="1:12" x14ac:dyDescent="0.35">
      <c r="A493" t="s">
        <v>326</v>
      </c>
      <c r="B493" t="s">
        <v>536</v>
      </c>
      <c r="D493" t="s">
        <v>305</v>
      </c>
      <c r="H493">
        <v>35</v>
      </c>
      <c r="I493">
        <v>109</v>
      </c>
      <c r="L493">
        <v>20</v>
      </c>
    </row>
    <row r="494" spans="1:12" x14ac:dyDescent="0.35">
      <c r="A494" t="s">
        <v>326</v>
      </c>
      <c r="B494" t="s">
        <v>536</v>
      </c>
      <c r="D494" t="s">
        <v>308</v>
      </c>
      <c r="H494">
        <v>9</v>
      </c>
      <c r="I494">
        <v>32</v>
      </c>
      <c r="L494">
        <v>5</v>
      </c>
    </row>
    <row r="495" spans="1:12" x14ac:dyDescent="0.35">
      <c r="A495" t="s">
        <v>326</v>
      </c>
      <c r="B495" t="s">
        <v>536</v>
      </c>
      <c r="D495" t="s">
        <v>310</v>
      </c>
      <c r="H495">
        <v>15</v>
      </c>
      <c r="I495">
        <v>43</v>
      </c>
      <c r="L495">
        <v>10</v>
      </c>
    </row>
    <row r="496" spans="1:12" x14ac:dyDescent="0.35">
      <c r="A496" t="s">
        <v>326</v>
      </c>
      <c r="B496" t="s">
        <v>536</v>
      </c>
      <c r="D496" t="s">
        <v>312</v>
      </c>
      <c r="H496">
        <v>10</v>
      </c>
      <c r="I496">
        <v>35.5</v>
      </c>
      <c r="L496">
        <v>12</v>
      </c>
    </row>
    <row r="497" spans="1:12" x14ac:dyDescent="0.35">
      <c r="A497" t="s">
        <v>326</v>
      </c>
      <c r="B497" t="s">
        <v>539</v>
      </c>
      <c r="D497" t="s">
        <v>323</v>
      </c>
      <c r="F497">
        <v>1</v>
      </c>
      <c r="J497">
        <v>4</v>
      </c>
      <c r="K497">
        <v>10</v>
      </c>
      <c r="L497">
        <v>9</v>
      </c>
    </row>
    <row r="498" spans="1:12" x14ac:dyDescent="0.35">
      <c r="A498" t="s">
        <v>326</v>
      </c>
      <c r="B498" t="s">
        <v>539</v>
      </c>
      <c r="D498" t="s">
        <v>231</v>
      </c>
      <c r="F498">
        <v>1</v>
      </c>
      <c r="H498">
        <v>6</v>
      </c>
      <c r="I498">
        <v>2</v>
      </c>
      <c r="J498">
        <v>4</v>
      </c>
      <c r="K498">
        <v>10</v>
      </c>
      <c r="L498">
        <v>7</v>
      </c>
    </row>
    <row r="499" spans="1:12" x14ac:dyDescent="0.35">
      <c r="A499" t="s">
        <v>326</v>
      </c>
      <c r="B499" t="s">
        <v>539</v>
      </c>
      <c r="D499" t="s">
        <v>245</v>
      </c>
      <c r="F499">
        <v>1</v>
      </c>
      <c r="H499">
        <v>4</v>
      </c>
      <c r="I499">
        <v>1.83</v>
      </c>
      <c r="J499">
        <v>2</v>
      </c>
      <c r="K499">
        <v>6</v>
      </c>
      <c r="L499">
        <v>3</v>
      </c>
    </row>
    <row r="500" spans="1:12" x14ac:dyDescent="0.35">
      <c r="A500" t="s">
        <v>326</v>
      </c>
      <c r="B500" t="s">
        <v>539</v>
      </c>
      <c r="D500" t="s">
        <v>227</v>
      </c>
      <c r="F500">
        <v>1</v>
      </c>
      <c r="I500">
        <v>2</v>
      </c>
      <c r="J500">
        <v>4</v>
      </c>
      <c r="K500">
        <v>7</v>
      </c>
      <c r="L500">
        <v>9</v>
      </c>
    </row>
    <row r="501" spans="1:12" x14ac:dyDescent="0.35">
      <c r="A501" t="s">
        <v>326</v>
      </c>
      <c r="B501" t="s">
        <v>539</v>
      </c>
      <c r="D501" t="s">
        <v>252</v>
      </c>
      <c r="F501">
        <v>1</v>
      </c>
      <c r="H501">
        <v>4</v>
      </c>
      <c r="J501">
        <v>4</v>
      </c>
      <c r="K501">
        <v>10</v>
      </c>
      <c r="L501">
        <v>7</v>
      </c>
    </row>
    <row r="502" spans="1:12" x14ac:dyDescent="0.35">
      <c r="A502" t="s">
        <v>326</v>
      </c>
      <c r="B502" t="s">
        <v>539</v>
      </c>
      <c r="D502" t="s">
        <v>258</v>
      </c>
      <c r="F502">
        <v>1</v>
      </c>
      <c r="H502">
        <v>6</v>
      </c>
      <c r="I502">
        <v>4</v>
      </c>
      <c r="J502">
        <v>4</v>
      </c>
      <c r="K502">
        <v>6</v>
      </c>
      <c r="L502">
        <v>11</v>
      </c>
    </row>
    <row r="503" spans="1:12" x14ac:dyDescent="0.35">
      <c r="A503" t="s">
        <v>326</v>
      </c>
      <c r="B503" t="s">
        <v>539</v>
      </c>
      <c r="D503" t="s">
        <v>262</v>
      </c>
      <c r="F503">
        <v>1</v>
      </c>
      <c r="H503">
        <v>4</v>
      </c>
      <c r="I503">
        <v>1</v>
      </c>
      <c r="J503">
        <v>3</v>
      </c>
      <c r="K503">
        <v>6</v>
      </c>
      <c r="L503">
        <v>4</v>
      </c>
    </row>
    <row r="504" spans="1:12" x14ac:dyDescent="0.35">
      <c r="A504" t="s">
        <v>326</v>
      </c>
      <c r="B504" t="s">
        <v>539</v>
      </c>
      <c r="D504" t="s">
        <v>237</v>
      </c>
      <c r="F504">
        <v>1</v>
      </c>
      <c r="H504">
        <v>3</v>
      </c>
      <c r="I504">
        <v>3</v>
      </c>
      <c r="J504">
        <v>3</v>
      </c>
      <c r="K504">
        <v>8</v>
      </c>
      <c r="L504">
        <v>8</v>
      </c>
    </row>
    <row r="505" spans="1:12" x14ac:dyDescent="0.35">
      <c r="A505" t="s">
        <v>326</v>
      </c>
      <c r="B505" t="s">
        <v>539</v>
      </c>
      <c r="D505" t="s">
        <v>266</v>
      </c>
      <c r="F505">
        <v>1</v>
      </c>
      <c r="H505">
        <v>4</v>
      </c>
      <c r="I505">
        <v>1</v>
      </c>
      <c r="J505">
        <v>1</v>
      </c>
      <c r="K505">
        <v>6</v>
      </c>
      <c r="L505">
        <v>6</v>
      </c>
    </row>
    <row r="506" spans="1:12" x14ac:dyDescent="0.35">
      <c r="A506" t="s">
        <v>326</v>
      </c>
      <c r="B506" t="s">
        <v>539</v>
      </c>
      <c r="D506" t="s">
        <v>271</v>
      </c>
      <c r="F506">
        <v>1</v>
      </c>
      <c r="H506">
        <v>2</v>
      </c>
      <c r="I506">
        <v>1</v>
      </c>
      <c r="J506">
        <v>4</v>
      </c>
      <c r="K506">
        <v>9</v>
      </c>
      <c r="L506">
        <v>6</v>
      </c>
    </row>
    <row r="507" spans="1:12" x14ac:dyDescent="0.35">
      <c r="A507" t="s">
        <v>326</v>
      </c>
      <c r="B507" t="s">
        <v>539</v>
      </c>
      <c r="D507" t="s">
        <v>276</v>
      </c>
      <c r="F507">
        <v>1</v>
      </c>
      <c r="I507">
        <v>1</v>
      </c>
      <c r="J507">
        <v>4</v>
      </c>
      <c r="K507">
        <v>10</v>
      </c>
      <c r="L507">
        <v>4</v>
      </c>
    </row>
    <row r="508" spans="1:12" x14ac:dyDescent="0.35">
      <c r="A508" t="s">
        <v>326</v>
      </c>
      <c r="B508" t="s">
        <v>539</v>
      </c>
      <c r="D508" t="s">
        <v>325</v>
      </c>
      <c r="F508">
        <v>1</v>
      </c>
      <c r="H508">
        <v>4</v>
      </c>
      <c r="I508">
        <v>1</v>
      </c>
      <c r="J508">
        <v>3</v>
      </c>
      <c r="K508">
        <v>8</v>
      </c>
      <c r="L508">
        <v>10</v>
      </c>
    </row>
    <row r="509" spans="1:12" x14ac:dyDescent="0.35">
      <c r="A509" t="s">
        <v>326</v>
      </c>
      <c r="B509" t="s">
        <v>539</v>
      </c>
      <c r="D509" t="s">
        <v>314</v>
      </c>
      <c r="F509">
        <v>1</v>
      </c>
      <c r="H509">
        <v>6</v>
      </c>
      <c r="I509">
        <v>2</v>
      </c>
      <c r="J509">
        <v>4</v>
      </c>
      <c r="K509">
        <v>10</v>
      </c>
      <c r="L509">
        <v>8</v>
      </c>
    </row>
    <row r="510" spans="1:12" x14ac:dyDescent="0.35">
      <c r="A510" t="s">
        <v>326</v>
      </c>
      <c r="B510" t="s">
        <v>539</v>
      </c>
      <c r="D510" t="s">
        <v>286</v>
      </c>
      <c r="J510">
        <v>1</v>
      </c>
    </row>
    <row r="511" spans="1:12" x14ac:dyDescent="0.35">
      <c r="A511" t="s">
        <v>326</v>
      </c>
      <c r="B511" t="s">
        <v>539</v>
      </c>
      <c r="D511" t="s">
        <v>286</v>
      </c>
      <c r="F511">
        <v>1</v>
      </c>
      <c r="J511">
        <v>3</v>
      </c>
      <c r="K511">
        <v>5</v>
      </c>
    </row>
    <row r="512" spans="1:12" x14ac:dyDescent="0.35">
      <c r="A512" t="s">
        <v>326</v>
      </c>
      <c r="B512" t="s">
        <v>541</v>
      </c>
      <c r="D512" t="s">
        <v>219</v>
      </c>
      <c r="F512">
        <v>2</v>
      </c>
      <c r="H512">
        <v>12</v>
      </c>
      <c r="I512">
        <v>25</v>
      </c>
      <c r="J512">
        <v>3</v>
      </c>
      <c r="K512">
        <v>6</v>
      </c>
      <c r="L512">
        <v>22</v>
      </c>
    </row>
    <row r="513" spans="1:12" x14ac:dyDescent="0.35">
      <c r="A513" t="s">
        <v>326</v>
      </c>
      <c r="B513" t="s">
        <v>541</v>
      </c>
      <c r="D513" t="s">
        <v>233</v>
      </c>
      <c r="F513">
        <v>2</v>
      </c>
      <c r="H513">
        <v>10</v>
      </c>
      <c r="I513">
        <v>48</v>
      </c>
      <c r="J513">
        <v>5</v>
      </c>
      <c r="K513">
        <v>11</v>
      </c>
      <c r="L513">
        <v>43</v>
      </c>
    </row>
    <row r="514" spans="1:12" x14ac:dyDescent="0.35">
      <c r="A514" t="s">
        <v>326</v>
      </c>
      <c r="B514" t="s">
        <v>541</v>
      </c>
      <c r="C514" t="s">
        <v>238</v>
      </c>
      <c r="D514" t="s">
        <v>239</v>
      </c>
      <c r="F514">
        <v>1</v>
      </c>
      <c r="H514">
        <v>4</v>
      </c>
      <c r="I514">
        <v>30</v>
      </c>
      <c r="J514">
        <v>3</v>
      </c>
      <c r="K514">
        <v>4</v>
      </c>
      <c r="L514">
        <v>25</v>
      </c>
    </row>
    <row r="515" spans="1:12" x14ac:dyDescent="0.35">
      <c r="A515" t="s">
        <v>326</v>
      </c>
      <c r="B515" t="s">
        <v>543</v>
      </c>
      <c r="C515" t="s">
        <v>548</v>
      </c>
      <c r="D515" t="s">
        <v>544</v>
      </c>
      <c r="F515">
        <v>12</v>
      </c>
      <c r="G515">
        <v>5</v>
      </c>
      <c r="H515">
        <v>1</v>
      </c>
      <c r="J515">
        <v>19</v>
      </c>
      <c r="K515">
        <v>16</v>
      </c>
      <c r="L515">
        <v>16</v>
      </c>
    </row>
    <row r="516" spans="1:12" x14ac:dyDescent="0.35">
      <c r="A516" t="s">
        <v>327</v>
      </c>
      <c r="B516" t="s">
        <v>536</v>
      </c>
      <c r="D516" t="s">
        <v>216</v>
      </c>
      <c r="H516">
        <v>34</v>
      </c>
      <c r="I516">
        <v>106</v>
      </c>
      <c r="L516">
        <v>22</v>
      </c>
    </row>
    <row r="517" spans="1:12" x14ac:dyDescent="0.35">
      <c r="A517" t="s">
        <v>327</v>
      </c>
      <c r="B517" t="s">
        <v>536</v>
      </c>
      <c r="D517" t="s">
        <v>221</v>
      </c>
      <c r="H517">
        <v>6</v>
      </c>
      <c r="I517">
        <v>17</v>
      </c>
      <c r="L517">
        <v>5</v>
      </c>
    </row>
    <row r="518" spans="1:12" x14ac:dyDescent="0.35">
      <c r="A518" t="s">
        <v>327</v>
      </c>
      <c r="B518" t="s">
        <v>536</v>
      </c>
      <c r="D518" t="s">
        <v>225</v>
      </c>
      <c r="H518">
        <v>5</v>
      </c>
      <c r="I518">
        <v>17</v>
      </c>
      <c r="L518">
        <v>5</v>
      </c>
    </row>
    <row r="519" spans="1:12" x14ac:dyDescent="0.35">
      <c r="A519" t="s">
        <v>327</v>
      </c>
      <c r="B519" t="s">
        <v>536</v>
      </c>
      <c r="D519" t="s">
        <v>229</v>
      </c>
      <c r="H519">
        <v>10</v>
      </c>
      <c r="I519">
        <v>34</v>
      </c>
      <c r="L519">
        <v>11</v>
      </c>
    </row>
    <row r="520" spans="1:12" x14ac:dyDescent="0.35">
      <c r="A520" t="s">
        <v>327</v>
      </c>
      <c r="B520" t="s">
        <v>536</v>
      </c>
      <c r="D520" t="s">
        <v>235</v>
      </c>
      <c r="H520">
        <v>59</v>
      </c>
      <c r="I520">
        <v>198.5</v>
      </c>
      <c r="L520">
        <v>35</v>
      </c>
    </row>
    <row r="521" spans="1:12" x14ac:dyDescent="0.35">
      <c r="A521" t="s">
        <v>327</v>
      </c>
      <c r="B521" t="s">
        <v>536</v>
      </c>
      <c r="D521" t="s">
        <v>241</v>
      </c>
      <c r="H521">
        <v>5</v>
      </c>
      <c r="I521">
        <v>16</v>
      </c>
      <c r="L521">
        <v>6</v>
      </c>
    </row>
    <row r="522" spans="1:12" x14ac:dyDescent="0.35">
      <c r="A522" t="s">
        <v>327</v>
      </c>
      <c r="B522" t="s">
        <v>536</v>
      </c>
      <c r="D522" t="s">
        <v>245</v>
      </c>
      <c r="H522">
        <v>10</v>
      </c>
      <c r="I522">
        <v>38</v>
      </c>
      <c r="L522">
        <v>5</v>
      </c>
    </row>
    <row r="523" spans="1:12" x14ac:dyDescent="0.35">
      <c r="A523" t="s">
        <v>327</v>
      </c>
      <c r="B523" t="s">
        <v>536</v>
      </c>
      <c r="D523" t="s">
        <v>248</v>
      </c>
      <c r="H523">
        <v>30</v>
      </c>
      <c r="I523">
        <v>118</v>
      </c>
      <c r="L523">
        <v>20</v>
      </c>
    </row>
    <row r="524" spans="1:12" x14ac:dyDescent="0.35">
      <c r="A524" t="s">
        <v>327</v>
      </c>
      <c r="B524" t="s">
        <v>536</v>
      </c>
      <c r="D524" t="s">
        <v>250</v>
      </c>
      <c r="H524">
        <v>10</v>
      </c>
      <c r="I524">
        <v>32</v>
      </c>
      <c r="L524">
        <v>6</v>
      </c>
    </row>
    <row r="525" spans="1:12" x14ac:dyDescent="0.35">
      <c r="A525" t="s">
        <v>327</v>
      </c>
      <c r="B525" t="s">
        <v>536</v>
      </c>
      <c r="D525" t="s">
        <v>254</v>
      </c>
      <c r="H525">
        <v>15</v>
      </c>
      <c r="I525">
        <v>46</v>
      </c>
      <c r="L525">
        <v>15</v>
      </c>
    </row>
    <row r="526" spans="1:12" x14ac:dyDescent="0.35">
      <c r="A526" t="s">
        <v>327</v>
      </c>
      <c r="B526" t="s">
        <v>536</v>
      </c>
      <c r="D526" t="s">
        <v>256</v>
      </c>
      <c r="H526">
        <v>5</v>
      </c>
      <c r="I526">
        <v>15</v>
      </c>
      <c r="L526">
        <v>5</v>
      </c>
    </row>
    <row r="527" spans="1:12" x14ac:dyDescent="0.35">
      <c r="A527" t="s">
        <v>327</v>
      </c>
      <c r="B527" t="s">
        <v>536</v>
      </c>
      <c r="D527" t="s">
        <v>260</v>
      </c>
      <c r="H527">
        <v>10</v>
      </c>
      <c r="I527">
        <v>33</v>
      </c>
      <c r="L527">
        <v>10</v>
      </c>
    </row>
    <row r="528" spans="1:12" x14ac:dyDescent="0.35">
      <c r="A528" t="s">
        <v>327</v>
      </c>
      <c r="B528" t="s">
        <v>536</v>
      </c>
      <c r="D528" t="s">
        <v>264</v>
      </c>
      <c r="H528">
        <v>20</v>
      </c>
      <c r="I528">
        <v>56</v>
      </c>
      <c r="L528">
        <v>15</v>
      </c>
    </row>
    <row r="529" spans="1:12" x14ac:dyDescent="0.35">
      <c r="A529" t="s">
        <v>327</v>
      </c>
      <c r="B529" t="s">
        <v>536</v>
      </c>
      <c r="D529" t="s">
        <v>268</v>
      </c>
      <c r="H529">
        <v>43</v>
      </c>
      <c r="I529">
        <v>146</v>
      </c>
      <c r="L529">
        <v>27</v>
      </c>
    </row>
    <row r="530" spans="1:12" x14ac:dyDescent="0.35">
      <c r="A530" t="s">
        <v>327</v>
      </c>
      <c r="B530" t="s">
        <v>536</v>
      </c>
      <c r="D530" t="s">
        <v>271</v>
      </c>
      <c r="H530">
        <v>94</v>
      </c>
      <c r="I530">
        <v>302</v>
      </c>
      <c r="L530">
        <v>67</v>
      </c>
    </row>
    <row r="531" spans="1:12" x14ac:dyDescent="0.35">
      <c r="A531" t="s">
        <v>327</v>
      </c>
      <c r="B531" t="s">
        <v>536</v>
      </c>
      <c r="D531" t="s">
        <v>274</v>
      </c>
      <c r="H531">
        <v>20</v>
      </c>
      <c r="I531">
        <v>52</v>
      </c>
      <c r="L531">
        <v>8</v>
      </c>
    </row>
    <row r="532" spans="1:12" x14ac:dyDescent="0.35">
      <c r="A532" t="s">
        <v>327</v>
      </c>
      <c r="B532" t="s">
        <v>536</v>
      </c>
      <c r="D532" t="s">
        <v>278</v>
      </c>
      <c r="H532">
        <v>14</v>
      </c>
      <c r="I532">
        <v>39</v>
      </c>
      <c r="L532">
        <v>10</v>
      </c>
    </row>
    <row r="533" spans="1:12" x14ac:dyDescent="0.35">
      <c r="A533" t="s">
        <v>327</v>
      </c>
      <c r="B533" t="s">
        <v>536</v>
      </c>
      <c r="D533" t="s">
        <v>280</v>
      </c>
      <c r="H533">
        <v>7</v>
      </c>
      <c r="I533">
        <v>16</v>
      </c>
      <c r="L533">
        <v>6</v>
      </c>
    </row>
    <row r="534" spans="1:12" x14ac:dyDescent="0.35">
      <c r="A534" t="s">
        <v>327</v>
      </c>
      <c r="B534" t="s">
        <v>536</v>
      </c>
      <c r="D534" t="s">
        <v>282</v>
      </c>
      <c r="H534">
        <v>4</v>
      </c>
      <c r="I534">
        <v>21</v>
      </c>
      <c r="L534">
        <v>5</v>
      </c>
    </row>
    <row r="535" spans="1:12" x14ac:dyDescent="0.35">
      <c r="A535" t="s">
        <v>327</v>
      </c>
      <c r="B535" t="s">
        <v>536</v>
      </c>
      <c r="D535" t="s">
        <v>284</v>
      </c>
      <c r="L535">
        <v>3</v>
      </c>
    </row>
    <row r="536" spans="1:12" x14ac:dyDescent="0.35">
      <c r="A536" t="s">
        <v>327</v>
      </c>
      <c r="B536" t="s">
        <v>536</v>
      </c>
      <c r="D536" t="s">
        <v>288</v>
      </c>
      <c r="H536">
        <v>16</v>
      </c>
      <c r="I536">
        <v>54</v>
      </c>
      <c r="L536">
        <v>15</v>
      </c>
    </row>
    <row r="537" spans="1:12" x14ac:dyDescent="0.35">
      <c r="A537" t="s">
        <v>327</v>
      </c>
      <c r="B537" t="s">
        <v>536</v>
      </c>
      <c r="D537" t="s">
        <v>290</v>
      </c>
      <c r="H537">
        <v>36</v>
      </c>
      <c r="I537">
        <v>112</v>
      </c>
      <c r="L537">
        <v>21</v>
      </c>
    </row>
    <row r="538" spans="1:12" x14ac:dyDescent="0.35">
      <c r="A538" t="s">
        <v>327</v>
      </c>
      <c r="B538" t="s">
        <v>536</v>
      </c>
      <c r="D538" t="s">
        <v>295</v>
      </c>
      <c r="H538">
        <v>12</v>
      </c>
      <c r="I538">
        <v>49</v>
      </c>
      <c r="L538">
        <v>5</v>
      </c>
    </row>
    <row r="539" spans="1:12" x14ac:dyDescent="0.35">
      <c r="A539" t="s">
        <v>327</v>
      </c>
      <c r="B539" t="s">
        <v>536</v>
      </c>
      <c r="D539" t="s">
        <v>297</v>
      </c>
      <c r="H539">
        <v>21</v>
      </c>
      <c r="I539">
        <v>66</v>
      </c>
      <c r="L539">
        <v>15</v>
      </c>
    </row>
    <row r="540" spans="1:12" x14ac:dyDescent="0.35">
      <c r="A540" t="s">
        <v>327</v>
      </c>
      <c r="B540" t="s">
        <v>536</v>
      </c>
      <c r="D540" t="s">
        <v>299</v>
      </c>
      <c r="H540">
        <v>9</v>
      </c>
      <c r="I540">
        <v>38</v>
      </c>
      <c r="L540">
        <v>10</v>
      </c>
    </row>
    <row r="541" spans="1:12" x14ac:dyDescent="0.35">
      <c r="A541" t="s">
        <v>327</v>
      </c>
      <c r="B541" t="s">
        <v>536</v>
      </c>
      <c r="D541" t="s">
        <v>301</v>
      </c>
      <c r="L541">
        <v>1</v>
      </c>
    </row>
    <row r="542" spans="1:12" x14ac:dyDescent="0.35">
      <c r="A542" t="s">
        <v>327</v>
      </c>
      <c r="B542" t="s">
        <v>536</v>
      </c>
      <c r="D542" t="s">
        <v>303</v>
      </c>
      <c r="H542">
        <v>10</v>
      </c>
      <c r="I542">
        <v>36</v>
      </c>
      <c r="L542">
        <v>6</v>
      </c>
    </row>
    <row r="543" spans="1:12" x14ac:dyDescent="0.35">
      <c r="A543" t="s">
        <v>327</v>
      </c>
      <c r="B543" t="s">
        <v>536</v>
      </c>
      <c r="D543" t="s">
        <v>305</v>
      </c>
      <c r="H543">
        <v>30</v>
      </c>
      <c r="I543">
        <v>111</v>
      </c>
      <c r="L543">
        <v>20</v>
      </c>
    </row>
    <row r="544" spans="1:12" x14ac:dyDescent="0.35">
      <c r="A544" t="s">
        <v>327</v>
      </c>
      <c r="B544" t="s">
        <v>536</v>
      </c>
      <c r="D544" t="s">
        <v>308</v>
      </c>
      <c r="H544">
        <v>10</v>
      </c>
      <c r="I544">
        <v>34</v>
      </c>
      <c r="L544">
        <v>5</v>
      </c>
    </row>
    <row r="545" spans="1:12" x14ac:dyDescent="0.35">
      <c r="A545" t="s">
        <v>327</v>
      </c>
      <c r="B545" t="s">
        <v>536</v>
      </c>
      <c r="D545" t="s">
        <v>310</v>
      </c>
      <c r="H545">
        <v>13</v>
      </c>
      <c r="I545">
        <v>51</v>
      </c>
      <c r="L545">
        <v>11</v>
      </c>
    </row>
    <row r="546" spans="1:12" x14ac:dyDescent="0.35">
      <c r="A546" t="s">
        <v>327</v>
      </c>
      <c r="B546" t="s">
        <v>536</v>
      </c>
      <c r="D546" t="s">
        <v>312</v>
      </c>
      <c r="H546">
        <v>11</v>
      </c>
      <c r="I546">
        <v>36.980000000000004</v>
      </c>
      <c r="L546">
        <v>13</v>
      </c>
    </row>
    <row r="547" spans="1:12" x14ac:dyDescent="0.35">
      <c r="A547" t="s">
        <v>327</v>
      </c>
      <c r="B547" t="s">
        <v>539</v>
      </c>
      <c r="D547" t="s">
        <v>323</v>
      </c>
      <c r="F547">
        <v>1</v>
      </c>
      <c r="J547">
        <v>4</v>
      </c>
      <c r="K547">
        <v>11</v>
      </c>
      <c r="L547">
        <v>6</v>
      </c>
    </row>
    <row r="548" spans="1:12" x14ac:dyDescent="0.35">
      <c r="A548" t="s">
        <v>327</v>
      </c>
      <c r="B548" t="s">
        <v>539</v>
      </c>
      <c r="D548" t="s">
        <v>231</v>
      </c>
      <c r="F548">
        <v>1</v>
      </c>
      <c r="H548">
        <v>6</v>
      </c>
      <c r="I548">
        <v>2</v>
      </c>
      <c r="J548">
        <v>4</v>
      </c>
      <c r="K548">
        <v>9</v>
      </c>
      <c r="L548">
        <v>6</v>
      </c>
    </row>
    <row r="549" spans="1:12" x14ac:dyDescent="0.35">
      <c r="A549" t="s">
        <v>327</v>
      </c>
      <c r="B549" t="s">
        <v>539</v>
      </c>
      <c r="D549" t="s">
        <v>245</v>
      </c>
      <c r="F549">
        <v>1</v>
      </c>
      <c r="H549">
        <v>5</v>
      </c>
      <c r="I549">
        <v>1.83</v>
      </c>
      <c r="J549">
        <v>2</v>
      </c>
      <c r="K549">
        <v>5</v>
      </c>
      <c r="L549">
        <v>7</v>
      </c>
    </row>
    <row r="550" spans="1:12" x14ac:dyDescent="0.35">
      <c r="A550" t="s">
        <v>327</v>
      </c>
      <c r="B550" t="s">
        <v>539</v>
      </c>
      <c r="D550" t="s">
        <v>227</v>
      </c>
      <c r="F550">
        <v>2</v>
      </c>
      <c r="J550">
        <v>4</v>
      </c>
      <c r="K550">
        <v>8</v>
      </c>
      <c r="L550">
        <v>8.77</v>
      </c>
    </row>
    <row r="551" spans="1:12" x14ac:dyDescent="0.35">
      <c r="A551" t="s">
        <v>327</v>
      </c>
      <c r="B551" t="s">
        <v>539</v>
      </c>
      <c r="D551" t="s">
        <v>252</v>
      </c>
      <c r="F551">
        <v>1</v>
      </c>
      <c r="H551">
        <v>5</v>
      </c>
      <c r="J551">
        <v>3</v>
      </c>
      <c r="K551">
        <v>9</v>
      </c>
      <c r="L551">
        <v>7</v>
      </c>
    </row>
    <row r="552" spans="1:12" x14ac:dyDescent="0.35">
      <c r="A552" t="s">
        <v>327</v>
      </c>
      <c r="B552" t="s">
        <v>539</v>
      </c>
      <c r="D552" t="s">
        <v>258</v>
      </c>
      <c r="F552">
        <v>1</v>
      </c>
      <c r="H552">
        <v>3</v>
      </c>
      <c r="I552">
        <v>4</v>
      </c>
      <c r="J552">
        <v>3</v>
      </c>
      <c r="K552">
        <v>6</v>
      </c>
      <c r="L552">
        <v>9</v>
      </c>
    </row>
    <row r="553" spans="1:12" x14ac:dyDescent="0.35">
      <c r="A553" t="s">
        <v>327</v>
      </c>
      <c r="B553" t="s">
        <v>539</v>
      </c>
      <c r="D553" t="s">
        <v>262</v>
      </c>
      <c r="F553">
        <v>1</v>
      </c>
      <c r="H553">
        <v>3</v>
      </c>
      <c r="I553">
        <v>1</v>
      </c>
      <c r="J553">
        <v>3</v>
      </c>
      <c r="K553">
        <v>6</v>
      </c>
      <c r="L553">
        <v>4</v>
      </c>
    </row>
    <row r="554" spans="1:12" x14ac:dyDescent="0.35">
      <c r="A554" t="s">
        <v>327</v>
      </c>
      <c r="B554" t="s">
        <v>539</v>
      </c>
      <c r="D554" t="s">
        <v>237</v>
      </c>
      <c r="F554">
        <v>1</v>
      </c>
      <c r="H554">
        <v>4</v>
      </c>
      <c r="I554">
        <v>3</v>
      </c>
      <c r="J554">
        <v>3</v>
      </c>
      <c r="K554">
        <v>7</v>
      </c>
      <c r="L554">
        <v>9</v>
      </c>
    </row>
    <row r="555" spans="1:12" x14ac:dyDescent="0.35">
      <c r="A555" t="s">
        <v>327</v>
      </c>
      <c r="B555" t="s">
        <v>539</v>
      </c>
      <c r="D555" t="s">
        <v>266</v>
      </c>
      <c r="F555">
        <v>1</v>
      </c>
      <c r="H555">
        <v>3</v>
      </c>
      <c r="I555">
        <v>1</v>
      </c>
      <c r="J555">
        <v>2</v>
      </c>
      <c r="K555">
        <v>6</v>
      </c>
      <c r="L555">
        <v>6</v>
      </c>
    </row>
    <row r="556" spans="1:12" x14ac:dyDescent="0.35">
      <c r="A556" t="s">
        <v>327</v>
      </c>
      <c r="B556" t="s">
        <v>539</v>
      </c>
      <c r="D556" t="s">
        <v>271</v>
      </c>
      <c r="F556">
        <v>1</v>
      </c>
      <c r="H556">
        <v>2</v>
      </c>
      <c r="I556">
        <v>1</v>
      </c>
      <c r="J556">
        <v>4</v>
      </c>
      <c r="K556">
        <v>8</v>
      </c>
      <c r="L556">
        <v>7</v>
      </c>
    </row>
    <row r="557" spans="1:12" x14ac:dyDescent="0.35">
      <c r="A557" t="s">
        <v>327</v>
      </c>
      <c r="B557" t="s">
        <v>539</v>
      </c>
      <c r="D557" t="s">
        <v>276</v>
      </c>
      <c r="F557">
        <v>1</v>
      </c>
      <c r="H557">
        <v>1</v>
      </c>
      <c r="I557">
        <v>1</v>
      </c>
      <c r="J557">
        <v>4</v>
      </c>
      <c r="K557">
        <v>12</v>
      </c>
      <c r="L557">
        <v>4</v>
      </c>
    </row>
    <row r="558" spans="1:12" x14ac:dyDescent="0.35">
      <c r="A558" t="s">
        <v>327</v>
      </c>
      <c r="B558" t="s">
        <v>539</v>
      </c>
      <c r="D558" t="s">
        <v>325</v>
      </c>
      <c r="F558">
        <v>1</v>
      </c>
      <c r="H558">
        <v>3</v>
      </c>
      <c r="I558">
        <v>1</v>
      </c>
      <c r="J558">
        <v>3</v>
      </c>
      <c r="K558">
        <v>10</v>
      </c>
      <c r="L558">
        <v>9</v>
      </c>
    </row>
    <row r="559" spans="1:12" x14ac:dyDescent="0.35">
      <c r="A559" t="s">
        <v>327</v>
      </c>
      <c r="B559" t="s">
        <v>539</v>
      </c>
      <c r="D559" t="s">
        <v>314</v>
      </c>
      <c r="F559">
        <v>1</v>
      </c>
      <c r="H559">
        <v>7</v>
      </c>
      <c r="I559">
        <v>2</v>
      </c>
      <c r="J559">
        <v>4</v>
      </c>
      <c r="K559">
        <v>9</v>
      </c>
      <c r="L559">
        <v>10</v>
      </c>
    </row>
    <row r="560" spans="1:12" x14ac:dyDescent="0.35">
      <c r="A560" t="s">
        <v>327</v>
      </c>
      <c r="B560" t="s">
        <v>539</v>
      </c>
      <c r="D560" t="s">
        <v>286</v>
      </c>
      <c r="J560">
        <v>1</v>
      </c>
    </row>
    <row r="561" spans="1:12" x14ac:dyDescent="0.35">
      <c r="A561" t="s">
        <v>327</v>
      </c>
      <c r="B561" t="s">
        <v>539</v>
      </c>
      <c r="D561" t="s">
        <v>286</v>
      </c>
      <c r="F561">
        <v>1</v>
      </c>
      <c r="J561">
        <v>3</v>
      </c>
      <c r="K561">
        <v>6</v>
      </c>
    </row>
    <row r="562" spans="1:12" x14ac:dyDescent="0.35">
      <c r="A562" t="s">
        <v>327</v>
      </c>
      <c r="B562" t="s">
        <v>541</v>
      </c>
      <c r="D562" t="s">
        <v>219</v>
      </c>
      <c r="F562">
        <v>2</v>
      </c>
      <c r="H562">
        <v>17</v>
      </c>
      <c r="J562">
        <v>2</v>
      </c>
      <c r="K562">
        <v>8</v>
      </c>
      <c r="L562">
        <v>23</v>
      </c>
    </row>
    <row r="563" spans="1:12" x14ac:dyDescent="0.35">
      <c r="A563" t="s">
        <v>327</v>
      </c>
      <c r="B563" t="s">
        <v>541</v>
      </c>
      <c r="D563" t="s">
        <v>233</v>
      </c>
      <c r="F563">
        <v>2</v>
      </c>
      <c r="H563">
        <v>8</v>
      </c>
      <c r="I563">
        <v>1</v>
      </c>
      <c r="J563">
        <v>4</v>
      </c>
      <c r="K563">
        <v>7</v>
      </c>
      <c r="L563">
        <v>38</v>
      </c>
    </row>
    <row r="564" spans="1:12" x14ac:dyDescent="0.35">
      <c r="A564" t="s">
        <v>327</v>
      </c>
      <c r="B564" t="s">
        <v>541</v>
      </c>
      <c r="C564" t="s">
        <v>238</v>
      </c>
      <c r="D564" t="s">
        <v>239</v>
      </c>
      <c r="F564">
        <v>1</v>
      </c>
      <c r="H564">
        <v>3</v>
      </c>
      <c r="J564">
        <v>2</v>
      </c>
      <c r="K564">
        <v>5</v>
      </c>
      <c r="L564">
        <v>18</v>
      </c>
    </row>
    <row r="565" spans="1:12" x14ac:dyDescent="0.35">
      <c r="A565" t="s">
        <v>327</v>
      </c>
      <c r="B565" t="s">
        <v>543</v>
      </c>
      <c r="C565" t="s">
        <v>548</v>
      </c>
      <c r="D565" t="s">
        <v>544</v>
      </c>
      <c r="F565">
        <v>11</v>
      </c>
      <c r="G565">
        <v>5</v>
      </c>
      <c r="H565">
        <v>1</v>
      </c>
      <c r="J565">
        <v>16</v>
      </c>
      <c r="K565">
        <v>24</v>
      </c>
      <c r="L565">
        <v>27</v>
      </c>
    </row>
    <row r="566" spans="1:12" x14ac:dyDescent="0.35">
      <c r="A566" t="s">
        <v>466</v>
      </c>
      <c r="B566" t="s">
        <v>536</v>
      </c>
      <c r="D566" t="s">
        <v>216</v>
      </c>
      <c r="H566">
        <v>35</v>
      </c>
      <c r="I566">
        <v>102</v>
      </c>
      <c r="L566">
        <v>20</v>
      </c>
    </row>
    <row r="567" spans="1:12" x14ac:dyDescent="0.35">
      <c r="A567" t="s">
        <v>466</v>
      </c>
      <c r="B567" t="s">
        <v>536</v>
      </c>
      <c r="D567" t="s">
        <v>221</v>
      </c>
      <c r="H567">
        <v>6</v>
      </c>
      <c r="I567">
        <v>20</v>
      </c>
      <c r="L567">
        <v>5</v>
      </c>
    </row>
    <row r="568" spans="1:12" x14ac:dyDescent="0.35">
      <c r="A568" t="s">
        <v>466</v>
      </c>
      <c r="B568" t="s">
        <v>536</v>
      </c>
      <c r="D568" t="s">
        <v>225</v>
      </c>
      <c r="H568">
        <v>5</v>
      </c>
      <c r="I568">
        <v>15</v>
      </c>
      <c r="L568">
        <v>6</v>
      </c>
    </row>
    <row r="569" spans="1:12" x14ac:dyDescent="0.35">
      <c r="A569" t="s">
        <v>466</v>
      </c>
      <c r="B569" t="s">
        <v>536</v>
      </c>
      <c r="D569" t="s">
        <v>229</v>
      </c>
      <c r="H569">
        <v>10</v>
      </c>
      <c r="I569">
        <v>32</v>
      </c>
      <c r="L569">
        <v>11</v>
      </c>
    </row>
    <row r="570" spans="1:12" x14ac:dyDescent="0.35">
      <c r="A570" t="s">
        <v>466</v>
      </c>
      <c r="B570" t="s">
        <v>536</v>
      </c>
      <c r="D570" t="s">
        <v>235</v>
      </c>
      <c r="H570">
        <v>56</v>
      </c>
      <c r="I570">
        <v>197.5</v>
      </c>
      <c r="L570">
        <v>34</v>
      </c>
    </row>
    <row r="571" spans="1:12" x14ac:dyDescent="0.35">
      <c r="A571" t="s">
        <v>466</v>
      </c>
      <c r="B571" t="s">
        <v>536</v>
      </c>
      <c r="D571" t="s">
        <v>241</v>
      </c>
      <c r="H571">
        <v>5</v>
      </c>
      <c r="I571">
        <v>16</v>
      </c>
      <c r="L571">
        <v>5</v>
      </c>
    </row>
    <row r="572" spans="1:12" x14ac:dyDescent="0.35">
      <c r="A572" t="s">
        <v>466</v>
      </c>
      <c r="B572" t="s">
        <v>536</v>
      </c>
      <c r="D572" t="s">
        <v>245</v>
      </c>
      <c r="H572">
        <v>9</v>
      </c>
      <c r="I572">
        <v>37</v>
      </c>
      <c r="L572">
        <v>6</v>
      </c>
    </row>
    <row r="573" spans="1:12" x14ac:dyDescent="0.35">
      <c r="A573" t="s">
        <v>466</v>
      </c>
      <c r="B573" t="s">
        <v>536</v>
      </c>
      <c r="D573" t="s">
        <v>248</v>
      </c>
      <c r="H573">
        <v>29</v>
      </c>
      <c r="I573">
        <v>112</v>
      </c>
      <c r="L573">
        <v>21</v>
      </c>
    </row>
    <row r="574" spans="1:12" x14ac:dyDescent="0.35">
      <c r="A574" t="s">
        <v>466</v>
      </c>
      <c r="B574" t="s">
        <v>536</v>
      </c>
      <c r="D574" t="s">
        <v>250</v>
      </c>
      <c r="H574">
        <v>10</v>
      </c>
      <c r="I574">
        <v>39</v>
      </c>
      <c r="L574">
        <v>6</v>
      </c>
    </row>
    <row r="575" spans="1:12" x14ac:dyDescent="0.35">
      <c r="A575" t="s">
        <v>466</v>
      </c>
      <c r="B575" t="s">
        <v>536</v>
      </c>
      <c r="D575" t="s">
        <v>254</v>
      </c>
      <c r="H575">
        <v>14</v>
      </c>
      <c r="I575">
        <v>46</v>
      </c>
      <c r="L575">
        <v>15</v>
      </c>
    </row>
    <row r="576" spans="1:12" x14ac:dyDescent="0.35">
      <c r="A576" t="s">
        <v>466</v>
      </c>
      <c r="B576" t="s">
        <v>536</v>
      </c>
      <c r="D576" t="s">
        <v>256</v>
      </c>
      <c r="H576">
        <v>5</v>
      </c>
      <c r="I576">
        <v>16</v>
      </c>
      <c r="L576">
        <v>5</v>
      </c>
    </row>
    <row r="577" spans="1:12" x14ac:dyDescent="0.35">
      <c r="A577" t="s">
        <v>466</v>
      </c>
      <c r="B577" t="s">
        <v>536</v>
      </c>
      <c r="D577" t="s">
        <v>260</v>
      </c>
      <c r="H577">
        <v>10</v>
      </c>
      <c r="I577">
        <v>32</v>
      </c>
      <c r="L577">
        <v>10</v>
      </c>
    </row>
    <row r="578" spans="1:12" x14ac:dyDescent="0.35">
      <c r="A578" t="s">
        <v>466</v>
      </c>
      <c r="B578" t="s">
        <v>536</v>
      </c>
      <c r="D578" t="s">
        <v>264</v>
      </c>
      <c r="H578">
        <v>19</v>
      </c>
      <c r="I578">
        <v>50</v>
      </c>
      <c r="L578">
        <v>14</v>
      </c>
    </row>
    <row r="579" spans="1:12" x14ac:dyDescent="0.35">
      <c r="A579" t="s">
        <v>466</v>
      </c>
      <c r="B579" t="s">
        <v>536</v>
      </c>
      <c r="D579" t="s">
        <v>268</v>
      </c>
      <c r="H579">
        <v>43</v>
      </c>
      <c r="I579">
        <v>143</v>
      </c>
      <c r="L579">
        <v>25</v>
      </c>
    </row>
    <row r="580" spans="1:12" x14ac:dyDescent="0.35">
      <c r="A580" t="s">
        <v>466</v>
      </c>
      <c r="B580" t="s">
        <v>536</v>
      </c>
      <c r="D580" t="s">
        <v>271</v>
      </c>
      <c r="H580">
        <v>91</v>
      </c>
      <c r="I580">
        <v>290</v>
      </c>
      <c r="L580">
        <v>67</v>
      </c>
    </row>
    <row r="581" spans="1:12" x14ac:dyDescent="0.35">
      <c r="A581" t="s">
        <v>466</v>
      </c>
      <c r="B581" t="s">
        <v>536</v>
      </c>
      <c r="D581" t="s">
        <v>274</v>
      </c>
      <c r="H581">
        <v>17</v>
      </c>
      <c r="I581">
        <v>51</v>
      </c>
      <c r="L581">
        <v>5</v>
      </c>
    </row>
    <row r="582" spans="1:12" x14ac:dyDescent="0.35">
      <c r="A582" t="s">
        <v>466</v>
      </c>
      <c r="B582" t="s">
        <v>536</v>
      </c>
      <c r="D582" t="s">
        <v>278</v>
      </c>
      <c r="H582">
        <v>15</v>
      </c>
      <c r="I582">
        <v>39</v>
      </c>
      <c r="L582">
        <v>10</v>
      </c>
    </row>
    <row r="583" spans="1:12" x14ac:dyDescent="0.35">
      <c r="A583" t="s">
        <v>466</v>
      </c>
      <c r="B583" t="s">
        <v>536</v>
      </c>
      <c r="D583" t="s">
        <v>280</v>
      </c>
      <c r="H583">
        <v>4</v>
      </c>
      <c r="I583">
        <v>21</v>
      </c>
      <c r="L583">
        <v>4</v>
      </c>
    </row>
    <row r="584" spans="1:12" x14ac:dyDescent="0.35">
      <c r="A584" t="s">
        <v>466</v>
      </c>
      <c r="B584" t="s">
        <v>536</v>
      </c>
      <c r="D584" t="s">
        <v>282</v>
      </c>
      <c r="H584">
        <v>5</v>
      </c>
      <c r="I584">
        <v>20</v>
      </c>
      <c r="L584">
        <v>5</v>
      </c>
    </row>
    <row r="585" spans="1:12" x14ac:dyDescent="0.35">
      <c r="A585" t="s">
        <v>466</v>
      </c>
      <c r="B585" t="s">
        <v>536</v>
      </c>
      <c r="D585" t="s">
        <v>284</v>
      </c>
      <c r="L585">
        <v>3</v>
      </c>
    </row>
    <row r="586" spans="1:12" x14ac:dyDescent="0.35">
      <c r="A586" t="s">
        <v>466</v>
      </c>
      <c r="B586" t="s">
        <v>536</v>
      </c>
      <c r="D586" t="s">
        <v>288</v>
      </c>
      <c r="H586">
        <v>15</v>
      </c>
      <c r="I586">
        <v>42</v>
      </c>
      <c r="L586">
        <v>15</v>
      </c>
    </row>
    <row r="587" spans="1:12" x14ac:dyDescent="0.35">
      <c r="A587" t="s">
        <v>466</v>
      </c>
      <c r="B587" t="s">
        <v>536</v>
      </c>
      <c r="D587" t="s">
        <v>290</v>
      </c>
      <c r="H587">
        <v>31</v>
      </c>
      <c r="I587">
        <v>112</v>
      </c>
      <c r="L587">
        <v>20</v>
      </c>
    </row>
    <row r="588" spans="1:12" x14ac:dyDescent="0.35">
      <c r="A588" t="s">
        <v>466</v>
      </c>
      <c r="B588" t="s">
        <v>536</v>
      </c>
      <c r="D588" t="s">
        <v>295</v>
      </c>
      <c r="H588">
        <v>11</v>
      </c>
      <c r="I588">
        <v>43</v>
      </c>
      <c r="L588">
        <v>5</v>
      </c>
    </row>
    <row r="589" spans="1:12" x14ac:dyDescent="0.35">
      <c r="A589" t="s">
        <v>466</v>
      </c>
      <c r="B589" t="s">
        <v>536</v>
      </c>
      <c r="D589" t="s">
        <v>297</v>
      </c>
      <c r="H589">
        <v>21</v>
      </c>
      <c r="I589">
        <v>66</v>
      </c>
      <c r="L589">
        <v>15</v>
      </c>
    </row>
    <row r="590" spans="1:12" x14ac:dyDescent="0.35">
      <c r="A590" t="s">
        <v>466</v>
      </c>
      <c r="B590" t="s">
        <v>536</v>
      </c>
      <c r="D590" t="s">
        <v>299</v>
      </c>
      <c r="H590">
        <v>10</v>
      </c>
      <c r="I590">
        <v>38</v>
      </c>
      <c r="L590">
        <v>10</v>
      </c>
    </row>
    <row r="591" spans="1:12" x14ac:dyDescent="0.35">
      <c r="A591" t="s">
        <v>466</v>
      </c>
      <c r="B591" t="s">
        <v>536</v>
      </c>
      <c r="D591" t="s">
        <v>303</v>
      </c>
      <c r="H591">
        <v>11</v>
      </c>
      <c r="I591">
        <v>36</v>
      </c>
      <c r="L591">
        <v>6</v>
      </c>
    </row>
    <row r="592" spans="1:12" x14ac:dyDescent="0.35">
      <c r="A592" t="s">
        <v>466</v>
      </c>
      <c r="B592" t="s">
        <v>536</v>
      </c>
      <c r="D592" t="s">
        <v>305</v>
      </c>
      <c r="H592">
        <v>28</v>
      </c>
      <c r="I592">
        <v>108</v>
      </c>
      <c r="L592">
        <v>19</v>
      </c>
    </row>
    <row r="593" spans="1:12" x14ac:dyDescent="0.35">
      <c r="A593" t="s">
        <v>466</v>
      </c>
      <c r="B593" t="s">
        <v>536</v>
      </c>
      <c r="D593" t="s">
        <v>308</v>
      </c>
      <c r="H593">
        <v>10</v>
      </c>
      <c r="I593">
        <v>32</v>
      </c>
      <c r="L593">
        <v>5</v>
      </c>
    </row>
    <row r="594" spans="1:12" x14ac:dyDescent="0.35">
      <c r="A594" t="s">
        <v>466</v>
      </c>
      <c r="B594" t="s">
        <v>536</v>
      </c>
      <c r="D594" t="s">
        <v>310</v>
      </c>
      <c r="H594">
        <v>15</v>
      </c>
      <c r="I594">
        <v>50</v>
      </c>
      <c r="L594">
        <v>10</v>
      </c>
    </row>
    <row r="595" spans="1:12" x14ac:dyDescent="0.35">
      <c r="A595" t="s">
        <v>466</v>
      </c>
      <c r="B595" t="s">
        <v>536</v>
      </c>
      <c r="D595" t="s">
        <v>312</v>
      </c>
      <c r="H595">
        <v>11</v>
      </c>
      <c r="I595">
        <v>36.979999999999997</v>
      </c>
      <c r="L595">
        <v>14</v>
      </c>
    </row>
    <row r="596" spans="1:12" x14ac:dyDescent="0.35">
      <c r="A596" t="s">
        <v>466</v>
      </c>
      <c r="B596" t="s">
        <v>539</v>
      </c>
      <c r="D596" t="s">
        <v>323</v>
      </c>
      <c r="F596">
        <v>1</v>
      </c>
      <c r="J596">
        <v>4</v>
      </c>
      <c r="K596">
        <v>10</v>
      </c>
      <c r="L596">
        <v>5</v>
      </c>
    </row>
    <row r="597" spans="1:12" x14ac:dyDescent="0.35">
      <c r="A597" t="s">
        <v>466</v>
      </c>
      <c r="B597" t="s">
        <v>539</v>
      </c>
      <c r="D597" t="s">
        <v>231</v>
      </c>
      <c r="F597">
        <v>1</v>
      </c>
      <c r="I597">
        <v>2</v>
      </c>
      <c r="J597">
        <v>4</v>
      </c>
      <c r="K597">
        <v>9</v>
      </c>
      <c r="L597">
        <v>4</v>
      </c>
    </row>
    <row r="598" spans="1:12" x14ac:dyDescent="0.35">
      <c r="A598" t="s">
        <v>466</v>
      </c>
      <c r="B598" t="s">
        <v>539</v>
      </c>
      <c r="D598" t="s">
        <v>245</v>
      </c>
      <c r="K598">
        <v>1</v>
      </c>
    </row>
    <row r="599" spans="1:12" x14ac:dyDescent="0.35">
      <c r="A599" t="s">
        <v>466</v>
      </c>
      <c r="B599" t="s">
        <v>539</v>
      </c>
      <c r="D599" t="s">
        <v>245</v>
      </c>
      <c r="F599">
        <v>1</v>
      </c>
      <c r="I599">
        <v>1.83</v>
      </c>
      <c r="J599">
        <v>2</v>
      </c>
      <c r="K599">
        <v>5</v>
      </c>
      <c r="L599">
        <v>5</v>
      </c>
    </row>
    <row r="600" spans="1:12" x14ac:dyDescent="0.35">
      <c r="A600" t="s">
        <v>466</v>
      </c>
      <c r="B600" t="s">
        <v>539</v>
      </c>
      <c r="D600" t="s">
        <v>227</v>
      </c>
      <c r="F600">
        <v>1</v>
      </c>
      <c r="I600">
        <v>4</v>
      </c>
      <c r="J600">
        <v>4</v>
      </c>
      <c r="K600">
        <v>8</v>
      </c>
      <c r="L600">
        <v>7.77</v>
      </c>
    </row>
    <row r="601" spans="1:12" x14ac:dyDescent="0.35">
      <c r="A601" t="s">
        <v>466</v>
      </c>
      <c r="B601" t="s">
        <v>539</v>
      </c>
      <c r="D601" t="s">
        <v>252</v>
      </c>
      <c r="F601">
        <v>1</v>
      </c>
      <c r="J601">
        <v>3</v>
      </c>
      <c r="K601">
        <v>9</v>
      </c>
      <c r="L601">
        <v>5</v>
      </c>
    </row>
    <row r="602" spans="1:12" x14ac:dyDescent="0.35">
      <c r="A602" t="s">
        <v>466</v>
      </c>
      <c r="B602" t="s">
        <v>539</v>
      </c>
      <c r="D602" t="s">
        <v>258</v>
      </c>
      <c r="F602">
        <v>1</v>
      </c>
      <c r="I602">
        <v>4</v>
      </c>
      <c r="J602">
        <v>3</v>
      </c>
      <c r="K602">
        <v>6</v>
      </c>
      <c r="L602">
        <v>6</v>
      </c>
    </row>
    <row r="603" spans="1:12" x14ac:dyDescent="0.35">
      <c r="A603" t="s">
        <v>466</v>
      </c>
      <c r="B603" t="s">
        <v>539</v>
      </c>
      <c r="D603" t="s">
        <v>262</v>
      </c>
      <c r="F603">
        <v>1</v>
      </c>
      <c r="H603">
        <v>2</v>
      </c>
      <c r="I603">
        <v>1</v>
      </c>
      <c r="J603">
        <v>3</v>
      </c>
      <c r="K603">
        <v>5</v>
      </c>
      <c r="L603">
        <v>3</v>
      </c>
    </row>
    <row r="604" spans="1:12" x14ac:dyDescent="0.35">
      <c r="A604" t="s">
        <v>466</v>
      </c>
      <c r="B604" t="s">
        <v>539</v>
      </c>
      <c r="D604" t="s">
        <v>237</v>
      </c>
      <c r="F604">
        <v>1</v>
      </c>
      <c r="H604">
        <v>2</v>
      </c>
      <c r="I604">
        <v>3</v>
      </c>
      <c r="J604">
        <v>3</v>
      </c>
      <c r="K604">
        <v>6</v>
      </c>
      <c r="L604">
        <v>10</v>
      </c>
    </row>
    <row r="605" spans="1:12" x14ac:dyDescent="0.35">
      <c r="A605" t="s">
        <v>466</v>
      </c>
      <c r="B605" t="s">
        <v>539</v>
      </c>
      <c r="D605" t="s">
        <v>266</v>
      </c>
      <c r="F605">
        <v>1</v>
      </c>
      <c r="H605">
        <v>1</v>
      </c>
      <c r="J605">
        <v>2</v>
      </c>
      <c r="K605">
        <v>6</v>
      </c>
      <c r="L605">
        <v>5</v>
      </c>
    </row>
    <row r="606" spans="1:12" x14ac:dyDescent="0.35">
      <c r="A606" t="s">
        <v>466</v>
      </c>
      <c r="B606" t="s">
        <v>539</v>
      </c>
      <c r="D606" t="s">
        <v>271</v>
      </c>
      <c r="F606">
        <v>1</v>
      </c>
      <c r="I606">
        <v>1</v>
      </c>
      <c r="J606">
        <v>4</v>
      </c>
      <c r="K606">
        <v>8</v>
      </c>
      <c r="L606">
        <v>6</v>
      </c>
    </row>
    <row r="607" spans="1:12" x14ac:dyDescent="0.35">
      <c r="A607" t="s">
        <v>466</v>
      </c>
      <c r="B607" t="s">
        <v>539</v>
      </c>
      <c r="D607" t="s">
        <v>276</v>
      </c>
      <c r="F607">
        <v>1</v>
      </c>
      <c r="H607">
        <v>1</v>
      </c>
      <c r="J607">
        <v>4</v>
      </c>
      <c r="K607">
        <v>14</v>
      </c>
      <c r="L607">
        <v>5</v>
      </c>
    </row>
    <row r="608" spans="1:12" x14ac:dyDescent="0.35">
      <c r="A608" t="s">
        <v>466</v>
      </c>
      <c r="B608" t="s">
        <v>539</v>
      </c>
      <c r="D608" t="s">
        <v>325</v>
      </c>
      <c r="F608">
        <v>1</v>
      </c>
      <c r="H608">
        <v>1</v>
      </c>
      <c r="I608">
        <v>2</v>
      </c>
      <c r="J608">
        <v>3</v>
      </c>
      <c r="K608">
        <v>9</v>
      </c>
      <c r="L608">
        <v>7</v>
      </c>
    </row>
    <row r="609" spans="1:12" x14ac:dyDescent="0.35">
      <c r="A609" t="s">
        <v>466</v>
      </c>
      <c r="B609" t="s">
        <v>539</v>
      </c>
      <c r="D609" t="s">
        <v>314</v>
      </c>
      <c r="F609">
        <v>1</v>
      </c>
      <c r="H609">
        <v>1</v>
      </c>
      <c r="I609">
        <v>2</v>
      </c>
      <c r="J609">
        <v>4</v>
      </c>
      <c r="K609">
        <v>10</v>
      </c>
      <c r="L609">
        <v>8</v>
      </c>
    </row>
    <row r="610" spans="1:12" x14ac:dyDescent="0.35">
      <c r="A610" t="s">
        <v>466</v>
      </c>
      <c r="B610" t="s">
        <v>539</v>
      </c>
      <c r="D610" t="s">
        <v>286</v>
      </c>
      <c r="F610">
        <v>1</v>
      </c>
      <c r="J610">
        <v>4</v>
      </c>
      <c r="K610">
        <v>6</v>
      </c>
    </row>
    <row r="611" spans="1:12" x14ac:dyDescent="0.35">
      <c r="A611" t="s">
        <v>466</v>
      </c>
      <c r="B611" t="s">
        <v>541</v>
      </c>
      <c r="D611" t="s">
        <v>219</v>
      </c>
      <c r="F611">
        <v>2</v>
      </c>
      <c r="H611">
        <v>18</v>
      </c>
      <c r="I611">
        <v>6</v>
      </c>
      <c r="J611">
        <v>3</v>
      </c>
      <c r="K611">
        <v>9</v>
      </c>
      <c r="L611">
        <v>26</v>
      </c>
    </row>
    <row r="612" spans="1:12" x14ac:dyDescent="0.35">
      <c r="A612" t="s">
        <v>466</v>
      </c>
      <c r="B612" t="s">
        <v>541</v>
      </c>
      <c r="D612" t="s">
        <v>233</v>
      </c>
      <c r="F612">
        <v>1</v>
      </c>
      <c r="H612">
        <v>26</v>
      </c>
      <c r="I612">
        <v>47</v>
      </c>
      <c r="J612">
        <v>4</v>
      </c>
      <c r="K612">
        <v>7</v>
      </c>
      <c r="L612">
        <v>47</v>
      </c>
    </row>
    <row r="613" spans="1:12" x14ac:dyDescent="0.35">
      <c r="A613" t="s">
        <v>466</v>
      </c>
      <c r="B613" t="s">
        <v>541</v>
      </c>
      <c r="C613" t="s">
        <v>238</v>
      </c>
      <c r="D613" t="s">
        <v>239</v>
      </c>
      <c r="F613">
        <v>1</v>
      </c>
      <c r="H613">
        <v>18</v>
      </c>
      <c r="I613">
        <v>16</v>
      </c>
      <c r="J613">
        <v>2</v>
      </c>
      <c r="K613">
        <v>8</v>
      </c>
      <c r="L613">
        <v>28</v>
      </c>
    </row>
    <row r="614" spans="1:12" x14ac:dyDescent="0.35">
      <c r="A614" t="s">
        <v>466</v>
      </c>
      <c r="B614" t="s">
        <v>543</v>
      </c>
      <c r="C614" t="s">
        <v>548</v>
      </c>
      <c r="D614" t="s">
        <v>544</v>
      </c>
      <c r="E614">
        <v>90</v>
      </c>
      <c r="F614">
        <v>12</v>
      </c>
      <c r="G614">
        <v>5</v>
      </c>
      <c r="H614">
        <v>1</v>
      </c>
      <c r="I614">
        <v>1</v>
      </c>
      <c r="J614">
        <v>16</v>
      </c>
      <c r="K614">
        <v>24</v>
      </c>
      <c r="L614">
        <v>31</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
    <tabColor theme="9" tint="0.39997558519241921"/>
    <pageSetUpPr fitToPage="1"/>
  </sheetPr>
  <dimension ref="A1:J84"/>
  <sheetViews>
    <sheetView showGridLines="0" zoomScaleNormal="100" workbookViewId="0">
      <pane ySplit="2" topLeftCell="A3" activePane="bottomLeft" state="frozen"/>
      <selection pane="bottomLeft" sqref="A1:G1"/>
    </sheetView>
  </sheetViews>
  <sheetFormatPr defaultRowHeight="14.5" x14ac:dyDescent="0.35"/>
  <cols>
    <col min="1" max="1" width="17" customWidth="1"/>
    <col min="2" max="2" width="58.1796875" customWidth="1"/>
    <col min="3" max="4" width="13.81640625" customWidth="1"/>
    <col min="5" max="5" width="14.1796875" customWidth="1"/>
    <col min="6" max="6" width="13.26953125" customWidth="1"/>
    <col min="7" max="7" width="13.453125" customWidth="1"/>
    <col min="8" max="8" width="13.54296875" customWidth="1"/>
    <col min="9" max="9" width="12" customWidth="1"/>
    <col min="10" max="10" width="13" customWidth="1"/>
  </cols>
  <sheetData>
    <row r="1" spans="1:10" ht="15.5" x14ac:dyDescent="0.35">
      <c r="A1" s="1011" t="s">
        <v>513</v>
      </c>
      <c r="B1" s="1011"/>
      <c r="C1" s="1011"/>
      <c r="D1" s="1011"/>
      <c r="E1" s="1011"/>
      <c r="F1" s="1011"/>
      <c r="G1" s="1011"/>
    </row>
    <row r="2" spans="1:10" ht="27" customHeight="1" x14ac:dyDescent="0.35">
      <c r="A2" s="499" t="s">
        <v>201</v>
      </c>
      <c r="C2" s="441"/>
      <c r="D2" s="441"/>
      <c r="E2" s="441"/>
      <c r="F2" s="441"/>
      <c r="G2" s="441"/>
    </row>
    <row r="3" spans="1:10" ht="15.5" x14ac:dyDescent="0.35">
      <c r="C3" s="441"/>
      <c r="D3" s="441"/>
      <c r="E3" s="441"/>
      <c r="F3" s="441"/>
      <c r="G3" s="441"/>
    </row>
    <row r="4" spans="1:10" ht="37.5" customHeight="1" x14ac:dyDescent="0.35">
      <c r="A4" s="421" t="s">
        <v>708</v>
      </c>
      <c r="B4" s="421"/>
      <c r="C4" s="421"/>
      <c r="D4" s="421"/>
      <c r="E4" s="421"/>
      <c r="F4" s="421"/>
      <c r="G4" s="421"/>
      <c r="H4" s="421"/>
      <c r="I4" s="421"/>
    </row>
    <row r="5" spans="1:10" ht="15" customHeight="1" x14ac:dyDescent="0.35">
      <c r="A5" t="s">
        <v>202</v>
      </c>
      <c r="B5" t="s">
        <v>81</v>
      </c>
      <c r="C5" s="421"/>
      <c r="D5" s="421"/>
      <c r="E5" s="421"/>
      <c r="F5" s="421"/>
      <c r="G5" s="421"/>
      <c r="H5" s="421"/>
      <c r="I5" s="421"/>
    </row>
    <row r="6" spans="1:10" ht="15" customHeight="1" x14ac:dyDescent="0.35">
      <c r="A6" t="s">
        <v>203</v>
      </c>
      <c r="B6" t="s">
        <v>204</v>
      </c>
      <c r="C6" s="421"/>
      <c r="D6" s="421"/>
      <c r="E6" s="421"/>
      <c r="F6" s="421"/>
      <c r="G6" s="421"/>
      <c r="H6" s="421"/>
      <c r="I6" s="421"/>
    </row>
    <row r="7" spans="1:10" ht="15" customHeight="1" x14ac:dyDescent="0.35">
      <c r="A7" t="s">
        <v>205</v>
      </c>
      <c r="B7" t="s">
        <v>206</v>
      </c>
      <c r="C7" s="421"/>
      <c r="D7" s="421"/>
      <c r="E7" s="421"/>
      <c r="F7" s="421"/>
      <c r="G7" s="421"/>
      <c r="H7" s="421"/>
      <c r="I7" s="421"/>
    </row>
    <row r="8" spans="1:10" ht="40.5" customHeight="1" x14ac:dyDescent="0.35">
      <c r="A8" s="36" t="s">
        <v>207</v>
      </c>
      <c r="B8" s="36" t="s">
        <v>550</v>
      </c>
      <c r="C8" s="4" t="s">
        <v>643</v>
      </c>
      <c r="D8" s="43" t="s">
        <v>644</v>
      </c>
      <c r="E8" s="43" t="s">
        <v>645</v>
      </c>
      <c r="F8" s="43" t="s">
        <v>646</v>
      </c>
      <c r="G8" s="43" t="s">
        <v>647</v>
      </c>
      <c r="H8" s="43" t="s">
        <v>648</v>
      </c>
      <c r="I8" s="43" t="s">
        <v>632</v>
      </c>
      <c r="J8" s="43" t="s">
        <v>340</v>
      </c>
    </row>
    <row r="9" spans="1:10" ht="22.5" customHeight="1" thickBot="1" x14ac:dyDescent="0.4">
      <c r="A9" s="38" t="str">
        <f>WTFTERoleAreaPivot!$B$1</f>
        <v>2024-25</v>
      </c>
      <c r="B9" s="38" t="s">
        <v>551</v>
      </c>
      <c r="C9" s="316">
        <f>C44+C64+C70+C72</f>
        <v>5</v>
      </c>
      <c r="D9" s="316">
        <f t="shared" ref="D9:I9" si="0">D44+D64+D70+D72</f>
        <v>30</v>
      </c>
      <c r="E9" s="316">
        <f t="shared" si="0"/>
        <v>72</v>
      </c>
      <c r="F9" s="316">
        <f t="shared" si="0"/>
        <v>160</v>
      </c>
      <c r="G9" s="316">
        <f t="shared" si="0"/>
        <v>604.77</v>
      </c>
      <c r="H9" s="316">
        <f t="shared" si="0"/>
        <v>622</v>
      </c>
      <c r="I9" s="316">
        <f t="shared" si="0"/>
        <v>1933.31</v>
      </c>
      <c r="J9" s="316">
        <f>SUM(C9:I9)</f>
        <v>3427.08</v>
      </c>
    </row>
    <row r="10" spans="1:10" ht="21" customHeight="1" x14ac:dyDescent="0.35">
      <c r="B10" s="39"/>
      <c r="C10" s="631"/>
      <c r="D10" s="631"/>
      <c r="E10" s="631"/>
      <c r="F10" s="631"/>
      <c r="G10" s="631"/>
      <c r="H10" s="631"/>
      <c r="I10" s="631"/>
      <c r="J10" s="96"/>
    </row>
    <row r="11" spans="1:10" ht="13.5" customHeight="1" x14ac:dyDescent="0.35">
      <c r="A11" s="42" t="s">
        <v>208</v>
      </c>
      <c r="B11" s="42" t="s">
        <v>347</v>
      </c>
      <c r="C11" s="43"/>
      <c r="D11" s="43"/>
      <c r="E11" s="43"/>
      <c r="F11" s="43"/>
      <c r="G11" s="43"/>
      <c r="H11" s="43"/>
      <c r="I11" s="43"/>
      <c r="J11" s="75"/>
    </row>
    <row r="12" spans="1:10" ht="23.25" customHeight="1" x14ac:dyDescent="0.35">
      <c r="A12" s="391" t="s">
        <v>215</v>
      </c>
      <c r="B12" s="45" t="s">
        <v>216</v>
      </c>
      <c r="C12" s="678">
        <f>GETPIVOTDATA("Sum of Brigade Manager",WTFTERoleAreaPivot!$A$3,"ReportingLevel","1:LA","lvl","Aberdeen City")</f>
        <v>0</v>
      </c>
      <c r="D12" s="678" t="s">
        <v>624</v>
      </c>
      <c r="E12" s="678" t="s">
        <v>624</v>
      </c>
      <c r="F12" s="668">
        <f>GETPIVOTDATA("Sum of Station Manager",WTFTERoleAreaPivot!$A$3,"ReportingLevel","1:LA","lvl","Aberdeen City")</f>
        <v>0</v>
      </c>
      <c r="G12" s="298">
        <f>GETPIVOTDATA("Sum of Watch Manager",WTFTERoleAreaPivot!$A$3,"ReportingLevel","1:LA","lvl","Aberdeen City")</f>
        <v>20</v>
      </c>
      <c r="H12" s="298">
        <f>GETPIVOTDATA("Sum of Crew Manager",WTFTERoleAreaPivot!$A$3,"ReportingLevel","1:LA","lvl","Aberdeen City")</f>
        <v>35</v>
      </c>
      <c r="I12" s="298">
        <f>GETPIVOTDATA("Sum of Firefighter",WTFTERoleAreaPivot!$A$3,"ReportingLevel","1:LA","lvl","Aberdeen City")</f>
        <v>102</v>
      </c>
      <c r="J12" s="66">
        <f>SUM(C12:I12)</f>
        <v>157</v>
      </c>
    </row>
    <row r="13" spans="1:10" ht="15" customHeight="1" x14ac:dyDescent="0.35">
      <c r="A13" s="89" t="s">
        <v>220</v>
      </c>
      <c r="B13" s="48" t="s">
        <v>221</v>
      </c>
      <c r="C13" s="676">
        <f>GETPIVOTDATA("Sum of Brigade Manager",WTFTERoleAreaPivot!$A$3,"ReportingLevel","1:LA","lvl","Aberdeenshire")</f>
        <v>0</v>
      </c>
      <c r="D13" s="676" t="s">
        <v>624</v>
      </c>
      <c r="E13" s="676" t="s">
        <v>624</v>
      </c>
      <c r="F13" s="668">
        <f>GETPIVOTDATA("Sum of Station Manager",WTFTERoleAreaPivot!$A$3,"ReportingLevel","1:LA","lvl","Aberdeenshire")</f>
        <v>0</v>
      </c>
      <c r="G13" s="668">
        <f>GETPIVOTDATA("Sum of Watch Manager",WTFTERoleAreaPivot!$A$3,"ReportingLevel","1:LA","lvl","Aberdeenshire")</f>
        <v>5</v>
      </c>
      <c r="H13" s="668">
        <f>GETPIVOTDATA("Sum of Crew Manager",WTFTERoleAreaPivot!$A$3,"ReportingLevel","1:LA","lvl","Aberdeenshire")</f>
        <v>6</v>
      </c>
      <c r="I13" s="668">
        <f>GETPIVOTDATA("Sum of Firefighter",WTFTERoleAreaPivot!$A$3,"ReportingLevel","1:LA","lvl","Aberdeenshire")</f>
        <v>20</v>
      </c>
      <c r="J13" s="66">
        <f t="shared" ref="J13:J43" si="1">SUM(C13:I13)</f>
        <v>31</v>
      </c>
    </row>
    <row r="14" spans="1:10" ht="15" customHeight="1" x14ac:dyDescent="0.35">
      <c r="A14" s="89" t="s">
        <v>224</v>
      </c>
      <c r="B14" s="48" t="s">
        <v>225</v>
      </c>
      <c r="C14" s="676">
        <f>GETPIVOTDATA("Sum of Brigade Manager",WTFTERoleAreaPivot!$A$3,"ReportingLevel","1:LA","lvl","Angus")</f>
        <v>0</v>
      </c>
      <c r="D14" s="676" t="s">
        <v>624</v>
      </c>
      <c r="E14" s="676" t="s">
        <v>624</v>
      </c>
      <c r="F14" s="668">
        <f>GETPIVOTDATA("Sum of Station Manager",WTFTERoleAreaPivot!$A$3,"ReportingLevel","1:LA","lvl","Angus")</f>
        <v>0</v>
      </c>
      <c r="G14" s="668">
        <f>GETPIVOTDATA("Sum of Watch Manager",WTFTERoleAreaPivot!$A$3,"ReportingLevel","1:LA","lvl","Angus")</f>
        <v>6</v>
      </c>
      <c r="H14" s="668">
        <f>GETPIVOTDATA("Sum of Crew Manager",WTFTERoleAreaPivot!$A$3,"ReportingLevel","1:LA","lvl","Angus")</f>
        <v>5</v>
      </c>
      <c r="I14" s="668">
        <f>GETPIVOTDATA("Sum of Firefighter",WTFTERoleAreaPivot!$A$3,"ReportingLevel","1:LA","lvl","Angus")</f>
        <v>15</v>
      </c>
      <c r="J14" s="66">
        <f t="shared" si="1"/>
        <v>26</v>
      </c>
    </row>
    <row r="15" spans="1:10" ht="15" customHeight="1" x14ac:dyDescent="0.35">
      <c r="A15" s="89" t="s">
        <v>228</v>
      </c>
      <c r="B15" s="48" t="s">
        <v>229</v>
      </c>
      <c r="C15" s="676">
        <f>GETPIVOTDATA("Sum of Brigade Manager",WTFTERoleAreaPivot!$A$3,"ReportingLevel","1:LA","lvl","Argyll and Bute")</f>
        <v>0</v>
      </c>
      <c r="D15" s="676" t="s">
        <v>624</v>
      </c>
      <c r="E15" s="676" t="s">
        <v>624</v>
      </c>
      <c r="F15" s="668">
        <f>GETPIVOTDATA("Sum of Station Manager",WTFTERoleAreaPivot!$A$3,"ReportingLevel","1:LA","lvl","Argyll and Bute")</f>
        <v>0</v>
      </c>
      <c r="G15" s="668">
        <f>GETPIVOTDATA("Sum of Watch Manager",WTFTERoleAreaPivot!$A$3,"ReportingLevel","1:LA","lvl","Argyll and Bute")</f>
        <v>11</v>
      </c>
      <c r="H15" s="668">
        <f>GETPIVOTDATA("Sum of Crew Manager",WTFTERoleAreaPivot!$A$3,"ReportingLevel","1:LA","lvl","Argyll and Bute")</f>
        <v>10</v>
      </c>
      <c r="I15" s="668">
        <f>GETPIVOTDATA("Sum of Firefighter",WTFTERoleAreaPivot!$A$3,"ReportingLevel","1:LA","lvl","Argyll and Bute")</f>
        <v>32</v>
      </c>
      <c r="J15" s="66">
        <f t="shared" si="1"/>
        <v>53</v>
      </c>
    </row>
    <row r="16" spans="1:10" ht="15" customHeight="1" x14ac:dyDescent="0.35">
      <c r="A16" s="89" t="s">
        <v>234</v>
      </c>
      <c r="B16" s="48" t="s">
        <v>235</v>
      </c>
      <c r="C16" s="676">
        <f>GETPIVOTDATA("Sum of Brigade Manager",WTFTERoleAreaPivot!$A$3,"ReportingLevel","1:LA","lvl","City of Edinburgh")</f>
        <v>0</v>
      </c>
      <c r="D16" s="676" t="s">
        <v>624</v>
      </c>
      <c r="E16" s="676" t="s">
        <v>624</v>
      </c>
      <c r="F16" s="668">
        <f>GETPIVOTDATA("Sum of Station Manager",WTFTERoleAreaPivot!$A$3,"ReportingLevel","1:LA","lvl","City of Edinburgh")</f>
        <v>0</v>
      </c>
      <c r="G16" s="668">
        <f>GETPIVOTDATA("Sum of Watch Manager",WTFTERoleAreaPivot!$A$3,"ReportingLevel","1:LA","lvl","City of Edinburgh")</f>
        <v>34</v>
      </c>
      <c r="H16" s="668">
        <f>GETPIVOTDATA("Sum of Crew Manager",WTFTERoleAreaPivot!$A$3,"ReportingLevel","1:LA","lvl","City of Edinburgh")</f>
        <v>56</v>
      </c>
      <c r="I16" s="668">
        <f>GETPIVOTDATA("Sum of Firefighter",WTFTERoleAreaPivot!$A$3,"ReportingLevel","1:LA","lvl","City of Edinburgh")</f>
        <v>197.5</v>
      </c>
      <c r="J16" s="66">
        <f t="shared" si="1"/>
        <v>287.5</v>
      </c>
    </row>
    <row r="17" spans="1:10" ht="15" customHeight="1" x14ac:dyDescent="0.35">
      <c r="A17" s="89" t="s">
        <v>240</v>
      </c>
      <c r="B17" s="48" t="s">
        <v>241</v>
      </c>
      <c r="C17" s="676">
        <f>GETPIVOTDATA("Sum of Brigade Manager",WTFTERoleAreaPivot!$A$3,"ReportingLevel","1:LA","lvl","Clackmannanshire")</f>
        <v>0</v>
      </c>
      <c r="D17" s="676" t="s">
        <v>624</v>
      </c>
      <c r="E17" s="676" t="s">
        <v>624</v>
      </c>
      <c r="F17" s="668">
        <f>GETPIVOTDATA("Sum of Station Manager",WTFTERoleAreaPivot!$A$3,"ReportingLevel","1:LA","lvl","Clackmannanshire")</f>
        <v>0</v>
      </c>
      <c r="G17" s="668">
        <f>GETPIVOTDATA("Sum of Watch Manager",WTFTERoleAreaPivot!$A$3,"ReportingLevel","1:LA","lvl","Clackmannanshire")</f>
        <v>5</v>
      </c>
      <c r="H17" s="668">
        <f>GETPIVOTDATA("Sum of Crew Manager",WTFTERoleAreaPivot!$A$3,"ReportingLevel","1:LA","lvl","Clackmannanshire")</f>
        <v>5</v>
      </c>
      <c r="I17" s="668">
        <f>GETPIVOTDATA("Sum of Firefighter",WTFTERoleAreaPivot!$A$3,"ReportingLevel","1:LA","lvl","Clackmannanshire")</f>
        <v>16</v>
      </c>
      <c r="J17" s="66">
        <f t="shared" si="1"/>
        <v>26</v>
      </c>
    </row>
    <row r="18" spans="1:10" ht="15" customHeight="1" x14ac:dyDescent="0.35">
      <c r="A18" s="89" t="s">
        <v>244</v>
      </c>
      <c r="B18" s="48" t="s">
        <v>245</v>
      </c>
      <c r="C18" s="676">
        <f>GETPIVOTDATA("Sum of Brigade Manager",WTFTERoleAreaPivot!$A$3,"ReportingLevel","1:LA","lvl","Dumfries and Galloway")</f>
        <v>0</v>
      </c>
      <c r="D18" s="676" t="s">
        <v>624</v>
      </c>
      <c r="E18" s="676" t="s">
        <v>624</v>
      </c>
      <c r="F18" s="668">
        <f>GETPIVOTDATA("Sum of Station Manager",WTFTERoleAreaPivot!$A$3,"ReportingLevel","1:LA","lvl","Dumfries and Galloway")</f>
        <v>0</v>
      </c>
      <c r="G18" s="668">
        <f>GETPIVOTDATA("Sum of Watch Manager",WTFTERoleAreaPivot!$A$3,"ReportingLevel","1:LA","lvl","Dumfries and Galloway")</f>
        <v>6</v>
      </c>
      <c r="H18" s="668">
        <f>GETPIVOTDATA("Sum of Crew Manager",WTFTERoleAreaPivot!$A$3,"ReportingLevel","1:LA","lvl","Dumfries and Galloway")</f>
        <v>9</v>
      </c>
      <c r="I18" s="668">
        <f>GETPIVOTDATA("Sum of Firefighter",WTFTERoleAreaPivot!$A$3,"ReportingLevel","1:LA","lvl","Dumfries and Galloway")</f>
        <v>37</v>
      </c>
      <c r="J18" s="66">
        <f t="shared" si="1"/>
        <v>52</v>
      </c>
    </row>
    <row r="19" spans="1:10" ht="15" customHeight="1" x14ac:dyDescent="0.35">
      <c r="A19" s="89" t="s">
        <v>247</v>
      </c>
      <c r="B19" s="48" t="s">
        <v>248</v>
      </c>
      <c r="C19" s="676">
        <f>GETPIVOTDATA("Sum of Brigade Manager",WTFTERoleAreaPivot!$A$3,"ReportingLevel","1:LA","lvl","Dundee City")</f>
        <v>0</v>
      </c>
      <c r="D19" s="676" t="s">
        <v>624</v>
      </c>
      <c r="E19" s="676" t="s">
        <v>624</v>
      </c>
      <c r="F19" s="668">
        <f>GETPIVOTDATA("Sum of Station Manager",WTFTERoleAreaPivot!$A$3,"ReportingLevel","1:LA","lvl","Dundee City")</f>
        <v>0</v>
      </c>
      <c r="G19" s="668">
        <f>GETPIVOTDATA("Sum of Watch Manager",WTFTERoleAreaPivot!$A$3,"ReportingLevel","1:LA","lvl","Dundee City")</f>
        <v>21</v>
      </c>
      <c r="H19" s="668">
        <f>GETPIVOTDATA("Sum of Crew Manager",WTFTERoleAreaPivot!$A$3,"ReportingLevel","1:LA","lvl","Dundee City")</f>
        <v>29</v>
      </c>
      <c r="I19" s="668">
        <f>GETPIVOTDATA("Sum of Firefighter",WTFTERoleAreaPivot!$A$3,"ReportingLevel","1:LA","lvl","Dundee City")</f>
        <v>112</v>
      </c>
      <c r="J19" s="66">
        <f t="shared" si="1"/>
        <v>162</v>
      </c>
    </row>
    <row r="20" spans="1:10" ht="15" customHeight="1" x14ac:dyDescent="0.35">
      <c r="A20" s="89" t="s">
        <v>249</v>
      </c>
      <c r="B20" s="48" t="s">
        <v>250</v>
      </c>
      <c r="C20" s="676">
        <f>GETPIVOTDATA("Sum of Brigade Manager",WTFTERoleAreaPivot!$A$3,"ReportingLevel","1:LA","lvl","East Ayrshire")</f>
        <v>0</v>
      </c>
      <c r="D20" s="676" t="s">
        <v>624</v>
      </c>
      <c r="E20" s="676" t="s">
        <v>624</v>
      </c>
      <c r="F20" s="668">
        <f>GETPIVOTDATA("Sum of Station Manager",WTFTERoleAreaPivot!$A$3,"ReportingLevel","1:LA","lvl","East Ayrshire")</f>
        <v>0</v>
      </c>
      <c r="G20" s="668">
        <f>GETPIVOTDATA("Sum of Watch Manager",WTFTERoleAreaPivot!$A$3,"ReportingLevel","1:LA","lvl","East Ayrshire")</f>
        <v>6</v>
      </c>
      <c r="H20" s="668">
        <f>GETPIVOTDATA("Sum of Crew Manager",WTFTERoleAreaPivot!$A$3,"ReportingLevel","1:LA","lvl","East Ayrshire")</f>
        <v>10</v>
      </c>
      <c r="I20" s="668">
        <f>GETPIVOTDATA("Sum of Firefighter",WTFTERoleAreaPivot!$A$3,"ReportingLevel","1:LA","lvl","East Ayrshire")</f>
        <v>39</v>
      </c>
      <c r="J20" s="66">
        <f t="shared" si="1"/>
        <v>55</v>
      </c>
    </row>
    <row r="21" spans="1:10" ht="15" customHeight="1" x14ac:dyDescent="0.35">
      <c r="A21" s="89" t="s">
        <v>253</v>
      </c>
      <c r="B21" s="48" t="s">
        <v>254</v>
      </c>
      <c r="C21" s="676">
        <f>GETPIVOTDATA("Sum of Brigade Manager",WTFTERoleAreaPivot!$A$3,"ReportingLevel","1:LA","lvl","East Dunbartonshire")</f>
        <v>0</v>
      </c>
      <c r="D21" s="676" t="s">
        <v>624</v>
      </c>
      <c r="E21" s="676" t="s">
        <v>624</v>
      </c>
      <c r="F21" s="668">
        <f>GETPIVOTDATA("Sum of Station Manager",WTFTERoleAreaPivot!$A$3,"ReportingLevel","1:LA","lvl","East Dunbartonshire")</f>
        <v>0</v>
      </c>
      <c r="G21" s="668">
        <f>GETPIVOTDATA("Sum of Watch Manager",WTFTERoleAreaPivot!$A$3,"ReportingLevel","1:LA","lvl","East Dunbartonshire")</f>
        <v>15</v>
      </c>
      <c r="H21" s="668">
        <f>GETPIVOTDATA("Sum of Crew Manager",WTFTERoleAreaPivot!$A$3,"ReportingLevel","1:LA","lvl","East Dunbartonshire")</f>
        <v>14</v>
      </c>
      <c r="I21" s="668">
        <f>GETPIVOTDATA("Sum of Firefighter",WTFTERoleAreaPivot!$A$3,"ReportingLevel","1:LA","lvl","East Dunbartonshire")</f>
        <v>46</v>
      </c>
      <c r="J21" s="66">
        <f t="shared" si="1"/>
        <v>75</v>
      </c>
    </row>
    <row r="22" spans="1:10" ht="15" customHeight="1" x14ac:dyDescent="0.35">
      <c r="A22" s="89" t="s">
        <v>255</v>
      </c>
      <c r="B22" s="48" t="s">
        <v>256</v>
      </c>
      <c r="C22" s="676">
        <f>GETPIVOTDATA("Sum of Brigade Manager",WTFTERoleAreaPivot!$A$3,"ReportingLevel","1:LA","lvl","East Lothian")</f>
        <v>0</v>
      </c>
      <c r="D22" s="676" t="s">
        <v>624</v>
      </c>
      <c r="E22" s="676" t="s">
        <v>624</v>
      </c>
      <c r="F22" s="668">
        <f>GETPIVOTDATA("Sum of Station Manager",WTFTERoleAreaPivot!$A$3,"ReportingLevel","1:LA","lvl","East Lothian")</f>
        <v>0</v>
      </c>
      <c r="G22" s="668">
        <f>GETPIVOTDATA("Sum of Watch Manager",WTFTERoleAreaPivot!$A$3,"ReportingLevel","1:LA","lvl","East Lothian")</f>
        <v>5</v>
      </c>
      <c r="H22" s="668">
        <f>GETPIVOTDATA("Sum of Crew Manager",WTFTERoleAreaPivot!$A$3,"ReportingLevel","1:LA","lvl","East Lothian")</f>
        <v>5</v>
      </c>
      <c r="I22" s="668">
        <f>GETPIVOTDATA("Sum of Firefighter",WTFTERoleAreaPivot!$A$3,"ReportingLevel","1:LA","lvl","East Lothian")</f>
        <v>16</v>
      </c>
      <c r="J22" s="66">
        <f t="shared" si="1"/>
        <v>26</v>
      </c>
    </row>
    <row r="23" spans="1:10" ht="15" customHeight="1" x14ac:dyDescent="0.35">
      <c r="A23" s="89" t="s">
        <v>259</v>
      </c>
      <c r="B23" s="48" t="s">
        <v>260</v>
      </c>
      <c r="C23" s="676">
        <f>GETPIVOTDATA("Sum of Brigade Manager",WTFTERoleAreaPivot!$A$3,"ReportingLevel","1:LA","lvl","East Renfrewshire")</f>
        <v>0</v>
      </c>
      <c r="D23" s="676" t="s">
        <v>624</v>
      </c>
      <c r="E23" s="676" t="s">
        <v>624</v>
      </c>
      <c r="F23" s="668">
        <f>GETPIVOTDATA("Sum of Station Manager",WTFTERoleAreaPivot!$A$3,"ReportingLevel","1:LA","lvl","East Renfrewshire")</f>
        <v>0</v>
      </c>
      <c r="G23" s="668">
        <f>GETPIVOTDATA("Sum of Watch Manager",WTFTERoleAreaPivot!$A$3,"ReportingLevel","1:LA","lvl","East Renfrewshire")</f>
        <v>10</v>
      </c>
      <c r="H23" s="668">
        <f>GETPIVOTDATA("Sum of Crew Manager",WTFTERoleAreaPivot!$A$3,"ReportingLevel","1:LA","lvl","East Renfrewshire")</f>
        <v>10</v>
      </c>
      <c r="I23" s="668">
        <f>GETPIVOTDATA("Sum of Firefighter",WTFTERoleAreaPivot!$A$3,"ReportingLevel","1:LA","lvl","East Renfrewshire")</f>
        <v>32</v>
      </c>
      <c r="J23" s="66">
        <f t="shared" si="1"/>
        <v>52</v>
      </c>
    </row>
    <row r="24" spans="1:10" ht="15" customHeight="1" x14ac:dyDescent="0.35">
      <c r="A24" s="89" t="s">
        <v>263</v>
      </c>
      <c r="B24" s="48" t="s">
        <v>264</v>
      </c>
      <c r="C24" s="676">
        <f>GETPIVOTDATA("Sum of Brigade Manager",WTFTERoleAreaPivot!$A$3,"ReportingLevel","1:LA","lvl","Falkirk")</f>
        <v>0</v>
      </c>
      <c r="D24" s="676" t="s">
        <v>624</v>
      </c>
      <c r="E24" s="676" t="s">
        <v>624</v>
      </c>
      <c r="F24" s="668">
        <f>GETPIVOTDATA("Sum of Station Manager",WTFTERoleAreaPivot!$A$3,"ReportingLevel","1:LA","lvl","Falkirk")</f>
        <v>0</v>
      </c>
      <c r="G24" s="668">
        <f>GETPIVOTDATA("Sum of Watch Manager",WTFTERoleAreaPivot!$A$3,"ReportingLevel","1:LA","lvl","Falkirk")</f>
        <v>14</v>
      </c>
      <c r="H24" s="668">
        <f>GETPIVOTDATA("Sum of Crew Manager",WTFTERoleAreaPivot!$A$3,"ReportingLevel","1:LA","lvl","Falkirk")</f>
        <v>19</v>
      </c>
      <c r="I24" s="668">
        <f>GETPIVOTDATA("Sum of Firefighter",WTFTERoleAreaPivot!$A$3,"ReportingLevel","1:LA","lvl","Falkirk")</f>
        <v>50</v>
      </c>
      <c r="J24" s="66">
        <f t="shared" si="1"/>
        <v>83</v>
      </c>
    </row>
    <row r="25" spans="1:10" ht="15" customHeight="1" x14ac:dyDescent="0.35">
      <c r="A25" s="89" t="s">
        <v>267</v>
      </c>
      <c r="B25" s="48" t="s">
        <v>268</v>
      </c>
      <c r="C25" s="676">
        <f>GETPIVOTDATA("Sum of Brigade Manager",WTFTERoleAreaPivot!$A$3,"ReportingLevel","1:LA","lvl","Fife")</f>
        <v>0</v>
      </c>
      <c r="D25" s="676" t="s">
        <v>624</v>
      </c>
      <c r="E25" s="676" t="s">
        <v>624</v>
      </c>
      <c r="F25" s="668">
        <f>GETPIVOTDATA("Sum of Station Manager",WTFTERoleAreaPivot!$A$3,"ReportingLevel","1:LA","lvl","Fife")</f>
        <v>0</v>
      </c>
      <c r="G25" s="668">
        <f>GETPIVOTDATA("Sum of Watch Manager",WTFTERoleAreaPivot!$A$3,"ReportingLevel","1:LA","lvl","Fife")</f>
        <v>25</v>
      </c>
      <c r="H25" s="668">
        <f>GETPIVOTDATA("Sum of Crew Manager",WTFTERoleAreaPivot!$A$3,"ReportingLevel","1:LA","lvl","Fife")</f>
        <v>43</v>
      </c>
      <c r="I25" s="668">
        <f>GETPIVOTDATA("Sum of Firefighter",WTFTERoleAreaPivot!$A$3,"ReportingLevel","1:LA","lvl","Fife")</f>
        <v>143</v>
      </c>
      <c r="J25" s="66">
        <f t="shared" si="1"/>
        <v>211</v>
      </c>
    </row>
    <row r="26" spans="1:10" ht="15" customHeight="1" x14ac:dyDescent="0.35">
      <c r="A26" s="89" t="str">
        <f>IF(OR(A9 = "2018-19", A9 = "2017-18", A9 = "2016-17", A9 = "2015-16", A9 = "2014-15", A9 = "2013-14"),"S12000049","S12000046")</f>
        <v>S12000046</v>
      </c>
      <c r="B26" s="48" t="s">
        <v>271</v>
      </c>
      <c r="C26" s="676">
        <f>GETPIVOTDATA("Sum of Brigade Manager",WTFTERoleAreaPivot!$A$3,"ReportingLevel","1:LA","lvl","Glasgow City")</f>
        <v>0</v>
      </c>
      <c r="D26" s="676" t="s">
        <v>624</v>
      </c>
      <c r="E26" s="676" t="s">
        <v>624</v>
      </c>
      <c r="F26" s="668">
        <f>GETPIVOTDATA("Sum of Station Manager",WTFTERoleAreaPivot!$A$3,"ReportingLevel","1:LA","lvl","Glasgow City")</f>
        <v>0</v>
      </c>
      <c r="G26" s="668">
        <f>GETPIVOTDATA("Sum of Watch Manager",WTFTERoleAreaPivot!$A$3,"ReportingLevel","1:LA","lvl","Glasgow City")</f>
        <v>67</v>
      </c>
      <c r="H26" s="668">
        <f>GETPIVOTDATA("Sum of Crew Manager",WTFTERoleAreaPivot!$A$3,"ReportingLevel","1:LA","lvl","Glasgow City")</f>
        <v>91</v>
      </c>
      <c r="I26" s="668">
        <f>GETPIVOTDATA("Sum of Firefighter",WTFTERoleAreaPivot!$A$3,"ReportingLevel","1:LA","lvl","Glasgow City")</f>
        <v>290</v>
      </c>
      <c r="J26" s="66">
        <f t="shared" si="1"/>
        <v>448</v>
      </c>
    </row>
    <row r="27" spans="1:10" ht="15" customHeight="1" x14ac:dyDescent="0.35">
      <c r="A27" s="89" t="s">
        <v>273</v>
      </c>
      <c r="B27" s="48" t="s">
        <v>274</v>
      </c>
      <c r="C27" s="676">
        <f>GETPIVOTDATA("Sum of Brigade Manager",WTFTERoleAreaPivot!$A$3,"ReportingLevel","1:LA","lvl","Highland")</f>
        <v>0</v>
      </c>
      <c r="D27" s="676" t="s">
        <v>624</v>
      </c>
      <c r="E27" s="676" t="s">
        <v>624</v>
      </c>
      <c r="F27" s="668">
        <f>GETPIVOTDATA("Sum of Station Manager",WTFTERoleAreaPivot!$A$3,"ReportingLevel","1:LA","lvl","Highland")</f>
        <v>0</v>
      </c>
      <c r="G27" s="668">
        <f>GETPIVOTDATA("Sum of Watch Manager",WTFTERoleAreaPivot!$A$3,"ReportingLevel","1:LA","lvl","Highland")</f>
        <v>5</v>
      </c>
      <c r="H27" s="668">
        <f>GETPIVOTDATA("Sum of Crew Manager",WTFTERoleAreaPivot!$A$3,"ReportingLevel","1:LA","lvl","Highland")</f>
        <v>17</v>
      </c>
      <c r="I27" s="668">
        <f>GETPIVOTDATA("Sum of Firefighter",WTFTERoleAreaPivot!$A$3,"ReportingLevel","1:LA","lvl","Highland")</f>
        <v>51</v>
      </c>
      <c r="J27" s="66">
        <f t="shared" si="1"/>
        <v>73</v>
      </c>
    </row>
    <row r="28" spans="1:10" ht="15" customHeight="1" x14ac:dyDescent="0.35">
      <c r="A28" s="89" t="s">
        <v>277</v>
      </c>
      <c r="B28" s="48" t="s">
        <v>278</v>
      </c>
      <c r="C28" s="676">
        <f>GETPIVOTDATA("Sum of Brigade Manager",WTFTERoleAreaPivot!$A$3,"ReportingLevel","1:LA","lvl","Inverclyde")</f>
        <v>0</v>
      </c>
      <c r="D28" s="676" t="s">
        <v>624</v>
      </c>
      <c r="E28" s="676" t="s">
        <v>624</v>
      </c>
      <c r="F28" s="668">
        <f>GETPIVOTDATA("Sum of Station Manager",WTFTERoleAreaPivot!$A$3,"ReportingLevel","1:LA","lvl","Inverclyde")</f>
        <v>0</v>
      </c>
      <c r="G28" s="668">
        <f>GETPIVOTDATA("Sum of Watch Manager",WTFTERoleAreaPivot!$A$3,"ReportingLevel","1:LA","lvl","Inverclyde")</f>
        <v>10</v>
      </c>
      <c r="H28" s="668">
        <f>GETPIVOTDATA("Sum of Crew Manager",WTFTERoleAreaPivot!$A$3,"ReportingLevel","1:LA","lvl","Inverclyde")</f>
        <v>15</v>
      </c>
      <c r="I28" s="668">
        <f>GETPIVOTDATA("Sum of Firefighter",WTFTERoleAreaPivot!$A$3,"ReportingLevel","1:LA","lvl","Inverclyde")</f>
        <v>39</v>
      </c>
      <c r="J28" s="66">
        <f t="shared" si="1"/>
        <v>64</v>
      </c>
    </row>
    <row r="29" spans="1:10" ht="15" customHeight="1" x14ac:dyDescent="0.35">
      <c r="A29" s="89" t="s">
        <v>279</v>
      </c>
      <c r="B29" s="48" t="s">
        <v>280</v>
      </c>
      <c r="C29" s="676">
        <f>GETPIVOTDATA("Sum of Brigade Manager",WTFTERoleAreaPivot!$A$3,"ReportingLevel","1:LA","lvl","Midlothian")</f>
        <v>0</v>
      </c>
      <c r="D29" s="676" t="s">
        <v>624</v>
      </c>
      <c r="E29" s="676" t="s">
        <v>624</v>
      </c>
      <c r="F29" s="668">
        <f>GETPIVOTDATA("Sum of Station Manager",WTFTERoleAreaPivot!$A$3,"ReportingLevel","1:LA","lvl","Midlothian")</f>
        <v>0</v>
      </c>
      <c r="G29" s="668">
        <f>GETPIVOTDATA("Sum of Watch Manager",WTFTERoleAreaPivot!$A$3,"ReportingLevel","1:LA","lvl","Midlothian")</f>
        <v>4</v>
      </c>
      <c r="H29" s="668">
        <f>GETPIVOTDATA("Sum of Crew Manager",WTFTERoleAreaPivot!$A$3,"ReportingLevel","1:LA","lvl","Midlothian")</f>
        <v>4</v>
      </c>
      <c r="I29" s="668">
        <f>GETPIVOTDATA("Sum of Firefighter",WTFTERoleAreaPivot!$A$3,"ReportingLevel","1:LA","lvl","Midlothian")</f>
        <v>21</v>
      </c>
      <c r="J29" s="66">
        <f t="shared" si="1"/>
        <v>29</v>
      </c>
    </row>
    <row r="30" spans="1:10" ht="15" customHeight="1" x14ac:dyDescent="0.35">
      <c r="A30" s="89" t="s">
        <v>281</v>
      </c>
      <c r="B30" s="48" t="s">
        <v>282</v>
      </c>
      <c r="C30" s="676">
        <f>GETPIVOTDATA("Sum of Brigade Manager",WTFTERoleAreaPivot!$A$3,"ReportingLevel","1:LA","lvl","Moray")</f>
        <v>0</v>
      </c>
      <c r="D30" s="676" t="s">
        <v>624</v>
      </c>
      <c r="E30" s="676" t="s">
        <v>624</v>
      </c>
      <c r="F30" s="668">
        <f>GETPIVOTDATA("Sum of Station Manager",WTFTERoleAreaPivot!$A$3,"ReportingLevel","1:LA","lvl","Moray")</f>
        <v>0</v>
      </c>
      <c r="G30" s="668">
        <f>GETPIVOTDATA("Sum of Watch Manager",WTFTERoleAreaPivot!$A$3,"ReportingLevel","1:LA","lvl","Moray")</f>
        <v>5</v>
      </c>
      <c r="H30" s="668">
        <f>GETPIVOTDATA("Sum of Crew Manager",WTFTERoleAreaPivot!$A$3,"ReportingLevel","1:LA","lvl","Moray")</f>
        <v>5</v>
      </c>
      <c r="I30" s="668">
        <f>GETPIVOTDATA("Sum of Firefighter",WTFTERoleAreaPivot!$A$3,"ReportingLevel","1:LA","lvl","Moray")</f>
        <v>20</v>
      </c>
      <c r="J30" s="66">
        <f t="shared" si="1"/>
        <v>30</v>
      </c>
    </row>
    <row r="31" spans="1:10" ht="15" customHeight="1" x14ac:dyDescent="0.35">
      <c r="A31" s="89" t="s">
        <v>283</v>
      </c>
      <c r="B31" s="48" t="s">
        <v>284</v>
      </c>
      <c r="C31" s="676">
        <f>IFERROR(GETPIVOTDATA("Sum of Brigade Manager",WTFTERoleAreaPivot!$A$3,"ReportingLevel","1:LA","lvl","Na h-Eileanan Siar"), "-")</f>
        <v>0</v>
      </c>
      <c r="D31" s="676" t="s">
        <v>624</v>
      </c>
      <c r="E31" s="676" t="s">
        <v>624</v>
      </c>
      <c r="F31" s="668">
        <f>IFERROR(GETPIVOTDATA("Sum of Station Manager",WTFTERoleAreaPivot!$A$3,"ReportingLevel","1:LA","lvl","Na h-Eileanan Siar"), "-")</f>
        <v>0</v>
      </c>
      <c r="G31" s="668">
        <f>IFERROR(GETPIVOTDATA("Sum of Watch Manager",WTFTERoleAreaPivot!$A$3,"ReportingLevel","1:LA","lvl","Na h-Eileanan Siar"), "-")</f>
        <v>3</v>
      </c>
      <c r="H31" s="668">
        <f>IFERROR(GETPIVOTDATA("Sum of Crew Manager",WTFTERoleAreaPivot!$A$3,"ReportingLevel","1:LA","lvl","Na h-Eileanan Siar"), "-")</f>
        <v>0</v>
      </c>
      <c r="I31" s="668">
        <f>IFERROR(GETPIVOTDATA("Sum of Firefighter",WTFTERoleAreaPivot!$A$3,"ReportingLevel","1:LA","lvl","Na h-Eileanan Siar"), "-")</f>
        <v>0</v>
      </c>
      <c r="J31" s="66">
        <f t="shared" si="1"/>
        <v>3</v>
      </c>
    </row>
    <row r="32" spans="1:10" ht="15" customHeight="1" x14ac:dyDescent="0.35">
      <c r="A32" s="89" t="s">
        <v>287</v>
      </c>
      <c r="B32" s="48" t="s">
        <v>288</v>
      </c>
      <c r="C32" s="676">
        <f>GETPIVOTDATA("Sum of Brigade Manager",WTFTERoleAreaPivot!$A$3,"ReportingLevel","1:LA","lvl","North Ayrshire")</f>
        <v>0</v>
      </c>
      <c r="D32" s="676" t="s">
        <v>624</v>
      </c>
      <c r="E32" s="676" t="s">
        <v>624</v>
      </c>
      <c r="F32" s="668">
        <f>GETPIVOTDATA("Sum of Station Manager",WTFTERoleAreaPivot!$A$3,"ReportingLevel","1:LA","lvl","North Ayrshire")</f>
        <v>0</v>
      </c>
      <c r="G32" s="668">
        <f>GETPIVOTDATA("Sum of Watch Manager",WTFTERoleAreaPivot!$A$3,"ReportingLevel","1:LA","lvl","North Ayrshire")</f>
        <v>15</v>
      </c>
      <c r="H32" s="668">
        <f>GETPIVOTDATA("Sum of Crew Manager",WTFTERoleAreaPivot!$A$3,"ReportingLevel","1:LA","lvl","North Ayrshire")</f>
        <v>15</v>
      </c>
      <c r="I32" s="668">
        <f>GETPIVOTDATA("Sum of Firefighter",WTFTERoleAreaPivot!$A$3,"ReportingLevel","1:LA","lvl","North Ayrshire")</f>
        <v>42</v>
      </c>
      <c r="J32" s="66">
        <f t="shared" si="1"/>
        <v>72</v>
      </c>
    </row>
    <row r="33" spans="1:10" ht="15" customHeight="1" x14ac:dyDescent="0.35">
      <c r="A33" s="89" t="str">
        <f>IF(OR(A9 = "2018-19", A9 = "2017-18", A9 = "2016-17", A9 = "2015-16", A9 = "2014-15", A9 = "2013-14"),"S12000050","S12000044")</f>
        <v>S12000044</v>
      </c>
      <c r="B33" s="48" t="s">
        <v>290</v>
      </c>
      <c r="C33" s="676">
        <f>GETPIVOTDATA("Sum of Brigade Manager",WTFTERoleAreaPivot!$A$3,"ReportingLevel","1:LA","lvl","North Lanarkshire")</f>
        <v>0</v>
      </c>
      <c r="D33" s="676" t="s">
        <v>624</v>
      </c>
      <c r="E33" s="676" t="s">
        <v>624</v>
      </c>
      <c r="F33" s="668">
        <f>GETPIVOTDATA("Sum of Station Manager",WTFTERoleAreaPivot!$A$3,"ReportingLevel","1:LA","lvl","North Lanarkshire")</f>
        <v>0</v>
      </c>
      <c r="G33" s="668">
        <f>GETPIVOTDATA("Sum of Watch Manager",WTFTERoleAreaPivot!$A$3,"ReportingLevel","1:LA","lvl","North Lanarkshire")</f>
        <v>20</v>
      </c>
      <c r="H33" s="668">
        <f>GETPIVOTDATA("Sum of Crew Manager",WTFTERoleAreaPivot!$A$3,"ReportingLevel","1:LA","lvl","North Lanarkshire")</f>
        <v>31</v>
      </c>
      <c r="I33" s="668">
        <f>GETPIVOTDATA("Sum of Firefighter",WTFTERoleAreaPivot!$A$3,"ReportingLevel","1:LA","lvl","North Lanarkshire")</f>
        <v>112</v>
      </c>
      <c r="J33" s="66">
        <f t="shared" si="1"/>
        <v>163</v>
      </c>
    </row>
    <row r="34" spans="1:10" ht="15" customHeight="1" x14ac:dyDescent="0.35">
      <c r="A34" s="89" t="s">
        <v>292</v>
      </c>
      <c r="B34" s="48" t="s">
        <v>293</v>
      </c>
      <c r="C34" s="676" t="str">
        <f>IFERROR(GETPIVOTDATA("Sum of Brigade Manager",WTFTERoleAreaPivot!$A$3,"ReportingLevel","1:LA","lvl","Orkney Islands"),"-")</f>
        <v>-</v>
      </c>
      <c r="D34" s="676" t="s">
        <v>624</v>
      </c>
      <c r="E34" s="676" t="s">
        <v>624</v>
      </c>
      <c r="F34" s="668" t="str">
        <f>IFERROR(GETPIVOTDATA("Sum of Station Manager",WTFTERoleAreaPivot!$A$3,"ReportingLevel","1:LA","lvl","Orkney Islands"),"-")</f>
        <v>-</v>
      </c>
      <c r="G34" s="668" t="str">
        <f>IFERROR(GETPIVOTDATA("Sum of Watch Manager",WTFTERoleAreaPivot!$A$3,"ReportingLevel","1:LA","lvl","Orkney Islands"),"-")</f>
        <v>-</v>
      </c>
      <c r="H34" s="668" t="str">
        <f>IFERROR(GETPIVOTDATA("Sum of Crew Manager",WTFTERoleAreaPivot!$A$3,"ReportingLevel","1:LA","lvl","Orkney Islands"),"-")</f>
        <v>-</v>
      </c>
      <c r="I34" s="668" t="str">
        <f>IFERROR(GETPIVOTDATA("Sum of Firefighter",WTFTERoleAreaPivot!$A$3,"ReportingLevel","1:LA","lvl","Orkney Islands"),"-")</f>
        <v>-</v>
      </c>
      <c r="J34" s="66">
        <f t="shared" si="1"/>
        <v>0</v>
      </c>
    </row>
    <row r="35" spans="1:10" ht="15" customHeight="1" x14ac:dyDescent="0.35">
      <c r="A35" s="89" t="s">
        <v>294</v>
      </c>
      <c r="B35" s="48" t="s">
        <v>295</v>
      </c>
      <c r="C35" s="676">
        <f>GETPIVOTDATA("Sum of Brigade Manager",WTFTERoleAreaPivot!$A$3,"ReportingLevel","1:LA","lvl","Perth and Kinross")</f>
        <v>0</v>
      </c>
      <c r="D35" s="676" t="s">
        <v>624</v>
      </c>
      <c r="E35" s="676" t="s">
        <v>624</v>
      </c>
      <c r="F35" s="668">
        <f>GETPIVOTDATA("Sum of Station Manager",WTFTERoleAreaPivot!$A$3,"ReportingLevel","1:LA","lvl","Perth and Kinross")</f>
        <v>0</v>
      </c>
      <c r="G35" s="668">
        <f>GETPIVOTDATA("Sum of Watch Manager",WTFTERoleAreaPivot!$A$3,"ReportingLevel","1:LA","lvl","Perth and Kinross")</f>
        <v>5</v>
      </c>
      <c r="H35" s="668">
        <f>GETPIVOTDATA("Sum of Crew Manager",WTFTERoleAreaPivot!$A$3,"ReportingLevel","1:LA","lvl","Perth and Kinross")</f>
        <v>11</v>
      </c>
      <c r="I35" s="668">
        <f>GETPIVOTDATA("Sum of Firefighter",WTFTERoleAreaPivot!$A$3,"ReportingLevel","1:LA","lvl","Perth and Kinross")</f>
        <v>43</v>
      </c>
      <c r="J35" s="66">
        <f t="shared" si="1"/>
        <v>59</v>
      </c>
    </row>
    <row r="36" spans="1:10" ht="15" customHeight="1" x14ac:dyDescent="0.35">
      <c r="A36" s="89" t="s">
        <v>296</v>
      </c>
      <c r="B36" s="48" t="s">
        <v>297</v>
      </c>
      <c r="C36" s="676">
        <f>GETPIVOTDATA("Sum of Brigade Manager",WTFTERoleAreaPivot!$A$3,"ReportingLevel","1:LA","lvl","Renfrewshire")</f>
        <v>0</v>
      </c>
      <c r="D36" s="676" t="s">
        <v>624</v>
      </c>
      <c r="E36" s="676" t="s">
        <v>624</v>
      </c>
      <c r="F36" s="668">
        <f>GETPIVOTDATA("Sum of Station Manager",WTFTERoleAreaPivot!$A$3,"ReportingLevel","1:LA","lvl","Renfrewshire")</f>
        <v>0</v>
      </c>
      <c r="G36" s="668">
        <f>GETPIVOTDATA("Sum of Watch Manager",WTFTERoleAreaPivot!$A$3,"ReportingLevel","1:LA","lvl","Renfrewshire")</f>
        <v>15</v>
      </c>
      <c r="H36" s="668">
        <f>GETPIVOTDATA("Sum of Crew Manager",WTFTERoleAreaPivot!$A$3,"ReportingLevel","1:LA","lvl","Renfrewshire")</f>
        <v>21</v>
      </c>
      <c r="I36" s="668">
        <f>GETPIVOTDATA("Sum of Firefighter",WTFTERoleAreaPivot!$A$3,"ReportingLevel","1:LA","lvl","Renfrewshire")</f>
        <v>66</v>
      </c>
      <c r="J36" s="66">
        <f t="shared" si="1"/>
        <v>102</v>
      </c>
    </row>
    <row r="37" spans="1:10" ht="15" customHeight="1" x14ac:dyDescent="0.35">
      <c r="A37" s="89" t="s">
        <v>298</v>
      </c>
      <c r="B37" s="48" t="s">
        <v>299</v>
      </c>
      <c r="C37" s="676">
        <f>GETPIVOTDATA("Sum of Brigade Manager",WTFTERoleAreaPivot!$A$3,"ReportingLevel","1:LA","lvl","Scottish Borders")</f>
        <v>0</v>
      </c>
      <c r="D37" s="676" t="s">
        <v>624</v>
      </c>
      <c r="E37" s="676" t="s">
        <v>624</v>
      </c>
      <c r="F37" s="668">
        <f>GETPIVOTDATA("Sum of Station Manager",WTFTERoleAreaPivot!$A$3,"ReportingLevel","1:LA","lvl","Scottish Borders")</f>
        <v>0</v>
      </c>
      <c r="G37" s="668">
        <f>GETPIVOTDATA("Sum of Watch Manager",WTFTERoleAreaPivot!$A$3,"ReportingLevel","1:LA","lvl","Scottish Borders")</f>
        <v>10</v>
      </c>
      <c r="H37" s="668">
        <f>GETPIVOTDATA("Sum of Crew Manager",WTFTERoleAreaPivot!$A$3,"ReportingLevel","1:LA","lvl","Scottish Borders")</f>
        <v>10</v>
      </c>
      <c r="I37" s="668">
        <f>GETPIVOTDATA("Sum of Firefighter",WTFTERoleAreaPivot!$A$3,"ReportingLevel","1:LA","lvl","Scottish Borders")</f>
        <v>38</v>
      </c>
      <c r="J37" s="66">
        <f t="shared" si="1"/>
        <v>58</v>
      </c>
    </row>
    <row r="38" spans="1:10" ht="15" customHeight="1" x14ac:dyDescent="0.35">
      <c r="A38" s="89" t="s">
        <v>300</v>
      </c>
      <c r="B38" s="48" t="s">
        <v>301</v>
      </c>
      <c r="C38" s="676" t="str">
        <f>IFERROR(GETPIVOTDATA("Sum of Brigade Manager",WTFTERoleAreaPivot!$A$3,"ReportingLevel","1:LA","lvl","Shetland Islands"),"-")</f>
        <v>-</v>
      </c>
      <c r="D38" s="676" t="s">
        <v>624</v>
      </c>
      <c r="E38" s="676" t="s">
        <v>624</v>
      </c>
      <c r="F38" s="668" t="str">
        <f>IFERROR(GETPIVOTDATA("Sum of Station Manager",WTFTERoleAreaPivot!$A$3,"ReportingLevel","1:LA","lvl","Shetland Islands"),"-")</f>
        <v>-</v>
      </c>
      <c r="G38" s="668" t="str">
        <f>IFERROR(GETPIVOTDATA("Sum of Watch Manager",WTFTERoleAreaPivot!$A$3,"ReportingLevel","1:LA","lvl","Shetland Islands"),"-")</f>
        <v>-</v>
      </c>
      <c r="H38" s="668" t="str">
        <f>IFERROR(GETPIVOTDATA("Sum of Crew Manager",WTFTERoleAreaPivot!$A$3,"ReportingLevel","1:LA","lvl","Shetland Islands"),"-")</f>
        <v>-</v>
      </c>
      <c r="I38" s="668" t="str">
        <f>IFERROR(GETPIVOTDATA("Sum of Firefighter",WTFTERoleAreaPivot!$A$3,"ReportingLevel","1:LA","lvl","Shetland Islands"),"-")</f>
        <v>-</v>
      </c>
      <c r="J38" s="66">
        <f t="shared" si="1"/>
        <v>0</v>
      </c>
    </row>
    <row r="39" spans="1:10" ht="15" customHeight="1" x14ac:dyDescent="0.35">
      <c r="A39" s="89" t="s">
        <v>302</v>
      </c>
      <c r="B39" s="48" t="s">
        <v>303</v>
      </c>
      <c r="C39" s="676">
        <f>GETPIVOTDATA("Sum of Brigade Manager",WTFTERoleAreaPivot!$A$3,"ReportingLevel","1:LA","lvl","South Ayrshire")</f>
        <v>0</v>
      </c>
      <c r="D39" s="676" t="s">
        <v>624</v>
      </c>
      <c r="E39" s="676" t="s">
        <v>624</v>
      </c>
      <c r="F39" s="668">
        <f>GETPIVOTDATA("Sum of Station Manager",WTFTERoleAreaPivot!$A$3,"ReportingLevel","1:LA","lvl","South Ayrshire")</f>
        <v>0</v>
      </c>
      <c r="G39" s="668">
        <f>GETPIVOTDATA("Sum of Watch Manager",WTFTERoleAreaPivot!$A$3,"ReportingLevel","1:LA","lvl","South Ayrshire")</f>
        <v>6</v>
      </c>
      <c r="H39" s="668">
        <f>GETPIVOTDATA("Sum of Crew Manager",WTFTERoleAreaPivot!$A$3,"ReportingLevel","1:LA","lvl","South Ayrshire")</f>
        <v>11</v>
      </c>
      <c r="I39" s="668">
        <f>GETPIVOTDATA("Sum of Firefighter",WTFTERoleAreaPivot!$A$3,"ReportingLevel","1:LA","lvl","South Ayrshire")</f>
        <v>36</v>
      </c>
      <c r="J39" s="66">
        <f t="shared" si="1"/>
        <v>53</v>
      </c>
    </row>
    <row r="40" spans="1:10" ht="15" customHeight="1" x14ac:dyDescent="0.35">
      <c r="A40" s="89" t="s">
        <v>304</v>
      </c>
      <c r="B40" s="48" t="s">
        <v>305</v>
      </c>
      <c r="C40" s="676">
        <f>GETPIVOTDATA("Sum of Brigade Manager",WTFTERoleAreaPivot!$A$3,"ReportingLevel","1:LA","lvl","South Lanarkshire")</f>
        <v>0</v>
      </c>
      <c r="D40" s="676" t="s">
        <v>624</v>
      </c>
      <c r="E40" s="676" t="s">
        <v>624</v>
      </c>
      <c r="F40" s="668">
        <f>GETPIVOTDATA("Sum of Station Manager",WTFTERoleAreaPivot!$A$3,"ReportingLevel","1:LA","lvl","South Lanarkshire")</f>
        <v>0</v>
      </c>
      <c r="G40" s="668">
        <f>GETPIVOTDATA("Sum of Watch Manager",WTFTERoleAreaPivot!$A$3,"ReportingLevel","1:LA","lvl","South Lanarkshire")</f>
        <v>19</v>
      </c>
      <c r="H40" s="668">
        <f>GETPIVOTDATA("Sum of Crew Manager",WTFTERoleAreaPivot!$A$3,"ReportingLevel","1:LA","lvl","South Lanarkshire")</f>
        <v>28</v>
      </c>
      <c r="I40" s="668">
        <f>GETPIVOTDATA("Sum of Firefighter",WTFTERoleAreaPivot!$A$3,"ReportingLevel","1:LA","lvl","South Lanarkshire")</f>
        <v>108</v>
      </c>
      <c r="J40" s="66">
        <f t="shared" si="1"/>
        <v>155</v>
      </c>
    </row>
    <row r="41" spans="1:10" ht="15" customHeight="1" x14ac:dyDescent="0.35">
      <c r="A41" s="89" t="s">
        <v>307</v>
      </c>
      <c r="B41" s="48" t="s">
        <v>308</v>
      </c>
      <c r="C41" s="676">
        <f>GETPIVOTDATA("Sum of Brigade Manager",WTFTERoleAreaPivot!$A$3,"ReportingLevel","1:LA","lvl","Stirling")</f>
        <v>0</v>
      </c>
      <c r="D41" s="676" t="s">
        <v>624</v>
      </c>
      <c r="E41" s="676" t="s">
        <v>624</v>
      </c>
      <c r="F41" s="668">
        <f>GETPIVOTDATA("Sum of Station Manager",WTFTERoleAreaPivot!$A$3,"ReportingLevel","1:LA","lvl","Stirling")</f>
        <v>0</v>
      </c>
      <c r="G41" s="668">
        <f>GETPIVOTDATA("Sum of Watch Manager",WTFTERoleAreaPivot!$A$3,"ReportingLevel","1:LA","lvl","Stirling")</f>
        <v>5</v>
      </c>
      <c r="H41" s="668">
        <f>GETPIVOTDATA("Sum of Crew Manager",WTFTERoleAreaPivot!$A$3,"ReportingLevel","1:LA","lvl","Stirling")</f>
        <v>10</v>
      </c>
      <c r="I41" s="668">
        <f>GETPIVOTDATA("Sum of Firefighter",WTFTERoleAreaPivot!$A$3,"ReportingLevel","1:LA","lvl","Stirling")</f>
        <v>32</v>
      </c>
      <c r="J41" s="66">
        <f t="shared" si="1"/>
        <v>47</v>
      </c>
    </row>
    <row r="42" spans="1:10" ht="15" customHeight="1" x14ac:dyDescent="0.35">
      <c r="A42" s="89" t="s">
        <v>309</v>
      </c>
      <c r="B42" s="48" t="s">
        <v>310</v>
      </c>
      <c r="C42" s="676">
        <f>GETPIVOTDATA("Sum of Brigade Manager",WTFTERoleAreaPivot!$A$3,"ReportingLevel","1:LA","lvl","West Dunbartonshire")</f>
        <v>0</v>
      </c>
      <c r="D42" s="676" t="s">
        <v>624</v>
      </c>
      <c r="E42" s="676" t="s">
        <v>624</v>
      </c>
      <c r="F42" s="668">
        <f>GETPIVOTDATA("Sum of Station Manager",WTFTERoleAreaPivot!$A$3,"ReportingLevel","1:LA","lvl","West Dunbartonshire")</f>
        <v>0</v>
      </c>
      <c r="G42" s="668">
        <f>GETPIVOTDATA("Sum of Watch Manager",WTFTERoleAreaPivot!$A$3,"ReportingLevel","1:LA","lvl","West Dunbartonshire")</f>
        <v>10</v>
      </c>
      <c r="H42" s="668">
        <f>GETPIVOTDATA("Sum of Crew Manager",WTFTERoleAreaPivot!$A$3,"ReportingLevel","1:LA","lvl","West Dunbartonshire")</f>
        <v>15</v>
      </c>
      <c r="I42" s="668">
        <f>GETPIVOTDATA("Sum of Firefighter",WTFTERoleAreaPivot!$A$3,"ReportingLevel","1:LA","lvl","West Dunbartonshire")</f>
        <v>50</v>
      </c>
      <c r="J42" s="66">
        <f t="shared" si="1"/>
        <v>75</v>
      </c>
    </row>
    <row r="43" spans="1:10" ht="15" customHeight="1" x14ac:dyDescent="0.35">
      <c r="A43" s="89" t="s">
        <v>311</v>
      </c>
      <c r="B43" s="48" t="s">
        <v>312</v>
      </c>
      <c r="C43" s="676">
        <f>GETPIVOTDATA("Sum of Brigade Manager",WTFTERoleAreaPivot!$A$3,"ReportingLevel","1:LA","lvl","West Lothian")</f>
        <v>0</v>
      </c>
      <c r="D43" s="676" t="s">
        <v>624</v>
      </c>
      <c r="E43" s="676" t="s">
        <v>624</v>
      </c>
      <c r="F43" s="668">
        <f>GETPIVOTDATA("Sum of Station Manager",WTFTERoleAreaPivot!$A$3,"ReportingLevel","1:LA","lvl","West Lothian")</f>
        <v>0</v>
      </c>
      <c r="G43" s="668">
        <f>GETPIVOTDATA("Sum of Watch Manager",WTFTERoleAreaPivot!$A$3,"ReportingLevel","1:LA","lvl","West Lothian")</f>
        <v>14</v>
      </c>
      <c r="H43" s="668">
        <f>GETPIVOTDATA("Sum of Crew Manager",WTFTERoleAreaPivot!$A$3,"ReportingLevel","1:LA","lvl","West Lothian")</f>
        <v>11</v>
      </c>
      <c r="I43" s="668">
        <f>GETPIVOTDATA("Sum of Firefighter",WTFTERoleAreaPivot!$A$3,"ReportingLevel","1:LA","lvl","West Lothian")</f>
        <v>36.979999999999997</v>
      </c>
      <c r="J43" s="66">
        <f t="shared" si="1"/>
        <v>61.98</v>
      </c>
    </row>
    <row r="44" spans="1:10" ht="30" customHeight="1" thickBot="1" x14ac:dyDescent="0.4">
      <c r="A44" s="52"/>
      <c r="B44" s="52" t="s">
        <v>552</v>
      </c>
      <c r="C44" s="437">
        <f t="shared" ref="C44:E44" si="2">SUM(C12:C43)</f>
        <v>0</v>
      </c>
      <c r="D44" s="437">
        <f t="shared" si="2"/>
        <v>0</v>
      </c>
      <c r="E44" s="437">
        <f t="shared" si="2"/>
        <v>0</v>
      </c>
      <c r="F44" s="70">
        <f>GETPIVOTDATA("Sum of Station Manager",WTFTERoleAreaPivot!$A$3,"ReportingLevel","1:LA")</f>
        <v>0</v>
      </c>
      <c r="G44" s="630">
        <f>GETPIVOTDATA("Sum of Watch Manager",WTFTERoleAreaPivot!$A$3,"ReportingLevel","1:LA")</f>
        <v>396</v>
      </c>
      <c r="H44" s="630">
        <f>GETPIVOTDATA("Sum of Crew Manager",WTFTERoleAreaPivot!$A$3,"ReportingLevel","1:LA")</f>
        <v>551</v>
      </c>
      <c r="I44" s="630">
        <f>GETPIVOTDATA("Sum of Firefighter",WTFTERoleAreaPivot!$A$3,"ReportingLevel","1:LA")</f>
        <v>1842.48</v>
      </c>
      <c r="J44" s="630">
        <f>SUM(F44:I44)</f>
        <v>2789.48</v>
      </c>
    </row>
    <row r="45" spans="1:10" ht="13.5" customHeight="1" x14ac:dyDescent="0.35">
      <c r="A45" s="82"/>
      <c r="B45" s="82"/>
      <c r="J45" s="457"/>
    </row>
    <row r="46" spans="1:10" ht="30" customHeight="1" x14ac:dyDescent="0.35">
      <c r="A46" s="54" t="s">
        <v>209</v>
      </c>
      <c r="B46" s="54" t="s">
        <v>553</v>
      </c>
      <c r="C46" s="43"/>
      <c r="D46" s="43"/>
      <c r="E46" s="43"/>
      <c r="F46" s="43"/>
      <c r="G46" s="43"/>
      <c r="H46" s="43"/>
      <c r="I46" s="43"/>
      <c r="J46" s="75"/>
    </row>
    <row r="47" spans="1:10" ht="22.5" customHeight="1" x14ac:dyDescent="0.35">
      <c r="A47" s="392" t="str">
        <f>IF(OR(A9="2021-22", A9 = "2022-23", A9 = "2023-24", A9 = "2024-25"), "S39000023", "S39000001")</f>
        <v>S39000023</v>
      </c>
      <c r="B47" s="670" t="str">
        <f>IF(OR(A9="2021-22", A9 = "2022-23", A9 = "2023-24", A9 = "2024-25"), "Abderdeen City, Aberdeenshire and Moray", "Aberdeen City")</f>
        <v>Abderdeen City, Aberdeenshire and Moray</v>
      </c>
      <c r="C47" s="436">
        <f>IF(OR(A9="2021-22", A9 = "2022-23", A9 = "2023-24", A9 = "2024-25"),GETPIVOTDATA("Sum of Brigade Manager",WTFTERoleAreaPivot!$A$3,"ReportingLevel","2:LSO","lvl","Aberdeen City, Aberdeenshire and Moray"), GETPIVOTDATA("Sum of Brigade Manager",WTFTERoleAreaPivot!$A$3,"ReportingLevel","2:LSO","lvl","Aberdeen City"))</f>
        <v>0</v>
      </c>
      <c r="D47" s="298">
        <f>IF(OR(A9="2021-22", A9 = "2022-23", A9 = "2023-24", A9 = "2024-25"),GETPIVOTDATA("Sum of Area Manager",WTFTERoleAreaPivot!$A$3,"ReportingLevel","2:LSO","lvl","Aberdeen City, Aberdeenshire and Moray"), GETPIVOTDATA("Sum of Area Manager",WTFTERoleAreaPivot!$A$3,"ReportingLevel","2:LSO","lvl","Aberdeen City"))</f>
        <v>1</v>
      </c>
      <c r="E47" s="298">
        <f>IF(OR(A9="2021-22", A9 = "2022-23", A9 = "2023-24", A9 = "2024-25"),GETPIVOTDATA("Sum of Group Manager",WTFTERoleAreaPivot!$A$3,"ReportingLevel","2:LSO","lvl","Aberdeen City, Aberdeenshire and Moray"), GETPIVOTDATA("Sum of Group Manager",WTFTERoleAreaPivot!$A$3,"ReportingLevel","2:LSO","lvl","Aberdeen City"))</f>
        <v>4</v>
      </c>
      <c r="F47" s="298">
        <f>IF(OR(A9="2021-22", A9 = "2022-23", A9 = "2023-24", A9 = "2024-25"),GETPIVOTDATA("Sum of Station Manager",WTFTERoleAreaPivot!$A$3,"ReportingLevel","2:LSO","lvl","Aberdeen City, Aberdeenshire and Moray"), GETPIVOTDATA("Sum of Station Manager",WTFTERoleAreaPivot!$A$3,"ReportingLevel","2:LSO","lvl","Aberdeen City"))</f>
        <v>10</v>
      </c>
      <c r="G47" s="298">
        <f>IF(OR(A9="2021-22", A9 = "2022-23", A9 = "2023-24", A9 = "2024-25"),GETPIVOTDATA("Sum of Watch Manager",WTFTERoleAreaPivot!$A$3,"ReportingLevel","2:LSO","lvl","Aberdeen City, Aberdeenshire and Moray"), GETPIVOTDATA("Sum of Watch Manager",WTFTERoleAreaPivot!$A$3,"ReportingLevel","2:LSO","lvl","Aberdeen City"))</f>
        <v>5</v>
      </c>
      <c r="H47" s="298">
        <f>IF(OR(A9="2021-22", A9 = "2022-23", A9 = "2023-24", A9 = "2024-25"),GETPIVOTDATA("Sum of Crew Manager",WTFTERoleAreaPivot!$A$3,"ReportingLevel","2:LSO","lvl","Aberdeen City, Aberdeenshire and Moray"), GETPIVOTDATA("Sum of Crew Manager",WTFTERoleAreaPivot!$A$3,"ReportingLevel","2:LSO","lvl","Aberdeen City"))</f>
        <v>0</v>
      </c>
      <c r="I47" s="298">
        <f>IF(OR(A9="2021-22", A9 = "2022-23", A9 = "2023-24", A9 = "2024-25"),GETPIVOTDATA("Sum of Firefighter",wtroleareapivot!$A$3,"ReportingLevel","2:LSO","lvl","Aberdeen City, Aberdeenshire and Moray"), GETPIVOTDATA("Sum of Firefighter",WTFTERoleAreaPivot!$A$3,"ReportingLevel","2:LSO","lvl","Aberdeen City"))</f>
        <v>0</v>
      </c>
      <c r="J47" s="67">
        <f>SUM(C47:I47)</f>
        <v>20</v>
      </c>
    </row>
    <row r="48" spans="1:10" ht="13.5" customHeight="1" x14ac:dyDescent="0.35">
      <c r="A48" s="672" t="str">
        <f>IF(OR(A9="2021-22", A9 = "2022-23", A9 = "2023-24", A9 = "2024-25"), "", "S39000002")</f>
        <v/>
      </c>
      <c r="B48" s="667" t="str">
        <f>IF(OR(A9="2021-22", A9 = "2022-23", A9 = "2023-24", A9 = "2024-25"), "", "Aberdeenshire and Moray")</f>
        <v/>
      </c>
      <c r="C48" s="436" t="str">
        <f>IF(OR(A9="2021-22", A9 = "2022-23", A9 = "2023-24", A9 = "2024-25"),"", GETPIVOTDATA("Sum of Brigade Manager",WTFTERoleAreaPivot!$A$3,"ReportingLevel","2:LSO","lvl","Aberdeenshire and Moray"))</f>
        <v/>
      </c>
      <c r="D48" s="66" t="str">
        <f>IF(OR(A9="2021-22", A9 = "2022-23", A9 = "2023-24", A9 = "2024-25"),"", GETPIVOTDATA("Sum of Area Manager",WTFTERoleAreaPivot!$A$3,"ReportingLevel","2:LSO","lvl","Aberdeenshire and Moray"))</f>
        <v/>
      </c>
      <c r="E48" s="66" t="str">
        <f>IF(OR(A9="2021-22", A9 = "2022-23", A9 = "2023-24", A9 = "2024-25"),"", GETPIVOTDATA("Sum of Group Manager",WTFTERoleAreaPivot!$A$3,"ReportingLevel","2:LSO","lvl","Aberdeenshire and Moray"))</f>
        <v/>
      </c>
      <c r="F48" s="66" t="str">
        <f>IF(OR(A9="2021-22", A9 = "2022-23", A9 = "2023-24", A9 = "2024-25"),"", GETPIVOTDATA("Sum of Station Manager",WTFTERoleAreaPivot!$A$3,"ReportingLevel","2:LSO","lvl","Aberdeenshire and Moray"))</f>
        <v/>
      </c>
      <c r="G48" s="66" t="str">
        <f>IF(OR(A9="2021-22", A9 = "2022-23", A9 = "2023-24", A9 = "2024-25"),"", GETPIVOTDATA("Sum of Watch Manager",WTFTERoleAreaPivot!$A$3,"ReportingLevel","2:LSO","lvl","Aberdeenshire and Moray"))</f>
        <v/>
      </c>
      <c r="H48" s="66" t="str">
        <f>IF(OR(A9="2021-22", A9 = "2022-23", A9 = "2023-24", A9 = "2024-25"),"", GETPIVOTDATA("Sum of Crew Manager",WTFTERoleAreaPivot!$A$3,"ReportingLevel","2:LSO","lvl","Aberdeenshire and Moray"))</f>
        <v/>
      </c>
      <c r="I48" s="66" t="str">
        <f>IF(OR(A9="2021-22", A9 = "2022-23", A9 = "2023-24", A9 = "2024-25"),"", GETPIVOTDATA("Sum of Firefighter",WTFTERoleAreaPivot!$A$3,"ReportingLevel","2:LSO","lvl","Aberdeenshire and Moray"))</f>
        <v/>
      </c>
      <c r="J48" s="67">
        <f t="shared" ref="J48:J63" si="3">SUM(C48:I48)</f>
        <v>0</v>
      </c>
    </row>
    <row r="49" spans="1:10" ht="13.5" customHeight="1" x14ac:dyDescent="0.35">
      <c r="A49" s="393" t="s">
        <v>230</v>
      </c>
      <c r="B49" s="667" t="s">
        <v>231</v>
      </c>
      <c r="C49" s="436">
        <f>GETPIVOTDATA("Sum of Brigade Manager",WTFTERoleAreaPivot!$A$3,"ReportingLevel","2:LSO","lvl","Argyll and Bute, East Dunbartonshire and West Dunbartonshire")</f>
        <v>0</v>
      </c>
      <c r="D49" s="66">
        <f>GETPIVOTDATA("Sum of Area Manager",WTFTERoleAreaPivot!$A$3,"ReportingLevel","2:LSO","lvl","Argyll and Bute, East Dunbartonshire and West Dunbartonshire")</f>
        <v>1</v>
      </c>
      <c r="E49" s="66">
        <f>GETPIVOTDATA("Sum of Group Manager",WTFTERoleAreaPivot!$A$3,"ReportingLevel","2:LSO","lvl","Argyll and Bute, East Dunbartonshire and West Dunbartonshire")</f>
        <v>4</v>
      </c>
      <c r="F49" s="66">
        <f>GETPIVOTDATA("Sum of Station Manager",WTFTERoleAreaPivot!$A$3,"ReportingLevel","2:LSO","lvl","Argyll and Bute, East Dunbartonshire and West Dunbartonshire")</f>
        <v>9</v>
      </c>
      <c r="G49" s="66">
        <f>GETPIVOTDATA("Sum of Watch Manager",WTFTERoleAreaPivot!$A$3,"ReportingLevel","2:LSO","lvl","Argyll and Bute, East Dunbartonshire and West Dunbartonshire")</f>
        <v>4</v>
      </c>
      <c r="H49" s="66">
        <f>GETPIVOTDATA("Sum of Crew Manager",WTFTERoleAreaPivot!$A$3,"ReportingLevel","2:LSO","lvl","Argyll and Bute, East Dunbartonshire and West Dunbartonshire")</f>
        <v>0</v>
      </c>
      <c r="I49" s="66">
        <f>GETPIVOTDATA("Sum of Firefighter",WTFTERoleAreaPivot!$A$3,"ReportingLevel","2:LSO","lvl","Argyll and Bute, East Dunbartonshire and West Dunbartonshire")</f>
        <v>2</v>
      </c>
      <c r="J49" s="67">
        <f t="shared" si="3"/>
        <v>20</v>
      </c>
    </row>
    <row r="50" spans="1:10" ht="13.5" customHeight="1" x14ac:dyDescent="0.35">
      <c r="A50" s="393" t="s">
        <v>246</v>
      </c>
      <c r="B50" s="667" t="s">
        <v>245</v>
      </c>
      <c r="C50" s="436">
        <f>GETPIVOTDATA("Sum of Brigade Manager",WTFTERoleAreaPivot!$A$3,"ReportingLevel","2:LSO","lvl","Dumfries and Galloway")</f>
        <v>0</v>
      </c>
      <c r="D50" s="66">
        <f>GETPIVOTDATA("Sum of Area Manager",WTFTERoleAreaPivot!$A$3,"ReportingLevel","2:LSO","lvl","Dumfries and Galloway")</f>
        <v>1</v>
      </c>
      <c r="E50" s="66">
        <f>GETPIVOTDATA("Sum of Group Manager",WTFTERoleAreaPivot!$A$3,"ReportingLevel","2:LSO","lvl","Dumfries and Galloway")</f>
        <v>2</v>
      </c>
      <c r="F50" s="66">
        <f>GETPIVOTDATA("Sum of Station Manager",WTFTERoleAreaPivot!$A$3,"ReportingLevel","2:LSO","lvl","Dumfries and Galloway")</f>
        <v>6</v>
      </c>
      <c r="G50" s="66">
        <f>GETPIVOTDATA("Sum of Watch Manager",WTFTERoleAreaPivot!$A$3,"ReportingLevel","2:LSO","lvl","Dumfries and Galloway")</f>
        <v>5</v>
      </c>
      <c r="H50" s="66">
        <f>GETPIVOTDATA("Sum of Crew Manager",WTFTERoleAreaPivot!$A$3,"ReportingLevel","2:LSO","lvl","Dumfries and Galloway")</f>
        <v>0</v>
      </c>
      <c r="I50" s="66">
        <f>GETPIVOTDATA("Sum of Firefighter",WTFTERoleAreaPivot!$A$3,"ReportingLevel","2:LSO","lvl","Dumfries and Galloway")</f>
        <v>1.83</v>
      </c>
      <c r="J50" s="67">
        <f t="shared" si="3"/>
        <v>15.83</v>
      </c>
    </row>
    <row r="51" spans="1:10" ht="13.5" customHeight="1" x14ac:dyDescent="0.35">
      <c r="A51" s="393" t="s">
        <v>226</v>
      </c>
      <c r="B51" s="667" t="s">
        <v>227</v>
      </c>
      <c r="C51" s="436">
        <f>GETPIVOTDATA("Sum of Brigade Manager",WTFTERoleAreaPivot!$A$3,"ReportingLevel","2:LSO","lvl","Dundee, Angus, Perth and Kinross")</f>
        <v>0</v>
      </c>
      <c r="D51" s="66">
        <f>GETPIVOTDATA("Sum of Area Manager",WTFTERoleAreaPivot!$A$3,"ReportingLevel","2:LSO","lvl","Dundee, Angus, Perth and Kinross")</f>
        <v>1</v>
      </c>
      <c r="E51" s="66">
        <f>GETPIVOTDATA("Sum of Group Manager",WTFTERoleAreaPivot!$A$3,"ReportingLevel","2:LSO","lvl","Dundee, Angus, Perth and Kinross")</f>
        <v>4</v>
      </c>
      <c r="F51" s="66">
        <f>GETPIVOTDATA("Sum of Station Manager",WTFTERoleAreaPivot!$A$3,"ReportingLevel","2:LSO","lvl","Dundee, Angus, Perth and Kinross")</f>
        <v>8</v>
      </c>
      <c r="G51" s="66">
        <f>GETPIVOTDATA("Sum of Watch Manager",WTFTERoleAreaPivot!$A$3,"ReportingLevel","2:LSO","lvl","Dundee, Angus, Perth and Kinross")</f>
        <v>7.77</v>
      </c>
      <c r="H51" s="66">
        <f>GETPIVOTDATA("Sum of Crew Manager",WTFTERoleAreaPivot!$A$3,"ReportingLevel","2:LSO","lvl","Dundee, Angus, Perth and Kinross")</f>
        <v>0</v>
      </c>
      <c r="I51" s="66">
        <f>GETPIVOTDATA("Sum of Firefighter",WTFTERoleAreaPivot!$A$3,"ReportingLevel","2:LSO","lvl","Dundee, Angus, Perth and Kinross")</f>
        <v>4</v>
      </c>
      <c r="J51" s="67">
        <f t="shared" si="3"/>
        <v>24.77</v>
      </c>
    </row>
    <row r="52" spans="1:10" ht="13.5" customHeight="1" x14ac:dyDescent="0.35">
      <c r="A52" s="393" t="s">
        <v>251</v>
      </c>
      <c r="B52" s="667" t="s">
        <v>252</v>
      </c>
      <c r="C52" s="436">
        <f>GETPIVOTDATA("Sum of Brigade Manager",WTFTERoleAreaPivot!$A$3,"ReportingLevel","2:LSO","lvl","East Ayrshire, North Ayrshire and South Ayrshire")</f>
        <v>0</v>
      </c>
      <c r="D52" s="66">
        <f>GETPIVOTDATA("Sum of Area Manager",WTFTERoleAreaPivot!$A$3,"ReportingLevel","2:LSO","lvl","East Ayrshire, North Ayrshire and South Ayrshire")</f>
        <v>1</v>
      </c>
      <c r="E52" s="66">
        <f>GETPIVOTDATA("Sum of Group Manager",WTFTERoleAreaPivot!$A$3,"ReportingLevel","2:LSO","lvl","East Ayrshire, North Ayrshire and South Ayrshire")</f>
        <v>3</v>
      </c>
      <c r="F52" s="66">
        <f>GETPIVOTDATA("Sum of Station Manager",WTFTERoleAreaPivot!$A$3,"ReportingLevel","2:LSO","lvl","East Ayrshire, North Ayrshire and South Ayrshire")</f>
        <v>9</v>
      </c>
      <c r="G52" s="66">
        <f>GETPIVOTDATA("Sum of Watch Manager",WTFTERoleAreaPivot!$A$3,"ReportingLevel","2:LSO","lvl","East Ayrshire, North Ayrshire and South Ayrshire")</f>
        <v>5</v>
      </c>
      <c r="H52" s="66">
        <f>GETPIVOTDATA("Sum of Crew Manager",WTFTERoleAreaPivot!$A$3,"ReportingLevel","2:LSO","lvl","East Ayrshire, North Ayrshire and South Ayrshire")</f>
        <v>0</v>
      </c>
      <c r="I52" s="66">
        <f>GETPIVOTDATA("Sum of Firefighter",WTFTERoleAreaPivot!$A$3,"ReportingLevel","2:LSO","lvl","East Ayrshire, North Ayrshire and South Ayrshire")</f>
        <v>0</v>
      </c>
      <c r="J52" s="67">
        <f t="shared" si="3"/>
        <v>18</v>
      </c>
    </row>
    <row r="53" spans="1:10" ht="13.5" customHeight="1" x14ac:dyDescent="0.35">
      <c r="A53" s="393" t="s">
        <v>257</v>
      </c>
      <c r="B53" s="667" t="s">
        <v>258</v>
      </c>
      <c r="C53" s="436">
        <f>GETPIVOTDATA("Sum of Brigade Manager",WTFTERoleAreaPivot!$A$3,"ReportingLevel","2:LSO","lvl","East Lothian, Midlothian and the Scottish Borders")</f>
        <v>0</v>
      </c>
      <c r="D53" s="66">
        <f>GETPIVOTDATA("Sum of Area Manager",WTFTERoleAreaPivot!$A$3,"ReportingLevel","2:LSO","lvl","East Lothian, Midlothian and the Scottish Borders")</f>
        <v>1</v>
      </c>
      <c r="E53" s="66">
        <f>GETPIVOTDATA("Sum of Group Manager",WTFTERoleAreaPivot!$A$3,"ReportingLevel","2:LSO","lvl","East Lothian, Midlothian and the Scottish Borders")</f>
        <v>3</v>
      </c>
      <c r="F53" s="66">
        <f>GETPIVOTDATA("Sum of Station Manager",WTFTERoleAreaPivot!$A$3,"ReportingLevel","2:LSO","lvl","East Lothian, Midlothian and the Scottish Borders")</f>
        <v>6</v>
      </c>
      <c r="G53" s="66">
        <f>GETPIVOTDATA("Sum of Watch Manager",WTFTERoleAreaPivot!$A$3,"ReportingLevel","2:LSO","lvl","East Lothian, Midlothian and the Scottish Borders")</f>
        <v>6</v>
      </c>
      <c r="H53" s="66">
        <f>GETPIVOTDATA("Sum of Crew Manager",WTFTERoleAreaPivot!$A$3,"ReportingLevel","2:LSO","lvl","East Lothian, Midlothian and the Scottish Borders")</f>
        <v>0</v>
      </c>
      <c r="I53" s="66">
        <f>GETPIVOTDATA("Sum of Firefighter",WTFTERoleAreaPivot!$A$3,"ReportingLevel","2:LSO","lvl","East Lothian, Midlothian and the Scottish Borders")</f>
        <v>4</v>
      </c>
      <c r="J53" s="67">
        <f t="shared" si="3"/>
        <v>20</v>
      </c>
    </row>
    <row r="54" spans="1:10" ht="13.5" customHeight="1" x14ac:dyDescent="0.35">
      <c r="A54" s="338" t="s">
        <v>261</v>
      </c>
      <c r="B54" s="667" t="s">
        <v>262</v>
      </c>
      <c r="C54" s="436">
        <f>GETPIVOTDATA("Sum of Brigade Manager",WTFTERoleAreaPivot!$A$3,"ReportingLevel","2:LSO","lvl","East Renfrewshire, Renfrewshire and Inverclyde")</f>
        <v>0</v>
      </c>
      <c r="D54" s="66">
        <f>GETPIVOTDATA("Sum of Area Manager",WTFTERoleAreaPivot!$A$3,"ReportingLevel","2:LSO","lvl","East Renfrewshire, Renfrewshire and Inverclyde")</f>
        <v>1</v>
      </c>
      <c r="E54" s="66">
        <f>GETPIVOTDATA("Sum of Group Manager",WTFTERoleAreaPivot!$A$3,"ReportingLevel","2:LSO","lvl","East Renfrewshire, Renfrewshire and Inverclyde")</f>
        <v>3</v>
      </c>
      <c r="F54" s="66">
        <f>GETPIVOTDATA("Sum of Station Manager",WTFTERoleAreaPivot!$A$3,"ReportingLevel","2:LSO","lvl","East Renfrewshire, Renfrewshire and Inverclyde")</f>
        <v>5</v>
      </c>
      <c r="G54" s="66">
        <f>GETPIVOTDATA("Sum of Watch Manager",WTFTERoleAreaPivot!$A$3,"ReportingLevel","2:LSO","lvl","East Renfrewshire, Renfrewshire and Inverclyde")</f>
        <v>3</v>
      </c>
      <c r="H54" s="66">
        <f>GETPIVOTDATA("Sum of Crew Manager",WTFTERoleAreaPivot!$A$3,"ReportingLevel","2:LSO","lvl","East Renfrewshire, Renfrewshire and Inverclyde")</f>
        <v>2</v>
      </c>
      <c r="I54" s="66">
        <f>GETPIVOTDATA("Sum of Firefighter",WTFTERoleAreaPivot!$A$3,"ReportingLevel","2:LSO","lvl","East Renfrewshire, Renfrewshire and Inverclyde")</f>
        <v>1</v>
      </c>
      <c r="J54" s="67">
        <f t="shared" si="3"/>
        <v>15</v>
      </c>
    </row>
    <row r="55" spans="1:10" ht="13.5" customHeight="1" x14ac:dyDescent="0.35">
      <c r="A55" s="393" t="s">
        <v>236</v>
      </c>
      <c r="B55" s="667" t="s">
        <v>237</v>
      </c>
      <c r="C55" s="436">
        <f>GETPIVOTDATA("Sum of Brigade Manager",WTFTERoleAreaPivot!$A$3,"ReportingLevel","2:LSO","lvl","Edinburgh City")</f>
        <v>0</v>
      </c>
      <c r="D55" s="66">
        <f>GETPIVOTDATA("Sum of Area Manager",WTFTERoleAreaPivot!$A$3,"ReportingLevel","2:LSO","lvl","Edinburgh City")</f>
        <v>1</v>
      </c>
      <c r="E55" s="66">
        <f>GETPIVOTDATA("Sum of Group Manager",WTFTERoleAreaPivot!$A$3,"ReportingLevel","2:LSO","lvl","Edinburgh City")</f>
        <v>3</v>
      </c>
      <c r="F55" s="66">
        <f>GETPIVOTDATA("Sum of Station Manager",WTFTERoleAreaPivot!$A$3,"ReportingLevel","2:LSO","lvl","Edinburgh City")</f>
        <v>6</v>
      </c>
      <c r="G55" s="66">
        <f>GETPIVOTDATA("Sum of Watch Manager",WTFTERoleAreaPivot!$A$3,"ReportingLevel","2:LSO","lvl","Edinburgh City")</f>
        <v>10</v>
      </c>
      <c r="H55" s="66">
        <f>GETPIVOTDATA("Sum of Crew Manager",WTFTERoleAreaPivot!$A$3,"ReportingLevel","2:LSO","lvl","Edinburgh City")</f>
        <v>2</v>
      </c>
      <c r="I55" s="66">
        <f>GETPIVOTDATA("Sum of Firefighter",WTFTERoleAreaPivot!$A$3,"ReportingLevel","2:LSO","lvl","Edinburgh City")</f>
        <v>3</v>
      </c>
      <c r="J55" s="67">
        <f t="shared" si="3"/>
        <v>25</v>
      </c>
    </row>
    <row r="56" spans="1:10" ht="13.5" customHeight="1" x14ac:dyDescent="0.35">
      <c r="A56" s="393" t="s">
        <v>265</v>
      </c>
      <c r="B56" s="667" t="s">
        <v>266</v>
      </c>
      <c r="C56" s="436">
        <f>GETPIVOTDATA("Sum of Brigade Manager",WTFTERoleAreaPivot!$A$3,"ReportingLevel","2:LSO","lvl","Falkirk and West Lothian")</f>
        <v>0</v>
      </c>
      <c r="D56" s="66">
        <f>GETPIVOTDATA("Sum of Area Manager",WTFTERoleAreaPivot!$A$3,"ReportingLevel","2:LSO","lvl","Falkirk and West Lothian")</f>
        <v>1</v>
      </c>
      <c r="E56" s="66">
        <f>GETPIVOTDATA("Sum of Group Manager",WTFTERoleAreaPivot!$A$3,"ReportingLevel","2:LSO","lvl","Falkirk and West Lothian")</f>
        <v>2</v>
      </c>
      <c r="F56" s="66">
        <f>GETPIVOTDATA("Sum of Station Manager",WTFTERoleAreaPivot!$A$3,"ReportingLevel","2:LSO","lvl","Falkirk and West Lothian")</f>
        <v>6</v>
      </c>
      <c r="G56" s="66">
        <f>GETPIVOTDATA("Sum of Watch Manager",WTFTERoleAreaPivot!$A$3,"ReportingLevel","2:LSO","lvl","Falkirk and West Lothian")</f>
        <v>5</v>
      </c>
      <c r="H56" s="66">
        <f>GETPIVOTDATA("Sum of Crew Manager",WTFTERoleAreaPivot!$A$3,"ReportingLevel","2:LSO","lvl","Falkirk and West Lothian")</f>
        <v>1</v>
      </c>
      <c r="I56" s="66">
        <f>GETPIVOTDATA("Sum of Firefighter",WTFTERoleAreaPivot!$A$3,"ReportingLevel","2:LSO","lvl","Falkirk and West Lothian")</f>
        <v>0</v>
      </c>
      <c r="J56" s="67">
        <f t="shared" si="3"/>
        <v>15</v>
      </c>
    </row>
    <row r="57" spans="1:10" ht="13.5" customHeight="1" x14ac:dyDescent="0.35">
      <c r="A57" s="393" t="str">
        <f>IF(OR(A9 = "2018-19", A9 = "2017-18", A9 = "2016-17", A9 = "2015-16", A9 = "2014-15", A9 = "2013-14"),"S39000019","")</f>
        <v/>
      </c>
      <c r="B57" s="312" t="str">
        <f>IF(OR(A9 = "2018-19", A9 = "2017-18", A9 = "2016-17", A9 = "2015-16", A9 = "2014-15", A9 = "2013-14"), "Fife", "")</f>
        <v/>
      </c>
      <c r="C57" s="436" t="str">
        <f>IF(OR(A9 = "2018-19", A9 = "2017-18", A9 = "2016-17", A9 = "2015-16", A9 = "2014-15", A9 = "2013-14"),GETPIVOTDATA("Sum of Brigade Manager",WTFTERoleAreaPivot!$A$3,"ReportingLevel","2:LSO","lvl","Fife"), "")</f>
        <v/>
      </c>
      <c r="D57" s="66" t="str">
        <f>IF(OR(A9 = "2018-19", A9 = "2017-18", A9 = "2016-17", A9 = "2015-16", A9 = "2014-15", A9 = "2013-14"),GETPIVOTDATA("Sum of Area Manager",WTFTERoleAreaPivot!$A$3,"ReportingLevel","2:LSO","lvl","Fife"), "")</f>
        <v/>
      </c>
      <c r="E57" s="66" t="str">
        <f>IF(OR(A9 = "2018-19", A9 = "2017-18", A9 = "2016-17", A9 = "2015-16", A9 = "2014-15", A9 = "2013-14"),GETPIVOTDATA("Sum of Group Manager",WTFTERoleAreaPivot!$A$3,"ReportingLevel","2:LSO","lvl","Fife"), "")</f>
        <v/>
      </c>
      <c r="F57" s="66" t="str">
        <f>IF(OR(A9 = "2018-19", A9 = "2017-18", A9 = "2016-17", A9 = "2015-16", A9 = "2014-15", A9 = "2013-14"),GETPIVOTDATA("Sum of Station Manager",WTFTERoleAreaPivot!$A$3,"ReportingLevel","2:LSO","lvl","Fife"), "")</f>
        <v/>
      </c>
      <c r="G57" s="66" t="str">
        <f>IF(OR(A9 = "2018-19", A9 = "2017-18", A9 = "2016-17", A9 = "2015-16", A9 = "2014-15", A9 = "2013-14"),GETPIVOTDATA("Sum of Watch Manager",WTFTERoleAreaPivot!$A$3,"ReportingLevel","2:LSO","lvl","Fife"), "")</f>
        <v/>
      </c>
      <c r="H57" s="66" t="str">
        <f>IF(OR(A9 = "2018-19", A9 = "2017-18", A9 = "2016-17", A9 = "2015-16", A9 = "2014-15", A9 = "2013-14"),GETPIVOTDATA("Sum of Crew Manager",WTFTERoleAreaPivot!$A$3,"ReportingLevel","2:LSO","lvl","Fife"), "")</f>
        <v/>
      </c>
      <c r="I57" s="66" t="str">
        <f>IF(OR(A9 = "2018-19", A9 = "2017-18", A9 = "2016-17", A9 = "2015-16", A9 = "2014-15", A9 = "2013-14"),GETPIVOTDATA("Sum of Firefighter",WTFTERoleAreaPivot!$A$3,"ReportingLevel","2:LSO","lvl","Fife"), "")</f>
        <v/>
      </c>
      <c r="J57" s="67">
        <f t="shared" si="3"/>
        <v>0</v>
      </c>
    </row>
    <row r="58" spans="1:10" ht="13.5" customHeight="1" x14ac:dyDescent="0.35">
      <c r="A58" s="393" t="str">
        <f>IF(A9="2018-19","S39000012","S39000020")</f>
        <v>S39000020</v>
      </c>
      <c r="B58" s="667" t="s">
        <v>271</v>
      </c>
      <c r="C58" s="436">
        <f>GETPIVOTDATA("Sum of Brigade Manager",WTFTERoleAreaPivot!$A$3,"ReportingLevel","2:LSO","lvl","Glasgow City")</f>
        <v>0</v>
      </c>
      <c r="D58" s="66">
        <f>GETPIVOTDATA("Sum of Area Manager",WTFTERoleAreaPivot!$A$3,"ReportingLevel","2:LSO","lvl","Glasgow City")</f>
        <v>1</v>
      </c>
      <c r="E58" s="66">
        <f>GETPIVOTDATA("Sum of Group Manager",WTFTERoleAreaPivot!$A$3,"ReportingLevel","2:LSO","lvl","Glasgow City")</f>
        <v>4</v>
      </c>
      <c r="F58" s="66">
        <f>GETPIVOTDATA("Sum of Station Manager",WTFTERoleAreaPivot!$A$3,"ReportingLevel","2:LSO","lvl","Glasgow City")</f>
        <v>8</v>
      </c>
      <c r="G58" s="66">
        <f>GETPIVOTDATA("Sum of Watch Manager",WTFTERoleAreaPivot!$A$3,"ReportingLevel","2:LSO","lvl","Glasgow City")</f>
        <v>6</v>
      </c>
      <c r="H58" s="66">
        <f>GETPIVOTDATA("Sum of Crew Manager",WTFTERoleAreaPivot!$A$3,"ReportingLevel","2:LSO","lvl","Glasgow City")</f>
        <v>0</v>
      </c>
      <c r="I58" s="66">
        <f>GETPIVOTDATA("Sum of Firefighter",WTFTERoleAreaPivot!$A$3,"ReportingLevel","2:LSO","lvl","Glasgow City")</f>
        <v>1</v>
      </c>
      <c r="J58" s="67">
        <f t="shared" si="3"/>
        <v>20</v>
      </c>
    </row>
    <row r="59" spans="1:10" ht="13.5" customHeight="1" x14ac:dyDescent="0.35">
      <c r="A59" s="393" t="s">
        <v>275</v>
      </c>
      <c r="B59" s="667" t="s">
        <v>276</v>
      </c>
      <c r="C59" s="436">
        <f>GETPIVOTDATA("Sum of Brigade Manager",WTFTERoleAreaPivot!$A$3,"ReportingLevel","2:LSO","lvl","Highlands")</f>
        <v>0</v>
      </c>
      <c r="D59" s="66">
        <f>GETPIVOTDATA("Sum of Area Manager",WTFTERoleAreaPivot!$A$3,"ReportingLevel","2:LSO","lvl","Highlands")</f>
        <v>1</v>
      </c>
      <c r="E59" s="66">
        <f>GETPIVOTDATA("Sum of Group Manager",WTFTERoleAreaPivot!$A$3,"ReportingLevel","2:LSO","lvl","Highlands")</f>
        <v>4</v>
      </c>
      <c r="F59" s="66">
        <f>GETPIVOTDATA("Sum of Station Manager",WTFTERoleAreaPivot!$A$3,"ReportingLevel","2:LSO","lvl","Highlands")</f>
        <v>14</v>
      </c>
      <c r="G59" s="66">
        <f>GETPIVOTDATA("Sum of Watch Manager",WTFTERoleAreaPivot!$A$3,"ReportingLevel","2:LSO","lvl","Highlands")</f>
        <v>5</v>
      </c>
      <c r="H59" s="66">
        <f>GETPIVOTDATA("Sum of Crew Manager",WTFTERoleAreaPivot!$A$3,"ReportingLevel","2:LSO","lvl","Highlands")</f>
        <v>1</v>
      </c>
      <c r="I59" s="66">
        <f>GETPIVOTDATA("Sum of Firefighter",WTFTERoleAreaPivot!$A$3,"ReportingLevel","2:LSO","lvl","Highlands")</f>
        <v>0</v>
      </c>
      <c r="J59" s="67">
        <f t="shared" si="3"/>
        <v>25</v>
      </c>
    </row>
    <row r="60" spans="1:10" ht="13.5" customHeight="1" x14ac:dyDescent="0.35">
      <c r="A60" s="393" t="str">
        <f>IF(OR(A9="2021-22", A9 = "2022-23", A9 = "2023-24", , A9 = "2024-25"), "S39000021","S39000014")</f>
        <v>S39000021</v>
      </c>
      <c r="B60" s="667" t="str">
        <f>IF(OR(A9="2021-22", A9 = "2022-23", A9 = "2023-24", A9 = "2024-25"), "Lanarkshire", "North Lanarkshire")</f>
        <v>Lanarkshire</v>
      </c>
      <c r="C60" s="436">
        <f>IF(OR(A9="2021-22", A9 = "2022-23", A9 = "2023-24", A9 = "2024-25"), GETPIVOTDATA("Sum of Brigade Manager",WTFTERoleAreaPivot!$A$3,"ReportingLevel","2:LSO","lvl","Lanarkshire"), GETPIVOTDATA("Sum of Brigade Manager",WTFTERoleAreaPivot!$A$3,"ReportingLevel","2:LSO","lvl","North Lanarkshire"))</f>
        <v>0</v>
      </c>
      <c r="D60" s="66">
        <f>IF(OR(A9="2021-22", A9 = "2022-23", A9 = "2023-24", A9 = "2024-25"), GETPIVOTDATA("Sum of Area Manager",WTFTERoleAreaPivot!$A$3,"ReportingLevel","2:LSO","lvl","Lanarkshire"), GETPIVOTDATA("Sum of Area Manager",WTFTERoleAreaPivot!$A$3,"ReportingLevel","2:LSO","lvl","North Lanarkshire"))</f>
        <v>1</v>
      </c>
      <c r="E60" s="66">
        <f>IF(OR(A9="2021-22", A9 = "2022-23", A9 = "2023-24", A9 = "2024-25"), GETPIVOTDATA("Sum of Group Manager",WTFTERoleAreaPivot!$A$3,"ReportingLevel","2:LSO","lvl","Lanarkshire"), GETPIVOTDATA("Sum of Group Manager",WTFTERoleAreaPivot!$A$3,"ReportingLevel","2:LSO","lvl","North Lanarkshire"))</f>
        <v>3</v>
      </c>
      <c r="F60" s="66">
        <f>IF(OR(A9="2021-22", A9 = "2022-23", A9 = "2023-24", A9 = "2024-25"), GETPIVOTDATA("Sum of Station Manager",WTFTERoleAreaPivot!$A$3,"ReportingLevel","2:LSO","lvl","Lanarkshire"), GETPIVOTDATA("Sum of Station Manager",WTFTERoleAreaPivot!$A$3,"ReportingLevel","2:LSO","lvl","North Lanarkshire"))</f>
        <v>9</v>
      </c>
      <c r="G60" s="66">
        <f>IF(OR(A9="2021-22", A9 = "2022-23", A9 = "2023-24", A9 = "2024-25"), GETPIVOTDATA("Sum of Watch Manager",WTFTERoleAreaPivot!$A$3,"ReportingLevel","2:LSO","lvl","Lanarkshire"), GETPIVOTDATA("Sum of Watch Manager",WTFTERoleAreaPivot!$A$3,"ReportingLevel","2:LSO","lvl","North Lanarkshire"))</f>
        <v>7</v>
      </c>
      <c r="H60" s="66">
        <f>IF(OR(A9="2021-22", A9 = "2022-23", A9 = "2023-24", A9 = "2024-25"), GETPIVOTDATA("Sum of Crew Manager",wtroleareapivot!$A$3,"ReportingLevel","2:LSO","lvl","Lanarkshire"), GETPIVOTDATA("Sum of Crew Manager",WTFTERoleAreaPivot!$A$3,"ReportingLevel","2:LSO","lvl","North Lanarkshire"))</f>
        <v>1</v>
      </c>
      <c r="I60" s="66">
        <f>IF(OR(A9="2021-22", A9 = "2022-23", A9 = "2023-24", A9 = "2024-25"), GETPIVOTDATA("Sum of Firefighter",WTFTERoleAreaPivot!$A$3,"ReportingLevel","2:LSO","lvl","Lanarkshire"), GETPIVOTDATA("Sum of Firefighter",WTFTERoleAreaPivot!$A$3,"ReportingLevel","2:LSO","lvl","North Lanarkshire"))</f>
        <v>2</v>
      </c>
      <c r="J60" s="67">
        <f t="shared" si="3"/>
        <v>23</v>
      </c>
    </row>
    <row r="61" spans="1:10" ht="13.5" customHeight="1" x14ac:dyDescent="0.35">
      <c r="A61" s="393" t="s">
        <v>306</v>
      </c>
      <c r="B61" s="667" t="str">
        <f>IF(OR(A9="2021-22", A9 = "2022-23", A9 = "2023-24", A9 = "2024-25"),"","South Lanarkshire")</f>
        <v/>
      </c>
      <c r="C61" s="436" t="str">
        <f>IF(OR(A9="2021-22", A9 = "2022-23", A9 = "2023-24", A9 = "2024-25"), "",GETPIVOTDATA("Sum of Brigade Manager",WTFTERoleAreaPivot!$A$3,"ReportingLevel","2:LSO","lvl","South Lanarkshire"))</f>
        <v/>
      </c>
      <c r="D61" s="66" t="str">
        <f>IF(OR(A9="2021-22", A9 = "2022-23", A9 = "2023-24", A9 = "2024-25"), "",GETPIVOTDATA("Sum of Area Manager",WTFTERoleAreaPivot!$A$3,"ReportingLevel","2:LSO","lvl","South Lanarkshire"))</f>
        <v/>
      </c>
      <c r="E61" s="66" t="str">
        <f>IF(OR(A9="2021-22", A9 = "2022-23", A9 = "2023-24", A9 = "2024-25"), "",GETPIVOTDATA("Sum of Group Manager",WTFTERoleAreaPivot!$A$3,"ReportingLevel","2:LSO","lvl","South Lanarkshire"))</f>
        <v/>
      </c>
      <c r="F61" s="66" t="str">
        <f>IF(OR(A9="2021-22", A9 = "2022-23", A9 = "2023-24", A9 = "2024-25"), "",GETPIVOTDATA("Sum of Station Manager",WTFTERoleAreaPivot!$A$3,"ReportingLevel","2:LSO","lvl","South Lanarkshire"))</f>
        <v/>
      </c>
      <c r="G61" s="66" t="str">
        <f>IF(OR(A9="2021-22", A9 = "2022-23", A9 = "2023-24", A9 = "2024-25"), "",GETPIVOTDATA("Sum of Watch Manager",WTFTERoleAreaPivot!$A$3,"ReportingLevel","2:LSO","lvl","South Lanarkshire"))</f>
        <v/>
      </c>
      <c r="H61" s="66" t="str">
        <f>IF(OR(A9="2021-22", A9 = "2022-23", A9 = "2023-24", A9 = "2024-25"), "",GETPIVOTDATA("Sum of Crew Manager",WTFTERoleAreaPivot!$A$3,"ReportingLevel","2:LSO","lvl","South Lanarkshire"))</f>
        <v/>
      </c>
      <c r="I61" s="66" t="str">
        <f>IF(OR(A9="2021-22", A9 = "2022-23", A9 = "2023-24", A9 = "2024-25"), "",GETPIVOTDATA("Sum of Firefighter",WTFTERoleAreaPivot!$A$3,"ReportingLevel","2:LSO","lvl","South Lanarkshire"))</f>
        <v/>
      </c>
      <c r="J61" s="67">
        <f t="shared" si="3"/>
        <v>0</v>
      </c>
    </row>
    <row r="62" spans="1:10" ht="13.5" customHeight="1" x14ac:dyDescent="0.35">
      <c r="A62" s="393" t="str">
        <f>IF(OR(A9 = "2018-19", A9 = "2017-18", A9 = "2016-17", A9 = "2015-16", A9 = "2014-15", A9 = "2013-14"),"S39000016","S39000022")</f>
        <v>S39000022</v>
      </c>
      <c r="B62" s="583" t="str">
        <f>IF(OR(A9 = "2018-19", A9 = "2017-18", A9 = "2016-17", A9 = "2015-16", A9 = "2014-15", A9 = "2013-14"), "Stirling and Clackmannanshire", "Stirling, Clackmannanshire and Fife")</f>
        <v>Stirling, Clackmannanshire and Fife</v>
      </c>
      <c r="C62" s="436">
        <f>IF(OR(A9 = "2018-19", A9 = "2017-18", A9 = "2016-17", A9 = "2015-16", A9 = "2014-15", A9 = "2013-14"),GETPIVOTDATA("Sum of Brigade Manager",WTFTERoleAreaPivot!$A$3,"ReportingLevel","2:LSO","lvl","Stirling and Clackmannanshire"), GETPIVOTDATA("Sum of Brigade Manager",WTFTERoleAreaPivot!$A$3,"ReportingLevel","2:LSO","lvl","Stirling, Clackmannanshire and Fife"))</f>
        <v>0</v>
      </c>
      <c r="D62" s="66">
        <f>IF(OR(A9 = "2018-19", A9 = "2017-18", A9 = "2016-17", A9 = "2015-16", A9 = "2014-15", A9 = "2013-14"),GETPIVOTDATA("Sum of Area Manager",WTFTERoleAreaPivot!$A$3,"ReportingLevel","2:LSO","lvl","Stirling and Clackmannanshire"), GETPIVOTDATA("Sum of Area Manager",WTFTERoleAreaPivot!$A$3,"ReportingLevel","2:LSO","lvl","Stirling, Clackmannanshire and Fife"))</f>
        <v>1</v>
      </c>
      <c r="E62" s="66">
        <f>IF(OR(A9 = "2018-19", A9 = "2017-18", A9 = "2016-17", A9 = "2015-16", A9 = "2014-15", A9 = "2013-14"),GETPIVOTDATA("Sum of Group Manager",WTFTERoleAreaPivot!$A$3,"ReportingLevel","2:LSO","lvl","Stirling and Clackmannanshire"), GETPIVOTDATA("Sum of Group Manager",WTFTERoleAreaPivot!$A$3,"ReportingLevel","2:LSO","lvl","Stirling, Clackmannanshire and Fife"))</f>
        <v>4</v>
      </c>
      <c r="F62" s="66">
        <f>IF(OR(A9 = "2018-19", A9 = "2017-18", A9 = "2016-17", A9 = "2015-16", A9 = "2014-15", A9 = "2013-14"),GETPIVOTDATA("Sum of Station Manager",WTFTERoleAreaPivot!$A$3,"ReportingLevel","2:LSO","lvl","Stirling and Clackmannanshire"), GETPIVOTDATA("Sum of Station Manager",WTFTERoleAreaPivot!$A$3,"ReportingLevel","2:LSO","lvl","Stirling, Clackmannanshire and Fife"))</f>
        <v>10</v>
      </c>
      <c r="G62" s="66">
        <f>IF(OR(A9 = "2018-19", A9 = "2017-18", A9 = "2016-17", A9 = "2015-16", A9 = "2014-15", A9 = "2013-14"),GETPIVOTDATA("Sum of Watch Manager",WTFTERoleAreaPivot!$A$3,"ReportingLevel","2:LSO","lvl","Stirling and Clackmannanshire"), GETPIVOTDATA("Sum of Watch Manager",WTFTERoleAreaPivot!$A$3,"ReportingLevel","2:LSO","lvl","Stirling, Clackmannanshire and Fife"))</f>
        <v>8</v>
      </c>
      <c r="H62" s="66">
        <f>IF(OR(A9 = "2018-19", A9 = "2017-18", A9 = "2016-17", A9 = "2015-16", A9 = "2014-15", A9 = "2013-14"),GETPIVOTDATA("Sum of Crew Manager",WTFTERoleAreaPivot!$A$3,"ReportingLevel","2:LSO","lvl","Stirling and Clackmannanshire"), GETPIVOTDATA("Sum of Crew Manager",WTFTERoleAreaPivot!$A$3,"ReportingLevel","2:LSO","lvl","Stirling, Clackmannanshire and Fife"))</f>
        <v>1</v>
      </c>
      <c r="I62" s="66">
        <f>IF(OR(A9 = "2018-19", A9 = "2017-18", A9 = "2016-17", A9 = "2015-16", A9 = "2014-15", A9 = "2013-14"),GETPIVOTDATA("Sum of Firefighter",WTFTERoleAreaPivot!$A$3,"ReportingLevel","2:LSO","lvl","Stirling and Clackmannanshire"), GETPIVOTDATA("Sum of Firefighter",WTFTERoleAreaPivot!$A$3,"ReportingLevel","2:LSO","lvl","Stirling, Clackmannanshire and Fife"))</f>
        <v>2</v>
      </c>
      <c r="J62" s="67">
        <f t="shared" si="3"/>
        <v>26</v>
      </c>
    </row>
    <row r="63" spans="1:10" ht="13.5" customHeight="1" x14ac:dyDescent="0.35">
      <c r="A63" s="393" t="s">
        <v>285</v>
      </c>
      <c r="B63" s="667" t="s">
        <v>286</v>
      </c>
      <c r="C63" s="436">
        <f>GETPIVOTDATA("Sum of Brigade Manager",WTFTERoleAreaPivot!$A$3,"ReportingLevel","2:LSO","lvl","Western Isles, Orkney and Shetland Islands")</f>
        <v>0</v>
      </c>
      <c r="D63" s="66">
        <f>GETPIVOTDATA("Sum of Area Manager",WTFTERoleAreaPivot!$A$3,"ReportingLevel","2:LSO","lvl","Western Isles, Orkney and Shetland Islands")</f>
        <v>1</v>
      </c>
      <c r="E63" s="66">
        <f>GETPIVOTDATA("Sum of Group Manager",WTFTERoleAreaPivot!$A$3,"ReportingLevel","2:LSO","lvl","Western Isles, Orkney and Shetland Islands")</f>
        <v>4</v>
      </c>
      <c r="F63" s="66">
        <f>GETPIVOTDATA("Sum of Station Manager",WTFTERoleAreaPivot!$A$3,"ReportingLevel","2:LSO","lvl","Western Isles, Orkney and Shetland Islands")</f>
        <v>6</v>
      </c>
      <c r="G63" s="66">
        <f>GETPIVOTDATA("Sum of Watch Manager",WTFTERoleAreaPivot!$A$3,"ReportingLevel","2:LSO","lvl","Western Isles, Orkney and Shetland Islands")</f>
        <v>0</v>
      </c>
      <c r="H63" s="66">
        <f>GETPIVOTDATA("Sum of Crew Manager",WTFTERoleAreaPivot!$A$3,"ReportingLevel","2:LSO","lvl","Western Isles, Orkney and Shetland Islands")</f>
        <v>0</v>
      </c>
      <c r="I63" s="66">
        <f>GETPIVOTDATA("Sum of Firefighter",WTFTERoleAreaPivot!$A$3,"ReportingLevel","2:LSO","lvl","Western Isles, Orkney and Shetland Islands")</f>
        <v>0</v>
      </c>
      <c r="J63" s="67">
        <f t="shared" si="3"/>
        <v>11</v>
      </c>
    </row>
    <row r="64" spans="1:10" ht="30" customHeight="1" thickBot="1" x14ac:dyDescent="0.4">
      <c r="A64" s="58"/>
      <c r="B64" s="58" t="s">
        <v>554</v>
      </c>
      <c r="C64" s="437">
        <f t="shared" ref="C64" si="4">SUM(C47:C63)</f>
        <v>0</v>
      </c>
      <c r="D64" s="630">
        <f>GETPIVOTDATA("Sum of Area Manager",WTFTERoleAreaPivot!$A$3,"ReportingLevel","2:LSO")</f>
        <v>14</v>
      </c>
      <c r="E64" s="630">
        <f>GETPIVOTDATA("Sum of Group Manager",WTFTERoleAreaPivot!$A$3,"ReportingLevel","2:LSO")</f>
        <v>47</v>
      </c>
      <c r="F64" s="630">
        <f>GETPIVOTDATA("Sum of Station Manager",WTFTERoleAreaPivot!$A$3,"ReportingLevel","2:LSO")</f>
        <v>112</v>
      </c>
      <c r="G64" s="630">
        <f>GETPIVOTDATA("Sum of Watch Manager",WTFTERoleAreaPivot!$A$3,"ReportingLevel","2:LSO")</f>
        <v>76.77</v>
      </c>
      <c r="H64" s="630">
        <f>GETPIVOTDATA("Sum of Crew Manager",WTFTERoleAreaPivot!$A$3,"ReportingLevel","2:LSO")</f>
        <v>8</v>
      </c>
      <c r="I64" s="630">
        <f>GETPIVOTDATA("Sum of Firefighter",WTFTERoleAreaPivot!$A$3,"ReportingLevel","2:LSO")</f>
        <v>20.83</v>
      </c>
      <c r="J64" s="70">
        <f>SUM(J47:J63)</f>
        <v>278.60000000000002</v>
      </c>
    </row>
    <row r="65" spans="1:10" ht="13.5" customHeight="1" x14ac:dyDescent="0.35">
      <c r="A65" s="48"/>
      <c r="B65" s="48"/>
      <c r="C65" s="68"/>
      <c r="D65" s="68"/>
      <c r="E65" s="68"/>
      <c r="F65" s="68"/>
      <c r="G65" s="68"/>
      <c r="H65" s="68"/>
      <c r="I65" s="68"/>
      <c r="J65" s="68"/>
    </row>
    <row r="66" spans="1:10" ht="18.75" customHeight="1" x14ac:dyDescent="0.35">
      <c r="A66" s="78" t="s">
        <v>212</v>
      </c>
      <c r="B66" s="36" t="s">
        <v>213</v>
      </c>
      <c r="C66" s="43"/>
      <c r="D66" s="43"/>
      <c r="E66" s="43"/>
      <c r="F66" s="43"/>
      <c r="G66" s="43"/>
      <c r="H66" s="43"/>
      <c r="I66" s="43"/>
      <c r="J66" s="75"/>
    </row>
    <row r="67" spans="1:10" ht="22.5" customHeight="1" x14ac:dyDescent="0.35">
      <c r="A67" s="50" t="s">
        <v>238</v>
      </c>
      <c r="B67" s="60" t="s">
        <v>239</v>
      </c>
      <c r="C67" s="436">
        <f>GETPIVOTDATA("Sum of Brigade Manager",WTFTERoleAreaPivot!$A$3,"ReportingLevel","3:SDA","lvl","East")</f>
        <v>0</v>
      </c>
      <c r="D67" s="66">
        <f>GETPIVOTDATA("Sum of Area Manager",WTFTERoleAreaPivot!$A$3,"ReportingLevel","3:SDA","lvl","East")</f>
        <v>1</v>
      </c>
      <c r="E67" s="66">
        <f>GETPIVOTDATA("Sum of Group Manager",WTFTERoleAreaPivot!$A$3,"ReportingLevel","3:SDA","lvl","East")</f>
        <v>2</v>
      </c>
      <c r="F67" s="66">
        <f>GETPIVOTDATA("Sum of Station Manager",WTFTERoleAreaPivot!$A$3,"ReportingLevel","3:SDA","lvl","East")</f>
        <v>8</v>
      </c>
      <c r="G67" s="66">
        <f>GETPIVOTDATA("Sum of Watch Manager",WTFTERoleAreaPivot!$A$3,"ReportingLevel","3:SDA","lvl","East")</f>
        <v>28</v>
      </c>
      <c r="H67" s="66">
        <f>GETPIVOTDATA("Sum of Crew Manager",WTFTERoleAreaPivot!$A$3,"ReportingLevel","3:SDA","lvl","East")</f>
        <v>18</v>
      </c>
      <c r="I67" s="66">
        <f>GETPIVOTDATA("Sum of Firefighter",WTFTERoleAreaPivot!$A$3,"ReportingLevel","3:SDA","lvl","East")</f>
        <v>16</v>
      </c>
      <c r="J67" s="67">
        <f>SUM(C67:I67)</f>
        <v>73</v>
      </c>
    </row>
    <row r="68" spans="1:10" ht="13.5" customHeight="1" x14ac:dyDescent="0.35">
      <c r="A68" s="50" t="s">
        <v>218</v>
      </c>
      <c r="B68" s="48" t="s">
        <v>219</v>
      </c>
      <c r="C68" s="436">
        <f>GETPIVOTDATA("Sum of Brigade Manager",WTFTERoleAreaPivot!$A$3,"ReportingLevel","3:SDA","lvl","North")</f>
        <v>0</v>
      </c>
      <c r="D68" s="66">
        <f>GETPIVOTDATA("Sum of Area Manager",WTFTERoleAreaPivot!$A$3,"ReportingLevel","3:SDA","lvl","North")</f>
        <v>2</v>
      </c>
      <c r="E68" s="66">
        <f>GETPIVOTDATA("Sum of Group Manager",WTFTERoleAreaPivot!$A$3,"ReportingLevel","3:SDA","lvl","North")</f>
        <v>3</v>
      </c>
      <c r="F68" s="66">
        <f>GETPIVOTDATA("Sum of Station Manager",WTFTERoleAreaPivot!$A$3,"ReportingLevel","3:SDA","lvl","North")</f>
        <v>9</v>
      </c>
      <c r="G68" s="66">
        <f>GETPIVOTDATA("Sum of Watch Manager",WTFTERoleAreaPivot!$A$3,"ReportingLevel","3:SDA","lvl","North")</f>
        <v>26</v>
      </c>
      <c r="H68" s="66">
        <f>GETPIVOTDATA("Sum of Crew Manager",WTFTERoleAreaPivot!$A$3,"ReportingLevel","3:SDA","lvl","North")</f>
        <v>18</v>
      </c>
      <c r="I68" s="66">
        <f>GETPIVOTDATA("Sum of Firefighter",WTFTERoleAreaPivot!$A$3,"ReportingLevel","3:SDA","lvl","North")</f>
        <v>6</v>
      </c>
      <c r="J68" s="67">
        <f>SUM(C68:I68)</f>
        <v>64</v>
      </c>
    </row>
    <row r="69" spans="1:10" ht="13.5" customHeight="1" x14ac:dyDescent="0.35">
      <c r="A69" s="454" t="s">
        <v>232</v>
      </c>
      <c r="B69" s="48" t="s">
        <v>233</v>
      </c>
      <c r="C69" s="436">
        <f>GETPIVOTDATA("Sum of Brigade Manager",WTFTERoleAreaPivot!$A$3,"ReportingLevel","3:SDA","lvl","West")</f>
        <v>0</v>
      </c>
      <c r="D69" s="66">
        <f>GETPIVOTDATA("Sum of Area Manager",WTFTERoleAreaPivot!$A$3,"ReportingLevel","3:SDA","lvl","West")</f>
        <v>1</v>
      </c>
      <c r="E69" s="66">
        <f>GETPIVOTDATA("Sum of Group Manager",WTFTERoleAreaPivot!$A$3,"ReportingLevel","3:SDA","lvl","West")</f>
        <v>4</v>
      </c>
      <c r="F69" s="66">
        <f>GETPIVOTDATA("Sum of Station Manager",WTFTERoleAreaPivot!$A$3,"ReportingLevel","3:SDA","lvl","West")</f>
        <v>7</v>
      </c>
      <c r="G69" s="66">
        <f>GETPIVOTDATA("Sum of Watch Manager",WTFTERoleAreaPivot!$A$3,"ReportingLevel","3:SDA","lvl","West")</f>
        <v>47</v>
      </c>
      <c r="H69" s="66">
        <f>GETPIVOTDATA("Sum of Crew Manager",WTFTERoleAreaPivot!$A$3,"ReportingLevel","3:SDA","lvl","West")</f>
        <v>26</v>
      </c>
      <c r="I69" s="66">
        <f>GETPIVOTDATA("Sum of Firefighter",WTFTERoleAreaPivot!$A$3,"ReportingLevel","3:SDA","lvl","West")</f>
        <v>47</v>
      </c>
      <c r="J69" s="67">
        <f>SUM(C69:I69)</f>
        <v>132</v>
      </c>
    </row>
    <row r="70" spans="1:10" ht="30" customHeight="1" thickBot="1" x14ac:dyDescent="0.4">
      <c r="A70" s="52"/>
      <c r="B70" s="52" t="s">
        <v>555</v>
      </c>
      <c r="C70" s="456">
        <f t="shared" ref="C70:J70" si="5">SUM(C67:C69)</f>
        <v>0</v>
      </c>
      <c r="D70" s="299">
        <f>SUM(D67:D69)</f>
        <v>4</v>
      </c>
      <c r="E70" s="299">
        <f t="shared" ref="E70:I70" si="6">SUM(E67:E69)</f>
        <v>9</v>
      </c>
      <c r="F70" s="299">
        <f t="shared" si="6"/>
        <v>24</v>
      </c>
      <c r="G70" s="299">
        <f t="shared" si="6"/>
        <v>101</v>
      </c>
      <c r="H70" s="299">
        <f t="shared" si="6"/>
        <v>62</v>
      </c>
      <c r="I70" s="299">
        <f t="shared" si="6"/>
        <v>69</v>
      </c>
      <c r="J70" s="317">
        <f t="shared" si="5"/>
        <v>269</v>
      </c>
    </row>
    <row r="71" spans="1:10" ht="18.75" customHeight="1" x14ac:dyDescent="0.35">
      <c r="A71" s="36" t="s">
        <v>556</v>
      </c>
      <c r="B71" s="48"/>
      <c r="C71" s="15"/>
      <c r="D71" s="15"/>
      <c r="E71" s="15"/>
      <c r="F71" s="15"/>
      <c r="G71" s="15"/>
      <c r="H71" s="15"/>
      <c r="I71" s="15"/>
      <c r="J71" s="15"/>
    </row>
    <row r="72" spans="1:10" ht="18.75" customHeight="1" thickBot="1" x14ac:dyDescent="0.4">
      <c r="A72" s="52" t="s">
        <v>548</v>
      </c>
      <c r="B72" s="76" t="s">
        <v>557</v>
      </c>
      <c r="C72" s="299">
        <f>GETPIVOTDATA("Sum of Brigade Manager",WTFTERoleAreaPivot!$A$3,"ReportingLevel","4:National","lvl","Scotland")</f>
        <v>5</v>
      </c>
      <c r="D72" s="299">
        <f>GETPIVOTDATA("Sum of Area Manager",WTFTERoleAreaPivot!$A$3,"ReportingLevel","4:National","lvl","Scotland")</f>
        <v>12</v>
      </c>
      <c r="E72" s="299">
        <f>GETPIVOTDATA("Sum of Group Manager",WTFTERoleAreaPivot!$A$3,"ReportingLevel","4:National","lvl","Scotland")</f>
        <v>16</v>
      </c>
      <c r="F72" s="299">
        <f>GETPIVOTDATA("Sum of Station Manager",WTFTERoleAreaPivot!$A$3,"ReportingLevel","4:National","lvl","Scotland")</f>
        <v>24</v>
      </c>
      <c r="G72" s="299">
        <f>GETPIVOTDATA("Sum of Watch Manager",WTFTERoleAreaPivot!$A$3,"ReportingLevel","4:National","lvl","Scotland")</f>
        <v>31</v>
      </c>
      <c r="H72" s="299">
        <f>GETPIVOTDATA("Sum of Crew Manager",WTFTERoleAreaPivot!$A$3,"ReportingLevel","4:National","lvl","Scotland")</f>
        <v>1</v>
      </c>
      <c r="I72" s="299">
        <f>GETPIVOTDATA("Sum of Firefighter",WTFTERoleAreaPivot!$A$3,"ReportingLevel","4:National","lvl","Scotland")</f>
        <v>1</v>
      </c>
      <c r="J72" s="70">
        <f>SUM(C72:I72)</f>
        <v>90</v>
      </c>
    </row>
    <row r="73" spans="1:10" x14ac:dyDescent="0.35">
      <c r="C73" s="68"/>
      <c r="D73" s="68"/>
      <c r="E73" s="68"/>
      <c r="F73" s="68"/>
      <c r="G73" s="68"/>
      <c r="H73" s="68"/>
      <c r="I73" s="68"/>
      <c r="J73" s="68"/>
    </row>
    <row r="74" spans="1:10" x14ac:dyDescent="0.35">
      <c r="A74" s="348" t="s">
        <v>329</v>
      </c>
    </row>
    <row r="75" spans="1:10" x14ac:dyDescent="0.35">
      <c r="A75" s="345" t="s">
        <v>558</v>
      </c>
    </row>
    <row r="76" spans="1:10" ht="30" customHeight="1" x14ac:dyDescent="0.35">
      <c r="A76" s="1020" t="s">
        <v>659</v>
      </c>
      <c r="B76" s="1020"/>
      <c r="C76" s="1020"/>
      <c r="D76" s="1020"/>
      <c r="E76" s="1020"/>
      <c r="F76" s="1020"/>
      <c r="G76" s="1020"/>
      <c r="H76" s="1020"/>
      <c r="I76" s="1020"/>
    </row>
    <row r="77" spans="1:10" ht="30" customHeight="1" x14ac:dyDescent="0.35">
      <c r="A77" s="1028" t="s">
        <v>709</v>
      </c>
      <c r="B77" s="1028"/>
      <c r="C77" s="1028"/>
      <c r="D77" s="1028"/>
      <c r="E77" s="1028"/>
      <c r="F77" s="1028"/>
      <c r="G77" s="1028"/>
      <c r="H77" s="1028"/>
      <c r="I77" s="1028"/>
      <c r="J77" s="1028"/>
    </row>
    <row r="78" spans="1:10" x14ac:dyDescent="0.35">
      <c r="A78" s="345" t="s">
        <v>710</v>
      </c>
    </row>
    <row r="79" spans="1:10" x14ac:dyDescent="0.35">
      <c r="A79" s="458" t="s">
        <v>522</v>
      </c>
    </row>
    <row r="80" spans="1:10" x14ac:dyDescent="0.35">
      <c r="A80" s="370" t="s">
        <v>711</v>
      </c>
    </row>
    <row r="82" spans="1:1" x14ac:dyDescent="0.35">
      <c r="A82" s="345"/>
    </row>
    <row r="84" spans="1:1" x14ac:dyDescent="0.35">
      <c r="A84" s="345"/>
    </row>
  </sheetData>
  <sheetProtection algorithmName="SHA-512" hashValue="aADxqubtaR9h89LZgq0+mX7BQyCalIJwA0ODN1o1+Ip1Mgw9DindEnneHhOBGZQizEuR5SIxIbCr0c7+GFn98w==" saltValue="imLmV4F1ti3AB7IRvEiOfg==" spinCount="100000" sheet="1" scenarios="1" formatCells="0" sort="0" autoFilter="0" pivotTables="0"/>
  <mergeCells count="3">
    <mergeCell ref="A1:G1"/>
    <mergeCell ref="A77:J77"/>
    <mergeCell ref="A76:I76"/>
  </mergeCells>
  <hyperlinks>
    <hyperlink ref="A2" location="'Table of Contents'!A1" display="Back to Table of Contents" xr:uid="{00000000-0004-0000-4600-000000000000}"/>
  </hyperlinks>
  <pageMargins left="0.70866141732283472" right="0.70866141732283472" top="0.74803149606299213" bottom="0.74803149606299213" header="0.31496062992125984" footer="0.31496062992125984"/>
  <pageSetup paperSize="9" scale="57" orientation="portrait" r:id="rId1"/>
  <drawing r:id="rId2"/>
  <extLst>
    <ext xmlns:x14="http://schemas.microsoft.com/office/spreadsheetml/2009/9/main" uri="{A8765BA9-456A-4dab-B4F3-ACF838C121DE}">
      <x14:slicerList>
        <x14:slicer r:id="rId3"/>
      </x14:slicerList>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tint="0.39997558519241921"/>
  </sheetPr>
  <dimension ref="A1:D36"/>
  <sheetViews>
    <sheetView zoomScale="90" zoomScaleNormal="90" workbookViewId="0">
      <selection activeCell="B10" sqref="B10"/>
    </sheetView>
  </sheetViews>
  <sheetFormatPr defaultRowHeight="14.5" x14ac:dyDescent="0.35"/>
  <cols>
    <col min="1" max="1" width="25.26953125" bestFit="1" customWidth="1"/>
    <col min="2" max="2" width="20.6328125" bestFit="1" customWidth="1"/>
    <col min="3" max="3" width="19.6328125" bestFit="1" customWidth="1"/>
    <col min="4" max="4" width="16.1796875" bestFit="1" customWidth="1"/>
  </cols>
  <sheetData>
    <row r="1" spans="1:4" x14ac:dyDescent="0.35">
      <c r="A1" s="387" t="s">
        <v>207</v>
      </c>
      <c r="B1" t="s">
        <v>466</v>
      </c>
    </row>
    <row r="3" spans="1:4" x14ac:dyDescent="0.35">
      <c r="A3" s="387" t="s">
        <v>350</v>
      </c>
      <c r="B3" t="s">
        <v>639</v>
      </c>
      <c r="C3" t="s">
        <v>640</v>
      </c>
      <c r="D3" t="s">
        <v>641</v>
      </c>
    </row>
    <row r="4" spans="1:4" x14ac:dyDescent="0.35">
      <c r="A4" s="388" t="s">
        <v>536</v>
      </c>
    </row>
    <row r="5" spans="1:4" x14ac:dyDescent="0.35">
      <c r="A5" s="389" t="s">
        <v>216</v>
      </c>
      <c r="B5">
        <v>0.83</v>
      </c>
      <c r="C5">
        <v>2.0100000000000002</v>
      </c>
      <c r="D5">
        <v>3.4899999999999998</v>
      </c>
    </row>
    <row r="6" spans="1:4" x14ac:dyDescent="0.35">
      <c r="A6" s="389" t="s">
        <v>221</v>
      </c>
      <c r="B6">
        <v>19.200000000000003</v>
      </c>
      <c r="C6">
        <v>52.540000000000013</v>
      </c>
      <c r="D6">
        <v>160.26</v>
      </c>
    </row>
    <row r="7" spans="1:4" x14ac:dyDescent="0.35">
      <c r="A7" s="389" t="s">
        <v>712</v>
      </c>
      <c r="B7">
        <v>211.69999999999973</v>
      </c>
      <c r="C7">
        <v>431.42000000000087</v>
      </c>
      <c r="D7">
        <v>1650.8000000000006</v>
      </c>
    </row>
    <row r="8" spans="1:4" x14ac:dyDescent="0.35">
      <c r="A8" s="389" t="s">
        <v>225</v>
      </c>
      <c r="B8">
        <v>4.68</v>
      </c>
      <c r="C8">
        <v>14.04</v>
      </c>
      <c r="D8">
        <v>59.299999999999983</v>
      </c>
    </row>
    <row r="9" spans="1:4" x14ac:dyDescent="0.35">
      <c r="A9" s="389" t="s">
        <v>229</v>
      </c>
      <c r="B9">
        <v>13.33</v>
      </c>
      <c r="C9">
        <v>22.67</v>
      </c>
      <c r="D9">
        <v>129.28</v>
      </c>
    </row>
    <row r="10" spans="1:4" x14ac:dyDescent="0.35">
      <c r="A10" s="389" t="s">
        <v>235</v>
      </c>
      <c r="B10">
        <v>0.67</v>
      </c>
      <c r="C10">
        <v>1.34</v>
      </c>
      <c r="D10">
        <v>3.6700000000000004</v>
      </c>
    </row>
    <row r="11" spans="1:4" x14ac:dyDescent="0.35">
      <c r="A11" s="389" t="s">
        <v>241</v>
      </c>
      <c r="B11">
        <v>1.34</v>
      </c>
      <c r="C11">
        <v>2.0100000000000002</v>
      </c>
      <c r="D11">
        <v>13.18</v>
      </c>
    </row>
    <row r="12" spans="1:4" x14ac:dyDescent="0.35">
      <c r="A12" s="389" t="s">
        <v>245</v>
      </c>
      <c r="B12">
        <v>15.17</v>
      </c>
      <c r="C12">
        <v>25.35</v>
      </c>
      <c r="D12">
        <v>110.74000000000005</v>
      </c>
    </row>
    <row r="13" spans="1:4" x14ac:dyDescent="0.35">
      <c r="A13" s="389" t="s">
        <v>248</v>
      </c>
      <c r="B13">
        <v>1</v>
      </c>
      <c r="C13">
        <v>1.67</v>
      </c>
      <c r="D13">
        <v>9.68</v>
      </c>
    </row>
    <row r="14" spans="1:4" x14ac:dyDescent="0.35">
      <c r="A14" s="389" t="s">
        <v>250</v>
      </c>
      <c r="B14">
        <v>3.8400000000000003</v>
      </c>
      <c r="C14">
        <v>7.67</v>
      </c>
      <c r="D14">
        <v>42.929999999999978</v>
      </c>
    </row>
    <row r="15" spans="1:4" x14ac:dyDescent="0.35">
      <c r="A15" s="389" t="s">
        <v>256</v>
      </c>
      <c r="B15">
        <v>4</v>
      </c>
      <c r="C15">
        <v>9.16</v>
      </c>
      <c r="D15">
        <v>30.769999999999978</v>
      </c>
    </row>
    <row r="16" spans="1:4" x14ac:dyDescent="0.35">
      <c r="A16" s="389" t="s">
        <v>264</v>
      </c>
      <c r="B16">
        <v>3.51</v>
      </c>
      <c r="C16">
        <v>7.17</v>
      </c>
      <c r="D16">
        <v>32.489999999999995</v>
      </c>
    </row>
    <row r="17" spans="1:4" x14ac:dyDescent="0.35">
      <c r="A17" s="389" t="s">
        <v>268</v>
      </c>
      <c r="B17">
        <v>7.33</v>
      </c>
      <c r="C17">
        <v>15.69</v>
      </c>
      <c r="D17">
        <v>59.97</v>
      </c>
    </row>
    <row r="18" spans="1:4" x14ac:dyDescent="0.35">
      <c r="A18" s="389" t="s">
        <v>274</v>
      </c>
      <c r="B18">
        <v>41.839999999999996</v>
      </c>
      <c r="C18">
        <v>85.289999999999978</v>
      </c>
      <c r="D18">
        <v>268.74000000000063</v>
      </c>
    </row>
    <row r="19" spans="1:4" x14ac:dyDescent="0.35">
      <c r="A19" s="389" t="s">
        <v>278</v>
      </c>
      <c r="B19">
        <v>2.33</v>
      </c>
      <c r="C19">
        <v>5.18</v>
      </c>
      <c r="D19">
        <v>22.159999999999997</v>
      </c>
    </row>
    <row r="20" spans="1:4" x14ac:dyDescent="0.35">
      <c r="A20" s="389" t="s">
        <v>280</v>
      </c>
      <c r="B20">
        <v>0.67</v>
      </c>
      <c r="C20">
        <v>1.34</v>
      </c>
      <c r="D20">
        <v>8.1499999999999986</v>
      </c>
    </row>
    <row r="21" spans="1:4" x14ac:dyDescent="0.35">
      <c r="A21" s="389" t="s">
        <v>282</v>
      </c>
      <c r="B21">
        <v>8.68</v>
      </c>
      <c r="C21">
        <v>23.32</v>
      </c>
      <c r="D21">
        <v>61.95999999999998</v>
      </c>
    </row>
    <row r="22" spans="1:4" x14ac:dyDescent="0.35">
      <c r="A22" s="389" t="s">
        <v>284</v>
      </c>
      <c r="B22">
        <v>12.67</v>
      </c>
      <c r="C22">
        <v>25.659999999999993</v>
      </c>
      <c r="D22">
        <v>81.829999999999927</v>
      </c>
    </row>
    <row r="23" spans="1:4" x14ac:dyDescent="0.35">
      <c r="A23" s="389" t="s">
        <v>288</v>
      </c>
      <c r="B23">
        <v>7.85</v>
      </c>
      <c r="C23">
        <v>9.35</v>
      </c>
      <c r="D23">
        <v>65.429999999999978</v>
      </c>
    </row>
    <row r="24" spans="1:4" x14ac:dyDescent="0.35">
      <c r="A24" s="389" t="s">
        <v>290</v>
      </c>
      <c r="B24">
        <v>2.0100000000000002</v>
      </c>
      <c r="C24">
        <v>4.18</v>
      </c>
      <c r="D24">
        <v>12.67</v>
      </c>
    </row>
    <row r="25" spans="1:4" x14ac:dyDescent="0.35">
      <c r="A25" s="389" t="s">
        <v>293</v>
      </c>
      <c r="B25">
        <v>11.34</v>
      </c>
      <c r="C25">
        <v>20.5</v>
      </c>
      <c r="D25">
        <v>67.809999999999988</v>
      </c>
    </row>
    <row r="26" spans="1:4" x14ac:dyDescent="0.35">
      <c r="A26" s="389" t="s">
        <v>295</v>
      </c>
      <c r="B26">
        <v>6.02</v>
      </c>
      <c r="C26">
        <v>16.04</v>
      </c>
      <c r="D26">
        <v>74.429999999999964</v>
      </c>
    </row>
    <row r="27" spans="1:4" x14ac:dyDescent="0.35">
      <c r="A27" s="389" t="s">
        <v>297</v>
      </c>
      <c r="B27">
        <v>0.83</v>
      </c>
      <c r="C27">
        <v>1.34</v>
      </c>
      <c r="D27">
        <v>8.17</v>
      </c>
    </row>
    <row r="28" spans="1:4" x14ac:dyDescent="0.35">
      <c r="A28" s="389" t="s">
        <v>299</v>
      </c>
      <c r="B28">
        <v>10.51</v>
      </c>
      <c r="C28">
        <v>22.169999999999995</v>
      </c>
      <c r="D28">
        <v>86.229999999999947</v>
      </c>
    </row>
    <row r="29" spans="1:4" x14ac:dyDescent="0.35">
      <c r="A29" s="389" t="s">
        <v>301</v>
      </c>
      <c r="B29">
        <v>12.34</v>
      </c>
      <c r="C29">
        <v>22.979999999999997</v>
      </c>
      <c r="D29">
        <v>76.409999999999954</v>
      </c>
    </row>
    <row r="30" spans="1:4" x14ac:dyDescent="0.35">
      <c r="A30" s="389" t="s">
        <v>303</v>
      </c>
      <c r="B30">
        <v>3.17</v>
      </c>
      <c r="C30">
        <v>5.84</v>
      </c>
      <c r="D30">
        <v>24.609999999999989</v>
      </c>
    </row>
    <row r="31" spans="1:4" x14ac:dyDescent="0.35">
      <c r="A31" s="389" t="s">
        <v>305</v>
      </c>
      <c r="B31">
        <v>5.5200000000000005</v>
      </c>
      <c r="C31">
        <v>8.68</v>
      </c>
      <c r="D31">
        <v>42.619999999999983</v>
      </c>
    </row>
    <row r="32" spans="1:4" x14ac:dyDescent="0.35">
      <c r="A32" s="389" t="s">
        <v>308</v>
      </c>
      <c r="B32">
        <v>5.01</v>
      </c>
      <c r="C32">
        <v>10.7</v>
      </c>
      <c r="D32">
        <v>42.360000000000014</v>
      </c>
    </row>
    <row r="33" spans="1:4" x14ac:dyDescent="0.35">
      <c r="A33" s="389" t="s">
        <v>310</v>
      </c>
      <c r="B33">
        <v>1.5</v>
      </c>
      <c r="C33">
        <v>1.34</v>
      </c>
      <c r="D33">
        <v>15.82</v>
      </c>
    </row>
    <row r="34" spans="1:4" x14ac:dyDescent="0.35">
      <c r="A34" s="389" t="s">
        <v>312</v>
      </c>
      <c r="B34">
        <v>4.51</v>
      </c>
      <c r="C34">
        <v>6.1899999999999995</v>
      </c>
      <c r="D34">
        <v>35.639999999999986</v>
      </c>
    </row>
    <row r="35" spans="1:4" x14ac:dyDescent="0.35">
      <c r="A35" s="388" t="s">
        <v>538</v>
      </c>
      <c r="B35">
        <v>423.39999999999958</v>
      </c>
      <c r="C35">
        <v>862.84000000000083</v>
      </c>
      <c r="D35">
        <v>3301.6000000000004</v>
      </c>
    </row>
    <row r="36" spans="1:4" x14ac:dyDescent="0.35">
      <c r="A36" s="388" t="s">
        <v>357</v>
      </c>
      <c r="B36">
        <v>423.39999999999958</v>
      </c>
      <c r="C36">
        <v>862.84000000000083</v>
      </c>
      <c r="D36">
        <v>3301.6000000000004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tint="0.39997558519241921"/>
  </sheetPr>
  <dimension ref="A1:H374"/>
  <sheetViews>
    <sheetView workbookViewId="0">
      <selection activeCell="D17" sqref="D17"/>
    </sheetView>
  </sheetViews>
  <sheetFormatPr defaultRowHeight="14.5" x14ac:dyDescent="0.35"/>
  <cols>
    <col min="1" max="1" width="7.453125" bestFit="1" customWidth="1"/>
    <col min="2" max="2" width="16.1796875" bestFit="1" customWidth="1"/>
    <col min="3" max="3" width="9.7265625" bestFit="1" customWidth="1"/>
    <col min="4" max="4" width="20.81640625" bestFit="1" customWidth="1"/>
    <col min="5" max="5" width="11.81640625" bestFit="1" customWidth="1"/>
    <col min="6" max="6" width="16.7265625" bestFit="1" customWidth="1"/>
    <col min="7" max="7" width="15.6328125" bestFit="1" customWidth="1"/>
    <col min="8" max="8" width="12.26953125" bestFit="1" customWidth="1"/>
  </cols>
  <sheetData>
    <row r="1" spans="1:8" x14ac:dyDescent="0.35">
      <c r="A1" t="s">
        <v>207</v>
      </c>
      <c r="B1" t="s">
        <v>546</v>
      </c>
      <c r="C1" t="s">
        <v>23</v>
      </c>
      <c r="D1" t="s">
        <v>547</v>
      </c>
      <c r="E1" t="s">
        <v>340</v>
      </c>
      <c r="F1" t="s">
        <v>630</v>
      </c>
      <c r="G1" t="s">
        <v>631</v>
      </c>
      <c r="H1" t="s">
        <v>632</v>
      </c>
    </row>
    <row r="3" spans="1:8" x14ac:dyDescent="0.35">
      <c r="A3" t="s">
        <v>364</v>
      </c>
      <c r="B3" t="s">
        <v>536</v>
      </c>
      <c r="C3" t="s">
        <v>587</v>
      </c>
      <c r="D3" t="s">
        <v>712</v>
      </c>
      <c r="E3">
        <v>2665.13</v>
      </c>
      <c r="F3">
        <v>262.12</v>
      </c>
      <c r="G3">
        <v>489.46</v>
      </c>
      <c r="H3">
        <v>1913.55</v>
      </c>
    </row>
    <row r="4" spans="1:8" x14ac:dyDescent="0.35">
      <c r="A4" t="s">
        <v>364</v>
      </c>
      <c r="B4" t="s">
        <v>536</v>
      </c>
      <c r="C4" t="s">
        <v>240</v>
      </c>
      <c r="D4" t="s">
        <v>241</v>
      </c>
      <c r="E4">
        <v>16.71</v>
      </c>
      <c r="F4">
        <v>1.52</v>
      </c>
      <c r="G4">
        <v>3.29</v>
      </c>
      <c r="H4">
        <v>11.9</v>
      </c>
    </row>
    <row r="5" spans="1:8" x14ac:dyDescent="0.35">
      <c r="A5" t="s">
        <v>364</v>
      </c>
      <c r="B5" t="s">
        <v>536</v>
      </c>
      <c r="C5" t="s">
        <v>244</v>
      </c>
      <c r="D5" t="s">
        <v>245</v>
      </c>
      <c r="E5">
        <v>177.25</v>
      </c>
      <c r="F5">
        <v>15.25</v>
      </c>
      <c r="G5">
        <v>31.25</v>
      </c>
      <c r="H5">
        <v>130.75</v>
      </c>
    </row>
    <row r="6" spans="1:8" x14ac:dyDescent="0.35">
      <c r="A6" t="s">
        <v>364</v>
      </c>
      <c r="B6" t="s">
        <v>536</v>
      </c>
      <c r="C6" t="s">
        <v>249</v>
      </c>
      <c r="D6" t="s">
        <v>250</v>
      </c>
      <c r="E6">
        <v>66.86</v>
      </c>
      <c r="F6">
        <v>8.25</v>
      </c>
      <c r="G6">
        <v>8.5</v>
      </c>
      <c r="H6">
        <v>50.11</v>
      </c>
    </row>
    <row r="7" spans="1:8" x14ac:dyDescent="0.35">
      <c r="A7" t="s">
        <v>364</v>
      </c>
      <c r="B7" t="s">
        <v>536</v>
      </c>
      <c r="C7" t="s">
        <v>255</v>
      </c>
      <c r="D7" t="s">
        <v>256</v>
      </c>
      <c r="E7">
        <v>46.75</v>
      </c>
      <c r="F7">
        <v>5</v>
      </c>
      <c r="G7">
        <v>8.75</v>
      </c>
      <c r="H7">
        <v>33</v>
      </c>
    </row>
    <row r="8" spans="1:8" x14ac:dyDescent="0.35">
      <c r="A8" t="s">
        <v>364</v>
      </c>
      <c r="B8" t="s">
        <v>536</v>
      </c>
      <c r="C8" t="s">
        <v>259</v>
      </c>
      <c r="D8" t="s">
        <v>260</v>
      </c>
    </row>
    <row r="9" spans="1:8" x14ac:dyDescent="0.35">
      <c r="A9" t="s">
        <v>364</v>
      </c>
      <c r="B9" t="s">
        <v>536</v>
      </c>
      <c r="C9" t="s">
        <v>283</v>
      </c>
      <c r="D9" t="s">
        <v>284</v>
      </c>
      <c r="E9">
        <v>124</v>
      </c>
      <c r="F9">
        <v>12.5</v>
      </c>
      <c r="G9">
        <v>24</v>
      </c>
      <c r="H9">
        <v>87.5</v>
      </c>
    </row>
    <row r="10" spans="1:8" x14ac:dyDescent="0.35">
      <c r="A10" t="s">
        <v>364</v>
      </c>
      <c r="B10" t="s">
        <v>536</v>
      </c>
      <c r="C10" t="s">
        <v>263</v>
      </c>
      <c r="D10" t="s">
        <v>264</v>
      </c>
      <c r="E10">
        <v>49.69</v>
      </c>
      <c r="F10">
        <v>3.81</v>
      </c>
      <c r="G10">
        <v>7.6</v>
      </c>
      <c r="H10">
        <v>38.28</v>
      </c>
    </row>
    <row r="11" spans="1:8" x14ac:dyDescent="0.35">
      <c r="A11" t="s">
        <v>364</v>
      </c>
      <c r="B11" t="s">
        <v>536</v>
      </c>
      <c r="C11" t="s">
        <v>273</v>
      </c>
      <c r="D11" t="s">
        <v>274</v>
      </c>
      <c r="E11">
        <v>525.5</v>
      </c>
      <c r="F11">
        <v>52.25</v>
      </c>
      <c r="G11">
        <v>108.25</v>
      </c>
      <c r="H11">
        <v>365</v>
      </c>
    </row>
    <row r="12" spans="1:8" x14ac:dyDescent="0.35">
      <c r="A12" t="s">
        <v>364</v>
      </c>
      <c r="B12" t="s">
        <v>536</v>
      </c>
      <c r="C12" t="s">
        <v>277</v>
      </c>
      <c r="D12" t="s">
        <v>278</v>
      </c>
      <c r="E12">
        <v>35.5</v>
      </c>
      <c r="F12">
        <v>3</v>
      </c>
      <c r="G12">
        <v>3.75</v>
      </c>
      <c r="H12">
        <v>28.75</v>
      </c>
    </row>
    <row r="13" spans="1:8" x14ac:dyDescent="0.35">
      <c r="A13" t="s">
        <v>364</v>
      </c>
      <c r="B13" t="s">
        <v>536</v>
      </c>
      <c r="C13" t="s">
        <v>279</v>
      </c>
      <c r="D13" t="s">
        <v>280</v>
      </c>
      <c r="E13">
        <v>8.75</v>
      </c>
      <c r="F13">
        <v>1</v>
      </c>
      <c r="G13">
        <v>1.75</v>
      </c>
      <c r="H13">
        <v>6</v>
      </c>
    </row>
    <row r="14" spans="1:8" x14ac:dyDescent="0.35">
      <c r="A14" t="s">
        <v>364</v>
      </c>
      <c r="B14" t="s">
        <v>536</v>
      </c>
      <c r="C14" t="s">
        <v>281</v>
      </c>
      <c r="D14" t="s">
        <v>282</v>
      </c>
      <c r="E14">
        <v>95.38</v>
      </c>
      <c r="F14">
        <v>8</v>
      </c>
      <c r="G14">
        <v>19.5</v>
      </c>
      <c r="H14">
        <v>67.88</v>
      </c>
    </row>
    <row r="15" spans="1:8" x14ac:dyDescent="0.35">
      <c r="A15" t="s">
        <v>364</v>
      </c>
      <c r="B15" t="s">
        <v>536</v>
      </c>
      <c r="C15" t="s">
        <v>287</v>
      </c>
      <c r="D15" t="s">
        <v>288</v>
      </c>
      <c r="E15">
        <v>86.25</v>
      </c>
      <c r="F15">
        <v>8.5</v>
      </c>
      <c r="G15">
        <v>14</v>
      </c>
      <c r="H15">
        <v>63.75</v>
      </c>
    </row>
    <row r="16" spans="1:8" x14ac:dyDescent="0.35">
      <c r="A16" t="s">
        <v>364</v>
      </c>
      <c r="B16" t="s">
        <v>536</v>
      </c>
      <c r="C16" t="s">
        <v>292</v>
      </c>
      <c r="D16" t="s">
        <v>293</v>
      </c>
      <c r="E16">
        <v>111</v>
      </c>
      <c r="F16">
        <v>12</v>
      </c>
      <c r="G16">
        <v>21.25</v>
      </c>
      <c r="H16">
        <v>77.75</v>
      </c>
    </row>
    <row r="17" spans="1:8" x14ac:dyDescent="0.35">
      <c r="A17" t="s">
        <v>364</v>
      </c>
      <c r="B17" t="s">
        <v>536</v>
      </c>
      <c r="C17" t="s">
        <v>294</v>
      </c>
      <c r="D17" t="s">
        <v>295</v>
      </c>
      <c r="E17">
        <v>128</v>
      </c>
      <c r="F17">
        <v>9.5</v>
      </c>
      <c r="G17">
        <v>24</v>
      </c>
      <c r="H17">
        <v>94.5</v>
      </c>
    </row>
    <row r="18" spans="1:8" x14ac:dyDescent="0.35">
      <c r="A18" t="s">
        <v>364</v>
      </c>
      <c r="B18" t="s">
        <v>536</v>
      </c>
      <c r="C18" t="s">
        <v>298</v>
      </c>
      <c r="D18" t="s">
        <v>299</v>
      </c>
      <c r="E18">
        <v>119.5</v>
      </c>
      <c r="F18">
        <v>12.5</v>
      </c>
      <c r="G18">
        <v>22</v>
      </c>
      <c r="H18">
        <v>85</v>
      </c>
    </row>
    <row r="19" spans="1:8" x14ac:dyDescent="0.35">
      <c r="A19" t="s">
        <v>364</v>
      </c>
      <c r="B19" t="s">
        <v>536</v>
      </c>
      <c r="C19" t="s">
        <v>300</v>
      </c>
      <c r="D19" t="s">
        <v>301</v>
      </c>
      <c r="E19">
        <v>126</v>
      </c>
      <c r="F19">
        <v>12.25</v>
      </c>
      <c r="G19">
        <v>28.25</v>
      </c>
      <c r="H19">
        <v>85.5</v>
      </c>
    </row>
    <row r="20" spans="1:8" x14ac:dyDescent="0.35">
      <c r="A20" t="s">
        <v>364</v>
      </c>
      <c r="B20" t="s">
        <v>536</v>
      </c>
      <c r="C20" t="s">
        <v>302</v>
      </c>
      <c r="D20" t="s">
        <v>303</v>
      </c>
      <c r="E20">
        <v>49.25</v>
      </c>
      <c r="F20">
        <v>5</v>
      </c>
      <c r="G20">
        <v>8.25</v>
      </c>
      <c r="H20">
        <v>36</v>
      </c>
    </row>
    <row r="21" spans="1:8" x14ac:dyDescent="0.35">
      <c r="A21" t="s">
        <v>364</v>
      </c>
      <c r="B21" t="s">
        <v>536</v>
      </c>
      <c r="C21" t="s">
        <v>304</v>
      </c>
      <c r="D21" t="s">
        <v>305</v>
      </c>
      <c r="E21">
        <v>79.25</v>
      </c>
      <c r="F21">
        <v>8.75</v>
      </c>
      <c r="G21">
        <v>8</v>
      </c>
      <c r="H21">
        <v>62.5</v>
      </c>
    </row>
    <row r="22" spans="1:8" x14ac:dyDescent="0.35">
      <c r="A22" t="s">
        <v>364</v>
      </c>
      <c r="B22" t="s">
        <v>536</v>
      </c>
      <c r="C22" t="s">
        <v>307</v>
      </c>
      <c r="D22" t="s">
        <v>308</v>
      </c>
      <c r="E22">
        <v>58.03</v>
      </c>
      <c r="F22">
        <v>7.33</v>
      </c>
      <c r="G22">
        <v>11.9</v>
      </c>
      <c r="H22">
        <v>38.799999999999997</v>
      </c>
    </row>
    <row r="23" spans="1:8" x14ac:dyDescent="0.35">
      <c r="A23" t="s">
        <v>364</v>
      </c>
      <c r="B23" t="s">
        <v>536</v>
      </c>
      <c r="C23" t="s">
        <v>215</v>
      </c>
      <c r="D23" t="s">
        <v>216</v>
      </c>
      <c r="E23">
        <v>6.5</v>
      </c>
      <c r="F23">
        <v>1</v>
      </c>
      <c r="G23">
        <v>1.75</v>
      </c>
      <c r="H23">
        <v>3.75</v>
      </c>
    </row>
    <row r="24" spans="1:8" x14ac:dyDescent="0.35">
      <c r="A24" t="s">
        <v>364</v>
      </c>
      <c r="B24" t="s">
        <v>536</v>
      </c>
      <c r="C24" t="s">
        <v>220</v>
      </c>
      <c r="D24" t="s">
        <v>221</v>
      </c>
      <c r="E24">
        <v>269.71000000000004</v>
      </c>
      <c r="F24">
        <v>27.46</v>
      </c>
      <c r="G24">
        <v>57.67</v>
      </c>
      <c r="H24">
        <v>184.58</v>
      </c>
    </row>
    <row r="25" spans="1:8" x14ac:dyDescent="0.35">
      <c r="A25" t="s">
        <v>364</v>
      </c>
      <c r="B25" t="s">
        <v>536</v>
      </c>
      <c r="C25" t="s">
        <v>228</v>
      </c>
      <c r="D25" t="s">
        <v>229</v>
      </c>
      <c r="E25">
        <v>178.25</v>
      </c>
      <c r="F25">
        <v>16.75</v>
      </c>
      <c r="G25">
        <v>22.75</v>
      </c>
      <c r="H25">
        <v>138.75</v>
      </c>
    </row>
    <row r="26" spans="1:8" x14ac:dyDescent="0.35">
      <c r="A26" t="s">
        <v>364</v>
      </c>
      <c r="B26" t="s">
        <v>536</v>
      </c>
      <c r="C26" t="s">
        <v>234</v>
      </c>
      <c r="D26" t="s">
        <v>235</v>
      </c>
      <c r="E26">
        <v>9.75</v>
      </c>
      <c r="F26">
        <v>0.75</v>
      </c>
      <c r="G26">
        <v>1.75</v>
      </c>
      <c r="H26">
        <v>7.25</v>
      </c>
    </row>
    <row r="27" spans="1:8" x14ac:dyDescent="0.35">
      <c r="A27" t="s">
        <v>364</v>
      </c>
      <c r="B27" t="s">
        <v>536</v>
      </c>
      <c r="C27" t="s">
        <v>296</v>
      </c>
      <c r="D27" t="s">
        <v>297</v>
      </c>
      <c r="E27">
        <v>11.75</v>
      </c>
      <c r="F27">
        <v>1</v>
      </c>
      <c r="G27">
        <v>2</v>
      </c>
      <c r="H27">
        <v>8.75</v>
      </c>
    </row>
    <row r="28" spans="1:8" x14ac:dyDescent="0.35">
      <c r="A28" t="s">
        <v>364</v>
      </c>
      <c r="B28" t="s">
        <v>536</v>
      </c>
      <c r="C28" t="s">
        <v>309</v>
      </c>
      <c r="D28" t="s">
        <v>310</v>
      </c>
      <c r="E28">
        <v>15.75</v>
      </c>
      <c r="F28">
        <v>1.75</v>
      </c>
      <c r="G28">
        <v>1</v>
      </c>
      <c r="H28">
        <v>13</v>
      </c>
    </row>
    <row r="29" spans="1:8" x14ac:dyDescent="0.35">
      <c r="A29" t="s">
        <v>364</v>
      </c>
      <c r="B29" t="s">
        <v>536</v>
      </c>
      <c r="C29" t="s">
        <v>311</v>
      </c>
      <c r="D29" t="s">
        <v>312</v>
      </c>
      <c r="E29">
        <v>49.75</v>
      </c>
      <c r="F29">
        <v>5.75</v>
      </c>
      <c r="G29">
        <v>9.5</v>
      </c>
      <c r="H29">
        <v>34.5</v>
      </c>
    </row>
    <row r="30" spans="1:8" x14ac:dyDescent="0.35">
      <c r="A30" t="s">
        <v>364</v>
      </c>
      <c r="B30" t="s">
        <v>536</v>
      </c>
      <c r="C30" t="s">
        <v>224</v>
      </c>
      <c r="D30" t="s">
        <v>225</v>
      </c>
      <c r="E30">
        <v>86.75</v>
      </c>
      <c r="F30">
        <v>7</v>
      </c>
      <c r="G30">
        <v>17</v>
      </c>
      <c r="H30">
        <v>62.75</v>
      </c>
    </row>
    <row r="31" spans="1:8" x14ac:dyDescent="0.35">
      <c r="A31" t="s">
        <v>364</v>
      </c>
      <c r="B31" t="s">
        <v>536</v>
      </c>
      <c r="C31" t="s">
        <v>247</v>
      </c>
      <c r="D31" t="s">
        <v>248</v>
      </c>
      <c r="E31">
        <v>12.25</v>
      </c>
      <c r="F31">
        <v>0.75</v>
      </c>
      <c r="G31">
        <v>2.75</v>
      </c>
      <c r="H31">
        <v>8.75</v>
      </c>
    </row>
    <row r="32" spans="1:8" x14ac:dyDescent="0.35">
      <c r="A32" t="s">
        <v>364</v>
      </c>
      <c r="B32" t="s">
        <v>536</v>
      </c>
      <c r="C32" t="s">
        <v>289</v>
      </c>
      <c r="D32" t="s">
        <v>290</v>
      </c>
      <c r="E32">
        <v>27</v>
      </c>
      <c r="F32">
        <v>2.75</v>
      </c>
      <c r="G32">
        <v>3</v>
      </c>
      <c r="H32">
        <v>21.25</v>
      </c>
    </row>
    <row r="33" spans="1:8" x14ac:dyDescent="0.35">
      <c r="A33" t="s">
        <v>364</v>
      </c>
      <c r="B33" t="s">
        <v>536</v>
      </c>
      <c r="C33" t="s">
        <v>253</v>
      </c>
      <c r="D33" t="s">
        <v>254</v>
      </c>
    </row>
    <row r="34" spans="1:8" x14ac:dyDescent="0.35">
      <c r="A34" t="s">
        <v>364</v>
      </c>
      <c r="B34" t="s">
        <v>536</v>
      </c>
      <c r="C34" t="s">
        <v>270</v>
      </c>
      <c r="D34" t="s">
        <v>271</v>
      </c>
      <c r="G34">
        <v>1</v>
      </c>
      <c r="H34">
        <v>1</v>
      </c>
    </row>
    <row r="35" spans="1:8" x14ac:dyDescent="0.35">
      <c r="A35" t="s">
        <v>364</v>
      </c>
      <c r="B35" t="s">
        <v>536</v>
      </c>
      <c r="C35" t="s">
        <v>267</v>
      </c>
      <c r="D35" t="s">
        <v>268</v>
      </c>
      <c r="E35">
        <v>92</v>
      </c>
      <c r="F35">
        <v>10.75</v>
      </c>
      <c r="G35">
        <v>15</v>
      </c>
      <c r="H35">
        <v>66.25</v>
      </c>
    </row>
    <row r="36" spans="1:8" x14ac:dyDescent="0.35">
      <c r="A36" t="s">
        <v>365</v>
      </c>
      <c r="B36" t="s">
        <v>536</v>
      </c>
      <c r="C36" t="s">
        <v>587</v>
      </c>
      <c r="D36" t="s">
        <v>712</v>
      </c>
      <c r="E36">
        <v>2668.5</v>
      </c>
      <c r="F36">
        <v>263.75</v>
      </c>
      <c r="G36">
        <v>498</v>
      </c>
      <c r="H36">
        <v>1906.75</v>
      </c>
    </row>
    <row r="37" spans="1:8" x14ac:dyDescent="0.35">
      <c r="A37" t="s">
        <v>365</v>
      </c>
      <c r="B37" t="s">
        <v>536</v>
      </c>
      <c r="C37" t="s">
        <v>240</v>
      </c>
      <c r="D37" t="s">
        <v>241</v>
      </c>
      <c r="E37">
        <v>18.25</v>
      </c>
      <c r="F37">
        <v>1.5</v>
      </c>
      <c r="G37">
        <v>4</v>
      </c>
      <c r="H37">
        <v>12.75</v>
      </c>
    </row>
    <row r="38" spans="1:8" x14ac:dyDescent="0.35">
      <c r="A38" t="s">
        <v>365</v>
      </c>
      <c r="B38" t="s">
        <v>536</v>
      </c>
      <c r="C38" t="s">
        <v>244</v>
      </c>
      <c r="D38" t="s">
        <v>245</v>
      </c>
      <c r="E38">
        <v>185</v>
      </c>
      <c r="F38">
        <v>15.25</v>
      </c>
      <c r="G38">
        <v>32.75</v>
      </c>
      <c r="H38">
        <v>137</v>
      </c>
    </row>
    <row r="39" spans="1:8" x14ac:dyDescent="0.35">
      <c r="A39" t="s">
        <v>365</v>
      </c>
      <c r="B39" t="s">
        <v>536</v>
      </c>
      <c r="C39" t="s">
        <v>249</v>
      </c>
      <c r="D39" t="s">
        <v>250</v>
      </c>
      <c r="E39">
        <v>71.25</v>
      </c>
      <c r="F39">
        <v>7.5</v>
      </c>
      <c r="G39">
        <v>7.25</v>
      </c>
      <c r="H39">
        <v>56.5</v>
      </c>
    </row>
    <row r="40" spans="1:8" x14ac:dyDescent="0.35">
      <c r="A40" t="s">
        <v>365</v>
      </c>
      <c r="B40" t="s">
        <v>536</v>
      </c>
      <c r="C40" t="s">
        <v>255</v>
      </c>
      <c r="D40" t="s">
        <v>256</v>
      </c>
      <c r="E40">
        <v>52.75</v>
      </c>
      <c r="F40">
        <v>5</v>
      </c>
      <c r="G40">
        <v>11.5</v>
      </c>
      <c r="H40">
        <v>36.25</v>
      </c>
    </row>
    <row r="41" spans="1:8" x14ac:dyDescent="0.35">
      <c r="A41" t="s">
        <v>365</v>
      </c>
      <c r="B41" t="s">
        <v>536</v>
      </c>
      <c r="C41" t="s">
        <v>259</v>
      </c>
      <c r="D41" t="s">
        <v>260</v>
      </c>
      <c r="E41">
        <v>0</v>
      </c>
      <c r="F41">
        <v>0</v>
      </c>
      <c r="G41">
        <v>0</v>
      </c>
      <c r="H41">
        <v>0</v>
      </c>
    </row>
    <row r="42" spans="1:8" x14ac:dyDescent="0.35">
      <c r="A42" t="s">
        <v>365</v>
      </c>
      <c r="B42" t="s">
        <v>536</v>
      </c>
      <c r="C42" t="s">
        <v>283</v>
      </c>
      <c r="D42" t="s">
        <v>284</v>
      </c>
      <c r="E42">
        <v>140.25</v>
      </c>
      <c r="F42">
        <v>15.5</v>
      </c>
      <c r="G42">
        <v>26.5</v>
      </c>
      <c r="H42">
        <v>98.25</v>
      </c>
    </row>
    <row r="43" spans="1:8" x14ac:dyDescent="0.35">
      <c r="A43" t="s">
        <v>365</v>
      </c>
      <c r="B43" t="s">
        <v>536</v>
      </c>
      <c r="C43" t="s">
        <v>263</v>
      </c>
      <c r="D43" t="s">
        <v>264</v>
      </c>
      <c r="E43">
        <v>51.75</v>
      </c>
      <c r="F43">
        <v>4.5</v>
      </c>
      <c r="G43">
        <v>6.75</v>
      </c>
      <c r="H43">
        <v>40.5</v>
      </c>
    </row>
    <row r="44" spans="1:8" x14ac:dyDescent="0.35">
      <c r="A44" t="s">
        <v>365</v>
      </c>
      <c r="B44" t="s">
        <v>536</v>
      </c>
      <c r="C44" t="s">
        <v>273</v>
      </c>
      <c r="D44" t="s">
        <v>274</v>
      </c>
      <c r="E44">
        <v>512.75</v>
      </c>
      <c r="F44">
        <v>52.25</v>
      </c>
      <c r="G44">
        <v>100.25</v>
      </c>
      <c r="H44">
        <v>360.25</v>
      </c>
    </row>
    <row r="45" spans="1:8" x14ac:dyDescent="0.35">
      <c r="A45" t="s">
        <v>365</v>
      </c>
      <c r="B45" t="s">
        <v>536</v>
      </c>
      <c r="C45" t="s">
        <v>277</v>
      </c>
      <c r="D45" t="s">
        <v>278</v>
      </c>
      <c r="E45">
        <v>33.5</v>
      </c>
      <c r="F45">
        <v>3</v>
      </c>
      <c r="G45">
        <v>3.75</v>
      </c>
      <c r="H45">
        <v>26.75</v>
      </c>
    </row>
    <row r="46" spans="1:8" x14ac:dyDescent="0.35">
      <c r="A46" t="s">
        <v>365</v>
      </c>
      <c r="B46" t="s">
        <v>536</v>
      </c>
      <c r="C46" t="s">
        <v>279</v>
      </c>
      <c r="D46" t="s">
        <v>280</v>
      </c>
      <c r="E46">
        <v>11.75</v>
      </c>
      <c r="F46">
        <v>1</v>
      </c>
      <c r="G46">
        <v>1.75</v>
      </c>
      <c r="H46">
        <v>9</v>
      </c>
    </row>
    <row r="47" spans="1:8" x14ac:dyDescent="0.35">
      <c r="A47" t="s">
        <v>365</v>
      </c>
      <c r="B47" t="s">
        <v>536</v>
      </c>
      <c r="C47" t="s">
        <v>281</v>
      </c>
      <c r="D47" t="s">
        <v>282</v>
      </c>
      <c r="E47">
        <v>111.75</v>
      </c>
      <c r="F47">
        <v>10</v>
      </c>
      <c r="G47">
        <v>23</v>
      </c>
      <c r="H47">
        <v>78.75</v>
      </c>
    </row>
    <row r="48" spans="1:8" x14ac:dyDescent="0.35">
      <c r="A48" t="s">
        <v>365</v>
      </c>
      <c r="B48" t="s">
        <v>536</v>
      </c>
      <c r="C48" t="s">
        <v>287</v>
      </c>
      <c r="D48" t="s">
        <v>288</v>
      </c>
      <c r="E48">
        <v>82.5</v>
      </c>
      <c r="F48">
        <v>8.5</v>
      </c>
      <c r="G48">
        <v>15.5</v>
      </c>
      <c r="H48">
        <v>58.5</v>
      </c>
    </row>
    <row r="49" spans="1:8" x14ac:dyDescent="0.35">
      <c r="A49" t="s">
        <v>365</v>
      </c>
      <c r="B49" t="s">
        <v>536</v>
      </c>
      <c r="C49" t="s">
        <v>292</v>
      </c>
      <c r="D49" t="s">
        <v>293</v>
      </c>
      <c r="E49">
        <v>107.25</v>
      </c>
      <c r="F49">
        <v>12</v>
      </c>
      <c r="G49">
        <v>25</v>
      </c>
      <c r="H49">
        <v>70.25</v>
      </c>
    </row>
    <row r="50" spans="1:8" x14ac:dyDescent="0.35">
      <c r="A50" t="s">
        <v>365</v>
      </c>
      <c r="B50" t="s">
        <v>536</v>
      </c>
      <c r="C50" t="s">
        <v>294</v>
      </c>
      <c r="D50" t="s">
        <v>295</v>
      </c>
      <c r="E50">
        <v>116.75</v>
      </c>
      <c r="F50">
        <v>12.75</v>
      </c>
      <c r="G50">
        <v>24.25</v>
      </c>
      <c r="H50">
        <v>79.75</v>
      </c>
    </row>
    <row r="51" spans="1:8" x14ac:dyDescent="0.35">
      <c r="A51" t="s">
        <v>365</v>
      </c>
      <c r="B51" t="s">
        <v>536</v>
      </c>
      <c r="C51" t="s">
        <v>298</v>
      </c>
      <c r="D51" t="s">
        <v>299</v>
      </c>
      <c r="E51">
        <v>132.25</v>
      </c>
      <c r="F51">
        <v>13.25</v>
      </c>
      <c r="G51">
        <v>22.75</v>
      </c>
      <c r="H51">
        <v>96.25</v>
      </c>
    </row>
    <row r="52" spans="1:8" x14ac:dyDescent="0.35">
      <c r="A52" t="s">
        <v>365</v>
      </c>
      <c r="B52" t="s">
        <v>536</v>
      </c>
      <c r="C52" t="s">
        <v>300</v>
      </c>
      <c r="D52" t="s">
        <v>301</v>
      </c>
      <c r="E52">
        <v>119</v>
      </c>
      <c r="F52">
        <v>11.25</v>
      </c>
      <c r="G52">
        <v>28</v>
      </c>
      <c r="H52">
        <v>79.75</v>
      </c>
    </row>
    <row r="53" spans="1:8" x14ac:dyDescent="0.35">
      <c r="A53" t="s">
        <v>365</v>
      </c>
      <c r="B53" t="s">
        <v>536</v>
      </c>
      <c r="C53" t="s">
        <v>302</v>
      </c>
      <c r="D53" t="s">
        <v>303</v>
      </c>
      <c r="E53">
        <v>49</v>
      </c>
      <c r="F53">
        <v>5</v>
      </c>
      <c r="G53">
        <v>8.25</v>
      </c>
      <c r="H53">
        <v>35.75</v>
      </c>
    </row>
    <row r="54" spans="1:8" x14ac:dyDescent="0.35">
      <c r="A54" t="s">
        <v>365</v>
      </c>
      <c r="B54" t="s">
        <v>536</v>
      </c>
      <c r="C54" t="s">
        <v>304</v>
      </c>
      <c r="D54" t="s">
        <v>305</v>
      </c>
      <c r="E54">
        <v>76.75</v>
      </c>
      <c r="F54">
        <v>8.75</v>
      </c>
      <c r="G54">
        <v>8</v>
      </c>
      <c r="H54">
        <v>60</v>
      </c>
    </row>
    <row r="55" spans="1:8" x14ac:dyDescent="0.35">
      <c r="A55" t="s">
        <v>365</v>
      </c>
      <c r="B55" t="s">
        <v>536</v>
      </c>
      <c r="C55" t="s">
        <v>307</v>
      </c>
      <c r="D55" t="s">
        <v>308</v>
      </c>
      <c r="E55">
        <v>58.5</v>
      </c>
      <c r="F55">
        <v>7.25</v>
      </c>
      <c r="G55">
        <v>11</v>
      </c>
      <c r="H55">
        <v>40.25</v>
      </c>
    </row>
    <row r="56" spans="1:8" x14ac:dyDescent="0.35">
      <c r="A56" t="s">
        <v>365</v>
      </c>
      <c r="B56" t="s">
        <v>536</v>
      </c>
      <c r="C56" t="s">
        <v>215</v>
      </c>
      <c r="D56" t="s">
        <v>216</v>
      </c>
      <c r="E56">
        <v>6.5</v>
      </c>
      <c r="F56">
        <v>1</v>
      </c>
      <c r="G56">
        <v>1.75</v>
      </c>
      <c r="H56">
        <v>3.75</v>
      </c>
    </row>
    <row r="57" spans="1:8" x14ac:dyDescent="0.35">
      <c r="A57" t="s">
        <v>365</v>
      </c>
      <c r="B57" t="s">
        <v>536</v>
      </c>
      <c r="C57" t="s">
        <v>220</v>
      </c>
      <c r="D57" t="s">
        <v>221</v>
      </c>
      <c r="E57">
        <v>253.25</v>
      </c>
      <c r="F57">
        <v>25.25</v>
      </c>
      <c r="G57">
        <v>56</v>
      </c>
      <c r="H57">
        <v>172</v>
      </c>
    </row>
    <row r="58" spans="1:8" x14ac:dyDescent="0.35">
      <c r="A58" t="s">
        <v>365</v>
      </c>
      <c r="B58" t="s">
        <v>536</v>
      </c>
      <c r="C58" t="s">
        <v>228</v>
      </c>
      <c r="D58" t="s">
        <v>229</v>
      </c>
      <c r="E58">
        <v>166.5</v>
      </c>
      <c r="F58">
        <v>14.75</v>
      </c>
      <c r="G58">
        <v>22.75</v>
      </c>
      <c r="H58">
        <v>129</v>
      </c>
    </row>
    <row r="59" spans="1:8" x14ac:dyDescent="0.35">
      <c r="A59" t="s">
        <v>365</v>
      </c>
      <c r="B59" t="s">
        <v>536</v>
      </c>
      <c r="C59" t="s">
        <v>234</v>
      </c>
      <c r="D59" t="s">
        <v>235</v>
      </c>
      <c r="E59">
        <v>10.5</v>
      </c>
      <c r="F59">
        <v>0.75</v>
      </c>
      <c r="G59">
        <v>1.75</v>
      </c>
      <c r="H59">
        <v>8</v>
      </c>
    </row>
    <row r="60" spans="1:8" x14ac:dyDescent="0.35">
      <c r="A60" t="s">
        <v>365</v>
      </c>
      <c r="B60" t="s">
        <v>536</v>
      </c>
      <c r="C60" t="s">
        <v>296</v>
      </c>
      <c r="D60" t="s">
        <v>297</v>
      </c>
      <c r="E60">
        <v>11.75</v>
      </c>
      <c r="F60">
        <v>1</v>
      </c>
      <c r="G60">
        <v>2</v>
      </c>
      <c r="H60">
        <v>8.75</v>
      </c>
    </row>
    <row r="61" spans="1:8" x14ac:dyDescent="0.35">
      <c r="A61" t="s">
        <v>365</v>
      </c>
      <c r="B61" t="s">
        <v>536</v>
      </c>
      <c r="C61" t="s">
        <v>309</v>
      </c>
      <c r="D61" t="s">
        <v>310</v>
      </c>
      <c r="E61">
        <v>18.5</v>
      </c>
      <c r="F61">
        <v>1.75</v>
      </c>
      <c r="G61">
        <v>1</v>
      </c>
      <c r="H61">
        <v>15.75</v>
      </c>
    </row>
    <row r="62" spans="1:8" x14ac:dyDescent="0.35">
      <c r="A62" t="s">
        <v>365</v>
      </c>
      <c r="B62" t="s">
        <v>536</v>
      </c>
      <c r="C62" t="s">
        <v>311</v>
      </c>
      <c r="D62" t="s">
        <v>312</v>
      </c>
      <c r="E62">
        <v>53</v>
      </c>
      <c r="F62">
        <v>5</v>
      </c>
      <c r="G62">
        <v>10</v>
      </c>
      <c r="H62">
        <v>38</v>
      </c>
    </row>
    <row r="63" spans="1:8" x14ac:dyDescent="0.35">
      <c r="A63" t="s">
        <v>365</v>
      </c>
      <c r="B63" t="s">
        <v>536</v>
      </c>
      <c r="C63" t="s">
        <v>224</v>
      </c>
      <c r="D63" t="s">
        <v>225</v>
      </c>
      <c r="E63">
        <v>83.5</v>
      </c>
      <c r="F63">
        <v>7</v>
      </c>
      <c r="G63">
        <v>18</v>
      </c>
      <c r="H63">
        <v>58.5</v>
      </c>
    </row>
    <row r="64" spans="1:8" x14ac:dyDescent="0.35">
      <c r="A64" t="s">
        <v>365</v>
      </c>
      <c r="B64" t="s">
        <v>536</v>
      </c>
      <c r="C64" t="s">
        <v>247</v>
      </c>
      <c r="D64" t="s">
        <v>248</v>
      </c>
      <c r="E64">
        <v>11.75</v>
      </c>
      <c r="F64">
        <v>0.75</v>
      </c>
      <c r="G64">
        <v>2.75</v>
      </c>
      <c r="H64">
        <v>8.25</v>
      </c>
    </row>
    <row r="65" spans="1:8" x14ac:dyDescent="0.35">
      <c r="A65" t="s">
        <v>365</v>
      </c>
      <c r="B65" t="s">
        <v>536</v>
      </c>
      <c r="C65" t="s">
        <v>289</v>
      </c>
      <c r="D65" t="s">
        <v>290</v>
      </c>
      <c r="E65">
        <v>28.25</v>
      </c>
      <c r="F65">
        <v>2.5</v>
      </c>
      <c r="G65">
        <v>3</v>
      </c>
      <c r="H65">
        <v>22.75</v>
      </c>
    </row>
    <row r="66" spans="1:8" x14ac:dyDescent="0.35">
      <c r="A66" t="s">
        <v>365</v>
      </c>
      <c r="B66" t="s">
        <v>536</v>
      </c>
      <c r="C66" t="s">
        <v>253</v>
      </c>
      <c r="D66" t="s">
        <v>254</v>
      </c>
      <c r="E66">
        <v>0</v>
      </c>
      <c r="F66">
        <v>0</v>
      </c>
      <c r="G66">
        <v>0</v>
      </c>
      <c r="H66">
        <v>0</v>
      </c>
    </row>
    <row r="67" spans="1:8" x14ac:dyDescent="0.35">
      <c r="A67" t="s">
        <v>365</v>
      </c>
      <c r="B67" t="s">
        <v>536</v>
      </c>
      <c r="C67" t="s">
        <v>270</v>
      </c>
      <c r="D67" t="s">
        <v>271</v>
      </c>
      <c r="E67">
        <v>0</v>
      </c>
      <c r="F67">
        <v>0</v>
      </c>
      <c r="G67">
        <v>0</v>
      </c>
      <c r="H67">
        <v>0</v>
      </c>
    </row>
    <row r="68" spans="1:8" x14ac:dyDescent="0.35">
      <c r="A68" t="s">
        <v>365</v>
      </c>
      <c r="B68" t="s">
        <v>536</v>
      </c>
      <c r="C68" t="s">
        <v>267</v>
      </c>
      <c r="D68" t="s">
        <v>268</v>
      </c>
      <c r="E68">
        <v>94</v>
      </c>
      <c r="F68">
        <v>9.75</v>
      </c>
      <c r="G68">
        <v>18.75</v>
      </c>
      <c r="H68">
        <v>65.5</v>
      </c>
    </row>
    <row r="69" spans="1:8" x14ac:dyDescent="0.35">
      <c r="A69" t="s">
        <v>366</v>
      </c>
      <c r="B69" t="s">
        <v>536</v>
      </c>
      <c r="C69" t="s">
        <v>587</v>
      </c>
      <c r="D69" t="s">
        <v>712</v>
      </c>
      <c r="E69">
        <v>2527</v>
      </c>
      <c r="F69">
        <v>248</v>
      </c>
      <c r="G69">
        <v>486</v>
      </c>
      <c r="H69">
        <v>1793</v>
      </c>
    </row>
    <row r="70" spans="1:8" x14ac:dyDescent="0.35">
      <c r="A70" t="s">
        <v>366</v>
      </c>
      <c r="B70" t="s">
        <v>536</v>
      </c>
      <c r="C70" t="s">
        <v>240</v>
      </c>
      <c r="D70" t="s">
        <v>241</v>
      </c>
      <c r="E70">
        <v>16.25</v>
      </c>
      <c r="F70">
        <v>2</v>
      </c>
      <c r="G70">
        <v>3</v>
      </c>
      <c r="H70">
        <v>11.25</v>
      </c>
    </row>
    <row r="71" spans="1:8" x14ac:dyDescent="0.35">
      <c r="A71" t="s">
        <v>366</v>
      </c>
      <c r="B71" t="s">
        <v>536</v>
      </c>
      <c r="C71" t="s">
        <v>244</v>
      </c>
      <c r="D71" t="s">
        <v>245</v>
      </c>
      <c r="E71">
        <v>169</v>
      </c>
      <c r="F71">
        <v>14.5</v>
      </c>
      <c r="G71">
        <v>30.75</v>
      </c>
      <c r="H71">
        <v>123.75</v>
      </c>
    </row>
    <row r="72" spans="1:8" x14ac:dyDescent="0.35">
      <c r="A72" t="s">
        <v>366</v>
      </c>
      <c r="B72" t="s">
        <v>536</v>
      </c>
      <c r="C72" t="s">
        <v>249</v>
      </c>
      <c r="D72" t="s">
        <v>250</v>
      </c>
      <c r="E72">
        <v>71</v>
      </c>
      <c r="F72">
        <v>6.25</v>
      </c>
      <c r="G72">
        <v>8.75</v>
      </c>
      <c r="H72">
        <v>56</v>
      </c>
    </row>
    <row r="73" spans="1:8" x14ac:dyDescent="0.35">
      <c r="A73" t="s">
        <v>366</v>
      </c>
      <c r="B73" t="s">
        <v>536</v>
      </c>
      <c r="C73" t="s">
        <v>255</v>
      </c>
      <c r="D73" t="s">
        <v>256</v>
      </c>
      <c r="E73">
        <v>45.25</v>
      </c>
      <c r="F73">
        <v>4</v>
      </c>
      <c r="G73">
        <v>9.75</v>
      </c>
      <c r="H73">
        <v>31.5</v>
      </c>
    </row>
    <row r="74" spans="1:8" x14ac:dyDescent="0.35">
      <c r="A74" t="s">
        <v>366</v>
      </c>
      <c r="B74" t="s">
        <v>536</v>
      </c>
      <c r="C74" t="s">
        <v>259</v>
      </c>
      <c r="D74" t="s">
        <v>260</v>
      </c>
      <c r="E74">
        <v>1</v>
      </c>
      <c r="F74">
        <v>0</v>
      </c>
      <c r="G74">
        <v>0</v>
      </c>
      <c r="H74">
        <v>1</v>
      </c>
    </row>
    <row r="75" spans="1:8" x14ac:dyDescent="0.35">
      <c r="A75" t="s">
        <v>366</v>
      </c>
      <c r="B75" t="s">
        <v>536</v>
      </c>
      <c r="C75" t="s">
        <v>283</v>
      </c>
      <c r="D75" t="s">
        <v>284</v>
      </c>
      <c r="E75">
        <v>134.25</v>
      </c>
      <c r="F75">
        <v>11.75</v>
      </c>
      <c r="G75">
        <v>33</v>
      </c>
      <c r="H75">
        <v>89.5</v>
      </c>
    </row>
    <row r="76" spans="1:8" x14ac:dyDescent="0.35">
      <c r="A76" t="s">
        <v>366</v>
      </c>
      <c r="B76" t="s">
        <v>536</v>
      </c>
      <c r="C76" t="s">
        <v>263</v>
      </c>
      <c r="D76" t="s">
        <v>264</v>
      </c>
      <c r="E76">
        <v>39.75</v>
      </c>
      <c r="F76">
        <v>3.75</v>
      </c>
      <c r="G76">
        <v>7</v>
      </c>
      <c r="H76">
        <v>29</v>
      </c>
    </row>
    <row r="77" spans="1:8" x14ac:dyDescent="0.35">
      <c r="A77" t="s">
        <v>366</v>
      </c>
      <c r="B77" t="s">
        <v>536</v>
      </c>
      <c r="C77" t="s">
        <v>273</v>
      </c>
      <c r="D77" t="s">
        <v>274</v>
      </c>
      <c r="E77">
        <v>489.75</v>
      </c>
      <c r="F77">
        <v>51</v>
      </c>
      <c r="G77">
        <v>102.5</v>
      </c>
      <c r="H77">
        <v>336.25</v>
      </c>
    </row>
    <row r="78" spans="1:8" x14ac:dyDescent="0.35">
      <c r="A78" t="s">
        <v>366</v>
      </c>
      <c r="B78" t="s">
        <v>536</v>
      </c>
      <c r="C78" t="s">
        <v>277</v>
      </c>
      <c r="D78" t="s">
        <v>278</v>
      </c>
      <c r="E78">
        <v>33.75</v>
      </c>
      <c r="F78">
        <v>3.5</v>
      </c>
      <c r="G78">
        <v>5.5</v>
      </c>
      <c r="H78">
        <v>24.75</v>
      </c>
    </row>
    <row r="79" spans="1:8" x14ac:dyDescent="0.35">
      <c r="A79" t="s">
        <v>366</v>
      </c>
      <c r="B79" t="s">
        <v>536</v>
      </c>
      <c r="C79" t="s">
        <v>279</v>
      </c>
      <c r="D79" t="s">
        <v>280</v>
      </c>
      <c r="E79">
        <v>9.25</v>
      </c>
      <c r="F79">
        <v>1</v>
      </c>
      <c r="G79">
        <v>1.75</v>
      </c>
      <c r="H79">
        <v>6.5</v>
      </c>
    </row>
    <row r="80" spans="1:8" x14ac:dyDescent="0.35">
      <c r="A80" t="s">
        <v>366</v>
      </c>
      <c r="B80" t="s">
        <v>536</v>
      </c>
      <c r="C80" t="s">
        <v>281</v>
      </c>
      <c r="D80" t="s">
        <v>282</v>
      </c>
      <c r="E80">
        <v>97.25</v>
      </c>
      <c r="F80">
        <v>11</v>
      </c>
      <c r="G80">
        <v>21</v>
      </c>
      <c r="H80">
        <v>65.25</v>
      </c>
    </row>
    <row r="81" spans="1:8" x14ac:dyDescent="0.35">
      <c r="A81" t="s">
        <v>366</v>
      </c>
      <c r="B81" t="s">
        <v>536</v>
      </c>
      <c r="C81" t="s">
        <v>287</v>
      </c>
      <c r="D81" t="s">
        <v>288</v>
      </c>
      <c r="E81">
        <v>91.5</v>
      </c>
      <c r="F81">
        <v>9</v>
      </c>
      <c r="G81">
        <v>10</v>
      </c>
      <c r="H81">
        <v>72.5</v>
      </c>
    </row>
    <row r="82" spans="1:8" x14ac:dyDescent="0.35">
      <c r="A82" t="s">
        <v>366</v>
      </c>
      <c r="B82" t="s">
        <v>536</v>
      </c>
      <c r="C82" t="s">
        <v>292</v>
      </c>
      <c r="D82" t="s">
        <v>293</v>
      </c>
      <c r="E82">
        <v>96.5</v>
      </c>
      <c r="F82">
        <v>12</v>
      </c>
      <c r="G82">
        <v>18.75</v>
      </c>
      <c r="H82">
        <v>65.75</v>
      </c>
    </row>
    <row r="83" spans="1:8" x14ac:dyDescent="0.35">
      <c r="A83" t="s">
        <v>366</v>
      </c>
      <c r="B83" t="s">
        <v>536</v>
      </c>
      <c r="C83" t="s">
        <v>294</v>
      </c>
      <c r="D83" t="s">
        <v>295</v>
      </c>
      <c r="E83">
        <v>110.5</v>
      </c>
      <c r="F83">
        <v>8.75</v>
      </c>
      <c r="G83">
        <v>22.5</v>
      </c>
      <c r="H83">
        <v>79.25</v>
      </c>
    </row>
    <row r="84" spans="1:8" x14ac:dyDescent="0.35">
      <c r="A84" t="s">
        <v>366</v>
      </c>
      <c r="B84" t="s">
        <v>536</v>
      </c>
      <c r="C84" t="s">
        <v>298</v>
      </c>
      <c r="D84" t="s">
        <v>299</v>
      </c>
      <c r="E84">
        <v>123.25</v>
      </c>
      <c r="F84">
        <v>11.5</v>
      </c>
      <c r="G84">
        <v>22.5</v>
      </c>
      <c r="H84">
        <v>89.25</v>
      </c>
    </row>
    <row r="85" spans="1:8" x14ac:dyDescent="0.35">
      <c r="A85" t="s">
        <v>366</v>
      </c>
      <c r="B85" t="s">
        <v>536</v>
      </c>
      <c r="C85" t="s">
        <v>300</v>
      </c>
      <c r="D85" t="s">
        <v>301</v>
      </c>
      <c r="E85">
        <v>116.75</v>
      </c>
      <c r="F85">
        <v>13.25</v>
      </c>
      <c r="G85">
        <v>23.25</v>
      </c>
      <c r="H85">
        <v>80.25</v>
      </c>
    </row>
    <row r="86" spans="1:8" x14ac:dyDescent="0.35">
      <c r="A86" t="s">
        <v>366</v>
      </c>
      <c r="B86" t="s">
        <v>536</v>
      </c>
      <c r="C86" t="s">
        <v>302</v>
      </c>
      <c r="D86" t="s">
        <v>303</v>
      </c>
      <c r="E86">
        <v>46</v>
      </c>
      <c r="F86">
        <v>4.75</v>
      </c>
      <c r="G86">
        <v>5.75</v>
      </c>
      <c r="H86">
        <v>35.5</v>
      </c>
    </row>
    <row r="87" spans="1:8" x14ac:dyDescent="0.35">
      <c r="A87" t="s">
        <v>366</v>
      </c>
      <c r="B87" t="s">
        <v>536</v>
      </c>
      <c r="C87" t="s">
        <v>304</v>
      </c>
      <c r="D87" t="s">
        <v>305</v>
      </c>
      <c r="E87">
        <v>64</v>
      </c>
      <c r="F87">
        <v>7.75</v>
      </c>
      <c r="G87">
        <v>8.75</v>
      </c>
      <c r="H87">
        <v>47.5</v>
      </c>
    </row>
    <row r="88" spans="1:8" x14ac:dyDescent="0.35">
      <c r="A88" t="s">
        <v>366</v>
      </c>
      <c r="B88" t="s">
        <v>536</v>
      </c>
      <c r="C88" t="s">
        <v>307</v>
      </c>
      <c r="D88" t="s">
        <v>308</v>
      </c>
      <c r="E88">
        <v>62.25</v>
      </c>
      <c r="F88">
        <v>8.25</v>
      </c>
      <c r="G88">
        <v>15</v>
      </c>
      <c r="H88">
        <v>39</v>
      </c>
    </row>
    <row r="89" spans="1:8" x14ac:dyDescent="0.35">
      <c r="A89" t="s">
        <v>366</v>
      </c>
      <c r="B89" t="s">
        <v>536</v>
      </c>
      <c r="C89" t="s">
        <v>215</v>
      </c>
      <c r="D89" t="s">
        <v>216</v>
      </c>
      <c r="E89">
        <v>15.25</v>
      </c>
      <c r="F89">
        <v>1.75</v>
      </c>
      <c r="G89">
        <v>5.5</v>
      </c>
      <c r="H89">
        <v>8</v>
      </c>
    </row>
    <row r="90" spans="1:8" x14ac:dyDescent="0.35">
      <c r="A90" t="s">
        <v>366</v>
      </c>
      <c r="B90" t="s">
        <v>536</v>
      </c>
      <c r="C90" t="s">
        <v>220</v>
      </c>
      <c r="D90" t="s">
        <v>221</v>
      </c>
      <c r="E90">
        <v>226.25</v>
      </c>
      <c r="F90">
        <v>24</v>
      </c>
      <c r="G90">
        <v>56.25</v>
      </c>
      <c r="H90">
        <v>146</v>
      </c>
    </row>
    <row r="91" spans="1:8" x14ac:dyDescent="0.35">
      <c r="A91" t="s">
        <v>366</v>
      </c>
      <c r="B91" t="s">
        <v>536</v>
      </c>
      <c r="C91" t="s">
        <v>228</v>
      </c>
      <c r="D91" t="s">
        <v>229</v>
      </c>
      <c r="E91">
        <v>171.39285714285714</v>
      </c>
      <c r="F91">
        <v>11.75</v>
      </c>
      <c r="G91">
        <v>24.75</v>
      </c>
      <c r="H91">
        <v>134.89285714285714</v>
      </c>
    </row>
    <row r="92" spans="1:8" x14ac:dyDescent="0.35">
      <c r="A92" t="s">
        <v>366</v>
      </c>
      <c r="B92" t="s">
        <v>536</v>
      </c>
      <c r="C92" t="s">
        <v>234</v>
      </c>
      <c r="D92" t="s">
        <v>235</v>
      </c>
      <c r="E92">
        <v>10</v>
      </c>
      <c r="F92">
        <v>1</v>
      </c>
      <c r="G92">
        <v>1.75</v>
      </c>
      <c r="H92">
        <v>7.25</v>
      </c>
    </row>
    <row r="93" spans="1:8" x14ac:dyDescent="0.35">
      <c r="A93" t="s">
        <v>366</v>
      </c>
      <c r="B93" t="s">
        <v>536</v>
      </c>
      <c r="C93" t="s">
        <v>296</v>
      </c>
      <c r="D93" t="s">
        <v>297</v>
      </c>
      <c r="E93">
        <v>10.5</v>
      </c>
      <c r="F93">
        <v>1</v>
      </c>
      <c r="G93">
        <v>1</v>
      </c>
      <c r="H93">
        <v>8.5</v>
      </c>
    </row>
    <row r="94" spans="1:8" x14ac:dyDescent="0.35">
      <c r="A94" t="s">
        <v>366</v>
      </c>
      <c r="B94" t="s">
        <v>536</v>
      </c>
      <c r="C94" t="s">
        <v>309</v>
      </c>
      <c r="D94" t="s">
        <v>310</v>
      </c>
      <c r="E94">
        <v>16.75</v>
      </c>
      <c r="F94">
        <v>1.75</v>
      </c>
      <c r="G94">
        <v>1.75</v>
      </c>
      <c r="H94">
        <v>13.25</v>
      </c>
    </row>
    <row r="95" spans="1:8" x14ac:dyDescent="0.35">
      <c r="A95" t="s">
        <v>366</v>
      </c>
      <c r="B95" t="s">
        <v>536</v>
      </c>
      <c r="C95" t="s">
        <v>311</v>
      </c>
      <c r="D95" t="s">
        <v>312</v>
      </c>
      <c r="E95">
        <v>44.25</v>
      </c>
      <c r="F95">
        <v>4.25</v>
      </c>
      <c r="G95">
        <v>8.25</v>
      </c>
      <c r="H95">
        <v>31.75</v>
      </c>
    </row>
    <row r="96" spans="1:8" x14ac:dyDescent="0.35">
      <c r="A96" t="s">
        <v>366</v>
      </c>
      <c r="B96" t="s">
        <v>536</v>
      </c>
      <c r="C96" t="s">
        <v>224</v>
      </c>
      <c r="D96" t="s">
        <v>225</v>
      </c>
      <c r="E96">
        <v>82</v>
      </c>
      <c r="F96">
        <v>6</v>
      </c>
      <c r="G96">
        <v>13.5</v>
      </c>
      <c r="H96">
        <v>62.5</v>
      </c>
    </row>
    <row r="97" spans="1:8" x14ac:dyDescent="0.35">
      <c r="A97" t="s">
        <v>366</v>
      </c>
      <c r="B97" t="s">
        <v>536</v>
      </c>
      <c r="C97" t="s">
        <v>247</v>
      </c>
      <c r="D97" t="s">
        <v>248</v>
      </c>
      <c r="E97">
        <v>9.5</v>
      </c>
      <c r="F97">
        <v>0.75</v>
      </c>
      <c r="G97">
        <v>2.5</v>
      </c>
      <c r="H97">
        <v>6.25</v>
      </c>
    </row>
    <row r="98" spans="1:8" x14ac:dyDescent="0.35">
      <c r="A98" t="s">
        <v>366</v>
      </c>
      <c r="B98" t="s">
        <v>536</v>
      </c>
      <c r="C98" t="s">
        <v>289</v>
      </c>
      <c r="D98" t="s">
        <v>290</v>
      </c>
      <c r="E98">
        <v>27</v>
      </c>
      <c r="F98">
        <v>2.5</v>
      </c>
      <c r="G98">
        <v>2.5</v>
      </c>
      <c r="H98">
        <v>22</v>
      </c>
    </row>
    <row r="99" spans="1:8" x14ac:dyDescent="0.35">
      <c r="A99" t="s">
        <v>366</v>
      </c>
      <c r="B99" t="s">
        <v>536</v>
      </c>
      <c r="C99" t="s">
        <v>253</v>
      </c>
      <c r="D99" t="s">
        <v>254</v>
      </c>
      <c r="E99">
        <v>0</v>
      </c>
      <c r="F99">
        <v>0</v>
      </c>
      <c r="G99">
        <v>0</v>
      </c>
      <c r="H99">
        <v>0</v>
      </c>
    </row>
    <row r="100" spans="1:8" x14ac:dyDescent="0.35">
      <c r="A100" t="s">
        <v>366</v>
      </c>
      <c r="B100" t="s">
        <v>536</v>
      </c>
      <c r="C100" t="s">
        <v>270</v>
      </c>
      <c r="D100" t="s">
        <v>271</v>
      </c>
      <c r="E100">
        <v>3.25</v>
      </c>
      <c r="F100">
        <v>0</v>
      </c>
      <c r="G100">
        <v>0</v>
      </c>
      <c r="H100">
        <v>3.25</v>
      </c>
    </row>
    <row r="101" spans="1:8" x14ac:dyDescent="0.35">
      <c r="A101" t="s">
        <v>366</v>
      </c>
      <c r="B101" t="s">
        <v>536</v>
      </c>
      <c r="C101" t="s">
        <v>267</v>
      </c>
      <c r="D101" t="s">
        <v>268</v>
      </c>
      <c r="E101">
        <v>93.37</v>
      </c>
      <c r="F101">
        <v>9</v>
      </c>
      <c r="G101">
        <v>18.93</v>
      </c>
      <c r="H101">
        <v>65.44</v>
      </c>
    </row>
    <row r="102" spans="1:8" x14ac:dyDescent="0.35">
      <c r="A102" t="s">
        <v>341</v>
      </c>
      <c r="B102" t="s">
        <v>536</v>
      </c>
      <c r="C102" t="s">
        <v>587</v>
      </c>
      <c r="D102" t="s">
        <v>712</v>
      </c>
      <c r="E102">
        <v>2545</v>
      </c>
      <c r="F102">
        <v>246</v>
      </c>
      <c r="G102">
        <v>499</v>
      </c>
      <c r="H102">
        <v>1800</v>
      </c>
    </row>
    <row r="103" spans="1:8" x14ac:dyDescent="0.35">
      <c r="A103" t="s">
        <v>341</v>
      </c>
      <c r="B103" t="s">
        <v>536</v>
      </c>
      <c r="C103" t="s">
        <v>240</v>
      </c>
      <c r="D103" t="s">
        <v>241</v>
      </c>
      <c r="E103">
        <v>17</v>
      </c>
      <c r="F103">
        <v>2</v>
      </c>
      <c r="G103">
        <v>2</v>
      </c>
      <c r="H103">
        <v>13</v>
      </c>
    </row>
    <row r="104" spans="1:8" x14ac:dyDescent="0.35">
      <c r="A104" t="s">
        <v>341</v>
      </c>
      <c r="B104" t="s">
        <v>536</v>
      </c>
      <c r="C104" t="s">
        <v>244</v>
      </c>
      <c r="D104" t="s">
        <v>245</v>
      </c>
      <c r="E104">
        <v>177</v>
      </c>
      <c r="F104">
        <v>14</v>
      </c>
      <c r="G104">
        <v>34</v>
      </c>
      <c r="H104">
        <v>129</v>
      </c>
    </row>
    <row r="105" spans="1:8" x14ac:dyDescent="0.35">
      <c r="A105" t="s">
        <v>341</v>
      </c>
      <c r="B105" t="s">
        <v>536</v>
      </c>
      <c r="C105" t="s">
        <v>249</v>
      </c>
      <c r="D105" t="s">
        <v>250</v>
      </c>
      <c r="E105">
        <v>69</v>
      </c>
      <c r="F105">
        <v>6</v>
      </c>
      <c r="G105">
        <v>9</v>
      </c>
      <c r="H105">
        <v>54</v>
      </c>
    </row>
    <row r="106" spans="1:8" x14ac:dyDescent="0.35">
      <c r="A106" t="s">
        <v>341</v>
      </c>
      <c r="B106" t="s">
        <v>536</v>
      </c>
      <c r="C106" t="s">
        <v>255</v>
      </c>
      <c r="D106" t="s">
        <v>256</v>
      </c>
      <c r="E106">
        <v>45</v>
      </c>
      <c r="F106">
        <v>4</v>
      </c>
      <c r="G106">
        <v>11</v>
      </c>
      <c r="H106">
        <v>30</v>
      </c>
    </row>
    <row r="107" spans="1:8" x14ac:dyDescent="0.35">
      <c r="A107" t="s">
        <v>341</v>
      </c>
      <c r="B107" t="s">
        <v>536</v>
      </c>
      <c r="C107" t="s">
        <v>259</v>
      </c>
      <c r="D107" t="s">
        <v>260</v>
      </c>
      <c r="E107">
        <v>0</v>
      </c>
      <c r="F107">
        <v>0</v>
      </c>
      <c r="G107">
        <v>0</v>
      </c>
      <c r="H107">
        <v>0</v>
      </c>
    </row>
    <row r="108" spans="1:8" x14ac:dyDescent="0.35">
      <c r="A108" t="s">
        <v>341</v>
      </c>
      <c r="B108" t="s">
        <v>536</v>
      </c>
      <c r="C108" t="s">
        <v>283</v>
      </c>
      <c r="D108" t="s">
        <v>284</v>
      </c>
      <c r="E108">
        <v>130</v>
      </c>
      <c r="F108">
        <v>12</v>
      </c>
      <c r="G108">
        <v>32</v>
      </c>
      <c r="H108">
        <v>86</v>
      </c>
    </row>
    <row r="109" spans="1:8" x14ac:dyDescent="0.35">
      <c r="A109" t="s">
        <v>341</v>
      </c>
      <c r="B109" t="s">
        <v>536</v>
      </c>
      <c r="C109" t="s">
        <v>263</v>
      </c>
      <c r="D109" t="s">
        <v>264</v>
      </c>
      <c r="E109">
        <v>39</v>
      </c>
      <c r="F109">
        <v>3</v>
      </c>
      <c r="G109">
        <v>7</v>
      </c>
      <c r="H109">
        <v>29</v>
      </c>
    </row>
    <row r="110" spans="1:8" x14ac:dyDescent="0.35">
      <c r="A110" t="s">
        <v>341</v>
      </c>
      <c r="B110" t="s">
        <v>536</v>
      </c>
      <c r="C110" t="s">
        <v>273</v>
      </c>
      <c r="D110" t="s">
        <v>274</v>
      </c>
      <c r="E110">
        <v>485</v>
      </c>
      <c r="F110">
        <v>50</v>
      </c>
      <c r="G110">
        <v>97</v>
      </c>
      <c r="H110">
        <v>338</v>
      </c>
    </row>
    <row r="111" spans="1:8" x14ac:dyDescent="0.35">
      <c r="A111" t="s">
        <v>341</v>
      </c>
      <c r="B111" t="s">
        <v>536</v>
      </c>
      <c r="C111" t="s">
        <v>277</v>
      </c>
      <c r="D111" t="s">
        <v>278</v>
      </c>
      <c r="E111">
        <v>31</v>
      </c>
      <c r="F111">
        <v>2</v>
      </c>
      <c r="G111">
        <v>5</v>
      </c>
      <c r="H111">
        <v>24</v>
      </c>
    </row>
    <row r="112" spans="1:8" x14ac:dyDescent="0.35">
      <c r="A112" t="s">
        <v>341</v>
      </c>
      <c r="B112" t="s">
        <v>536</v>
      </c>
      <c r="C112" t="s">
        <v>279</v>
      </c>
      <c r="D112" t="s">
        <v>280</v>
      </c>
      <c r="E112">
        <v>8</v>
      </c>
      <c r="F112">
        <v>1</v>
      </c>
      <c r="G112">
        <v>1</v>
      </c>
      <c r="H112">
        <v>6</v>
      </c>
    </row>
    <row r="113" spans="1:8" x14ac:dyDescent="0.35">
      <c r="A113" t="s">
        <v>341</v>
      </c>
      <c r="B113" t="s">
        <v>536</v>
      </c>
      <c r="C113" t="s">
        <v>281</v>
      </c>
      <c r="D113" t="s">
        <v>282</v>
      </c>
      <c r="E113">
        <v>112</v>
      </c>
      <c r="F113">
        <v>11</v>
      </c>
      <c r="G113">
        <v>22</v>
      </c>
      <c r="H113">
        <v>79</v>
      </c>
    </row>
    <row r="114" spans="1:8" x14ac:dyDescent="0.35">
      <c r="A114" t="s">
        <v>341</v>
      </c>
      <c r="B114" t="s">
        <v>536</v>
      </c>
      <c r="C114" t="s">
        <v>287</v>
      </c>
      <c r="D114" t="s">
        <v>288</v>
      </c>
      <c r="E114">
        <v>89</v>
      </c>
      <c r="F114">
        <v>9</v>
      </c>
      <c r="G114">
        <v>10</v>
      </c>
      <c r="H114">
        <v>70</v>
      </c>
    </row>
    <row r="115" spans="1:8" x14ac:dyDescent="0.35">
      <c r="A115" t="s">
        <v>341</v>
      </c>
      <c r="B115" t="s">
        <v>536</v>
      </c>
      <c r="C115" t="s">
        <v>292</v>
      </c>
      <c r="D115" t="s">
        <v>293</v>
      </c>
      <c r="E115">
        <v>92</v>
      </c>
      <c r="F115">
        <v>11</v>
      </c>
      <c r="G115">
        <v>20</v>
      </c>
      <c r="H115">
        <v>61</v>
      </c>
    </row>
    <row r="116" spans="1:8" x14ac:dyDescent="0.35">
      <c r="A116" t="s">
        <v>341</v>
      </c>
      <c r="B116" t="s">
        <v>536</v>
      </c>
      <c r="C116" t="s">
        <v>294</v>
      </c>
      <c r="D116" t="s">
        <v>295</v>
      </c>
      <c r="E116">
        <v>107</v>
      </c>
      <c r="F116">
        <v>8</v>
      </c>
      <c r="G116">
        <v>21</v>
      </c>
      <c r="H116">
        <v>78</v>
      </c>
    </row>
    <row r="117" spans="1:8" x14ac:dyDescent="0.35">
      <c r="A117" t="s">
        <v>341</v>
      </c>
      <c r="B117" t="s">
        <v>536</v>
      </c>
      <c r="C117" t="s">
        <v>298</v>
      </c>
      <c r="D117" t="s">
        <v>299</v>
      </c>
      <c r="E117">
        <v>118</v>
      </c>
      <c r="F117">
        <v>12</v>
      </c>
      <c r="G117">
        <v>23</v>
      </c>
      <c r="H117">
        <v>83</v>
      </c>
    </row>
    <row r="118" spans="1:8" x14ac:dyDescent="0.35">
      <c r="A118" t="s">
        <v>341</v>
      </c>
      <c r="B118" t="s">
        <v>536</v>
      </c>
      <c r="C118" t="s">
        <v>300</v>
      </c>
      <c r="D118" t="s">
        <v>301</v>
      </c>
      <c r="E118">
        <v>112</v>
      </c>
      <c r="F118">
        <v>11</v>
      </c>
      <c r="G118">
        <v>25</v>
      </c>
      <c r="H118">
        <v>76</v>
      </c>
    </row>
    <row r="119" spans="1:8" x14ac:dyDescent="0.35">
      <c r="A119" t="s">
        <v>341</v>
      </c>
      <c r="B119" t="s">
        <v>536</v>
      </c>
      <c r="C119" t="s">
        <v>302</v>
      </c>
      <c r="D119" t="s">
        <v>303</v>
      </c>
      <c r="E119">
        <v>42</v>
      </c>
      <c r="F119">
        <v>5</v>
      </c>
      <c r="G119">
        <v>7</v>
      </c>
      <c r="H119">
        <v>30</v>
      </c>
    </row>
    <row r="120" spans="1:8" x14ac:dyDescent="0.35">
      <c r="A120" t="s">
        <v>341</v>
      </c>
      <c r="B120" t="s">
        <v>536</v>
      </c>
      <c r="C120" t="s">
        <v>304</v>
      </c>
      <c r="D120" t="s">
        <v>305</v>
      </c>
      <c r="E120">
        <v>64</v>
      </c>
      <c r="F120">
        <v>7</v>
      </c>
      <c r="G120">
        <v>8</v>
      </c>
      <c r="H120">
        <v>49</v>
      </c>
    </row>
    <row r="121" spans="1:8" x14ac:dyDescent="0.35">
      <c r="A121" t="s">
        <v>341</v>
      </c>
      <c r="B121" t="s">
        <v>536</v>
      </c>
      <c r="C121" t="s">
        <v>307</v>
      </c>
      <c r="D121" t="s">
        <v>308</v>
      </c>
      <c r="E121">
        <v>63</v>
      </c>
      <c r="F121">
        <v>7</v>
      </c>
      <c r="G121">
        <v>15</v>
      </c>
      <c r="H121">
        <v>41</v>
      </c>
    </row>
    <row r="122" spans="1:8" x14ac:dyDescent="0.35">
      <c r="A122" t="s">
        <v>341</v>
      </c>
      <c r="B122" t="s">
        <v>536</v>
      </c>
      <c r="C122" t="s">
        <v>215</v>
      </c>
      <c r="D122" t="s">
        <v>216</v>
      </c>
      <c r="E122">
        <v>5</v>
      </c>
      <c r="F122">
        <v>1</v>
      </c>
      <c r="G122">
        <v>1</v>
      </c>
      <c r="H122">
        <v>3</v>
      </c>
    </row>
    <row r="123" spans="1:8" x14ac:dyDescent="0.35">
      <c r="A123" t="s">
        <v>341</v>
      </c>
      <c r="B123" t="s">
        <v>536</v>
      </c>
      <c r="C123" t="s">
        <v>220</v>
      </c>
      <c r="D123" t="s">
        <v>221</v>
      </c>
      <c r="E123">
        <v>250</v>
      </c>
      <c r="F123">
        <v>24</v>
      </c>
      <c r="G123">
        <v>61</v>
      </c>
      <c r="H123">
        <v>165</v>
      </c>
    </row>
    <row r="124" spans="1:8" x14ac:dyDescent="0.35">
      <c r="A124" t="s">
        <v>341</v>
      </c>
      <c r="B124" t="s">
        <v>536</v>
      </c>
      <c r="C124" t="s">
        <v>228</v>
      </c>
      <c r="D124" t="s">
        <v>229</v>
      </c>
      <c r="E124">
        <v>171</v>
      </c>
      <c r="F124">
        <v>13</v>
      </c>
      <c r="G124">
        <v>25</v>
      </c>
      <c r="H124">
        <v>133</v>
      </c>
    </row>
    <row r="125" spans="1:8" x14ac:dyDescent="0.35">
      <c r="A125" t="s">
        <v>341</v>
      </c>
      <c r="B125" t="s">
        <v>536</v>
      </c>
      <c r="C125" t="s">
        <v>234</v>
      </c>
      <c r="D125" t="s">
        <v>235</v>
      </c>
      <c r="E125">
        <v>9</v>
      </c>
      <c r="F125">
        <v>1</v>
      </c>
      <c r="G125">
        <v>1</v>
      </c>
      <c r="H125">
        <v>7</v>
      </c>
    </row>
    <row r="126" spans="1:8" x14ac:dyDescent="0.35">
      <c r="A126" t="s">
        <v>341</v>
      </c>
      <c r="B126" t="s">
        <v>536</v>
      </c>
      <c r="C126" t="s">
        <v>296</v>
      </c>
      <c r="D126" t="s">
        <v>297</v>
      </c>
      <c r="E126">
        <v>10</v>
      </c>
      <c r="F126">
        <v>1</v>
      </c>
      <c r="G126">
        <v>1</v>
      </c>
      <c r="H126">
        <v>8</v>
      </c>
    </row>
    <row r="127" spans="1:8" x14ac:dyDescent="0.35">
      <c r="A127" t="s">
        <v>341</v>
      </c>
      <c r="B127" t="s">
        <v>536</v>
      </c>
      <c r="C127" t="s">
        <v>309</v>
      </c>
      <c r="D127" t="s">
        <v>310</v>
      </c>
      <c r="E127">
        <v>12</v>
      </c>
      <c r="F127">
        <v>0</v>
      </c>
      <c r="G127">
        <v>0</v>
      </c>
      <c r="H127">
        <v>12</v>
      </c>
    </row>
    <row r="128" spans="1:8" x14ac:dyDescent="0.35">
      <c r="A128" t="s">
        <v>341</v>
      </c>
      <c r="B128" t="s">
        <v>536</v>
      </c>
      <c r="C128" t="s">
        <v>311</v>
      </c>
      <c r="D128" t="s">
        <v>312</v>
      </c>
      <c r="E128">
        <v>48</v>
      </c>
      <c r="F128">
        <v>4</v>
      </c>
      <c r="G128">
        <v>9</v>
      </c>
      <c r="H128">
        <v>35</v>
      </c>
    </row>
    <row r="129" spans="1:8" x14ac:dyDescent="0.35">
      <c r="A129" t="s">
        <v>341</v>
      </c>
      <c r="B129" t="s">
        <v>536</v>
      </c>
      <c r="C129" t="s">
        <v>224</v>
      </c>
      <c r="D129" t="s">
        <v>225</v>
      </c>
      <c r="E129">
        <v>78</v>
      </c>
      <c r="F129">
        <v>6</v>
      </c>
      <c r="G129">
        <v>14</v>
      </c>
      <c r="H129">
        <v>58</v>
      </c>
    </row>
    <row r="130" spans="1:8" x14ac:dyDescent="0.35">
      <c r="A130" t="s">
        <v>341</v>
      </c>
      <c r="B130" t="s">
        <v>536</v>
      </c>
      <c r="C130" t="s">
        <v>247</v>
      </c>
      <c r="D130" t="s">
        <v>248</v>
      </c>
      <c r="E130">
        <v>11</v>
      </c>
      <c r="F130">
        <v>1</v>
      </c>
      <c r="G130">
        <v>2</v>
      </c>
      <c r="H130">
        <v>8</v>
      </c>
    </row>
    <row r="131" spans="1:8" x14ac:dyDescent="0.35">
      <c r="A131" t="s">
        <v>341</v>
      </c>
      <c r="B131" t="s">
        <v>536</v>
      </c>
      <c r="C131" t="s">
        <v>289</v>
      </c>
      <c r="D131" t="s">
        <v>290</v>
      </c>
      <c r="E131">
        <v>25</v>
      </c>
      <c r="F131">
        <v>3</v>
      </c>
      <c r="G131">
        <v>5</v>
      </c>
      <c r="H131">
        <v>17</v>
      </c>
    </row>
    <row r="132" spans="1:8" x14ac:dyDescent="0.35">
      <c r="A132" t="s">
        <v>341</v>
      </c>
      <c r="B132" t="s">
        <v>536</v>
      </c>
      <c r="C132" t="s">
        <v>253</v>
      </c>
      <c r="D132" t="s">
        <v>254</v>
      </c>
      <c r="E132">
        <v>0</v>
      </c>
      <c r="F132">
        <v>0</v>
      </c>
      <c r="G132">
        <v>0</v>
      </c>
      <c r="H132">
        <v>0</v>
      </c>
    </row>
    <row r="133" spans="1:8" x14ac:dyDescent="0.35">
      <c r="A133" t="s">
        <v>341</v>
      </c>
      <c r="B133" t="s">
        <v>536</v>
      </c>
      <c r="C133" t="s">
        <v>270</v>
      </c>
      <c r="D133" t="s">
        <v>271</v>
      </c>
      <c r="E133">
        <v>0</v>
      </c>
      <c r="F133">
        <v>0</v>
      </c>
      <c r="G133">
        <v>0</v>
      </c>
      <c r="H133">
        <v>0</v>
      </c>
    </row>
    <row r="134" spans="1:8" x14ac:dyDescent="0.35">
      <c r="A134" t="s">
        <v>341</v>
      </c>
      <c r="B134" t="s">
        <v>536</v>
      </c>
      <c r="C134" t="s">
        <v>267</v>
      </c>
      <c r="D134" t="s">
        <v>268</v>
      </c>
      <c r="E134">
        <v>93</v>
      </c>
      <c r="F134">
        <v>9</v>
      </c>
      <c r="G134">
        <v>18</v>
      </c>
      <c r="H134">
        <v>66</v>
      </c>
    </row>
    <row r="135" spans="1:8" x14ac:dyDescent="0.35">
      <c r="A135" t="s">
        <v>342</v>
      </c>
      <c r="B135" t="s">
        <v>536</v>
      </c>
      <c r="C135" t="s">
        <v>587</v>
      </c>
      <c r="D135" t="s">
        <v>712</v>
      </c>
      <c r="E135">
        <v>2545</v>
      </c>
      <c r="F135">
        <v>246</v>
      </c>
      <c r="G135">
        <v>477</v>
      </c>
      <c r="H135">
        <v>1822</v>
      </c>
    </row>
    <row r="136" spans="1:8" x14ac:dyDescent="0.35">
      <c r="A136" t="s">
        <v>342</v>
      </c>
      <c r="B136" t="s">
        <v>536</v>
      </c>
      <c r="C136" t="s">
        <v>240</v>
      </c>
      <c r="D136" t="s">
        <v>241</v>
      </c>
      <c r="E136">
        <v>17</v>
      </c>
      <c r="F136">
        <v>2</v>
      </c>
      <c r="G136">
        <v>2</v>
      </c>
      <c r="H136">
        <v>13</v>
      </c>
    </row>
    <row r="137" spans="1:8" x14ac:dyDescent="0.35">
      <c r="A137" t="s">
        <v>342</v>
      </c>
      <c r="B137" t="s">
        <v>536</v>
      </c>
      <c r="C137" t="s">
        <v>244</v>
      </c>
      <c r="D137" t="s">
        <v>245</v>
      </c>
      <c r="E137">
        <v>167</v>
      </c>
      <c r="F137">
        <v>14</v>
      </c>
      <c r="G137">
        <v>31</v>
      </c>
      <c r="H137">
        <v>122</v>
      </c>
    </row>
    <row r="138" spans="1:8" x14ac:dyDescent="0.35">
      <c r="A138" t="s">
        <v>342</v>
      </c>
      <c r="B138" t="s">
        <v>536</v>
      </c>
      <c r="C138" t="s">
        <v>249</v>
      </c>
      <c r="D138" t="s">
        <v>250</v>
      </c>
      <c r="E138">
        <v>69</v>
      </c>
      <c r="F138">
        <v>6</v>
      </c>
      <c r="G138">
        <v>7</v>
      </c>
      <c r="H138">
        <v>56</v>
      </c>
    </row>
    <row r="139" spans="1:8" x14ac:dyDescent="0.35">
      <c r="A139" t="s">
        <v>342</v>
      </c>
      <c r="B139" t="s">
        <v>536</v>
      </c>
      <c r="C139" t="s">
        <v>255</v>
      </c>
      <c r="D139" t="s">
        <v>256</v>
      </c>
      <c r="E139">
        <v>48</v>
      </c>
      <c r="F139">
        <v>5</v>
      </c>
      <c r="G139">
        <v>9</v>
      </c>
      <c r="H139">
        <v>34</v>
      </c>
    </row>
    <row r="140" spans="1:8" x14ac:dyDescent="0.35">
      <c r="A140" t="s">
        <v>342</v>
      </c>
      <c r="B140" t="s">
        <v>536</v>
      </c>
      <c r="C140" t="s">
        <v>283</v>
      </c>
      <c r="D140" t="s">
        <v>284</v>
      </c>
      <c r="E140">
        <v>125</v>
      </c>
      <c r="F140">
        <v>13</v>
      </c>
      <c r="G140">
        <v>24</v>
      </c>
      <c r="H140">
        <v>88</v>
      </c>
    </row>
    <row r="141" spans="1:8" x14ac:dyDescent="0.35">
      <c r="A141" t="s">
        <v>342</v>
      </c>
      <c r="B141" t="s">
        <v>536</v>
      </c>
      <c r="C141" t="s">
        <v>263</v>
      </c>
      <c r="D141" t="s">
        <v>264</v>
      </c>
      <c r="E141">
        <v>40</v>
      </c>
      <c r="F141">
        <v>4</v>
      </c>
      <c r="G141">
        <v>8</v>
      </c>
      <c r="H141">
        <v>28</v>
      </c>
    </row>
    <row r="142" spans="1:8" x14ac:dyDescent="0.35">
      <c r="A142" t="s">
        <v>342</v>
      </c>
      <c r="B142" t="s">
        <v>536</v>
      </c>
      <c r="C142" t="s">
        <v>273</v>
      </c>
      <c r="D142" t="s">
        <v>274</v>
      </c>
      <c r="E142">
        <v>494</v>
      </c>
      <c r="F142">
        <v>53</v>
      </c>
      <c r="G142">
        <v>101</v>
      </c>
      <c r="H142">
        <v>340</v>
      </c>
    </row>
    <row r="143" spans="1:8" x14ac:dyDescent="0.35">
      <c r="A143" t="s">
        <v>342</v>
      </c>
      <c r="B143" t="s">
        <v>536</v>
      </c>
      <c r="C143" t="s">
        <v>277</v>
      </c>
      <c r="D143" t="s">
        <v>278</v>
      </c>
      <c r="E143">
        <v>34</v>
      </c>
      <c r="F143">
        <v>3</v>
      </c>
      <c r="G143">
        <v>5</v>
      </c>
      <c r="H143">
        <v>26</v>
      </c>
    </row>
    <row r="144" spans="1:8" x14ac:dyDescent="0.35">
      <c r="A144" t="s">
        <v>342</v>
      </c>
      <c r="B144" t="s">
        <v>536</v>
      </c>
      <c r="C144" t="s">
        <v>279</v>
      </c>
      <c r="D144" t="s">
        <v>280</v>
      </c>
      <c r="E144">
        <v>10</v>
      </c>
      <c r="F144">
        <v>1</v>
      </c>
      <c r="G144">
        <v>2</v>
      </c>
      <c r="H144">
        <v>7</v>
      </c>
    </row>
    <row r="145" spans="1:8" x14ac:dyDescent="0.35">
      <c r="A145" t="s">
        <v>342</v>
      </c>
      <c r="B145" t="s">
        <v>536</v>
      </c>
      <c r="C145" t="s">
        <v>281</v>
      </c>
      <c r="D145" t="s">
        <v>282</v>
      </c>
      <c r="E145">
        <v>111</v>
      </c>
      <c r="F145">
        <v>11</v>
      </c>
      <c r="G145">
        <v>24</v>
      </c>
      <c r="H145">
        <v>76</v>
      </c>
    </row>
    <row r="146" spans="1:8" x14ac:dyDescent="0.35">
      <c r="A146" t="s">
        <v>342</v>
      </c>
      <c r="B146" t="s">
        <v>536</v>
      </c>
      <c r="C146" t="s">
        <v>287</v>
      </c>
      <c r="D146" t="s">
        <v>288</v>
      </c>
      <c r="E146">
        <v>92</v>
      </c>
      <c r="F146">
        <v>10</v>
      </c>
      <c r="G146">
        <v>9</v>
      </c>
      <c r="H146">
        <v>73</v>
      </c>
    </row>
    <row r="147" spans="1:8" x14ac:dyDescent="0.35">
      <c r="A147" t="s">
        <v>342</v>
      </c>
      <c r="B147" t="s">
        <v>536</v>
      </c>
      <c r="C147" t="s">
        <v>292</v>
      </c>
      <c r="D147" t="s">
        <v>293</v>
      </c>
      <c r="E147">
        <v>99</v>
      </c>
      <c r="F147">
        <v>9</v>
      </c>
      <c r="G147">
        <v>22</v>
      </c>
      <c r="H147">
        <v>68</v>
      </c>
    </row>
    <row r="148" spans="1:8" x14ac:dyDescent="0.35">
      <c r="A148" t="s">
        <v>342</v>
      </c>
      <c r="B148" t="s">
        <v>536</v>
      </c>
      <c r="C148" t="s">
        <v>294</v>
      </c>
      <c r="D148" t="s">
        <v>295</v>
      </c>
      <c r="E148">
        <v>110</v>
      </c>
      <c r="F148">
        <v>8</v>
      </c>
      <c r="G148">
        <v>22</v>
      </c>
      <c r="H148">
        <v>80</v>
      </c>
    </row>
    <row r="149" spans="1:8" x14ac:dyDescent="0.35">
      <c r="A149" t="s">
        <v>342</v>
      </c>
      <c r="B149" t="s">
        <v>536</v>
      </c>
      <c r="C149" t="s">
        <v>298</v>
      </c>
      <c r="D149" t="s">
        <v>299</v>
      </c>
      <c r="E149">
        <v>118</v>
      </c>
      <c r="F149">
        <v>12</v>
      </c>
      <c r="G149">
        <v>24</v>
      </c>
      <c r="H149">
        <v>82</v>
      </c>
    </row>
    <row r="150" spans="1:8" x14ac:dyDescent="0.35">
      <c r="A150" t="s">
        <v>342</v>
      </c>
      <c r="B150" t="s">
        <v>536</v>
      </c>
      <c r="C150" t="s">
        <v>300</v>
      </c>
      <c r="D150" t="s">
        <v>301</v>
      </c>
      <c r="E150">
        <v>110</v>
      </c>
      <c r="F150">
        <v>11</v>
      </c>
      <c r="G150">
        <v>23</v>
      </c>
      <c r="H150">
        <v>76</v>
      </c>
    </row>
    <row r="151" spans="1:8" x14ac:dyDescent="0.35">
      <c r="A151" t="s">
        <v>342</v>
      </c>
      <c r="B151" t="s">
        <v>536</v>
      </c>
      <c r="C151" t="s">
        <v>302</v>
      </c>
      <c r="D151" t="s">
        <v>303</v>
      </c>
      <c r="E151">
        <v>44</v>
      </c>
      <c r="F151">
        <v>5</v>
      </c>
      <c r="G151">
        <v>5</v>
      </c>
      <c r="H151">
        <v>34</v>
      </c>
    </row>
    <row r="152" spans="1:8" x14ac:dyDescent="0.35">
      <c r="A152" t="s">
        <v>342</v>
      </c>
      <c r="B152" t="s">
        <v>536</v>
      </c>
      <c r="C152" t="s">
        <v>304</v>
      </c>
      <c r="D152" t="s">
        <v>305</v>
      </c>
      <c r="E152">
        <v>66</v>
      </c>
      <c r="F152">
        <v>9</v>
      </c>
      <c r="G152">
        <v>7</v>
      </c>
      <c r="H152">
        <v>50</v>
      </c>
    </row>
    <row r="153" spans="1:8" x14ac:dyDescent="0.35">
      <c r="A153" t="s">
        <v>342</v>
      </c>
      <c r="B153" t="s">
        <v>536</v>
      </c>
      <c r="C153" t="s">
        <v>307</v>
      </c>
      <c r="D153" t="s">
        <v>308</v>
      </c>
      <c r="E153">
        <v>66</v>
      </c>
      <c r="F153">
        <v>8</v>
      </c>
      <c r="G153">
        <v>14</v>
      </c>
      <c r="H153">
        <v>44</v>
      </c>
    </row>
    <row r="154" spans="1:8" x14ac:dyDescent="0.35">
      <c r="A154" t="s">
        <v>342</v>
      </c>
      <c r="B154" t="s">
        <v>536</v>
      </c>
      <c r="C154" t="s">
        <v>215</v>
      </c>
      <c r="D154" t="s">
        <v>216</v>
      </c>
      <c r="E154">
        <v>6</v>
      </c>
      <c r="F154">
        <v>1</v>
      </c>
      <c r="G154">
        <v>1</v>
      </c>
      <c r="H154">
        <v>4</v>
      </c>
    </row>
    <row r="155" spans="1:8" x14ac:dyDescent="0.35">
      <c r="A155" t="s">
        <v>342</v>
      </c>
      <c r="B155" t="s">
        <v>536</v>
      </c>
      <c r="C155" t="s">
        <v>220</v>
      </c>
      <c r="D155" t="s">
        <v>221</v>
      </c>
      <c r="E155">
        <v>248</v>
      </c>
      <c r="F155">
        <v>23</v>
      </c>
      <c r="G155">
        <v>63</v>
      </c>
      <c r="H155">
        <v>162</v>
      </c>
    </row>
    <row r="156" spans="1:8" x14ac:dyDescent="0.35">
      <c r="A156" t="s">
        <v>342</v>
      </c>
      <c r="B156" t="s">
        <v>536</v>
      </c>
      <c r="C156" t="s">
        <v>228</v>
      </c>
      <c r="D156" t="s">
        <v>229</v>
      </c>
      <c r="E156">
        <v>166</v>
      </c>
      <c r="F156">
        <v>14</v>
      </c>
      <c r="G156">
        <v>24</v>
      </c>
      <c r="H156">
        <v>128</v>
      </c>
    </row>
    <row r="157" spans="1:8" x14ac:dyDescent="0.35">
      <c r="A157" t="s">
        <v>342</v>
      </c>
      <c r="B157" t="s">
        <v>536</v>
      </c>
      <c r="C157" t="s">
        <v>234</v>
      </c>
      <c r="D157" t="s">
        <v>235</v>
      </c>
      <c r="E157">
        <v>8</v>
      </c>
      <c r="F157">
        <v>1</v>
      </c>
      <c r="G157">
        <v>1</v>
      </c>
      <c r="H157">
        <v>6</v>
      </c>
    </row>
    <row r="158" spans="1:8" x14ac:dyDescent="0.35">
      <c r="A158" t="s">
        <v>342</v>
      </c>
      <c r="B158" t="s">
        <v>536</v>
      </c>
      <c r="C158" t="s">
        <v>296</v>
      </c>
      <c r="D158" t="s">
        <v>297</v>
      </c>
      <c r="E158">
        <v>13</v>
      </c>
      <c r="F158">
        <v>1</v>
      </c>
      <c r="G158">
        <v>2</v>
      </c>
      <c r="H158">
        <v>10</v>
      </c>
    </row>
    <row r="159" spans="1:8" x14ac:dyDescent="0.35">
      <c r="A159" t="s">
        <v>342</v>
      </c>
      <c r="B159" t="s">
        <v>536</v>
      </c>
      <c r="C159" t="s">
        <v>309</v>
      </c>
      <c r="D159" t="s">
        <v>310</v>
      </c>
      <c r="E159">
        <v>16</v>
      </c>
      <c r="F159">
        <v>2</v>
      </c>
      <c r="G159">
        <v>2</v>
      </c>
      <c r="H159">
        <v>12</v>
      </c>
    </row>
    <row r="160" spans="1:8" x14ac:dyDescent="0.35">
      <c r="A160" t="s">
        <v>342</v>
      </c>
      <c r="B160" t="s">
        <v>536</v>
      </c>
      <c r="C160" t="s">
        <v>311</v>
      </c>
      <c r="D160" t="s">
        <v>312</v>
      </c>
      <c r="E160">
        <v>49</v>
      </c>
      <c r="F160">
        <v>4</v>
      </c>
      <c r="G160">
        <v>9</v>
      </c>
      <c r="H160">
        <v>36</v>
      </c>
    </row>
    <row r="161" spans="1:8" x14ac:dyDescent="0.35">
      <c r="A161" t="s">
        <v>342</v>
      </c>
      <c r="B161" t="s">
        <v>536</v>
      </c>
      <c r="C161" t="s">
        <v>224</v>
      </c>
      <c r="D161" t="s">
        <v>225</v>
      </c>
      <c r="E161">
        <v>80</v>
      </c>
      <c r="F161">
        <v>6</v>
      </c>
      <c r="G161">
        <v>14</v>
      </c>
      <c r="H161">
        <v>60</v>
      </c>
    </row>
    <row r="162" spans="1:8" x14ac:dyDescent="0.35">
      <c r="A162" t="s">
        <v>342</v>
      </c>
      <c r="B162" t="s">
        <v>536</v>
      </c>
      <c r="C162" t="s">
        <v>247</v>
      </c>
      <c r="D162" t="s">
        <v>248</v>
      </c>
      <c r="E162">
        <v>12</v>
      </c>
      <c r="F162">
        <v>1</v>
      </c>
      <c r="G162">
        <v>2</v>
      </c>
      <c r="H162">
        <v>9</v>
      </c>
    </row>
    <row r="163" spans="1:8" x14ac:dyDescent="0.35">
      <c r="A163" t="s">
        <v>342</v>
      </c>
      <c r="B163" t="s">
        <v>536</v>
      </c>
      <c r="C163" t="s">
        <v>289</v>
      </c>
      <c r="D163" t="s">
        <v>290</v>
      </c>
      <c r="E163">
        <v>28</v>
      </c>
      <c r="F163">
        <v>2</v>
      </c>
      <c r="G163">
        <v>5</v>
      </c>
      <c r="H163">
        <v>21</v>
      </c>
    </row>
    <row r="164" spans="1:8" x14ac:dyDescent="0.35">
      <c r="A164" t="s">
        <v>342</v>
      </c>
      <c r="B164" t="s">
        <v>536</v>
      </c>
      <c r="C164" t="s">
        <v>267</v>
      </c>
      <c r="D164" t="s">
        <v>268</v>
      </c>
      <c r="E164">
        <v>102</v>
      </c>
      <c r="F164">
        <v>9</v>
      </c>
      <c r="G164">
        <v>18</v>
      </c>
      <c r="H164">
        <v>75</v>
      </c>
    </row>
    <row r="165" spans="1:8" x14ac:dyDescent="0.35">
      <c r="A165" t="s">
        <v>214</v>
      </c>
      <c r="B165" t="s">
        <v>536</v>
      </c>
      <c r="D165" t="s">
        <v>713</v>
      </c>
      <c r="E165">
        <v>2583.98</v>
      </c>
      <c r="F165">
        <v>241.25</v>
      </c>
      <c r="G165">
        <v>478.93</v>
      </c>
      <c r="H165">
        <v>1863.8</v>
      </c>
    </row>
    <row r="166" spans="1:8" x14ac:dyDescent="0.35">
      <c r="A166" t="s">
        <v>214</v>
      </c>
      <c r="B166" t="s">
        <v>536</v>
      </c>
      <c r="C166" t="s">
        <v>240</v>
      </c>
      <c r="D166" t="s">
        <v>241</v>
      </c>
      <c r="E166">
        <v>15</v>
      </c>
      <c r="F166">
        <v>1.25</v>
      </c>
      <c r="G166">
        <v>2.75</v>
      </c>
      <c r="H166">
        <v>11</v>
      </c>
    </row>
    <row r="167" spans="1:8" x14ac:dyDescent="0.35">
      <c r="A167" t="s">
        <v>214</v>
      </c>
      <c r="B167" t="s">
        <v>536</v>
      </c>
      <c r="C167" t="s">
        <v>244</v>
      </c>
      <c r="D167" t="s">
        <v>245</v>
      </c>
      <c r="E167">
        <v>173.25</v>
      </c>
      <c r="F167">
        <v>15.25</v>
      </c>
      <c r="G167">
        <v>31</v>
      </c>
      <c r="H167">
        <v>127</v>
      </c>
    </row>
    <row r="168" spans="1:8" x14ac:dyDescent="0.35">
      <c r="A168" t="s">
        <v>214</v>
      </c>
      <c r="B168" t="s">
        <v>536</v>
      </c>
      <c r="C168" t="s">
        <v>249</v>
      </c>
      <c r="D168" t="s">
        <v>250</v>
      </c>
      <c r="E168">
        <v>62</v>
      </c>
      <c r="F168">
        <v>4.5</v>
      </c>
      <c r="G168">
        <v>8.25</v>
      </c>
      <c r="H168">
        <v>49.25</v>
      </c>
    </row>
    <row r="169" spans="1:8" x14ac:dyDescent="0.35">
      <c r="A169" t="s">
        <v>214</v>
      </c>
      <c r="B169" t="s">
        <v>536</v>
      </c>
      <c r="C169" t="s">
        <v>255</v>
      </c>
      <c r="D169" t="s">
        <v>256</v>
      </c>
      <c r="E169">
        <v>51</v>
      </c>
      <c r="F169">
        <v>4</v>
      </c>
      <c r="G169">
        <v>10.5</v>
      </c>
      <c r="H169">
        <v>36.5</v>
      </c>
    </row>
    <row r="170" spans="1:8" x14ac:dyDescent="0.35">
      <c r="A170" t="s">
        <v>214</v>
      </c>
      <c r="B170" t="s">
        <v>536</v>
      </c>
      <c r="C170" t="s">
        <v>283</v>
      </c>
      <c r="D170" t="s">
        <v>284</v>
      </c>
      <c r="E170">
        <v>126.75</v>
      </c>
      <c r="F170">
        <v>12.5</v>
      </c>
      <c r="G170">
        <v>24.25</v>
      </c>
      <c r="H170">
        <v>90</v>
      </c>
    </row>
    <row r="171" spans="1:8" x14ac:dyDescent="0.35">
      <c r="A171" t="s">
        <v>214</v>
      </c>
      <c r="B171" t="s">
        <v>536</v>
      </c>
      <c r="C171" t="s">
        <v>263</v>
      </c>
      <c r="D171" t="s">
        <v>264</v>
      </c>
      <c r="E171">
        <v>41</v>
      </c>
      <c r="F171">
        <v>4</v>
      </c>
      <c r="G171">
        <v>7.75</v>
      </c>
      <c r="H171">
        <v>29.25</v>
      </c>
    </row>
    <row r="172" spans="1:8" x14ac:dyDescent="0.35">
      <c r="A172" t="s">
        <v>214</v>
      </c>
      <c r="B172" t="s">
        <v>536</v>
      </c>
      <c r="C172" t="s">
        <v>273</v>
      </c>
      <c r="D172" t="s">
        <v>274</v>
      </c>
      <c r="E172">
        <v>503</v>
      </c>
      <c r="F172">
        <v>53.5</v>
      </c>
      <c r="G172">
        <v>96.25</v>
      </c>
      <c r="H172">
        <v>353.25</v>
      </c>
    </row>
    <row r="173" spans="1:8" x14ac:dyDescent="0.35">
      <c r="A173" t="s">
        <v>214</v>
      </c>
      <c r="B173" t="s">
        <v>536</v>
      </c>
      <c r="C173" t="s">
        <v>277</v>
      </c>
      <c r="D173" t="s">
        <v>278</v>
      </c>
      <c r="E173">
        <v>36.5</v>
      </c>
      <c r="F173">
        <v>2.75</v>
      </c>
      <c r="G173">
        <v>4.75</v>
      </c>
      <c r="H173">
        <v>29</v>
      </c>
    </row>
    <row r="174" spans="1:8" x14ac:dyDescent="0.35">
      <c r="A174" t="s">
        <v>214</v>
      </c>
      <c r="B174" t="s">
        <v>536</v>
      </c>
      <c r="C174" t="s">
        <v>279</v>
      </c>
      <c r="D174" t="s">
        <v>280</v>
      </c>
      <c r="E174">
        <v>11</v>
      </c>
      <c r="F174">
        <v>1</v>
      </c>
      <c r="G174">
        <v>2.5</v>
      </c>
      <c r="H174">
        <v>7.5</v>
      </c>
    </row>
    <row r="175" spans="1:8" x14ac:dyDescent="0.35">
      <c r="A175" t="s">
        <v>214</v>
      </c>
      <c r="B175" t="s">
        <v>536</v>
      </c>
      <c r="C175" t="s">
        <v>281</v>
      </c>
      <c r="D175" t="s">
        <v>282</v>
      </c>
      <c r="E175">
        <v>109.25</v>
      </c>
      <c r="F175">
        <v>10.25</v>
      </c>
      <c r="G175">
        <v>24.25</v>
      </c>
      <c r="H175">
        <v>74.75</v>
      </c>
    </row>
    <row r="176" spans="1:8" x14ac:dyDescent="0.35">
      <c r="A176" t="s">
        <v>214</v>
      </c>
      <c r="B176" t="s">
        <v>536</v>
      </c>
      <c r="C176" t="s">
        <v>287</v>
      </c>
      <c r="D176" t="s">
        <v>288</v>
      </c>
      <c r="E176">
        <v>90.75</v>
      </c>
      <c r="F176">
        <v>10.75</v>
      </c>
      <c r="G176">
        <v>9.5</v>
      </c>
      <c r="H176">
        <v>70.5</v>
      </c>
    </row>
    <row r="177" spans="1:8" x14ac:dyDescent="0.35">
      <c r="A177" t="s">
        <v>214</v>
      </c>
      <c r="B177" t="s">
        <v>536</v>
      </c>
      <c r="C177" t="s">
        <v>292</v>
      </c>
      <c r="D177" t="s">
        <v>293</v>
      </c>
      <c r="E177">
        <v>106.5</v>
      </c>
      <c r="F177">
        <v>8.5</v>
      </c>
      <c r="G177">
        <v>23</v>
      </c>
      <c r="H177">
        <v>75</v>
      </c>
    </row>
    <row r="178" spans="1:8" x14ac:dyDescent="0.35">
      <c r="A178" t="s">
        <v>214</v>
      </c>
      <c r="B178" t="s">
        <v>536</v>
      </c>
      <c r="C178" t="s">
        <v>298</v>
      </c>
      <c r="D178" t="s">
        <v>299</v>
      </c>
      <c r="E178">
        <v>117.75</v>
      </c>
      <c r="F178">
        <v>11</v>
      </c>
      <c r="G178">
        <v>24.75</v>
      </c>
      <c r="H178">
        <v>82</v>
      </c>
    </row>
    <row r="179" spans="1:8" x14ac:dyDescent="0.35">
      <c r="A179" t="s">
        <v>214</v>
      </c>
      <c r="B179" t="s">
        <v>536</v>
      </c>
      <c r="C179" t="s">
        <v>300</v>
      </c>
      <c r="D179" t="s">
        <v>301</v>
      </c>
      <c r="E179">
        <v>118.25</v>
      </c>
      <c r="F179">
        <v>11.75</v>
      </c>
      <c r="G179">
        <v>23.75</v>
      </c>
      <c r="H179">
        <v>82.75</v>
      </c>
    </row>
    <row r="180" spans="1:8" x14ac:dyDescent="0.35">
      <c r="A180" t="s">
        <v>214</v>
      </c>
      <c r="B180" t="s">
        <v>536</v>
      </c>
      <c r="C180" t="s">
        <v>302</v>
      </c>
      <c r="D180" t="s">
        <v>303</v>
      </c>
      <c r="E180">
        <v>50.75</v>
      </c>
      <c r="F180">
        <v>5</v>
      </c>
      <c r="G180">
        <v>6.25</v>
      </c>
      <c r="H180">
        <v>39.5</v>
      </c>
    </row>
    <row r="181" spans="1:8" x14ac:dyDescent="0.35">
      <c r="A181" t="s">
        <v>214</v>
      </c>
      <c r="B181" t="s">
        <v>536</v>
      </c>
      <c r="C181" t="s">
        <v>304</v>
      </c>
      <c r="D181" t="s">
        <v>305</v>
      </c>
      <c r="E181">
        <v>65.25</v>
      </c>
      <c r="F181">
        <v>7.25</v>
      </c>
      <c r="G181">
        <v>7.25</v>
      </c>
      <c r="H181">
        <v>50.75</v>
      </c>
    </row>
    <row r="182" spans="1:8" x14ac:dyDescent="0.35">
      <c r="A182" t="s">
        <v>214</v>
      </c>
      <c r="B182" t="s">
        <v>536</v>
      </c>
      <c r="C182" t="s">
        <v>307</v>
      </c>
      <c r="D182" t="s">
        <v>308</v>
      </c>
      <c r="E182">
        <v>66.5</v>
      </c>
      <c r="F182">
        <v>7.5</v>
      </c>
      <c r="G182">
        <v>14.25</v>
      </c>
      <c r="H182">
        <v>44.75</v>
      </c>
    </row>
    <row r="183" spans="1:8" x14ac:dyDescent="0.35">
      <c r="A183" t="s">
        <v>214</v>
      </c>
      <c r="B183" t="s">
        <v>536</v>
      </c>
      <c r="C183" t="s">
        <v>215</v>
      </c>
      <c r="D183" t="s">
        <v>216</v>
      </c>
      <c r="E183">
        <v>6.75</v>
      </c>
      <c r="F183">
        <v>1</v>
      </c>
      <c r="G183">
        <v>2.5</v>
      </c>
      <c r="H183">
        <v>3.25</v>
      </c>
    </row>
    <row r="184" spans="1:8" x14ac:dyDescent="0.35">
      <c r="A184" t="s">
        <v>214</v>
      </c>
      <c r="B184" t="s">
        <v>536</v>
      </c>
      <c r="C184" t="s">
        <v>220</v>
      </c>
      <c r="D184" t="s">
        <v>221</v>
      </c>
      <c r="E184">
        <v>255.25</v>
      </c>
      <c r="F184">
        <v>22.5</v>
      </c>
      <c r="G184">
        <v>62.5</v>
      </c>
      <c r="H184">
        <v>170.25</v>
      </c>
    </row>
    <row r="185" spans="1:8" x14ac:dyDescent="0.35">
      <c r="A185" t="s">
        <v>214</v>
      </c>
      <c r="B185" t="s">
        <v>536</v>
      </c>
      <c r="C185" t="s">
        <v>228</v>
      </c>
      <c r="D185" t="s">
        <v>229</v>
      </c>
      <c r="E185">
        <v>163.75</v>
      </c>
      <c r="F185">
        <v>13.25</v>
      </c>
      <c r="G185">
        <v>23</v>
      </c>
      <c r="H185">
        <v>127.5</v>
      </c>
    </row>
    <row r="186" spans="1:8" x14ac:dyDescent="0.35">
      <c r="A186" t="s">
        <v>214</v>
      </c>
      <c r="B186" t="s">
        <v>536</v>
      </c>
      <c r="C186" t="s">
        <v>234</v>
      </c>
      <c r="D186" t="s">
        <v>235</v>
      </c>
      <c r="G186">
        <v>1.25</v>
      </c>
      <c r="H186">
        <v>4.25</v>
      </c>
    </row>
    <row r="187" spans="1:8" x14ac:dyDescent="0.35">
      <c r="A187" t="s">
        <v>214</v>
      </c>
      <c r="B187" t="s">
        <v>536</v>
      </c>
      <c r="C187" t="s">
        <v>296</v>
      </c>
      <c r="D187" t="s">
        <v>297</v>
      </c>
      <c r="E187">
        <v>12.25</v>
      </c>
      <c r="F187">
        <v>0.75</v>
      </c>
      <c r="G187">
        <v>1.5</v>
      </c>
      <c r="H187">
        <v>10</v>
      </c>
    </row>
    <row r="188" spans="1:8" x14ac:dyDescent="0.35">
      <c r="A188" t="s">
        <v>214</v>
      </c>
      <c r="B188" t="s">
        <v>536</v>
      </c>
      <c r="C188" t="s">
        <v>309</v>
      </c>
      <c r="D188" t="s">
        <v>310</v>
      </c>
      <c r="E188">
        <v>17.5</v>
      </c>
      <c r="F188">
        <v>1.75</v>
      </c>
      <c r="G188">
        <v>1.5</v>
      </c>
      <c r="H188">
        <v>14.25</v>
      </c>
    </row>
    <row r="189" spans="1:8" x14ac:dyDescent="0.35">
      <c r="A189" t="s">
        <v>214</v>
      </c>
      <c r="B189" t="s">
        <v>536</v>
      </c>
      <c r="C189" t="s">
        <v>311</v>
      </c>
      <c r="D189" t="s">
        <v>312</v>
      </c>
      <c r="E189">
        <v>45.25</v>
      </c>
      <c r="F189">
        <v>3.75</v>
      </c>
      <c r="G189">
        <v>8.75</v>
      </c>
      <c r="H189">
        <v>32.75</v>
      </c>
    </row>
    <row r="190" spans="1:8" x14ac:dyDescent="0.35">
      <c r="A190" t="s">
        <v>214</v>
      </c>
      <c r="B190" t="s">
        <v>536</v>
      </c>
      <c r="C190" t="s">
        <v>224</v>
      </c>
      <c r="D190" t="s">
        <v>225</v>
      </c>
      <c r="E190">
        <v>84</v>
      </c>
      <c r="F190">
        <v>6</v>
      </c>
      <c r="G190">
        <v>12.5</v>
      </c>
      <c r="H190">
        <v>65.5</v>
      </c>
    </row>
    <row r="191" spans="1:8" x14ac:dyDescent="0.35">
      <c r="A191" t="s">
        <v>214</v>
      </c>
      <c r="B191" t="s">
        <v>536</v>
      </c>
      <c r="C191" t="s">
        <v>247</v>
      </c>
      <c r="D191" t="s">
        <v>248</v>
      </c>
      <c r="E191">
        <v>10.25</v>
      </c>
      <c r="F191">
        <v>1</v>
      </c>
      <c r="G191">
        <v>1.5</v>
      </c>
      <c r="H191">
        <v>7.75</v>
      </c>
    </row>
    <row r="192" spans="1:8" x14ac:dyDescent="0.35">
      <c r="A192" t="s">
        <v>214</v>
      </c>
      <c r="B192" t="s">
        <v>536</v>
      </c>
      <c r="C192" t="s">
        <v>289</v>
      </c>
      <c r="D192" t="s">
        <v>290</v>
      </c>
      <c r="E192">
        <v>25.5</v>
      </c>
      <c r="F192">
        <v>2.5</v>
      </c>
      <c r="G192">
        <v>4.75</v>
      </c>
      <c r="H192">
        <v>18.25</v>
      </c>
    </row>
    <row r="193" spans="1:8" x14ac:dyDescent="0.35">
      <c r="A193" t="s">
        <v>214</v>
      </c>
      <c r="B193" t="s">
        <v>536</v>
      </c>
      <c r="C193" t="s">
        <v>267</v>
      </c>
      <c r="D193" t="s">
        <v>268</v>
      </c>
      <c r="E193">
        <v>101.48</v>
      </c>
      <c r="F193">
        <v>8.75</v>
      </c>
      <c r="G193">
        <v>17.929999999999996</v>
      </c>
      <c r="H193">
        <v>74.800000000000011</v>
      </c>
    </row>
    <row r="194" spans="1:8" x14ac:dyDescent="0.35">
      <c r="A194" t="s">
        <v>214</v>
      </c>
      <c r="B194" t="s">
        <v>536</v>
      </c>
      <c r="C194" t="s">
        <v>494</v>
      </c>
      <c r="D194" t="s">
        <v>295</v>
      </c>
      <c r="E194">
        <v>112</v>
      </c>
      <c r="F194">
        <v>9.25</v>
      </c>
      <c r="G194">
        <v>20.25</v>
      </c>
      <c r="H194">
        <v>82.5</v>
      </c>
    </row>
    <row r="195" spans="1:8" x14ac:dyDescent="0.35">
      <c r="A195" t="s">
        <v>313</v>
      </c>
      <c r="B195" t="s">
        <v>536</v>
      </c>
      <c r="D195" t="s">
        <v>713</v>
      </c>
      <c r="E195">
        <v>2551.73</v>
      </c>
      <c r="F195">
        <v>236.5</v>
      </c>
      <c r="G195">
        <v>459.93</v>
      </c>
      <c r="H195">
        <v>1855.3</v>
      </c>
    </row>
    <row r="196" spans="1:8" x14ac:dyDescent="0.35">
      <c r="A196" t="s">
        <v>313</v>
      </c>
      <c r="B196" t="s">
        <v>536</v>
      </c>
      <c r="C196" t="s">
        <v>232</v>
      </c>
      <c r="D196" t="s">
        <v>229</v>
      </c>
      <c r="E196">
        <v>160.5</v>
      </c>
      <c r="F196">
        <v>11.75</v>
      </c>
      <c r="G196">
        <v>22.25</v>
      </c>
      <c r="H196">
        <v>126.5</v>
      </c>
    </row>
    <row r="197" spans="1:8" x14ac:dyDescent="0.35">
      <c r="A197" t="s">
        <v>313</v>
      </c>
      <c r="B197" t="s">
        <v>536</v>
      </c>
      <c r="C197" t="s">
        <v>232</v>
      </c>
      <c r="D197" t="s">
        <v>245</v>
      </c>
      <c r="E197">
        <v>163</v>
      </c>
      <c r="F197">
        <v>14.25</v>
      </c>
      <c r="G197">
        <v>29.75</v>
      </c>
      <c r="H197">
        <v>119</v>
      </c>
    </row>
    <row r="198" spans="1:8" x14ac:dyDescent="0.35">
      <c r="A198" t="s">
        <v>313</v>
      </c>
      <c r="B198" t="s">
        <v>536</v>
      </c>
      <c r="C198" t="s">
        <v>232</v>
      </c>
      <c r="D198" t="s">
        <v>250</v>
      </c>
      <c r="E198">
        <v>64</v>
      </c>
      <c r="F198">
        <v>6</v>
      </c>
      <c r="G198">
        <v>6.75</v>
      </c>
      <c r="H198">
        <v>51.25</v>
      </c>
    </row>
    <row r="199" spans="1:8" x14ac:dyDescent="0.35">
      <c r="A199" t="s">
        <v>313</v>
      </c>
      <c r="B199" t="s">
        <v>536</v>
      </c>
      <c r="C199" t="s">
        <v>232</v>
      </c>
      <c r="D199" t="s">
        <v>278</v>
      </c>
      <c r="E199">
        <v>34.5</v>
      </c>
      <c r="F199">
        <v>2.75</v>
      </c>
      <c r="G199">
        <v>4.75</v>
      </c>
      <c r="H199">
        <v>27</v>
      </c>
    </row>
    <row r="200" spans="1:8" x14ac:dyDescent="0.35">
      <c r="A200" t="s">
        <v>313</v>
      </c>
      <c r="B200" t="s">
        <v>536</v>
      </c>
      <c r="C200" t="s">
        <v>232</v>
      </c>
      <c r="D200" t="s">
        <v>288</v>
      </c>
      <c r="E200">
        <v>88.25</v>
      </c>
      <c r="F200">
        <v>10.5</v>
      </c>
      <c r="G200">
        <v>9.5</v>
      </c>
      <c r="H200">
        <v>68.25</v>
      </c>
    </row>
    <row r="201" spans="1:8" x14ac:dyDescent="0.35">
      <c r="A201" t="s">
        <v>313</v>
      </c>
      <c r="B201" t="s">
        <v>536</v>
      </c>
      <c r="C201" t="s">
        <v>232</v>
      </c>
      <c r="D201" t="s">
        <v>290</v>
      </c>
      <c r="E201">
        <v>27</v>
      </c>
      <c r="F201">
        <v>2.5</v>
      </c>
      <c r="G201">
        <v>3.75</v>
      </c>
      <c r="H201">
        <v>20.75</v>
      </c>
    </row>
    <row r="202" spans="1:8" x14ac:dyDescent="0.35">
      <c r="A202" t="s">
        <v>313</v>
      </c>
      <c r="B202" t="s">
        <v>536</v>
      </c>
      <c r="C202" t="s">
        <v>232</v>
      </c>
      <c r="D202" t="s">
        <v>297</v>
      </c>
      <c r="E202">
        <v>11</v>
      </c>
      <c r="F202">
        <v>0.75</v>
      </c>
      <c r="G202">
        <v>1.5</v>
      </c>
      <c r="H202">
        <v>8.75</v>
      </c>
    </row>
    <row r="203" spans="1:8" x14ac:dyDescent="0.35">
      <c r="A203" t="s">
        <v>313</v>
      </c>
      <c r="B203" t="s">
        <v>536</v>
      </c>
      <c r="C203" t="s">
        <v>232</v>
      </c>
      <c r="D203" t="s">
        <v>303</v>
      </c>
      <c r="E203">
        <v>46.5</v>
      </c>
      <c r="F203">
        <v>4.5</v>
      </c>
      <c r="G203">
        <v>6.5</v>
      </c>
      <c r="H203">
        <v>35.5</v>
      </c>
    </row>
    <row r="204" spans="1:8" x14ac:dyDescent="0.35">
      <c r="A204" t="s">
        <v>313</v>
      </c>
      <c r="B204" t="s">
        <v>536</v>
      </c>
      <c r="C204" t="s">
        <v>232</v>
      </c>
      <c r="D204" t="s">
        <v>305</v>
      </c>
      <c r="E204">
        <v>70.25</v>
      </c>
      <c r="F204">
        <v>6.5</v>
      </c>
      <c r="G204">
        <v>7.25</v>
      </c>
      <c r="H204">
        <v>56.5</v>
      </c>
    </row>
    <row r="205" spans="1:8" x14ac:dyDescent="0.35">
      <c r="A205" t="s">
        <v>313</v>
      </c>
      <c r="B205" t="s">
        <v>536</v>
      </c>
      <c r="C205" t="s">
        <v>232</v>
      </c>
      <c r="D205" t="s">
        <v>310</v>
      </c>
      <c r="E205">
        <v>16.25</v>
      </c>
      <c r="F205">
        <v>1.5</v>
      </c>
      <c r="G205">
        <v>1.5</v>
      </c>
      <c r="H205">
        <v>13.25</v>
      </c>
    </row>
    <row r="206" spans="1:8" x14ac:dyDescent="0.35">
      <c r="A206" t="s">
        <v>313</v>
      </c>
      <c r="B206" t="s">
        <v>536</v>
      </c>
      <c r="C206" t="s">
        <v>238</v>
      </c>
      <c r="D206" t="s">
        <v>235</v>
      </c>
      <c r="E206">
        <v>4.75</v>
      </c>
      <c r="F206">
        <v>0.75</v>
      </c>
      <c r="G206">
        <v>1</v>
      </c>
      <c r="H206">
        <v>3</v>
      </c>
    </row>
    <row r="207" spans="1:8" x14ac:dyDescent="0.35">
      <c r="A207" t="s">
        <v>313</v>
      </c>
      <c r="B207" t="s">
        <v>536</v>
      </c>
      <c r="C207" t="s">
        <v>238</v>
      </c>
      <c r="D207" t="s">
        <v>241</v>
      </c>
      <c r="E207">
        <v>19</v>
      </c>
      <c r="F207">
        <v>2.25</v>
      </c>
      <c r="G207">
        <v>3.5</v>
      </c>
      <c r="H207">
        <v>13.25</v>
      </c>
    </row>
    <row r="208" spans="1:8" x14ac:dyDescent="0.35">
      <c r="A208" t="s">
        <v>313</v>
      </c>
      <c r="B208" t="s">
        <v>536</v>
      </c>
      <c r="C208" t="s">
        <v>238</v>
      </c>
      <c r="D208" t="s">
        <v>256</v>
      </c>
      <c r="E208">
        <v>52.25</v>
      </c>
      <c r="F208">
        <v>4</v>
      </c>
      <c r="G208">
        <v>10.25</v>
      </c>
      <c r="H208">
        <v>38</v>
      </c>
    </row>
    <row r="209" spans="1:8" x14ac:dyDescent="0.35">
      <c r="A209" t="s">
        <v>313</v>
      </c>
      <c r="B209" t="s">
        <v>536</v>
      </c>
      <c r="C209" t="s">
        <v>238</v>
      </c>
      <c r="D209" t="s">
        <v>264</v>
      </c>
      <c r="E209">
        <v>42.5</v>
      </c>
      <c r="F209">
        <v>3</v>
      </c>
      <c r="G209">
        <v>7.5</v>
      </c>
      <c r="H209">
        <v>32</v>
      </c>
    </row>
    <row r="210" spans="1:8" x14ac:dyDescent="0.35">
      <c r="A210" t="s">
        <v>313</v>
      </c>
      <c r="B210" t="s">
        <v>536</v>
      </c>
      <c r="C210" t="s">
        <v>238</v>
      </c>
      <c r="D210" t="s">
        <v>268</v>
      </c>
      <c r="E210">
        <v>97.23</v>
      </c>
      <c r="F210">
        <v>8.75</v>
      </c>
      <c r="G210">
        <v>17.179999999999996</v>
      </c>
      <c r="H210">
        <v>71.300000000000011</v>
      </c>
    </row>
    <row r="211" spans="1:8" x14ac:dyDescent="0.35">
      <c r="A211" t="s">
        <v>313</v>
      </c>
      <c r="B211" t="s">
        <v>536</v>
      </c>
      <c r="C211" t="s">
        <v>238</v>
      </c>
      <c r="D211" t="s">
        <v>280</v>
      </c>
      <c r="E211">
        <v>10.5</v>
      </c>
      <c r="F211">
        <v>1</v>
      </c>
      <c r="G211">
        <v>1.5</v>
      </c>
      <c r="H211">
        <v>8</v>
      </c>
    </row>
    <row r="212" spans="1:8" x14ac:dyDescent="0.35">
      <c r="A212" t="s">
        <v>313</v>
      </c>
      <c r="B212" t="s">
        <v>536</v>
      </c>
      <c r="C212" t="s">
        <v>238</v>
      </c>
      <c r="D212" t="s">
        <v>299</v>
      </c>
      <c r="E212">
        <v>120.75</v>
      </c>
      <c r="F212">
        <v>10.75</v>
      </c>
      <c r="G212">
        <v>24.75</v>
      </c>
      <c r="H212">
        <v>85.25</v>
      </c>
    </row>
    <row r="213" spans="1:8" x14ac:dyDescent="0.35">
      <c r="A213" t="s">
        <v>313</v>
      </c>
      <c r="B213" t="s">
        <v>536</v>
      </c>
      <c r="C213" t="s">
        <v>238</v>
      </c>
      <c r="D213" t="s">
        <v>308</v>
      </c>
      <c r="E213">
        <v>65</v>
      </c>
      <c r="F213">
        <v>8.25</v>
      </c>
      <c r="G213">
        <v>12.75</v>
      </c>
      <c r="H213">
        <v>44</v>
      </c>
    </row>
    <row r="214" spans="1:8" x14ac:dyDescent="0.35">
      <c r="A214" t="s">
        <v>313</v>
      </c>
      <c r="B214" t="s">
        <v>536</v>
      </c>
      <c r="C214" t="s">
        <v>238</v>
      </c>
      <c r="D214" t="s">
        <v>312</v>
      </c>
      <c r="E214">
        <v>49.75</v>
      </c>
      <c r="F214">
        <v>4.75</v>
      </c>
      <c r="G214">
        <v>8.25</v>
      </c>
      <c r="H214">
        <v>36.75</v>
      </c>
    </row>
    <row r="215" spans="1:8" x14ac:dyDescent="0.35">
      <c r="A215" t="s">
        <v>313</v>
      </c>
      <c r="B215" t="s">
        <v>536</v>
      </c>
      <c r="C215" t="s">
        <v>218</v>
      </c>
      <c r="D215" t="s">
        <v>216</v>
      </c>
      <c r="E215">
        <v>6.5</v>
      </c>
      <c r="F215">
        <v>1</v>
      </c>
      <c r="G215">
        <v>2.5</v>
      </c>
      <c r="H215">
        <v>3</v>
      </c>
    </row>
    <row r="216" spans="1:8" x14ac:dyDescent="0.35">
      <c r="A216" t="s">
        <v>313</v>
      </c>
      <c r="B216" t="s">
        <v>536</v>
      </c>
      <c r="C216" t="s">
        <v>218</v>
      </c>
      <c r="D216" t="s">
        <v>221</v>
      </c>
      <c r="E216">
        <v>252.5</v>
      </c>
      <c r="F216">
        <v>22.5</v>
      </c>
      <c r="G216">
        <v>58</v>
      </c>
      <c r="H216">
        <v>172</v>
      </c>
    </row>
    <row r="217" spans="1:8" x14ac:dyDescent="0.35">
      <c r="A217" t="s">
        <v>313</v>
      </c>
      <c r="B217" t="s">
        <v>536</v>
      </c>
      <c r="C217" t="s">
        <v>218</v>
      </c>
      <c r="D217" t="s">
        <v>225</v>
      </c>
      <c r="E217">
        <v>86.5</v>
      </c>
      <c r="F217">
        <v>6</v>
      </c>
      <c r="G217">
        <v>13.75</v>
      </c>
      <c r="H217">
        <v>66.75</v>
      </c>
    </row>
    <row r="218" spans="1:8" x14ac:dyDescent="0.35">
      <c r="A218" t="s">
        <v>313</v>
      </c>
      <c r="B218" t="s">
        <v>536</v>
      </c>
      <c r="C218" t="s">
        <v>218</v>
      </c>
      <c r="D218" t="s">
        <v>248</v>
      </c>
      <c r="E218">
        <v>10.25</v>
      </c>
      <c r="F218">
        <v>1</v>
      </c>
      <c r="G218">
        <v>1.5</v>
      </c>
      <c r="H218">
        <v>7.75</v>
      </c>
    </row>
    <row r="219" spans="1:8" x14ac:dyDescent="0.35">
      <c r="A219" t="s">
        <v>313</v>
      </c>
      <c r="B219" t="s">
        <v>536</v>
      </c>
      <c r="C219" t="s">
        <v>218</v>
      </c>
      <c r="D219" t="s">
        <v>274</v>
      </c>
      <c r="E219">
        <v>476.75</v>
      </c>
      <c r="F219">
        <v>49.5</v>
      </c>
      <c r="G219">
        <v>87</v>
      </c>
      <c r="H219">
        <v>340.25</v>
      </c>
    </row>
    <row r="220" spans="1:8" x14ac:dyDescent="0.35">
      <c r="A220" t="s">
        <v>313</v>
      </c>
      <c r="B220" t="s">
        <v>536</v>
      </c>
      <c r="C220" t="s">
        <v>218</v>
      </c>
      <c r="D220" t="s">
        <v>282</v>
      </c>
      <c r="E220">
        <v>109</v>
      </c>
      <c r="F220">
        <v>9.75</v>
      </c>
      <c r="G220">
        <v>23.75</v>
      </c>
      <c r="H220">
        <v>75.5</v>
      </c>
    </row>
    <row r="221" spans="1:8" x14ac:dyDescent="0.35">
      <c r="A221" t="s">
        <v>313</v>
      </c>
      <c r="B221" t="s">
        <v>536</v>
      </c>
      <c r="C221" t="s">
        <v>218</v>
      </c>
      <c r="D221" t="s">
        <v>284</v>
      </c>
      <c r="E221">
        <v>127.75</v>
      </c>
      <c r="F221">
        <v>13.5</v>
      </c>
      <c r="G221">
        <v>28.75</v>
      </c>
      <c r="H221">
        <v>85.5</v>
      </c>
    </row>
    <row r="222" spans="1:8" x14ac:dyDescent="0.35">
      <c r="A222" t="s">
        <v>313</v>
      </c>
      <c r="B222" t="s">
        <v>536</v>
      </c>
      <c r="C222" t="s">
        <v>218</v>
      </c>
      <c r="D222" t="s">
        <v>293</v>
      </c>
      <c r="E222">
        <v>106.25</v>
      </c>
      <c r="F222">
        <v>8.75</v>
      </c>
      <c r="G222">
        <v>22</v>
      </c>
      <c r="H222">
        <v>75.5</v>
      </c>
    </row>
    <row r="223" spans="1:8" x14ac:dyDescent="0.35">
      <c r="A223" t="s">
        <v>313</v>
      </c>
      <c r="B223" t="s">
        <v>536</v>
      </c>
      <c r="C223" t="s">
        <v>218</v>
      </c>
      <c r="D223" t="s">
        <v>295</v>
      </c>
      <c r="E223">
        <v>112.25</v>
      </c>
      <c r="F223">
        <v>9.25</v>
      </c>
      <c r="G223">
        <v>19.75</v>
      </c>
      <c r="H223">
        <v>83.25</v>
      </c>
    </row>
    <row r="224" spans="1:8" x14ac:dyDescent="0.35">
      <c r="A224" t="s">
        <v>313</v>
      </c>
      <c r="B224" t="s">
        <v>536</v>
      </c>
      <c r="C224" t="s">
        <v>218</v>
      </c>
      <c r="D224" t="s">
        <v>301</v>
      </c>
      <c r="E224">
        <v>121</v>
      </c>
      <c r="F224">
        <v>10.75</v>
      </c>
      <c r="G224">
        <v>22.75</v>
      </c>
      <c r="H224">
        <v>87.5</v>
      </c>
    </row>
    <row r="225" spans="1:8" x14ac:dyDescent="0.35">
      <c r="A225" t="s">
        <v>319</v>
      </c>
      <c r="B225" t="s">
        <v>536</v>
      </c>
      <c r="D225" t="s">
        <v>713</v>
      </c>
      <c r="E225">
        <v>2482.48</v>
      </c>
      <c r="F225">
        <v>236</v>
      </c>
      <c r="G225">
        <v>461.93</v>
      </c>
      <c r="H225">
        <v>1784.55</v>
      </c>
    </row>
    <row r="226" spans="1:8" x14ac:dyDescent="0.35">
      <c r="A226" t="s">
        <v>319</v>
      </c>
      <c r="B226" t="s">
        <v>536</v>
      </c>
      <c r="C226" t="s">
        <v>621</v>
      </c>
      <c r="D226" t="s">
        <v>241</v>
      </c>
      <c r="E226">
        <v>20.25</v>
      </c>
      <c r="F226">
        <v>1.5</v>
      </c>
      <c r="G226">
        <v>2.75</v>
      </c>
      <c r="H226">
        <v>16</v>
      </c>
    </row>
    <row r="227" spans="1:8" x14ac:dyDescent="0.35">
      <c r="A227" t="s">
        <v>319</v>
      </c>
      <c r="B227" t="s">
        <v>536</v>
      </c>
      <c r="C227" t="s">
        <v>621</v>
      </c>
      <c r="D227" t="s">
        <v>268</v>
      </c>
      <c r="E227">
        <v>92.22999999999999</v>
      </c>
      <c r="F227">
        <v>7.75</v>
      </c>
      <c r="G227">
        <v>18.429999999999996</v>
      </c>
      <c r="H227">
        <v>66.05</v>
      </c>
    </row>
    <row r="228" spans="1:8" x14ac:dyDescent="0.35">
      <c r="A228" t="s">
        <v>319</v>
      </c>
      <c r="B228" t="s">
        <v>536</v>
      </c>
      <c r="C228" t="s">
        <v>621</v>
      </c>
      <c r="D228" t="s">
        <v>308</v>
      </c>
      <c r="E228">
        <v>64</v>
      </c>
      <c r="F228">
        <v>7.75</v>
      </c>
      <c r="G228">
        <v>13</v>
      </c>
      <c r="H228">
        <v>43.25</v>
      </c>
    </row>
    <row r="229" spans="1:8" x14ac:dyDescent="0.35">
      <c r="A229" t="s">
        <v>319</v>
      </c>
      <c r="B229" t="s">
        <v>536</v>
      </c>
      <c r="C229" t="s">
        <v>232</v>
      </c>
      <c r="D229" t="s">
        <v>229</v>
      </c>
      <c r="E229">
        <v>156</v>
      </c>
      <c r="F229">
        <v>13</v>
      </c>
      <c r="G229">
        <v>23.25</v>
      </c>
      <c r="H229">
        <v>119.75</v>
      </c>
    </row>
    <row r="230" spans="1:8" x14ac:dyDescent="0.35">
      <c r="A230" t="s">
        <v>319</v>
      </c>
      <c r="B230" t="s">
        <v>536</v>
      </c>
      <c r="C230" t="s">
        <v>232</v>
      </c>
      <c r="D230" t="s">
        <v>245</v>
      </c>
      <c r="E230">
        <v>159</v>
      </c>
      <c r="F230">
        <v>14.25</v>
      </c>
      <c r="G230">
        <v>31</v>
      </c>
      <c r="H230">
        <v>113.75</v>
      </c>
    </row>
    <row r="231" spans="1:8" x14ac:dyDescent="0.35">
      <c r="A231" t="s">
        <v>319</v>
      </c>
      <c r="B231" t="s">
        <v>536</v>
      </c>
      <c r="C231" t="s">
        <v>232</v>
      </c>
      <c r="D231" t="s">
        <v>250</v>
      </c>
      <c r="E231">
        <v>63.5</v>
      </c>
      <c r="F231">
        <v>6</v>
      </c>
      <c r="G231">
        <v>6.75</v>
      </c>
      <c r="H231">
        <v>50.75</v>
      </c>
    </row>
    <row r="232" spans="1:8" x14ac:dyDescent="0.35">
      <c r="A232" t="s">
        <v>319</v>
      </c>
      <c r="B232" t="s">
        <v>536</v>
      </c>
      <c r="C232" t="s">
        <v>232</v>
      </c>
      <c r="D232" t="s">
        <v>278</v>
      </c>
      <c r="E232">
        <v>35.75</v>
      </c>
      <c r="F232">
        <v>2.25</v>
      </c>
      <c r="G232">
        <v>4.75</v>
      </c>
      <c r="H232">
        <v>28.75</v>
      </c>
    </row>
    <row r="233" spans="1:8" x14ac:dyDescent="0.35">
      <c r="A233" t="s">
        <v>319</v>
      </c>
      <c r="B233" t="s">
        <v>536</v>
      </c>
      <c r="C233" t="s">
        <v>232</v>
      </c>
      <c r="D233" t="s">
        <v>288</v>
      </c>
      <c r="E233">
        <v>85</v>
      </c>
      <c r="F233">
        <v>9.75</v>
      </c>
      <c r="G233">
        <v>9.5</v>
      </c>
      <c r="H233">
        <v>65.75</v>
      </c>
    </row>
    <row r="234" spans="1:8" x14ac:dyDescent="0.35">
      <c r="A234" t="s">
        <v>319</v>
      </c>
      <c r="B234" t="s">
        <v>536</v>
      </c>
      <c r="C234" t="s">
        <v>232</v>
      </c>
      <c r="D234" t="s">
        <v>290</v>
      </c>
      <c r="E234">
        <v>27.25</v>
      </c>
      <c r="F234">
        <v>2</v>
      </c>
      <c r="G234">
        <v>4.5</v>
      </c>
      <c r="H234">
        <v>20.75</v>
      </c>
    </row>
    <row r="235" spans="1:8" x14ac:dyDescent="0.35">
      <c r="A235" t="s">
        <v>319</v>
      </c>
      <c r="B235" t="s">
        <v>536</v>
      </c>
      <c r="C235" t="s">
        <v>232</v>
      </c>
      <c r="D235" t="s">
        <v>297</v>
      </c>
      <c r="E235">
        <v>9.5</v>
      </c>
      <c r="F235">
        <v>1.5</v>
      </c>
      <c r="G235">
        <v>0.75</v>
      </c>
      <c r="H235">
        <v>7.25</v>
      </c>
    </row>
    <row r="236" spans="1:8" x14ac:dyDescent="0.35">
      <c r="A236" t="s">
        <v>319</v>
      </c>
      <c r="B236" t="s">
        <v>536</v>
      </c>
      <c r="C236" t="s">
        <v>232</v>
      </c>
      <c r="D236" t="s">
        <v>303</v>
      </c>
      <c r="E236">
        <v>43</v>
      </c>
      <c r="F236">
        <v>3.5</v>
      </c>
      <c r="G236">
        <v>5.75</v>
      </c>
      <c r="H236">
        <v>33.75</v>
      </c>
    </row>
    <row r="237" spans="1:8" x14ac:dyDescent="0.35">
      <c r="A237" t="s">
        <v>319</v>
      </c>
      <c r="B237" t="s">
        <v>536</v>
      </c>
      <c r="C237" t="s">
        <v>232</v>
      </c>
      <c r="D237" t="s">
        <v>305</v>
      </c>
      <c r="E237">
        <v>67</v>
      </c>
      <c r="F237">
        <v>8.75</v>
      </c>
      <c r="G237">
        <v>5.75</v>
      </c>
      <c r="H237">
        <v>52.5</v>
      </c>
    </row>
    <row r="238" spans="1:8" x14ac:dyDescent="0.35">
      <c r="A238" t="s">
        <v>319</v>
      </c>
      <c r="B238" t="s">
        <v>536</v>
      </c>
      <c r="C238" t="s">
        <v>232</v>
      </c>
      <c r="D238" t="s">
        <v>310</v>
      </c>
      <c r="E238">
        <v>18</v>
      </c>
      <c r="F238">
        <v>1.5</v>
      </c>
      <c r="G238">
        <v>1.5</v>
      </c>
      <c r="H238">
        <v>15</v>
      </c>
    </row>
    <row r="239" spans="1:8" x14ac:dyDescent="0.35">
      <c r="A239" t="s">
        <v>319</v>
      </c>
      <c r="B239" t="s">
        <v>536</v>
      </c>
      <c r="C239" t="s">
        <v>238</v>
      </c>
      <c r="D239" t="s">
        <v>235</v>
      </c>
      <c r="E239">
        <v>4.75</v>
      </c>
      <c r="F239">
        <v>0.5</v>
      </c>
      <c r="G239">
        <v>0.5</v>
      </c>
      <c r="H239">
        <v>3.75</v>
      </c>
    </row>
    <row r="240" spans="1:8" x14ac:dyDescent="0.35">
      <c r="A240" t="s">
        <v>319</v>
      </c>
      <c r="B240" t="s">
        <v>536</v>
      </c>
      <c r="C240" t="s">
        <v>238</v>
      </c>
      <c r="D240" t="s">
        <v>256</v>
      </c>
      <c r="E240">
        <v>50.75</v>
      </c>
      <c r="F240">
        <v>4.25</v>
      </c>
      <c r="G240">
        <v>10</v>
      </c>
      <c r="H240">
        <v>36.5</v>
      </c>
    </row>
    <row r="241" spans="1:8" x14ac:dyDescent="0.35">
      <c r="A241" t="s">
        <v>319</v>
      </c>
      <c r="B241" t="s">
        <v>536</v>
      </c>
      <c r="C241" t="s">
        <v>238</v>
      </c>
      <c r="D241" t="s">
        <v>264</v>
      </c>
      <c r="E241">
        <v>42</v>
      </c>
      <c r="F241">
        <v>3.75</v>
      </c>
      <c r="G241">
        <v>6.75</v>
      </c>
      <c r="H241">
        <v>31.5</v>
      </c>
    </row>
    <row r="242" spans="1:8" x14ac:dyDescent="0.35">
      <c r="A242" t="s">
        <v>319</v>
      </c>
      <c r="B242" t="s">
        <v>536</v>
      </c>
      <c r="C242" t="s">
        <v>238</v>
      </c>
      <c r="D242" t="s">
        <v>280</v>
      </c>
      <c r="E242">
        <v>9</v>
      </c>
      <c r="F242">
        <v>1</v>
      </c>
      <c r="G242">
        <v>1.5</v>
      </c>
      <c r="H242">
        <v>6.5</v>
      </c>
    </row>
    <row r="243" spans="1:8" x14ac:dyDescent="0.35">
      <c r="A243" t="s">
        <v>319</v>
      </c>
      <c r="B243" t="s">
        <v>536</v>
      </c>
      <c r="C243" t="s">
        <v>238</v>
      </c>
      <c r="D243" t="s">
        <v>299</v>
      </c>
      <c r="E243">
        <v>121.75</v>
      </c>
      <c r="F243">
        <v>10.25</v>
      </c>
      <c r="G243">
        <v>26.5</v>
      </c>
      <c r="H243">
        <v>85</v>
      </c>
    </row>
    <row r="244" spans="1:8" x14ac:dyDescent="0.35">
      <c r="A244" t="s">
        <v>319</v>
      </c>
      <c r="B244" t="s">
        <v>536</v>
      </c>
      <c r="C244" t="s">
        <v>238</v>
      </c>
      <c r="D244" t="s">
        <v>312</v>
      </c>
      <c r="E244">
        <v>44.75</v>
      </c>
      <c r="F244">
        <v>5</v>
      </c>
      <c r="G244">
        <v>7.25</v>
      </c>
      <c r="H244">
        <v>32.5</v>
      </c>
    </row>
    <row r="245" spans="1:8" x14ac:dyDescent="0.35">
      <c r="A245" t="s">
        <v>319</v>
      </c>
      <c r="B245" t="s">
        <v>536</v>
      </c>
      <c r="C245" t="s">
        <v>218</v>
      </c>
      <c r="D245" t="s">
        <v>216</v>
      </c>
      <c r="E245">
        <v>8.5</v>
      </c>
      <c r="F245">
        <v>1</v>
      </c>
      <c r="G245">
        <v>2.5</v>
      </c>
      <c r="H245">
        <v>5</v>
      </c>
    </row>
    <row r="246" spans="1:8" x14ac:dyDescent="0.35">
      <c r="A246" t="s">
        <v>319</v>
      </c>
      <c r="B246" t="s">
        <v>536</v>
      </c>
      <c r="C246" t="s">
        <v>218</v>
      </c>
      <c r="D246" t="s">
        <v>221</v>
      </c>
      <c r="E246">
        <v>251.75</v>
      </c>
      <c r="F246">
        <v>22.75</v>
      </c>
      <c r="G246">
        <v>60.25</v>
      </c>
      <c r="H246">
        <v>168.75</v>
      </c>
    </row>
    <row r="247" spans="1:8" x14ac:dyDescent="0.35">
      <c r="A247" t="s">
        <v>319</v>
      </c>
      <c r="B247" t="s">
        <v>536</v>
      </c>
      <c r="C247" t="s">
        <v>218</v>
      </c>
      <c r="D247" t="s">
        <v>225</v>
      </c>
      <c r="E247">
        <v>87.25</v>
      </c>
      <c r="F247">
        <v>7</v>
      </c>
      <c r="G247">
        <v>14</v>
      </c>
      <c r="H247">
        <v>66.25</v>
      </c>
    </row>
    <row r="248" spans="1:8" x14ac:dyDescent="0.35">
      <c r="A248" t="s">
        <v>319</v>
      </c>
      <c r="B248" t="s">
        <v>536</v>
      </c>
      <c r="C248" t="s">
        <v>218</v>
      </c>
      <c r="D248" t="s">
        <v>248</v>
      </c>
      <c r="E248">
        <v>9.5</v>
      </c>
      <c r="F248">
        <v>1</v>
      </c>
      <c r="G248">
        <v>1.5</v>
      </c>
      <c r="H248">
        <v>7</v>
      </c>
    </row>
    <row r="249" spans="1:8" x14ac:dyDescent="0.35">
      <c r="A249" t="s">
        <v>319</v>
      </c>
      <c r="B249" t="s">
        <v>536</v>
      </c>
      <c r="C249" t="s">
        <v>218</v>
      </c>
      <c r="D249" t="s">
        <v>274</v>
      </c>
      <c r="E249">
        <v>449.5</v>
      </c>
      <c r="F249">
        <v>48.25</v>
      </c>
      <c r="G249">
        <v>89.75</v>
      </c>
      <c r="H249">
        <v>311.5</v>
      </c>
    </row>
    <row r="250" spans="1:8" x14ac:dyDescent="0.35">
      <c r="A250" t="s">
        <v>319</v>
      </c>
      <c r="B250" t="s">
        <v>536</v>
      </c>
      <c r="C250" t="s">
        <v>218</v>
      </c>
      <c r="D250" t="s">
        <v>282</v>
      </c>
      <c r="E250">
        <v>102.25</v>
      </c>
      <c r="F250">
        <v>9.75</v>
      </c>
      <c r="G250">
        <v>23.5</v>
      </c>
      <c r="H250">
        <v>69</v>
      </c>
    </row>
    <row r="251" spans="1:8" x14ac:dyDescent="0.35">
      <c r="A251" t="s">
        <v>319</v>
      </c>
      <c r="B251" t="s">
        <v>536</v>
      </c>
      <c r="C251" t="s">
        <v>218</v>
      </c>
      <c r="D251" t="s">
        <v>284</v>
      </c>
      <c r="E251">
        <v>123.75</v>
      </c>
      <c r="F251">
        <v>14</v>
      </c>
      <c r="G251">
        <v>26.25</v>
      </c>
      <c r="H251">
        <v>83.5</v>
      </c>
    </row>
    <row r="252" spans="1:8" x14ac:dyDescent="0.35">
      <c r="A252" t="s">
        <v>319</v>
      </c>
      <c r="B252" t="s">
        <v>536</v>
      </c>
      <c r="C252" t="s">
        <v>218</v>
      </c>
      <c r="D252" t="s">
        <v>293</v>
      </c>
      <c r="E252">
        <v>108.75</v>
      </c>
      <c r="F252">
        <v>7.25</v>
      </c>
      <c r="G252">
        <v>21</v>
      </c>
      <c r="H252">
        <v>80.5</v>
      </c>
    </row>
    <row r="253" spans="1:8" x14ac:dyDescent="0.35">
      <c r="A253" t="s">
        <v>319</v>
      </c>
      <c r="B253" t="s">
        <v>536</v>
      </c>
      <c r="C253" t="s">
        <v>218</v>
      </c>
      <c r="D253" t="s">
        <v>295</v>
      </c>
      <c r="E253">
        <v>110.25</v>
      </c>
      <c r="F253">
        <v>9.25</v>
      </c>
      <c r="G253">
        <v>19.25</v>
      </c>
      <c r="H253">
        <v>81.75</v>
      </c>
    </row>
    <row r="254" spans="1:8" x14ac:dyDescent="0.35">
      <c r="A254" t="s">
        <v>319</v>
      </c>
      <c r="B254" t="s">
        <v>536</v>
      </c>
      <c r="C254" t="s">
        <v>218</v>
      </c>
      <c r="D254" t="s">
        <v>301</v>
      </c>
      <c r="E254">
        <v>117.5</v>
      </c>
      <c r="F254">
        <v>11.5</v>
      </c>
      <c r="G254">
        <v>23.75</v>
      </c>
      <c r="H254">
        <v>82.25</v>
      </c>
    </row>
    <row r="255" spans="1:8" x14ac:dyDescent="0.35">
      <c r="A255" t="s">
        <v>321</v>
      </c>
      <c r="B255" t="s">
        <v>536</v>
      </c>
      <c r="D255" t="s">
        <v>216</v>
      </c>
      <c r="E255">
        <v>9</v>
      </c>
      <c r="F255">
        <v>1</v>
      </c>
      <c r="G255">
        <v>2.25</v>
      </c>
      <c r="H255">
        <v>5.75</v>
      </c>
    </row>
    <row r="256" spans="1:8" x14ac:dyDescent="0.35">
      <c r="A256" t="s">
        <v>321</v>
      </c>
      <c r="B256" t="s">
        <v>536</v>
      </c>
      <c r="D256" t="s">
        <v>221</v>
      </c>
      <c r="E256">
        <v>250.25</v>
      </c>
      <c r="F256">
        <v>23</v>
      </c>
      <c r="G256">
        <v>58.75</v>
      </c>
      <c r="H256">
        <v>168.5</v>
      </c>
    </row>
    <row r="257" spans="1:8" x14ac:dyDescent="0.35">
      <c r="A257" t="s">
        <v>321</v>
      </c>
      <c r="B257" t="s">
        <v>536</v>
      </c>
      <c r="D257" t="s">
        <v>713</v>
      </c>
      <c r="E257">
        <v>2375.48</v>
      </c>
      <c r="F257">
        <v>235.85</v>
      </c>
      <c r="G257">
        <v>461.29</v>
      </c>
      <c r="H257">
        <v>1678.3400000000001</v>
      </c>
    </row>
    <row r="258" spans="1:8" x14ac:dyDescent="0.35">
      <c r="A258" t="s">
        <v>321</v>
      </c>
      <c r="B258" t="s">
        <v>536</v>
      </c>
      <c r="D258" t="s">
        <v>225</v>
      </c>
      <c r="E258">
        <v>80.25</v>
      </c>
      <c r="F258">
        <v>7</v>
      </c>
      <c r="G258">
        <v>14.5</v>
      </c>
      <c r="H258">
        <v>58.75</v>
      </c>
    </row>
    <row r="259" spans="1:8" x14ac:dyDescent="0.35">
      <c r="A259" t="s">
        <v>321</v>
      </c>
      <c r="B259" t="s">
        <v>536</v>
      </c>
      <c r="D259" t="s">
        <v>229</v>
      </c>
      <c r="E259">
        <v>158.5</v>
      </c>
      <c r="F259">
        <v>13</v>
      </c>
      <c r="G259">
        <v>23.75</v>
      </c>
      <c r="H259">
        <v>121.75</v>
      </c>
    </row>
    <row r="260" spans="1:8" x14ac:dyDescent="0.35">
      <c r="A260" t="s">
        <v>321</v>
      </c>
      <c r="B260" t="s">
        <v>536</v>
      </c>
      <c r="D260" t="s">
        <v>235</v>
      </c>
      <c r="E260">
        <v>4.25</v>
      </c>
      <c r="F260">
        <v>0.5</v>
      </c>
      <c r="G260">
        <v>0.5</v>
      </c>
      <c r="H260">
        <v>3.25</v>
      </c>
    </row>
    <row r="261" spans="1:8" x14ac:dyDescent="0.35">
      <c r="A261" t="s">
        <v>321</v>
      </c>
      <c r="B261" t="s">
        <v>536</v>
      </c>
      <c r="D261" t="s">
        <v>241</v>
      </c>
      <c r="E261">
        <v>19</v>
      </c>
      <c r="F261">
        <v>1.5</v>
      </c>
      <c r="G261">
        <v>2.75</v>
      </c>
      <c r="H261">
        <v>14.75</v>
      </c>
    </row>
    <row r="262" spans="1:8" x14ac:dyDescent="0.35">
      <c r="A262" t="s">
        <v>321</v>
      </c>
      <c r="B262" t="s">
        <v>536</v>
      </c>
      <c r="D262" t="s">
        <v>245</v>
      </c>
      <c r="E262">
        <v>162</v>
      </c>
      <c r="F262">
        <v>15.25</v>
      </c>
      <c r="G262">
        <v>29.25</v>
      </c>
      <c r="H262">
        <v>117.5</v>
      </c>
    </row>
    <row r="263" spans="1:8" x14ac:dyDescent="0.35">
      <c r="A263" t="s">
        <v>321</v>
      </c>
      <c r="B263" t="s">
        <v>536</v>
      </c>
      <c r="D263" t="s">
        <v>248</v>
      </c>
      <c r="E263">
        <v>10.75</v>
      </c>
      <c r="F263">
        <v>1</v>
      </c>
      <c r="G263">
        <v>1.5</v>
      </c>
      <c r="H263">
        <v>8.25</v>
      </c>
    </row>
    <row r="264" spans="1:8" x14ac:dyDescent="0.35">
      <c r="A264" t="s">
        <v>321</v>
      </c>
      <c r="B264" t="s">
        <v>536</v>
      </c>
      <c r="D264" t="s">
        <v>250</v>
      </c>
      <c r="E264">
        <v>61.5</v>
      </c>
      <c r="F264">
        <v>6</v>
      </c>
      <c r="G264">
        <v>6.5</v>
      </c>
      <c r="H264">
        <v>49</v>
      </c>
    </row>
    <row r="265" spans="1:8" x14ac:dyDescent="0.35">
      <c r="A265" t="s">
        <v>321</v>
      </c>
      <c r="B265" t="s">
        <v>536</v>
      </c>
      <c r="D265" t="s">
        <v>256</v>
      </c>
      <c r="E265">
        <v>46</v>
      </c>
      <c r="F265">
        <v>4.25</v>
      </c>
      <c r="G265">
        <v>10.75</v>
      </c>
      <c r="H265">
        <v>31</v>
      </c>
    </row>
    <row r="266" spans="1:8" x14ac:dyDescent="0.35">
      <c r="A266" t="s">
        <v>321</v>
      </c>
      <c r="B266" t="s">
        <v>536</v>
      </c>
      <c r="D266" t="s">
        <v>264</v>
      </c>
      <c r="E266">
        <v>37.5</v>
      </c>
      <c r="F266">
        <v>3.75</v>
      </c>
      <c r="G266">
        <v>6.75</v>
      </c>
      <c r="H266">
        <v>27</v>
      </c>
    </row>
    <row r="267" spans="1:8" x14ac:dyDescent="0.35">
      <c r="A267" t="s">
        <v>321</v>
      </c>
      <c r="B267" t="s">
        <v>536</v>
      </c>
      <c r="D267" t="s">
        <v>268</v>
      </c>
      <c r="E267">
        <v>87.72999999999999</v>
      </c>
      <c r="F267">
        <v>7.6</v>
      </c>
      <c r="G267">
        <v>17.79</v>
      </c>
      <c r="H267">
        <v>62.339999999999996</v>
      </c>
    </row>
    <row r="268" spans="1:8" x14ac:dyDescent="0.35">
      <c r="A268" t="s">
        <v>321</v>
      </c>
      <c r="B268" t="s">
        <v>536</v>
      </c>
      <c r="D268" t="s">
        <v>274</v>
      </c>
      <c r="E268">
        <v>428.75</v>
      </c>
      <c r="F268">
        <v>46.25</v>
      </c>
      <c r="G268">
        <v>88.75</v>
      </c>
      <c r="H268">
        <v>293.75</v>
      </c>
    </row>
    <row r="269" spans="1:8" x14ac:dyDescent="0.35">
      <c r="A269" t="s">
        <v>321</v>
      </c>
      <c r="B269" t="s">
        <v>536</v>
      </c>
      <c r="D269" t="s">
        <v>278</v>
      </c>
      <c r="E269">
        <v>31.25</v>
      </c>
      <c r="F269">
        <v>2.5</v>
      </c>
      <c r="G269">
        <v>5.5</v>
      </c>
      <c r="H269">
        <v>23.25</v>
      </c>
    </row>
    <row r="270" spans="1:8" x14ac:dyDescent="0.35">
      <c r="A270" t="s">
        <v>321</v>
      </c>
      <c r="B270" t="s">
        <v>536</v>
      </c>
      <c r="D270" t="s">
        <v>280</v>
      </c>
      <c r="E270">
        <v>8.5</v>
      </c>
      <c r="F270">
        <v>1</v>
      </c>
      <c r="G270">
        <v>1.5</v>
      </c>
      <c r="H270">
        <v>6</v>
      </c>
    </row>
    <row r="271" spans="1:8" x14ac:dyDescent="0.35">
      <c r="A271" t="s">
        <v>321</v>
      </c>
      <c r="B271" t="s">
        <v>536</v>
      </c>
      <c r="D271" t="s">
        <v>282</v>
      </c>
      <c r="E271">
        <v>101.25</v>
      </c>
      <c r="F271">
        <v>9.75</v>
      </c>
      <c r="G271">
        <v>23.25</v>
      </c>
      <c r="H271">
        <v>68.25</v>
      </c>
    </row>
    <row r="272" spans="1:8" x14ac:dyDescent="0.35">
      <c r="A272" t="s">
        <v>321</v>
      </c>
      <c r="B272" t="s">
        <v>536</v>
      </c>
      <c r="D272" t="s">
        <v>284</v>
      </c>
      <c r="E272">
        <v>113</v>
      </c>
      <c r="F272">
        <v>13.25</v>
      </c>
      <c r="G272">
        <v>27.25</v>
      </c>
      <c r="H272">
        <v>72.5</v>
      </c>
    </row>
    <row r="273" spans="1:8" x14ac:dyDescent="0.35">
      <c r="A273" t="s">
        <v>321</v>
      </c>
      <c r="B273" t="s">
        <v>536</v>
      </c>
      <c r="D273" t="s">
        <v>288</v>
      </c>
      <c r="E273">
        <v>81.5</v>
      </c>
      <c r="F273">
        <v>9.75</v>
      </c>
      <c r="G273">
        <v>10.25</v>
      </c>
      <c r="H273">
        <v>61.5</v>
      </c>
    </row>
    <row r="274" spans="1:8" x14ac:dyDescent="0.35">
      <c r="A274" t="s">
        <v>321</v>
      </c>
      <c r="B274" t="s">
        <v>536</v>
      </c>
      <c r="D274" t="s">
        <v>290</v>
      </c>
      <c r="E274">
        <v>21.25</v>
      </c>
      <c r="F274">
        <v>2.5</v>
      </c>
      <c r="G274">
        <v>4.5</v>
      </c>
      <c r="H274">
        <v>14.25</v>
      </c>
    </row>
    <row r="275" spans="1:8" x14ac:dyDescent="0.35">
      <c r="A275" t="s">
        <v>321</v>
      </c>
      <c r="B275" t="s">
        <v>536</v>
      </c>
      <c r="D275" t="s">
        <v>293</v>
      </c>
      <c r="E275">
        <v>110.75</v>
      </c>
      <c r="F275">
        <v>11.5</v>
      </c>
      <c r="G275">
        <v>18</v>
      </c>
      <c r="H275">
        <v>81.25</v>
      </c>
    </row>
    <row r="276" spans="1:8" x14ac:dyDescent="0.35">
      <c r="A276" t="s">
        <v>321</v>
      </c>
      <c r="B276" t="s">
        <v>536</v>
      </c>
      <c r="D276" t="s">
        <v>295</v>
      </c>
      <c r="E276">
        <v>99.5</v>
      </c>
      <c r="F276">
        <v>8.25</v>
      </c>
      <c r="G276">
        <v>19</v>
      </c>
      <c r="H276">
        <v>72.25</v>
      </c>
    </row>
    <row r="277" spans="1:8" x14ac:dyDescent="0.35">
      <c r="A277" t="s">
        <v>321</v>
      </c>
      <c r="B277" t="s">
        <v>536</v>
      </c>
      <c r="D277" t="s">
        <v>297</v>
      </c>
      <c r="E277">
        <v>9.75</v>
      </c>
      <c r="F277">
        <v>0.75</v>
      </c>
      <c r="G277">
        <v>1.5</v>
      </c>
      <c r="H277">
        <v>7.5</v>
      </c>
    </row>
    <row r="278" spans="1:8" x14ac:dyDescent="0.35">
      <c r="A278" t="s">
        <v>321</v>
      </c>
      <c r="B278" t="s">
        <v>536</v>
      </c>
      <c r="D278" t="s">
        <v>299</v>
      </c>
      <c r="E278">
        <v>112.5</v>
      </c>
      <c r="F278">
        <v>10.75</v>
      </c>
      <c r="G278">
        <v>23.75</v>
      </c>
      <c r="H278">
        <v>78</v>
      </c>
    </row>
    <row r="279" spans="1:8" x14ac:dyDescent="0.35">
      <c r="A279" t="s">
        <v>321</v>
      </c>
      <c r="B279" t="s">
        <v>536</v>
      </c>
      <c r="D279" t="s">
        <v>301</v>
      </c>
      <c r="E279">
        <v>118.25</v>
      </c>
      <c r="F279">
        <v>11</v>
      </c>
      <c r="G279">
        <v>24.5</v>
      </c>
      <c r="H279">
        <v>82.75</v>
      </c>
    </row>
    <row r="280" spans="1:8" x14ac:dyDescent="0.35">
      <c r="A280" t="s">
        <v>321</v>
      </c>
      <c r="B280" t="s">
        <v>536</v>
      </c>
      <c r="D280" t="s">
        <v>303</v>
      </c>
      <c r="E280">
        <v>36.75</v>
      </c>
      <c r="F280">
        <v>4.75</v>
      </c>
      <c r="G280">
        <v>5</v>
      </c>
      <c r="H280">
        <v>27</v>
      </c>
    </row>
    <row r="281" spans="1:8" x14ac:dyDescent="0.35">
      <c r="A281" t="s">
        <v>321</v>
      </c>
      <c r="B281" t="s">
        <v>536</v>
      </c>
      <c r="D281" t="s">
        <v>305</v>
      </c>
      <c r="E281">
        <v>56.5</v>
      </c>
      <c r="F281">
        <v>7</v>
      </c>
      <c r="G281">
        <v>10.5</v>
      </c>
      <c r="H281">
        <v>39</v>
      </c>
    </row>
    <row r="282" spans="1:8" x14ac:dyDescent="0.35">
      <c r="A282" t="s">
        <v>321</v>
      </c>
      <c r="B282" t="s">
        <v>536</v>
      </c>
      <c r="D282" t="s">
        <v>308</v>
      </c>
      <c r="E282">
        <v>58.25</v>
      </c>
      <c r="F282">
        <v>7</v>
      </c>
      <c r="G282">
        <v>13</v>
      </c>
      <c r="H282">
        <v>38.25</v>
      </c>
    </row>
    <row r="283" spans="1:8" x14ac:dyDescent="0.35">
      <c r="A283" t="s">
        <v>321</v>
      </c>
      <c r="B283" t="s">
        <v>536</v>
      </c>
      <c r="D283" t="s">
        <v>310</v>
      </c>
      <c r="E283">
        <v>17</v>
      </c>
      <c r="F283">
        <v>1.5</v>
      </c>
      <c r="G283">
        <v>1.5</v>
      </c>
      <c r="H283">
        <v>14</v>
      </c>
    </row>
    <row r="284" spans="1:8" x14ac:dyDescent="0.35">
      <c r="A284" t="s">
        <v>321</v>
      </c>
      <c r="B284" t="s">
        <v>536</v>
      </c>
      <c r="D284" t="s">
        <v>312</v>
      </c>
      <c r="E284">
        <v>44</v>
      </c>
      <c r="F284">
        <v>4.5</v>
      </c>
      <c r="G284">
        <v>8.5</v>
      </c>
      <c r="H284">
        <v>31</v>
      </c>
    </row>
    <row r="285" spans="1:8" x14ac:dyDescent="0.35">
      <c r="A285" t="s">
        <v>326</v>
      </c>
      <c r="B285" t="s">
        <v>536</v>
      </c>
      <c r="D285" t="s">
        <v>216</v>
      </c>
      <c r="E285">
        <v>8.25</v>
      </c>
      <c r="F285">
        <v>1</v>
      </c>
      <c r="G285">
        <v>1.5</v>
      </c>
      <c r="H285">
        <v>5.75</v>
      </c>
    </row>
    <row r="286" spans="1:8" x14ac:dyDescent="0.35">
      <c r="A286" t="s">
        <v>326</v>
      </c>
      <c r="B286" t="s">
        <v>536</v>
      </c>
      <c r="D286" t="s">
        <v>221</v>
      </c>
      <c r="E286">
        <v>242.25</v>
      </c>
      <c r="F286">
        <v>20.5</v>
      </c>
      <c r="G286">
        <v>59.25</v>
      </c>
      <c r="H286">
        <v>162.5</v>
      </c>
    </row>
    <row r="287" spans="1:8" x14ac:dyDescent="0.35">
      <c r="A287" t="s">
        <v>326</v>
      </c>
      <c r="B287" t="s">
        <v>536</v>
      </c>
      <c r="D287" t="s">
        <v>713</v>
      </c>
      <c r="E287">
        <v>2333.12</v>
      </c>
      <c r="F287">
        <v>231.8</v>
      </c>
      <c r="G287">
        <v>453.13</v>
      </c>
      <c r="H287">
        <v>1648.19</v>
      </c>
    </row>
    <row r="288" spans="1:8" x14ac:dyDescent="0.35">
      <c r="A288" t="s">
        <v>326</v>
      </c>
      <c r="B288" t="s">
        <v>536</v>
      </c>
      <c r="D288" t="s">
        <v>225</v>
      </c>
      <c r="E288">
        <v>78.25</v>
      </c>
      <c r="F288">
        <v>6.75</v>
      </c>
      <c r="G288">
        <v>14</v>
      </c>
      <c r="H288">
        <v>57.5</v>
      </c>
    </row>
    <row r="289" spans="1:8" x14ac:dyDescent="0.35">
      <c r="A289" t="s">
        <v>326</v>
      </c>
      <c r="B289" t="s">
        <v>536</v>
      </c>
      <c r="D289" t="s">
        <v>229</v>
      </c>
      <c r="E289">
        <v>153.25</v>
      </c>
      <c r="F289">
        <v>13</v>
      </c>
      <c r="G289">
        <v>22.5</v>
      </c>
      <c r="H289">
        <v>117.75</v>
      </c>
    </row>
    <row r="290" spans="1:8" x14ac:dyDescent="0.35">
      <c r="A290" t="s">
        <v>326</v>
      </c>
      <c r="B290" t="s">
        <v>536</v>
      </c>
      <c r="D290" t="s">
        <v>235</v>
      </c>
      <c r="E290">
        <v>5</v>
      </c>
      <c r="F290">
        <v>0.5</v>
      </c>
      <c r="G290">
        <v>0.5</v>
      </c>
      <c r="H290">
        <v>4</v>
      </c>
    </row>
    <row r="291" spans="1:8" x14ac:dyDescent="0.35">
      <c r="A291" t="s">
        <v>326</v>
      </c>
      <c r="B291" t="s">
        <v>536</v>
      </c>
      <c r="D291" t="s">
        <v>241</v>
      </c>
      <c r="E291">
        <v>18.75</v>
      </c>
      <c r="F291">
        <v>1.5</v>
      </c>
      <c r="G291">
        <v>3.75</v>
      </c>
      <c r="H291">
        <v>13.5</v>
      </c>
    </row>
    <row r="292" spans="1:8" x14ac:dyDescent="0.35">
      <c r="A292" t="s">
        <v>326</v>
      </c>
      <c r="B292" t="s">
        <v>536</v>
      </c>
      <c r="D292" t="s">
        <v>245</v>
      </c>
      <c r="E292">
        <v>162</v>
      </c>
      <c r="F292">
        <v>14.5</v>
      </c>
      <c r="G292">
        <v>28.5</v>
      </c>
      <c r="H292">
        <v>119</v>
      </c>
    </row>
    <row r="293" spans="1:8" x14ac:dyDescent="0.35">
      <c r="A293" t="s">
        <v>326</v>
      </c>
      <c r="B293" t="s">
        <v>536</v>
      </c>
      <c r="D293" t="s">
        <v>248</v>
      </c>
      <c r="E293">
        <v>10.25</v>
      </c>
      <c r="F293">
        <v>1</v>
      </c>
      <c r="G293">
        <v>1.5</v>
      </c>
      <c r="H293">
        <v>7.75</v>
      </c>
    </row>
    <row r="294" spans="1:8" x14ac:dyDescent="0.35">
      <c r="A294" t="s">
        <v>326</v>
      </c>
      <c r="B294" t="s">
        <v>536</v>
      </c>
      <c r="D294" t="s">
        <v>250</v>
      </c>
      <c r="E294">
        <v>56.75</v>
      </c>
      <c r="F294">
        <v>6</v>
      </c>
      <c r="G294">
        <v>8</v>
      </c>
      <c r="H294">
        <v>42.75</v>
      </c>
    </row>
    <row r="295" spans="1:8" x14ac:dyDescent="0.35">
      <c r="A295" t="s">
        <v>326</v>
      </c>
      <c r="B295" t="s">
        <v>536</v>
      </c>
      <c r="D295" t="s">
        <v>256</v>
      </c>
      <c r="E295">
        <v>41</v>
      </c>
      <c r="F295">
        <v>4</v>
      </c>
      <c r="G295">
        <v>9.25</v>
      </c>
      <c r="H295">
        <v>27.75</v>
      </c>
    </row>
    <row r="296" spans="1:8" x14ac:dyDescent="0.35">
      <c r="A296" t="s">
        <v>326</v>
      </c>
      <c r="B296" t="s">
        <v>536</v>
      </c>
      <c r="D296" t="s">
        <v>264</v>
      </c>
      <c r="E296">
        <v>39.25</v>
      </c>
      <c r="F296">
        <v>3.75</v>
      </c>
      <c r="G296">
        <v>7.25</v>
      </c>
      <c r="H296">
        <v>28.25</v>
      </c>
    </row>
    <row r="297" spans="1:8" x14ac:dyDescent="0.35">
      <c r="A297" t="s">
        <v>326</v>
      </c>
      <c r="B297" t="s">
        <v>536</v>
      </c>
      <c r="D297" t="s">
        <v>268</v>
      </c>
      <c r="E297">
        <v>88.62</v>
      </c>
      <c r="F297">
        <v>8.5499999999999989</v>
      </c>
      <c r="G297">
        <v>17.63</v>
      </c>
      <c r="H297">
        <v>62.44</v>
      </c>
    </row>
    <row r="298" spans="1:8" x14ac:dyDescent="0.35">
      <c r="A298" t="s">
        <v>326</v>
      </c>
      <c r="B298" t="s">
        <v>536</v>
      </c>
      <c r="D298" t="s">
        <v>274</v>
      </c>
      <c r="E298">
        <v>409</v>
      </c>
      <c r="F298">
        <v>44.5</v>
      </c>
      <c r="G298">
        <v>84.25</v>
      </c>
      <c r="H298">
        <v>280.25</v>
      </c>
    </row>
    <row r="299" spans="1:8" x14ac:dyDescent="0.35">
      <c r="A299" t="s">
        <v>326</v>
      </c>
      <c r="B299" t="s">
        <v>536</v>
      </c>
      <c r="D299" t="s">
        <v>278</v>
      </c>
      <c r="E299">
        <v>29.25</v>
      </c>
      <c r="F299">
        <v>2.5</v>
      </c>
      <c r="G299">
        <v>5.5</v>
      </c>
      <c r="H299">
        <v>21.25</v>
      </c>
    </row>
    <row r="300" spans="1:8" x14ac:dyDescent="0.35">
      <c r="A300" t="s">
        <v>326</v>
      </c>
      <c r="B300" t="s">
        <v>536</v>
      </c>
      <c r="D300" t="s">
        <v>280</v>
      </c>
      <c r="E300">
        <v>8.5</v>
      </c>
      <c r="F300">
        <v>1</v>
      </c>
      <c r="G300">
        <v>1.5</v>
      </c>
      <c r="H300">
        <v>6</v>
      </c>
    </row>
    <row r="301" spans="1:8" x14ac:dyDescent="0.35">
      <c r="A301" t="s">
        <v>326</v>
      </c>
      <c r="B301" t="s">
        <v>536</v>
      </c>
      <c r="D301" t="s">
        <v>282</v>
      </c>
      <c r="E301">
        <v>97.25</v>
      </c>
      <c r="F301">
        <v>9.75</v>
      </c>
      <c r="G301">
        <v>25.5</v>
      </c>
      <c r="H301">
        <v>62</v>
      </c>
    </row>
    <row r="302" spans="1:8" x14ac:dyDescent="0.35">
      <c r="A302" t="s">
        <v>326</v>
      </c>
      <c r="B302" t="s">
        <v>536</v>
      </c>
      <c r="D302" t="s">
        <v>284</v>
      </c>
      <c r="E302">
        <v>122</v>
      </c>
      <c r="F302">
        <v>13.25</v>
      </c>
      <c r="G302">
        <v>24.75</v>
      </c>
      <c r="H302">
        <v>84</v>
      </c>
    </row>
    <row r="303" spans="1:8" x14ac:dyDescent="0.35">
      <c r="A303" t="s">
        <v>326</v>
      </c>
      <c r="B303" t="s">
        <v>536</v>
      </c>
      <c r="D303" t="s">
        <v>288</v>
      </c>
      <c r="E303">
        <v>80.75</v>
      </c>
      <c r="F303">
        <v>8.5</v>
      </c>
      <c r="G303">
        <v>10.75</v>
      </c>
      <c r="H303">
        <v>61.5</v>
      </c>
    </row>
    <row r="304" spans="1:8" x14ac:dyDescent="0.35">
      <c r="A304" t="s">
        <v>326</v>
      </c>
      <c r="B304" t="s">
        <v>536</v>
      </c>
      <c r="D304" t="s">
        <v>290</v>
      </c>
      <c r="E304">
        <v>21.5</v>
      </c>
      <c r="F304">
        <v>2.25</v>
      </c>
      <c r="G304">
        <v>4.75</v>
      </c>
      <c r="H304">
        <v>14.5</v>
      </c>
    </row>
    <row r="305" spans="1:8" x14ac:dyDescent="0.35">
      <c r="A305" t="s">
        <v>326</v>
      </c>
      <c r="B305" t="s">
        <v>536</v>
      </c>
      <c r="D305" t="s">
        <v>293</v>
      </c>
      <c r="E305">
        <v>110.75</v>
      </c>
      <c r="F305">
        <v>11.25</v>
      </c>
      <c r="G305">
        <v>20</v>
      </c>
      <c r="H305">
        <v>79.5</v>
      </c>
    </row>
    <row r="306" spans="1:8" x14ac:dyDescent="0.35">
      <c r="A306" t="s">
        <v>326</v>
      </c>
      <c r="B306" t="s">
        <v>536</v>
      </c>
      <c r="D306" t="s">
        <v>295</v>
      </c>
      <c r="E306">
        <v>103.5</v>
      </c>
      <c r="F306">
        <v>8.25</v>
      </c>
      <c r="G306">
        <v>19.5</v>
      </c>
      <c r="H306">
        <v>75.75</v>
      </c>
    </row>
    <row r="307" spans="1:8" x14ac:dyDescent="0.35">
      <c r="A307" t="s">
        <v>326</v>
      </c>
      <c r="B307" t="s">
        <v>536</v>
      </c>
      <c r="D307" t="s">
        <v>297</v>
      </c>
      <c r="E307">
        <v>10.75</v>
      </c>
      <c r="F307">
        <v>0.75</v>
      </c>
      <c r="G307">
        <v>1.5</v>
      </c>
      <c r="H307">
        <v>8.5</v>
      </c>
    </row>
    <row r="308" spans="1:8" x14ac:dyDescent="0.35">
      <c r="A308" t="s">
        <v>326</v>
      </c>
      <c r="B308" t="s">
        <v>536</v>
      </c>
      <c r="D308" t="s">
        <v>299</v>
      </c>
      <c r="E308">
        <v>124.5</v>
      </c>
      <c r="F308">
        <v>11</v>
      </c>
      <c r="G308">
        <v>23.75</v>
      </c>
      <c r="H308">
        <v>89.75</v>
      </c>
    </row>
    <row r="309" spans="1:8" x14ac:dyDescent="0.35">
      <c r="A309" t="s">
        <v>326</v>
      </c>
      <c r="B309" t="s">
        <v>536</v>
      </c>
      <c r="D309" t="s">
        <v>301</v>
      </c>
      <c r="E309">
        <v>109.75</v>
      </c>
      <c r="F309">
        <v>13</v>
      </c>
      <c r="G309">
        <v>23</v>
      </c>
      <c r="H309">
        <v>73.75</v>
      </c>
    </row>
    <row r="310" spans="1:8" x14ac:dyDescent="0.35">
      <c r="A310" t="s">
        <v>326</v>
      </c>
      <c r="B310" t="s">
        <v>536</v>
      </c>
      <c r="D310" t="s">
        <v>303</v>
      </c>
      <c r="E310">
        <v>36</v>
      </c>
      <c r="F310">
        <v>4.25</v>
      </c>
      <c r="G310">
        <v>5.25</v>
      </c>
      <c r="H310">
        <v>26.5</v>
      </c>
    </row>
    <row r="311" spans="1:8" x14ac:dyDescent="0.35">
      <c r="A311" t="s">
        <v>326</v>
      </c>
      <c r="B311" t="s">
        <v>536</v>
      </c>
      <c r="D311" t="s">
        <v>305</v>
      </c>
      <c r="E311">
        <v>53.25</v>
      </c>
      <c r="F311">
        <v>7.5</v>
      </c>
      <c r="G311">
        <v>10.25</v>
      </c>
      <c r="H311">
        <v>35.5</v>
      </c>
    </row>
    <row r="312" spans="1:8" x14ac:dyDescent="0.35">
      <c r="A312" t="s">
        <v>326</v>
      </c>
      <c r="B312" t="s">
        <v>536</v>
      </c>
      <c r="D312" t="s">
        <v>308</v>
      </c>
      <c r="E312">
        <v>56.5</v>
      </c>
      <c r="F312">
        <v>6</v>
      </c>
      <c r="G312">
        <v>11</v>
      </c>
      <c r="H312">
        <v>39.5</v>
      </c>
    </row>
    <row r="313" spans="1:8" x14ac:dyDescent="0.35">
      <c r="A313" t="s">
        <v>326</v>
      </c>
      <c r="B313" t="s">
        <v>536</v>
      </c>
      <c r="D313" t="s">
        <v>310</v>
      </c>
      <c r="E313">
        <v>15</v>
      </c>
      <c r="F313">
        <v>1.5</v>
      </c>
      <c r="G313">
        <v>1.5</v>
      </c>
      <c r="H313">
        <v>12</v>
      </c>
    </row>
    <row r="314" spans="1:8" x14ac:dyDescent="0.35">
      <c r="A314" t="s">
        <v>326</v>
      </c>
      <c r="B314" t="s">
        <v>536</v>
      </c>
      <c r="D314" t="s">
        <v>312</v>
      </c>
      <c r="E314">
        <v>41.25</v>
      </c>
      <c r="F314">
        <v>5.5</v>
      </c>
      <c r="G314">
        <v>6.75</v>
      </c>
      <c r="H314">
        <v>29</v>
      </c>
    </row>
    <row r="315" spans="1:8" x14ac:dyDescent="0.35">
      <c r="A315" t="s">
        <v>327</v>
      </c>
      <c r="B315" t="s">
        <v>536</v>
      </c>
      <c r="D315" t="s">
        <v>216</v>
      </c>
      <c r="E315">
        <v>8</v>
      </c>
      <c r="F315">
        <v>1</v>
      </c>
      <c r="G315">
        <v>3</v>
      </c>
      <c r="H315">
        <v>4</v>
      </c>
    </row>
    <row r="316" spans="1:8" x14ac:dyDescent="0.35">
      <c r="A316" t="s">
        <v>327</v>
      </c>
      <c r="B316" t="s">
        <v>536</v>
      </c>
      <c r="D316" t="s">
        <v>221</v>
      </c>
      <c r="E316">
        <v>230.75</v>
      </c>
      <c r="F316">
        <v>19.25</v>
      </c>
      <c r="G316">
        <v>57.5</v>
      </c>
      <c r="H316">
        <v>154</v>
      </c>
    </row>
    <row r="317" spans="1:8" x14ac:dyDescent="0.35">
      <c r="A317" t="s">
        <v>327</v>
      </c>
      <c r="B317" t="s">
        <v>536</v>
      </c>
      <c r="D317" t="s">
        <v>713</v>
      </c>
      <c r="E317">
        <v>2289.7700000000004</v>
      </c>
      <c r="F317">
        <v>222.3</v>
      </c>
      <c r="G317">
        <v>452.13</v>
      </c>
      <c r="H317">
        <v>1615.3400000000001</v>
      </c>
    </row>
    <row r="318" spans="1:8" x14ac:dyDescent="0.35">
      <c r="A318" t="s">
        <v>327</v>
      </c>
      <c r="B318" t="s">
        <v>536</v>
      </c>
      <c r="D318" t="s">
        <v>225</v>
      </c>
      <c r="E318">
        <v>81.25</v>
      </c>
      <c r="F318">
        <v>5.75</v>
      </c>
      <c r="G318">
        <v>14.75</v>
      </c>
      <c r="H318">
        <v>60.75</v>
      </c>
    </row>
    <row r="319" spans="1:8" x14ac:dyDescent="0.35">
      <c r="A319" t="s">
        <v>327</v>
      </c>
      <c r="B319" t="s">
        <v>536</v>
      </c>
      <c r="D319" t="s">
        <v>229</v>
      </c>
      <c r="E319">
        <v>157.5</v>
      </c>
      <c r="F319">
        <v>13.75</v>
      </c>
      <c r="G319">
        <v>21</v>
      </c>
      <c r="H319">
        <v>122.75</v>
      </c>
    </row>
    <row r="320" spans="1:8" x14ac:dyDescent="0.35">
      <c r="A320" t="s">
        <v>327</v>
      </c>
      <c r="B320" t="s">
        <v>536</v>
      </c>
      <c r="D320" t="s">
        <v>235</v>
      </c>
      <c r="E320">
        <v>5.25</v>
      </c>
      <c r="F320">
        <v>0.5</v>
      </c>
      <c r="G320">
        <v>1</v>
      </c>
      <c r="H320">
        <v>3.75</v>
      </c>
    </row>
    <row r="321" spans="1:8" x14ac:dyDescent="0.35">
      <c r="A321" t="s">
        <v>327</v>
      </c>
      <c r="B321" t="s">
        <v>536</v>
      </c>
      <c r="D321" t="s">
        <v>241</v>
      </c>
      <c r="E321">
        <v>17.25</v>
      </c>
      <c r="F321">
        <v>1.5</v>
      </c>
      <c r="G321">
        <v>3</v>
      </c>
      <c r="H321">
        <v>12.75</v>
      </c>
    </row>
    <row r="322" spans="1:8" x14ac:dyDescent="0.35">
      <c r="A322" t="s">
        <v>327</v>
      </c>
      <c r="B322" t="s">
        <v>536</v>
      </c>
      <c r="D322" t="s">
        <v>245</v>
      </c>
      <c r="E322">
        <v>149.25</v>
      </c>
      <c r="F322">
        <v>13.75</v>
      </c>
      <c r="G322">
        <v>27.75</v>
      </c>
      <c r="H322">
        <v>107.75</v>
      </c>
    </row>
    <row r="323" spans="1:8" x14ac:dyDescent="0.35">
      <c r="A323" t="s">
        <v>327</v>
      </c>
      <c r="B323" t="s">
        <v>536</v>
      </c>
      <c r="D323" t="s">
        <v>248</v>
      </c>
      <c r="E323">
        <v>11.75</v>
      </c>
      <c r="F323">
        <v>1</v>
      </c>
      <c r="G323">
        <v>1.5</v>
      </c>
      <c r="H323">
        <v>9.25</v>
      </c>
    </row>
    <row r="324" spans="1:8" x14ac:dyDescent="0.35">
      <c r="A324" t="s">
        <v>327</v>
      </c>
      <c r="B324" t="s">
        <v>536</v>
      </c>
      <c r="D324" t="s">
        <v>250</v>
      </c>
      <c r="E324">
        <v>55.5</v>
      </c>
      <c r="F324">
        <v>5</v>
      </c>
      <c r="G324">
        <v>9.5</v>
      </c>
      <c r="H324">
        <v>41</v>
      </c>
    </row>
    <row r="325" spans="1:8" x14ac:dyDescent="0.35">
      <c r="A325" t="s">
        <v>327</v>
      </c>
      <c r="B325" t="s">
        <v>536</v>
      </c>
      <c r="D325" t="s">
        <v>256</v>
      </c>
      <c r="E325">
        <v>44</v>
      </c>
      <c r="F325">
        <v>4</v>
      </c>
      <c r="G325">
        <v>9.75</v>
      </c>
      <c r="H325">
        <v>30.25</v>
      </c>
    </row>
    <row r="326" spans="1:8" x14ac:dyDescent="0.35">
      <c r="A326" t="s">
        <v>327</v>
      </c>
      <c r="B326" t="s">
        <v>536</v>
      </c>
      <c r="D326" t="s">
        <v>264</v>
      </c>
      <c r="E326">
        <v>46</v>
      </c>
      <c r="F326">
        <v>3.75</v>
      </c>
      <c r="G326">
        <v>7.25</v>
      </c>
      <c r="H326">
        <v>35</v>
      </c>
    </row>
    <row r="327" spans="1:8" x14ac:dyDescent="0.35">
      <c r="A327" t="s">
        <v>327</v>
      </c>
      <c r="B327" t="s">
        <v>536</v>
      </c>
      <c r="D327" t="s">
        <v>268</v>
      </c>
      <c r="E327">
        <v>86.27000000000001</v>
      </c>
      <c r="F327">
        <v>7.55</v>
      </c>
      <c r="G327">
        <v>17.63</v>
      </c>
      <c r="H327">
        <v>61.09</v>
      </c>
    </row>
    <row r="328" spans="1:8" x14ac:dyDescent="0.35">
      <c r="A328" t="s">
        <v>327</v>
      </c>
      <c r="B328" t="s">
        <v>536</v>
      </c>
      <c r="D328" t="s">
        <v>274</v>
      </c>
      <c r="E328">
        <v>404</v>
      </c>
      <c r="F328">
        <v>40.25</v>
      </c>
      <c r="G328">
        <v>82.75</v>
      </c>
      <c r="H328">
        <v>281</v>
      </c>
    </row>
    <row r="329" spans="1:8" x14ac:dyDescent="0.35">
      <c r="A329" t="s">
        <v>327</v>
      </c>
      <c r="B329" t="s">
        <v>536</v>
      </c>
      <c r="D329" t="s">
        <v>278</v>
      </c>
      <c r="E329">
        <v>28.25</v>
      </c>
      <c r="F329">
        <v>2.5</v>
      </c>
      <c r="G329">
        <v>5.5</v>
      </c>
      <c r="H329">
        <v>20.25</v>
      </c>
    </row>
    <row r="330" spans="1:8" x14ac:dyDescent="0.35">
      <c r="A330" t="s">
        <v>327</v>
      </c>
      <c r="B330" t="s">
        <v>536</v>
      </c>
      <c r="D330" t="s">
        <v>280</v>
      </c>
      <c r="E330">
        <v>9.5</v>
      </c>
      <c r="F330">
        <v>1</v>
      </c>
      <c r="G330">
        <v>1.5</v>
      </c>
      <c r="H330">
        <v>7</v>
      </c>
    </row>
    <row r="331" spans="1:8" x14ac:dyDescent="0.35">
      <c r="A331" t="s">
        <v>327</v>
      </c>
      <c r="B331" t="s">
        <v>536</v>
      </c>
      <c r="D331" t="s">
        <v>282</v>
      </c>
      <c r="E331">
        <v>103</v>
      </c>
      <c r="F331">
        <v>10.75</v>
      </c>
      <c r="G331">
        <v>25.75</v>
      </c>
      <c r="H331">
        <v>66.5</v>
      </c>
    </row>
    <row r="332" spans="1:8" x14ac:dyDescent="0.35">
      <c r="A332" t="s">
        <v>327</v>
      </c>
      <c r="B332" t="s">
        <v>536</v>
      </c>
      <c r="D332" t="s">
        <v>284</v>
      </c>
      <c r="E332">
        <v>118.5</v>
      </c>
      <c r="F332">
        <v>13.75</v>
      </c>
      <c r="G332">
        <v>26.5</v>
      </c>
      <c r="H332">
        <v>78.25</v>
      </c>
    </row>
    <row r="333" spans="1:8" x14ac:dyDescent="0.35">
      <c r="A333" t="s">
        <v>327</v>
      </c>
      <c r="B333" t="s">
        <v>536</v>
      </c>
      <c r="D333" t="s">
        <v>288</v>
      </c>
      <c r="E333">
        <v>79.75</v>
      </c>
      <c r="F333">
        <v>7.75</v>
      </c>
      <c r="G333">
        <v>10</v>
      </c>
      <c r="H333">
        <v>62</v>
      </c>
    </row>
    <row r="334" spans="1:8" x14ac:dyDescent="0.35">
      <c r="A334" t="s">
        <v>327</v>
      </c>
      <c r="B334" t="s">
        <v>536</v>
      </c>
      <c r="D334" t="s">
        <v>290</v>
      </c>
      <c r="E334">
        <v>19.5</v>
      </c>
      <c r="F334">
        <v>2</v>
      </c>
      <c r="G334">
        <v>3.75</v>
      </c>
      <c r="H334">
        <v>13.75</v>
      </c>
    </row>
    <row r="335" spans="1:8" x14ac:dyDescent="0.35">
      <c r="A335" t="s">
        <v>327</v>
      </c>
      <c r="B335" t="s">
        <v>536</v>
      </c>
      <c r="D335" t="s">
        <v>293</v>
      </c>
      <c r="E335">
        <v>107.25</v>
      </c>
      <c r="F335">
        <v>11.5</v>
      </c>
      <c r="G335">
        <v>22</v>
      </c>
      <c r="H335">
        <v>73.75</v>
      </c>
    </row>
    <row r="336" spans="1:8" x14ac:dyDescent="0.35">
      <c r="A336" t="s">
        <v>327</v>
      </c>
      <c r="B336" t="s">
        <v>536</v>
      </c>
      <c r="D336" t="s">
        <v>295</v>
      </c>
      <c r="E336">
        <v>101</v>
      </c>
      <c r="F336">
        <v>10</v>
      </c>
      <c r="G336">
        <v>18.25</v>
      </c>
      <c r="H336">
        <v>72.75</v>
      </c>
    </row>
    <row r="337" spans="1:8" x14ac:dyDescent="0.35">
      <c r="A337" t="s">
        <v>327</v>
      </c>
      <c r="B337" t="s">
        <v>536</v>
      </c>
      <c r="D337" t="s">
        <v>297</v>
      </c>
      <c r="E337">
        <v>8.25</v>
      </c>
      <c r="F337">
        <v>0.75</v>
      </c>
      <c r="G337">
        <v>1.5</v>
      </c>
      <c r="H337">
        <v>6</v>
      </c>
    </row>
    <row r="338" spans="1:8" x14ac:dyDescent="0.35">
      <c r="A338" t="s">
        <v>327</v>
      </c>
      <c r="B338" t="s">
        <v>536</v>
      </c>
      <c r="D338" t="s">
        <v>299</v>
      </c>
      <c r="E338">
        <v>111.5</v>
      </c>
      <c r="F338">
        <v>10.75</v>
      </c>
      <c r="G338">
        <v>22.75</v>
      </c>
      <c r="H338">
        <v>78</v>
      </c>
    </row>
    <row r="339" spans="1:8" x14ac:dyDescent="0.35">
      <c r="A339" t="s">
        <v>327</v>
      </c>
      <c r="B339" t="s">
        <v>536</v>
      </c>
      <c r="D339" t="s">
        <v>301</v>
      </c>
      <c r="E339">
        <v>102.25</v>
      </c>
      <c r="F339">
        <v>13</v>
      </c>
      <c r="G339">
        <v>21.25</v>
      </c>
      <c r="H339">
        <v>68</v>
      </c>
    </row>
    <row r="340" spans="1:8" x14ac:dyDescent="0.35">
      <c r="A340" t="s">
        <v>327</v>
      </c>
      <c r="B340" t="s">
        <v>536</v>
      </c>
      <c r="D340" t="s">
        <v>303</v>
      </c>
      <c r="E340">
        <v>35</v>
      </c>
      <c r="F340">
        <v>3.25</v>
      </c>
      <c r="G340">
        <v>6.25</v>
      </c>
      <c r="H340">
        <v>25.5</v>
      </c>
    </row>
    <row r="341" spans="1:8" x14ac:dyDescent="0.35">
      <c r="A341" t="s">
        <v>327</v>
      </c>
      <c r="B341" t="s">
        <v>536</v>
      </c>
      <c r="D341" t="s">
        <v>305</v>
      </c>
      <c r="E341">
        <v>54</v>
      </c>
      <c r="F341">
        <v>6.25</v>
      </c>
      <c r="G341">
        <v>9.5</v>
      </c>
      <c r="H341">
        <v>38.25</v>
      </c>
    </row>
    <row r="342" spans="1:8" x14ac:dyDescent="0.35">
      <c r="A342" t="s">
        <v>327</v>
      </c>
      <c r="B342" t="s">
        <v>536</v>
      </c>
      <c r="D342" t="s">
        <v>308</v>
      </c>
      <c r="E342">
        <v>56.25</v>
      </c>
      <c r="F342">
        <v>6</v>
      </c>
      <c r="G342">
        <v>12</v>
      </c>
      <c r="H342">
        <v>38.25</v>
      </c>
    </row>
    <row r="343" spans="1:8" x14ac:dyDescent="0.35">
      <c r="A343" t="s">
        <v>327</v>
      </c>
      <c r="B343" t="s">
        <v>536</v>
      </c>
      <c r="D343" t="s">
        <v>310</v>
      </c>
      <c r="E343">
        <v>16.75</v>
      </c>
      <c r="F343">
        <v>1.5</v>
      </c>
      <c r="G343">
        <v>1.5</v>
      </c>
      <c r="H343">
        <v>13.75</v>
      </c>
    </row>
    <row r="344" spans="1:8" x14ac:dyDescent="0.35">
      <c r="A344" t="s">
        <v>327</v>
      </c>
      <c r="B344" t="s">
        <v>536</v>
      </c>
      <c r="D344" t="s">
        <v>312</v>
      </c>
      <c r="E344">
        <v>42.25</v>
      </c>
      <c r="F344">
        <v>4.5</v>
      </c>
      <c r="G344">
        <v>7.75</v>
      </c>
      <c r="H344">
        <v>30</v>
      </c>
    </row>
    <row r="345" spans="1:8" x14ac:dyDescent="0.35">
      <c r="A345" t="s">
        <v>466</v>
      </c>
      <c r="B345" t="s">
        <v>536</v>
      </c>
      <c r="D345" t="s">
        <v>216</v>
      </c>
      <c r="E345">
        <v>6.33</v>
      </c>
      <c r="F345">
        <v>0.83</v>
      </c>
      <c r="G345">
        <v>2.0100000000000002</v>
      </c>
      <c r="H345">
        <v>3.4899999999999998</v>
      </c>
    </row>
    <row r="346" spans="1:8" x14ac:dyDescent="0.35">
      <c r="A346" t="s">
        <v>466</v>
      </c>
      <c r="B346" t="s">
        <v>536</v>
      </c>
      <c r="D346" t="s">
        <v>221</v>
      </c>
      <c r="E346">
        <v>232</v>
      </c>
      <c r="F346">
        <v>19.200000000000003</v>
      </c>
      <c r="G346">
        <v>52.540000000000013</v>
      </c>
      <c r="H346">
        <v>160.26</v>
      </c>
    </row>
    <row r="347" spans="1:8" x14ac:dyDescent="0.35">
      <c r="A347" t="s">
        <v>466</v>
      </c>
      <c r="B347" t="s">
        <v>536</v>
      </c>
      <c r="D347" t="s">
        <v>713</v>
      </c>
      <c r="E347">
        <v>2293.920000000001</v>
      </c>
      <c r="F347">
        <v>211.69999999999973</v>
      </c>
      <c r="G347">
        <v>431.42000000000087</v>
      </c>
      <c r="H347">
        <v>1650.8000000000006</v>
      </c>
    </row>
    <row r="348" spans="1:8" x14ac:dyDescent="0.35">
      <c r="A348" t="s">
        <v>466</v>
      </c>
      <c r="B348" t="s">
        <v>536</v>
      </c>
      <c r="D348" t="s">
        <v>225</v>
      </c>
      <c r="E348">
        <v>78.019999999999982</v>
      </c>
      <c r="F348">
        <v>4.68</v>
      </c>
      <c r="G348">
        <v>14.04</v>
      </c>
      <c r="H348">
        <v>59.299999999999983</v>
      </c>
    </row>
    <row r="349" spans="1:8" x14ac:dyDescent="0.35">
      <c r="A349" t="s">
        <v>466</v>
      </c>
      <c r="B349" t="s">
        <v>536</v>
      </c>
      <c r="D349" t="s">
        <v>229</v>
      </c>
      <c r="E349">
        <v>165.28</v>
      </c>
      <c r="F349">
        <v>13.33</v>
      </c>
      <c r="G349">
        <v>22.67</v>
      </c>
      <c r="H349">
        <v>129.28</v>
      </c>
    </row>
    <row r="350" spans="1:8" x14ac:dyDescent="0.35">
      <c r="A350" t="s">
        <v>466</v>
      </c>
      <c r="B350" t="s">
        <v>536</v>
      </c>
      <c r="D350" t="s">
        <v>235</v>
      </c>
      <c r="E350">
        <v>5.6800000000000006</v>
      </c>
      <c r="F350">
        <v>0.67</v>
      </c>
      <c r="G350">
        <v>1.34</v>
      </c>
      <c r="H350">
        <v>3.6700000000000004</v>
      </c>
    </row>
    <row r="351" spans="1:8" x14ac:dyDescent="0.35">
      <c r="A351" t="s">
        <v>466</v>
      </c>
      <c r="B351" t="s">
        <v>536</v>
      </c>
      <c r="D351" t="s">
        <v>241</v>
      </c>
      <c r="E351">
        <v>16.53</v>
      </c>
      <c r="F351">
        <v>1.34</v>
      </c>
      <c r="G351">
        <v>2.0100000000000002</v>
      </c>
      <c r="H351">
        <v>13.18</v>
      </c>
    </row>
    <row r="352" spans="1:8" x14ac:dyDescent="0.35">
      <c r="A352" t="s">
        <v>466</v>
      </c>
      <c r="B352" t="s">
        <v>536</v>
      </c>
      <c r="D352" t="s">
        <v>245</v>
      </c>
      <c r="E352">
        <v>151.26000000000005</v>
      </c>
      <c r="F352">
        <v>15.17</v>
      </c>
      <c r="G352">
        <v>25.35</v>
      </c>
      <c r="H352">
        <v>110.74000000000005</v>
      </c>
    </row>
    <row r="353" spans="1:8" x14ac:dyDescent="0.35">
      <c r="A353" t="s">
        <v>466</v>
      </c>
      <c r="B353" t="s">
        <v>536</v>
      </c>
      <c r="D353" t="s">
        <v>248</v>
      </c>
      <c r="E353">
        <v>12.35</v>
      </c>
      <c r="F353">
        <v>1</v>
      </c>
      <c r="G353">
        <v>1.67</v>
      </c>
      <c r="H353">
        <v>9.68</v>
      </c>
    </row>
    <row r="354" spans="1:8" x14ac:dyDescent="0.35">
      <c r="A354" t="s">
        <v>466</v>
      </c>
      <c r="B354" t="s">
        <v>536</v>
      </c>
      <c r="D354" t="s">
        <v>250</v>
      </c>
      <c r="E354">
        <v>54.439999999999976</v>
      </c>
      <c r="F354">
        <v>3.8400000000000003</v>
      </c>
      <c r="G354">
        <v>7.67</v>
      </c>
      <c r="H354">
        <v>42.929999999999978</v>
      </c>
    </row>
    <row r="355" spans="1:8" x14ac:dyDescent="0.35">
      <c r="A355" t="s">
        <v>466</v>
      </c>
      <c r="B355" t="s">
        <v>536</v>
      </c>
      <c r="D355" t="s">
        <v>256</v>
      </c>
      <c r="E355">
        <v>43.929999999999978</v>
      </c>
      <c r="F355">
        <v>4</v>
      </c>
      <c r="G355">
        <v>9.16</v>
      </c>
      <c r="H355">
        <v>30.769999999999978</v>
      </c>
    </row>
    <row r="356" spans="1:8" x14ac:dyDescent="0.35">
      <c r="A356" t="s">
        <v>466</v>
      </c>
      <c r="B356" t="s">
        <v>536</v>
      </c>
      <c r="D356" t="s">
        <v>264</v>
      </c>
      <c r="E356">
        <v>43.169999999999995</v>
      </c>
      <c r="F356">
        <v>3.51</v>
      </c>
      <c r="G356">
        <v>7.17</v>
      </c>
      <c r="H356">
        <v>32.489999999999995</v>
      </c>
    </row>
    <row r="357" spans="1:8" x14ac:dyDescent="0.35">
      <c r="A357" t="s">
        <v>466</v>
      </c>
      <c r="B357" t="s">
        <v>536</v>
      </c>
      <c r="D357" t="s">
        <v>268</v>
      </c>
      <c r="E357">
        <v>82.99</v>
      </c>
      <c r="F357">
        <v>7.33</v>
      </c>
      <c r="G357">
        <v>15.69</v>
      </c>
      <c r="H357">
        <v>59.97</v>
      </c>
    </row>
    <row r="358" spans="1:8" x14ac:dyDescent="0.35">
      <c r="A358" t="s">
        <v>466</v>
      </c>
      <c r="B358" t="s">
        <v>536</v>
      </c>
      <c r="D358" t="s">
        <v>274</v>
      </c>
      <c r="E358">
        <v>395.87000000000057</v>
      </c>
      <c r="F358">
        <v>41.839999999999996</v>
      </c>
      <c r="G358">
        <v>85.289999999999978</v>
      </c>
      <c r="H358">
        <v>268.74000000000063</v>
      </c>
    </row>
    <row r="359" spans="1:8" x14ac:dyDescent="0.35">
      <c r="A359" t="s">
        <v>466</v>
      </c>
      <c r="B359" t="s">
        <v>536</v>
      </c>
      <c r="D359" t="s">
        <v>278</v>
      </c>
      <c r="E359">
        <v>29.669999999999995</v>
      </c>
      <c r="F359">
        <v>2.33</v>
      </c>
      <c r="G359">
        <v>5.18</v>
      </c>
      <c r="H359">
        <v>22.159999999999997</v>
      </c>
    </row>
    <row r="360" spans="1:8" x14ac:dyDescent="0.35">
      <c r="A360" t="s">
        <v>466</v>
      </c>
      <c r="B360" t="s">
        <v>536</v>
      </c>
      <c r="D360" t="s">
        <v>280</v>
      </c>
      <c r="E360">
        <v>10.159999999999998</v>
      </c>
      <c r="F360">
        <v>0.67</v>
      </c>
      <c r="G360">
        <v>1.34</v>
      </c>
      <c r="H360">
        <v>8.1499999999999986</v>
      </c>
    </row>
    <row r="361" spans="1:8" x14ac:dyDescent="0.35">
      <c r="A361" t="s">
        <v>466</v>
      </c>
      <c r="B361" t="s">
        <v>536</v>
      </c>
      <c r="D361" t="s">
        <v>282</v>
      </c>
      <c r="E361">
        <v>93.95999999999998</v>
      </c>
      <c r="F361">
        <v>8.68</v>
      </c>
      <c r="G361">
        <v>23.32</v>
      </c>
      <c r="H361">
        <v>61.95999999999998</v>
      </c>
    </row>
    <row r="362" spans="1:8" x14ac:dyDescent="0.35">
      <c r="A362" t="s">
        <v>466</v>
      </c>
      <c r="B362" t="s">
        <v>536</v>
      </c>
      <c r="D362" t="s">
        <v>284</v>
      </c>
      <c r="E362">
        <v>120.15999999999991</v>
      </c>
      <c r="F362">
        <v>12.67</v>
      </c>
      <c r="G362">
        <v>25.659999999999993</v>
      </c>
      <c r="H362">
        <v>81.829999999999927</v>
      </c>
    </row>
    <row r="363" spans="1:8" x14ac:dyDescent="0.35">
      <c r="A363" t="s">
        <v>466</v>
      </c>
      <c r="B363" t="s">
        <v>536</v>
      </c>
      <c r="D363" t="s">
        <v>288</v>
      </c>
      <c r="E363">
        <v>82.629999999999981</v>
      </c>
      <c r="F363">
        <v>7.85</v>
      </c>
      <c r="G363">
        <v>9.35</v>
      </c>
      <c r="H363">
        <v>65.429999999999978</v>
      </c>
    </row>
    <row r="364" spans="1:8" x14ac:dyDescent="0.35">
      <c r="A364" t="s">
        <v>466</v>
      </c>
      <c r="B364" t="s">
        <v>536</v>
      </c>
      <c r="D364" t="s">
        <v>290</v>
      </c>
      <c r="E364">
        <v>18.86</v>
      </c>
      <c r="F364">
        <v>2.0100000000000002</v>
      </c>
      <c r="G364">
        <v>4.18</v>
      </c>
      <c r="H364">
        <v>12.67</v>
      </c>
    </row>
    <row r="365" spans="1:8" x14ac:dyDescent="0.35">
      <c r="A365" t="s">
        <v>466</v>
      </c>
      <c r="B365" t="s">
        <v>536</v>
      </c>
      <c r="D365" t="s">
        <v>293</v>
      </c>
      <c r="E365">
        <v>99.649999999999991</v>
      </c>
      <c r="F365">
        <v>11.34</v>
      </c>
      <c r="G365">
        <v>20.5</v>
      </c>
      <c r="H365">
        <v>67.809999999999988</v>
      </c>
    </row>
    <row r="366" spans="1:8" x14ac:dyDescent="0.35">
      <c r="A366" t="s">
        <v>466</v>
      </c>
      <c r="B366" t="s">
        <v>536</v>
      </c>
      <c r="D366" t="s">
        <v>295</v>
      </c>
      <c r="E366">
        <v>96.489999999999966</v>
      </c>
      <c r="F366">
        <v>6.02</v>
      </c>
      <c r="G366">
        <v>16.04</v>
      </c>
      <c r="H366">
        <v>74.429999999999964</v>
      </c>
    </row>
    <row r="367" spans="1:8" x14ac:dyDescent="0.35">
      <c r="A367" t="s">
        <v>466</v>
      </c>
      <c r="B367" t="s">
        <v>536</v>
      </c>
      <c r="D367" t="s">
        <v>297</v>
      </c>
      <c r="E367">
        <v>10.34</v>
      </c>
      <c r="F367">
        <v>0.83</v>
      </c>
      <c r="G367">
        <v>1.34</v>
      </c>
      <c r="H367">
        <v>8.17</v>
      </c>
    </row>
    <row r="368" spans="1:8" x14ac:dyDescent="0.35">
      <c r="A368" t="s">
        <v>466</v>
      </c>
      <c r="B368" t="s">
        <v>536</v>
      </c>
      <c r="D368" t="s">
        <v>299</v>
      </c>
      <c r="E368">
        <v>118.90999999999994</v>
      </c>
      <c r="F368">
        <v>10.51</v>
      </c>
      <c r="G368">
        <v>22.169999999999995</v>
      </c>
      <c r="H368">
        <v>86.229999999999947</v>
      </c>
    </row>
    <row r="369" spans="1:8" x14ac:dyDescent="0.35">
      <c r="A369" t="s">
        <v>466</v>
      </c>
      <c r="B369" t="s">
        <v>536</v>
      </c>
      <c r="D369" t="s">
        <v>301</v>
      </c>
      <c r="E369">
        <v>111.72999999999995</v>
      </c>
      <c r="F369">
        <v>12.34</v>
      </c>
      <c r="G369">
        <v>22.979999999999997</v>
      </c>
      <c r="H369">
        <v>76.409999999999954</v>
      </c>
    </row>
    <row r="370" spans="1:8" x14ac:dyDescent="0.35">
      <c r="A370" t="s">
        <v>466</v>
      </c>
      <c r="B370" t="s">
        <v>536</v>
      </c>
      <c r="D370" t="s">
        <v>303</v>
      </c>
      <c r="E370">
        <v>33.61999999999999</v>
      </c>
      <c r="F370">
        <v>3.17</v>
      </c>
      <c r="G370">
        <v>5.84</v>
      </c>
      <c r="H370">
        <v>24.609999999999989</v>
      </c>
    </row>
    <row r="371" spans="1:8" x14ac:dyDescent="0.35">
      <c r="A371" t="s">
        <v>466</v>
      </c>
      <c r="B371" t="s">
        <v>536</v>
      </c>
      <c r="D371" t="s">
        <v>305</v>
      </c>
      <c r="E371">
        <v>56.819999999999979</v>
      </c>
      <c r="F371">
        <v>5.5200000000000005</v>
      </c>
      <c r="G371">
        <v>8.68</v>
      </c>
      <c r="H371">
        <v>42.619999999999983</v>
      </c>
    </row>
    <row r="372" spans="1:8" x14ac:dyDescent="0.35">
      <c r="A372" t="s">
        <v>466</v>
      </c>
      <c r="B372" t="s">
        <v>536</v>
      </c>
      <c r="D372" t="s">
        <v>308</v>
      </c>
      <c r="E372">
        <v>58.070000000000014</v>
      </c>
      <c r="F372">
        <v>5.01</v>
      </c>
      <c r="G372">
        <v>10.7</v>
      </c>
      <c r="H372">
        <v>42.360000000000014</v>
      </c>
    </row>
    <row r="373" spans="1:8" x14ac:dyDescent="0.35">
      <c r="A373" t="s">
        <v>466</v>
      </c>
      <c r="B373" t="s">
        <v>536</v>
      </c>
      <c r="D373" t="s">
        <v>310</v>
      </c>
      <c r="E373">
        <v>18.66</v>
      </c>
      <c r="F373">
        <v>1.5</v>
      </c>
      <c r="G373">
        <v>1.34</v>
      </c>
      <c r="H373">
        <v>15.82</v>
      </c>
    </row>
    <row r="374" spans="1:8" x14ac:dyDescent="0.35">
      <c r="A374" t="s">
        <v>466</v>
      </c>
      <c r="B374" t="s">
        <v>536</v>
      </c>
      <c r="D374" t="s">
        <v>312</v>
      </c>
      <c r="E374">
        <v>46.339999999999989</v>
      </c>
      <c r="F374">
        <v>4.51</v>
      </c>
      <c r="G374">
        <v>6.1899999999999995</v>
      </c>
      <c r="H374">
        <v>35.639999999999986</v>
      </c>
    </row>
  </sheetData>
  <pageMargins left="0.7" right="0.7" top="0.75" bottom="0.75" header="0.3" footer="0.3"/>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
    <tabColor theme="9" tint="0.39997558519241921"/>
    <pageSetUpPr fitToPage="1"/>
  </sheetPr>
  <dimension ref="A1:J51"/>
  <sheetViews>
    <sheetView showGridLines="0" zoomScaleNormal="100" workbookViewId="0">
      <pane ySplit="2" topLeftCell="A3" activePane="bottomLeft" state="frozen"/>
      <selection pane="bottomLeft" sqref="A1:G1"/>
    </sheetView>
  </sheetViews>
  <sheetFormatPr defaultRowHeight="14.5" x14ac:dyDescent="0.35"/>
  <cols>
    <col min="1" max="1" width="17.453125" customWidth="1"/>
    <col min="2" max="2" width="31.81640625" customWidth="1"/>
    <col min="3" max="5" width="11.81640625" customWidth="1"/>
    <col min="6" max="6" width="11.1796875" customWidth="1"/>
  </cols>
  <sheetData>
    <row r="1" spans="1:7" ht="15.5" x14ac:dyDescent="0.35">
      <c r="A1" s="1011" t="s">
        <v>513</v>
      </c>
      <c r="B1" s="1011"/>
      <c r="C1" s="1011"/>
      <c r="D1" s="1011"/>
      <c r="E1" s="1011"/>
      <c r="F1" s="1011"/>
      <c r="G1" s="1011"/>
    </row>
    <row r="2" spans="1:7" ht="15.5" x14ac:dyDescent="0.35">
      <c r="A2" s="499" t="s">
        <v>201</v>
      </c>
      <c r="C2" s="441"/>
      <c r="D2" s="441"/>
      <c r="E2" s="441"/>
      <c r="F2" s="441"/>
      <c r="G2" s="441"/>
    </row>
    <row r="3" spans="1:7" ht="15.5" x14ac:dyDescent="0.35">
      <c r="C3" s="441"/>
      <c r="D3" s="441"/>
      <c r="E3" s="441"/>
      <c r="F3" s="441"/>
      <c r="G3" s="441"/>
    </row>
    <row r="4" spans="1:7" ht="37.5" customHeight="1" x14ac:dyDescent="0.35">
      <c r="A4" s="421" t="s">
        <v>714</v>
      </c>
      <c r="B4" s="421"/>
      <c r="C4" s="421"/>
      <c r="D4" s="421"/>
      <c r="E4" s="421"/>
    </row>
    <row r="5" spans="1:7" ht="15" customHeight="1" x14ac:dyDescent="0.35">
      <c r="A5" t="s">
        <v>202</v>
      </c>
      <c r="B5" t="s">
        <v>82</v>
      </c>
      <c r="C5" s="421"/>
      <c r="D5" s="421"/>
      <c r="E5" s="421"/>
    </row>
    <row r="6" spans="1:7" ht="15" customHeight="1" x14ac:dyDescent="0.35">
      <c r="A6" t="s">
        <v>203</v>
      </c>
      <c r="B6" t="s">
        <v>204</v>
      </c>
      <c r="C6" s="421"/>
      <c r="D6" s="421"/>
      <c r="E6" s="421"/>
    </row>
    <row r="7" spans="1:7" ht="15" customHeight="1" x14ac:dyDescent="0.35">
      <c r="A7" t="s">
        <v>205</v>
      </c>
      <c r="B7" t="s">
        <v>206</v>
      </c>
      <c r="C7" s="421"/>
      <c r="D7" s="421"/>
      <c r="E7" s="421"/>
    </row>
    <row r="8" spans="1:7" ht="26.5" x14ac:dyDescent="0.35">
      <c r="A8" s="78" t="s">
        <v>207</v>
      </c>
      <c r="B8" s="78" t="s">
        <v>550</v>
      </c>
      <c r="C8" s="79" t="s">
        <v>647</v>
      </c>
      <c r="D8" s="79" t="s">
        <v>648</v>
      </c>
      <c r="E8" s="79" t="s">
        <v>632</v>
      </c>
      <c r="F8" s="79" t="s">
        <v>340</v>
      </c>
    </row>
    <row r="9" spans="1:7" ht="15" thickBot="1" x14ac:dyDescent="0.4">
      <c r="A9" s="80" t="str">
        <f>RDSFTERoleAreaPivot!B1</f>
        <v>2024-25</v>
      </c>
      <c r="B9" s="80" t="s">
        <v>695</v>
      </c>
      <c r="C9" s="729">
        <f>C44</f>
        <v>211.69999999999973</v>
      </c>
      <c r="D9" s="729">
        <f>D44</f>
        <v>431.42000000000087</v>
      </c>
      <c r="E9" s="729">
        <f>E44</f>
        <v>1650.8000000000006</v>
      </c>
      <c r="F9" s="729">
        <f>F44</f>
        <v>2293.920000000001</v>
      </c>
    </row>
    <row r="10" spans="1:7" x14ac:dyDescent="0.35">
      <c r="B10" s="48"/>
      <c r="C10" s="730"/>
      <c r="D10" s="730"/>
      <c r="E10" s="730"/>
      <c r="F10" s="730"/>
    </row>
    <row r="11" spans="1:7" x14ac:dyDescent="0.35">
      <c r="A11" s="42" t="s">
        <v>208</v>
      </c>
      <c r="B11" s="42" t="s">
        <v>347</v>
      </c>
      <c r="C11" s="731"/>
      <c r="D11" s="731"/>
      <c r="E11" s="731"/>
      <c r="F11" s="731"/>
    </row>
    <row r="12" spans="1:7" x14ac:dyDescent="0.35">
      <c r="A12" s="391" t="s">
        <v>215</v>
      </c>
      <c r="B12" s="45" t="s">
        <v>216</v>
      </c>
      <c r="C12" s="49">
        <f>GETPIVOTDATA("Sum of Watch Manager",RDSFTERoleAreaPivot!$A$3,"ReportingLevel","1:LA","lvl","Aberdeen City")</f>
        <v>0.83</v>
      </c>
      <c r="D12" s="49">
        <f>GETPIVOTDATA("Sum of Crew Manager",RDSFTERoleAreaPivot!$A$3,"ReportingLevel","1:LA","lvl","Aberdeen City")</f>
        <v>2.0100000000000002</v>
      </c>
      <c r="E12" s="49">
        <f>GETPIVOTDATA("Sum of Firefighter",RDSFTERoleAreaPivot!$A$3,"ReportingLevel","1:LA","lvl","Aberdeen City")</f>
        <v>3.4899999999999998</v>
      </c>
      <c r="F12" s="732">
        <f>SUM(C12:E12)</f>
        <v>6.33</v>
      </c>
    </row>
    <row r="13" spans="1:7" x14ac:dyDescent="0.35">
      <c r="A13" s="89" t="s">
        <v>220</v>
      </c>
      <c r="B13" s="48" t="s">
        <v>221</v>
      </c>
      <c r="C13" s="49">
        <f>GETPIVOTDATA("Sum of Watch Manager",RDSFTERoleAreaPivot!$A$3,"ReportingLevel","1:LA","lvl","Aberdeenshire")</f>
        <v>19.200000000000003</v>
      </c>
      <c r="D13" s="49">
        <f>GETPIVOTDATA("Sum of Crew Manager",RDSFTERoleAreaPivot!$A$3,"ReportingLevel","1:LA","lvl","Aberdeenshire")</f>
        <v>52.540000000000013</v>
      </c>
      <c r="E13" s="49">
        <f>GETPIVOTDATA("Sum of Firefighter",RDSFTERoleAreaPivot!$A$3,"ReportingLevel","1:LA","lvl","Aberdeenshire")</f>
        <v>160.26</v>
      </c>
      <c r="F13" s="732">
        <f t="shared" ref="F13:F21" si="0">SUM(C13:E13)</f>
        <v>232</v>
      </c>
    </row>
    <row r="14" spans="1:7" x14ac:dyDescent="0.35">
      <c r="A14" s="89" t="s">
        <v>224</v>
      </c>
      <c r="B14" s="48" t="s">
        <v>225</v>
      </c>
      <c r="C14" s="49">
        <f>GETPIVOTDATA("Sum of Watch Manager",RDSFTERoleAreaPivot!$A$3,"ReportingLevel","1:LA","lvl","Angus")</f>
        <v>4.68</v>
      </c>
      <c r="D14" s="49">
        <f>GETPIVOTDATA("Sum of Crew Manager",RDSFTERoleAreaPivot!$A$3,"ReportingLevel","1:LA","lvl","Angus")</f>
        <v>14.04</v>
      </c>
      <c r="E14" s="49">
        <f>GETPIVOTDATA("Sum of Firefighter",RDSFTERoleAreaPivot!$A$3,"ReportingLevel","1:LA","lvl","Angus")</f>
        <v>59.299999999999983</v>
      </c>
      <c r="F14" s="732">
        <f t="shared" si="0"/>
        <v>78.019999999999982</v>
      </c>
    </row>
    <row r="15" spans="1:7" x14ac:dyDescent="0.35">
      <c r="A15" s="89" t="s">
        <v>228</v>
      </c>
      <c r="B15" s="48" t="s">
        <v>229</v>
      </c>
      <c r="C15" s="49">
        <f>GETPIVOTDATA("Sum of Watch Manager",RDSFTERoleAreaPivot!$A$3,"ReportingLevel","1:LA","lvl","Argyll and Bute")</f>
        <v>13.33</v>
      </c>
      <c r="D15" s="49">
        <f>GETPIVOTDATA("Sum of Crew Manager",RDSFTERoleAreaPivot!$A$3,"ReportingLevel","1:LA","lvl","Argyll and Bute")</f>
        <v>22.67</v>
      </c>
      <c r="E15" s="49">
        <f>GETPIVOTDATA("Sum of Firefighter",RDSFTERoleAreaPivot!$A$3,"ReportingLevel","1:LA","lvl","Argyll and Bute")</f>
        <v>129.28</v>
      </c>
      <c r="F15" s="732">
        <f t="shared" si="0"/>
        <v>165.28</v>
      </c>
    </row>
    <row r="16" spans="1:7" x14ac:dyDescent="0.35">
      <c r="A16" s="89" t="s">
        <v>234</v>
      </c>
      <c r="B16" s="48" t="s">
        <v>235</v>
      </c>
      <c r="C16" s="49">
        <f>GETPIVOTDATA("Sum of Watch Manager",RDSFTERoleAreaPivot!$A$3,"ReportingLevel","1:LA","lvl","City of Edinburgh")</f>
        <v>0.67</v>
      </c>
      <c r="D16" s="49">
        <f>GETPIVOTDATA("Sum of Crew Manager",RDSFTERoleAreaPivot!$A$3,"ReportingLevel","1:LA","lvl","City of Edinburgh")</f>
        <v>1.34</v>
      </c>
      <c r="E16" s="49">
        <f>GETPIVOTDATA("Sum of Firefighter",RDSFTERoleAreaPivot!$A$3,"ReportingLevel","1:LA","lvl","City of Edinburgh")</f>
        <v>3.6700000000000004</v>
      </c>
      <c r="F16" s="732">
        <f t="shared" si="0"/>
        <v>5.6800000000000006</v>
      </c>
    </row>
    <row r="17" spans="1:6" x14ac:dyDescent="0.35">
      <c r="A17" s="89" t="s">
        <v>240</v>
      </c>
      <c r="B17" s="48" t="s">
        <v>241</v>
      </c>
      <c r="C17" s="49">
        <f>GETPIVOTDATA("Sum of Watch Manager",RDSFTERoleAreaPivot!$A$3,"ReportingLevel","1:LA","lvl","Clackmannanshire")</f>
        <v>1.34</v>
      </c>
      <c r="D17" s="49">
        <f>GETPIVOTDATA("Sum of Crew Manager",RDSFTERoleAreaPivot!$A$3,"ReportingLevel","1:LA","lvl","Clackmannanshire")</f>
        <v>2.0100000000000002</v>
      </c>
      <c r="E17" s="49">
        <f>GETPIVOTDATA("Sum of Firefighter",RDSFTERoleAreaPivot!$A$3,"ReportingLevel","1:LA","lvl","Clackmannanshire")</f>
        <v>13.18</v>
      </c>
      <c r="F17" s="732">
        <f t="shared" si="0"/>
        <v>16.53</v>
      </c>
    </row>
    <row r="18" spans="1:6" x14ac:dyDescent="0.35">
      <c r="A18" s="89" t="s">
        <v>244</v>
      </c>
      <c r="B18" s="48" t="s">
        <v>245</v>
      </c>
      <c r="C18" s="49">
        <f>GETPIVOTDATA("Sum of Watch Manager",RDSFTERoleAreaPivot!$A$3,"ReportingLevel","1:LA","lvl","Dumfries and Galloway")</f>
        <v>15.17</v>
      </c>
      <c r="D18" s="49">
        <f>GETPIVOTDATA("Sum of Crew Manager",RDSFTERoleAreaPivot!$A$3,"ReportingLevel","1:LA","lvl","Dumfries and Galloway")</f>
        <v>25.35</v>
      </c>
      <c r="E18" s="49">
        <f>GETPIVOTDATA("Sum of Firefighter",RDSFTERoleAreaPivot!$A$3,"ReportingLevel","1:LA","lvl","Dumfries and Galloway")</f>
        <v>110.74000000000005</v>
      </c>
      <c r="F18" s="732">
        <f t="shared" si="0"/>
        <v>151.26000000000005</v>
      </c>
    </row>
    <row r="19" spans="1:6" x14ac:dyDescent="0.35">
      <c r="A19" s="89" t="s">
        <v>247</v>
      </c>
      <c r="B19" s="48" t="s">
        <v>248</v>
      </c>
      <c r="C19" s="49">
        <f>GETPIVOTDATA("Sum of Watch Manager",RDSFTERoleAreaPivot!$A$3,"ReportingLevel","1:LA","lvl","Dundee City")</f>
        <v>1</v>
      </c>
      <c r="D19" s="49">
        <f>GETPIVOTDATA("Sum of Crew Manager",RDSFTERoleAreaPivot!$A$3,"ReportingLevel","1:LA","lvl","Dundee City")</f>
        <v>1.67</v>
      </c>
      <c r="E19" s="49">
        <f>GETPIVOTDATA("Sum of Firefighter",RDSFTERoleAreaPivot!$A$3,"ReportingLevel","1:LA","lvl","Dundee City")</f>
        <v>9.68</v>
      </c>
      <c r="F19" s="732">
        <f t="shared" si="0"/>
        <v>12.35</v>
      </c>
    </row>
    <row r="20" spans="1:6" x14ac:dyDescent="0.35">
      <c r="A20" s="89" t="s">
        <v>249</v>
      </c>
      <c r="B20" s="48" t="s">
        <v>250</v>
      </c>
      <c r="C20" s="49">
        <f>GETPIVOTDATA("Sum of Watch Manager",RDSFTERoleAreaPivot!$A$3,"ReportingLevel","1:LA","lvl","East Ayrshire")</f>
        <v>3.8400000000000003</v>
      </c>
      <c r="D20" s="49">
        <f>GETPIVOTDATA("Sum of Crew Manager",RDSFTERoleAreaPivot!$A$3,"ReportingLevel","1:LA","lvl","East Ayrshire")</f>
        <v>7.67</v>
      </c>
      <c r="E20" s="49">
        <f>GETPIVOTDATA("Sum of Firefighter",RDSFTERoleAreaPivot!$A$3,"ReportingLevel","1:LA","lvl","East Ayrshire")</f>
        <v>42.929999999999978</v>
      </c>
      <c r="F20" s="732">
        <f t="shared" si="0"/>
        <v>54.439999999999976</v>
      </c>
    </row>
    <row r="21" spans="1:6" x14ac:dyDescent="0.35">
      <c r="A21" s="89" t="s">
        <v>253</v>
      </c>
      <c r="B21" s="48" t="s">
        <v>254</v>
      </c>
      <c r="C21" s="671" t="str">
        <f>IFERROR(GETPIVOTDATA("Sum of Watch Manager",RDSFTERoleAreaPivot!$A$3,"ReportingLevel","1:LA","lvl","East Dunbartonshire"), "-")</f>
        <v>-</v>
      </c>
      <c r="D21" s="671" t="str">
        <f>IFERROR(GETPIVOTDATA("Sum of Crew Manager",RDSFTERoleAreaPivot!$A$3,"ReportingLevel","1:LA","lvl","East Dunbartonshire"), "-")</f>
        <v>-</v>
      </c>
      <c r="E21" s="671" t="str">
        <f>IFERROR(GETPIVOTDATA("Sum of Firefighter",RDSFTERoleAreaPivot!$A$3,"ReportingLevel","1:LA","lvl","East Dunbartonshire"), "-")</f>
        <v>-</v>
      </c>
      <c r="F21" s="732">
        <f t="shared" si="0"/>
        <v>0</v>
      </c>
    </row>
    <row r="22" spans="1:6" x14ac:dyDescent="0.35">
      <c r="A22" s="89" t="s">
        <v>255</v>
      </c>
      <c r="B22" s="48" t="s">
        <v>256</v>
      </c>
      <c r="C22" s="671">
        <f>GETPIVOTDATA("Sum of Watch Manager",RDSFTERoleAreaPivot!$A$3,"ReportingLevel","1:LA","lvl","East Lothian")</f>
        <v>4</v>
      </c>
      <c r="D22" s="671">
        <f>GETPIVOTDATA("Sum of Crew Manager",RDSFTERoleAreaPivot!$A$3,"ReportingLevel","1:LA","lvl","East Lothian")</f>
        <v>9.16</v>
      </c>
      <c r="E22" s="671">
        <f>GETPIVOTDATA("Sum of Firefighter",RDSFTERoleAreaPivot!$A$3,"ReportingLevel","1:LA","lvl","East Lothian")</f>
        <v>30.769999999999978</v>
      </c>
      <c r="F22" s="732">
        <f>SUM(C22:E22)</f>
        <v>43.929999999999978</v>
      </c>
    </row>
    <row r="23" spans="1:6" x14ac:dyDescent="0.35">
      <c r="A23" s="89" t="s">
        <v>259</v>
      </c>
      <c r="B23" s="48" t="s">
        <v>260</v>
      </c>
      <c r="C23" s="671" t="str">
        <f>IFERROR(GETPIVOTDATA("Sum of Watch Manager",RDSFTERoleAreaPivot!$A$3,"ReportingLevel","1:LA","lvl","East Renfrewshire"), "-")</f>
        <v>-</v>
      </c>
      <c r="D23" s="671" t="str">
        <f>IFERROR(GETPIVOTDATA("Sum of Crew Manager",RDSFTERoleAreaPivot!$A$3,"ReportingLevel","1:LA","lvl","East Renfrewshire"), "-")</f>
        <v>-</v>
      </c>
      <c r="E23" s="671" t="str">
        <f>IFERROR(GETPIVOTDATA("Sum of Firefighter",RDSFTERoleAreaPivot!$A$3,"ReportingLevel","1:LA","lvl","East Renfrewshire"), "-")</f>
        <v>-</v>
      </c>
      <c r="F23" s="732">
        <f t="shared" ref="F23:F43" si="1">SUM(C23:E23)</f>
        <v>0</v>
      </c>
    </row>
    <row r="24" spans="1:6" x14ac:dyDescent="0.35">
      <c r="A24" s="89" t="s">
        <v>263</v>
      </c>
      <c r="B24" s="48" t="s">
        <v>264</v>
      </c>
      <c r="C24" s="671">
        <f>GETPIVOTDATA("Sum of Watch Manager",RDSFTERoleAreaPivot!$A$3,"ReportingLevel","1:LA","lvl","Falkirk")</f>
        <v>3.51</v>
      </c>
      <c r="D24" s="671">
        <f>GETPIVOTDATA("Sum of Crew Manager",RDSFTERoleAreaPivot!$A$3,"ReportingLevel","1:LA","lvl","Falkirk")</f>
        <v>7.17</v>
      </c>
      <c r="E24" s="671">
        <f>GETPIVOTDATA("Sum of Firefighter",RDSFTERoleAreaPivot!$A$3,"ReportingLevel","1:LA","lvl","Falkirk")</f>
        <v>32.489999999999995</v>
      </c>
      <c r="F24" s="732">
        <f t="shared" si="1"/>
        <v>43.169999999999995</v>
      </c>
    </row>
    <row r="25" spans="1:6" x14ac:dyDescent="0.35">
      <c r="A25" s="89" t="s">
        <v>267</v>
      </c>
      <c r="B25" s="48" t="s">
        <v>268</v>
      </c>
      <c r="C25" s="671">
        <f>GETPIVOTDATA("Sum of Watch Manager",RDSFTERoleAreaPivot!$A$3,"ReportingLevel","1:LA","lvl","Fife")</f>
        <v>7.33</v>
      </c>
      <c r="D25" s="671">
        <f>GETPIVOTDATA("Sum of Crew Manager",RDSFTERoleAreaPivot!$A$3,"ReportingLevel","1:LA","lvl","Fife")</f>
        <v>15.69</v>
      </c>
      <c r="E25" s="671">
        <f>GETPIVOTDATA("Sum of Firefighter",RDSFTERoleAreaPivot!$A$3,"ReportingLevel","1:LA","lvl","Fife")</f>
        <v>59.97</v>
      </c>
      <c r="F25" s="732">
        <f t="shared" si="1"/>
        <v>82.99</v>
      </c>
    </row>
    <row r="26" spans="1:6" x14ac:dyDescent="0.35">
      <c r="A26" s="89" t="str">
        <f>IF(A9 = "2019-20","S12000049","S12000046")</f>
        <v>S12000046</v>
      </c>
      <c r="B26" s="48" t="s">
        <v>271</v>
      </c>
      <c r="C26" s="671" t="str">
        <f>IFERROR(GETPIVOTDATA("Sum of Watch Manager",RDSFTERoleAreaPivot!$A$3,"ReportingLevel","1:LA","lvl","Glasgow City"), "-")</f>
        <v>-</v>
      </c>
      <c r="D26" s="671" t="str">
        <f>IFERROR(GETPIVOTDATA("Sum of Crew Manager",RDSFTERoleAreaPivot!$A$3,"ReportingLevel","1:LA","lvl","Glasgow City"), "-")</f>
        <v>-</v>
      </c>
      <c r="E26" s="671" t="str">
        <f>IFERROR(GETPIVOTDATA("Sum of Firefighter",RDSFTERoleAreaPivot!$A$3,"ReportingLevel","1:LA","lvl","Glasgow City"), "-")</f>
        <v>-</v>
      </c>
      <c r="F26" s="732">
        <f t="shared" si="1"/>
        <v>0</v>
      </c>
    </row>
    <row r="27" spans="1:6" x14ac:dyDescent="0.35">
      <c r="A27" s="89" t="s">
        <v>273</v>
      </c>
      <c r="B27" s="48" t="s">
        <v>274</v>
      </c>
      <c r="C27" s="49">
        <f>GETPIVOTDATA("Sum of Watch Manager",RDSFTERoleAreaPivot!$A$3,"ReportingLevel","1:LA","lvl","Highland")</f>
        <v>41.839999999999996</v>
      </c>
      <c r="D27" s="49">
        <f>GETPIVOTDATA("Sum of Crew Manager",RDSFTERoleAreaPivot!$A$3,"ReportingLevel","1:LA","lvl","Highland")</f>
        <v>85.289999999999978</v>
      </c>
      <c r="E27" s="49">
        <f>GETPIVOTDATA("Sum of Firefighter",RDSFTERoleAreaPivot!$A$3,"ReportingLevel","1:LA","lvl","Highland")</f>
        <v>268.74000000000063</v>
      </c>
      <c r="F27" s="732">
        <f t="shared" si="1"/>
        <v>395.87000000000057</v>
      </c>
    </row>
    <row r="28" spans="1:6" x14ac:dyDescent="0.35">
      <c r="A28" s="89" t="s">
        <v>277</v>
      </c>
      <c r="B28" s="48" t="s">
        <v>278</v>
      </c>
      <c r="C28" s="49">
        <f>GETPIVOTDATA("Sum of Watch Manager",RDSFTERoleAreaPivot!$A$3,"ReportingLevel","1:LA","lvl","Inverclyde")</f>
        <v>2.33</v>
      </c>
      <c r="D28" s="49">
        <f>GETPIVOTDATA("Sum of Crew Manager",RDSFTERoleAreaPivot!$A$3,"ReportingLevel","1:LA","lvl","Inverclyde")</f>
        <v>5.18</v>
      </c>
      <c r="E28" s="49">
        <f>GETPIVOTDATA("Sum of Firefighter",RDSFTERoleAreaPivot!$A$3,"ReportingLevel","1:LA","lvl","Inverclyde")</f>
        <v>22.159999999999997</v>
      </c>
      <c r="F28" s="732">
        <f t="shared" si="1"/>
        <v>29.669999999999995</v>
      </c>
    </row>
    <row r="29" spans="1:6" x14ac:dyDescent="0.35">
      <c r="A29" s="89" t="s">
        <v>279</v>
      </c>
      <c r="B29" s="48" t="s">
        <v>280</v>
      </c>
      <c r="C29" s="49">
        <f>GETPIVOTDATA("Sum of Watch Manager",RDSFTERoleAreaPivot!$A$3,"ReportingLevel","1:LA","lvl","Midlothian")</f>
        <v>0.67</v>
      </c>
      <c r="D29" s="49">
        <f>GETPIVOTDATA("Sum of Crew Manager",RDSFTERoleAreaPivot!$A$3,"ReportingLevel","1:LA","lvl","Midlothian")</f>
        <v>1.34</v>
      </c>
      <c r="E29" s="49">
        <f>GETPIVOTDATA("Sum of Firefighter",RDSFTERoleAreaPivot!$A$3,"ReportingLevel","1:LA","lvl","Midlothian")</f>
        <v>8.1499999999999986</v>
      </c>
      <c r="F29" s="732">
        <f t="shared" si="1"/>
        <v>10.159999999999998</v>
      </c>
    </row>
    <row r="30" spans="1:6" x14ac:dyDescent="0.35">
      <c r="A30" s="89" t="s">
        <v>281</v>
      </c>
      <c r="B30" s="48" t="s">
        <v>282</v>
      </c>
      <c r="C30" s="49">
        <f>GETPIVOTDATA("Sum of Watch Manager",RDSFTERoleAreaPivot!$A$3,"ReportingLevel","1:LA","lvl","Moray")</f>
        <v>8.68</v>
      </c>
      <c r="D30" s="49">
        <f>GETPIVOTDATA("Sum of Crew Manager",RDSFTERoleAreaPivot!$A$3,"ReportingLevel","1:LA","lvl","Moray")</f>
        <v>23.32</v>
      </c>
      <c r="E30" s="49">
        <f>GETPIVOTDATA("Sum of Firefighter",RDSFTERoleAreaPivot!$A$3,"ReportingLevel","1:LA","lvl","Moray")</f>
        <v>61.95999999999998</v>
      </c>
      <c r="F30" s="732">
        <f t="shared" si="1"/>
        <v>93.95999999999998</v>
      </c>
    </row>
    <row r="31" spans="1:6" x14ac:dyDescent="0.35">
      <c r="A31" s="89" t="s">
        <v>283</v>
      </c>
      <c r="B31" s="48" t="s">
        <v>284</v>
      </c>
      <c r="C31" s="49">
        <f>GETPIVOTDATA("Sum of Watch Manager",RDSFTERoleAreaPivot!$A$3,"ReportingLevel","1:LA","lvl","Na h-Eileanan Siar")</f>
        <v>12.67</v>
      </c>
      <c r="D31" s="49">
        <f>GETPIVOTDATA("Sum of Crew Manager",RDSFTERoleAreaPivot!$A$3,"ReportingLevel","1:LA","lvl","Na h-Eileanan Siar")</f>
        <v>25.659999999999993</v>
      </c>
      <c r="E31" s="49">
        <f>GETPIVOTDATA("Sum of Firefighter",RDSFTERoleAreaPivot!$A$3,"ReportingLevel","1:LA","lvl","Na h-Eileanan Siar")</f>
        <v>81.829999999999927</v>
      </c>
      <c r="F31" s="732">
        <f t="shared" si="1"/>
        <v>120.15999999999991</v>
      </c>
    </row>
    <row r="32" spans="1:6" x14ac:dyDescent="0.35">
      <c r="A32" s="89" t="s">
        <v>287</v>
      </c>
      <c r="B32" s="48" t="s">
        <v>288</v>
      </c>
      <c r="C32" s="49">
        <f>GETPIVOTDATA("Sum of Watch Manager",RDSFTERoleAreaPivot!$A$3,"ReportingLevel","1:LA","lvl","North Ayrshire")</f>
        <v>7.85</v>
      </c>
      <c r="D32" s="49">
        <f>GETPIVOTDATA("Sum of Crew Manager",RDSFTERoleAreaPivot!$A$3,"ReportingLevel","1:LA","lvl","North Ayrshire")</f>
        <v>9.35</v>
      </c>
      <c r="E32" s="49">
        <f>GETPIVOTDATA("Sum of Firefighter",RDSFTERoleAreaPivot!$A$3,"ReportingLevel","1:LA","lvl","North Ayrshire")</f>
        <v>65.429999999999978</v>
      </c>
      <c r="F32" s="732">
        <f t="shared" si="1"/>
        <v>82.629999999999981</v>
      </c>
    </row>
    <row r="33" spans="1:6" x14ac:dyDescent="0.35">
      <c r="A33" s="89" t="str">
        <f>IF(A9="2019-20","S12000050","S12000044")</f>
        <v>S12000044</v>
      </c>
      <c r="B33" s="48" t="s">
        <v>290</v>
      </c>
      <c r="C33" s="49">
        <f>GETPIVOTDATA("Sum of Watch Manager",RDSFTERoleAreaPivot!$A$3,"ReportingLevel","1:LA","lvl","North Lanarkshire")</f>
        <v>2.0100000000000002</v>
      </c>
      <c r="D33" s="49">
        <f>GETPIVOTDATA("Sum of Crew Manager",RDSFTERoleAreaPivot!$A$3,"ReportingLevel","1:LA","lvl","North Lanarkshire")</f>
        <v>4.18</v>
      </c>
      <c r="E33" s="49">
        <f>GETPIVOTDATA("Sum of Firefighter",RDSFTERoleAreaPivot!$A$3,"ReportingLevel","1:LA","lvl","North Lanarkshire")</f>
        <v>12.67</v>
      </c>
      <c r="F33" s="732">
        <f t="shared" si="1"/>
        <v>18.86</v>
      </c>
    </row>
    <row r="34" spans="1:6" x14ac:dyDescent="0.35">
      <c r="A34" s="89" t="s">
        <v>292</v>
      </c>
      <c r="B34" s="48" t="s">
        <v>293</v>
      </c>
      <c r="C34" s="49">
        <f>GETPIVOTDATA("Sum of Watch Manager",RDSFTERoleAreaPivot!$A$3,"ReportingLevel","1:LA","lvl","Orkney Islands")</f>
        <v>11.34</v>
      </c>
      <c r="D34" s="49">
        <f>GETPIVOTDATA("Sum of Crew Manager",RDSFTERoleAreaPivot!$A$3,"ReportingLevel","1:LA","lvl","Orkney Islands")</f>
        <v>20.5</v>
      </c>
      <c r="E34" s="49">
        <f>GETPIVOTDATA("Sum of Firefighter",RDSFTERoleAreaPivot!$A$3,"ReportingLevel","1:LA","lvl","Orkney Islands")</f>
        <v>67.809999999999988</v>
      </c>
      <c r="F34" s="732">
        <f t="shared" si="1"/>
        <v>99.649999999999991</v>
      </c>
    </row>
    <row r="35" spans="1:6" x14ac:dyDescent="0.35">
      <c r="A35" s="89" t="s">
        <v>294</v>
      </c>
      <c r="B35" s="48" t="s">
        <v>295</v>
      </c>
      <c r="C35" s="49">
        <f>GETPIVOTDATA("Sum of Watch Manager",RDSFTERoleAreaPivot!$A$3,"ReportingLevel","1:LA","lvl","Perth and Kinross")</f>
        <v>6.02</v>
      </c>
      <c r="D35" s="49">
        <f>GETPIVOTDATA("Sum of Crew Manager",RDSFTERoleAreaPivot!$A$3,"ReportingLevel","1:LA","lvl","Perth and Kinross")</f>
        <v>16.04</v>
      </c>
      <c r="E35" s="49">
        <f>GETPIVOTDATA("Sum of Firefighter",RDSFTERoleAreaPivot!$A$3,"ReportingLevel","1:LA","lvl","Perth and Kinross")</f>
        <v>74.429999999999964</v>
      </c>
      <c r="F35" s="732">
        <f t="shared" si="1"/>
        <v>96.489999999999966</v>
      </c>
    </row>
    <row r="36" spans="1:6" x14ac:dyDescent="0.35">
      <c r="A36" s="89" t="s">
        <v>296</v>
      </c>
      <c r="B36" s="48" t="s">
        <v>297</v>
      </c>
      <c r="C36" s="49">
        <f>GETPIVOTDATA("Sum of Watch Manager",RDSFTERoleAreaPivot!$A$3,"ReportingLevel","1:LA","lvl","Renfrewshire")</f>
        <v>0.83</v>
      </c>
      <c r="D36" s="49">
        <f>GETPIVOTDATA("Sum of Crew Manager",RDSFTERoleAreaPivot!$A$3,"ReportingLevel","1:LA","lvl","Renfrewshire")</f>
        <v>1.34</v>
      </c>
      <c r="E36" s="49">
        <f>GETPIVOTDATA("Sum of Firefighter",RDSFTERoleAreaPivot!$A$3,"ReportingLevel","1:LA","lvl","Renfrewshire")</f>
        <v>8.17</v>
      </c>
      <c r="F36" s="732">
        <f t="shared" si="1"/>
        <v>10.34</v>
      </c>
    </row>
    <row r="37" spans="1:6" x14ac:dyDescent="0.35">
      <c r="A37" s="89" t="s">
        <v>298</v>
      </c>
      <c r="B37" s="48" t="s">
        <v>299</v>
      </c>
      <c r="C37" s="49">
        <f>GETPIVOTDATA("Sum of Watch Manager",RDSFTERoleAreaPivot!$A$3,"ReportingLevel","1:LA","lvl","Scottish Borders")</f>
        <v>10.51</v>
      </c>
      <c r="D37" s="49">
        <f>GETPIVOTDATA("Sum of Crew Manager",RDSFTERoleAreaPivot!$A$3,"ReportingLevel","1:LA","lvl","Scottish Borders")</f>
        <v>22.169999999999995</v>
      </c>
      <c r="E37" s="49">
        <f>GETPIVOTDATA("Sum of Firefighter",RDSFTERoleAreaPivot!$A$3,"ReportingLevel","1:LA","lvl","Scottish Borders")</f>
        <v>86.229999999999947</v>
      </c>
      <c r="F37" s="732">
        <f t="shared" si="1"/>
        <v>118.90999999999994</v>
      </c>
    </row>
    <row r="38" spans="1:6" x14ac:dyDescent="0.35">
      <c r="A38" s="89" t="s">
        <v>300</v>
      </c>
      <c r="B38" s="48" t="s">
        <v>301</v>
      </c>
      <c r="C38" s="49">
        <f>GETPIVOTDATA("Sum of Watch Manager",RDSFTERoleAreaPivot!$A$3,"ReportingLevel","1:LA","lvl","Shetland Islands")</f>
        <v>12.34</v>
      </c>
      <c r="D38" s="49">
        <f>GETPIVOTDATA("Sum of Crew Manager",RDSFTERoleAreaPivot!$A$3,"ReportingLevel","1:LA","lvl","Shetland Islands")</f>
        <v>22.979999999999997</v>
      </c>
      <c r="E38" s="49">
        <f>GETPIVOTDATA("Sum of Firefighter",RDSFTERoleAreaPivot!$A$3,"ReportingLevel","1:LA","lvl","Shetland Islands")</f>
        <v>76.409999999999954</v>
      </c>
      <c r="F38" s="732">
        <f t="shared" si="1"/>
        <v>111.72999999999995</v>
      </c>
    </row>
    <row r="39" spans="1:6" x14ac:dyDescent="0.35">
      <c r="A39" s="89" t="s">
        <v>302</v>
      </c>
      <c r="B39" s="48" t="s">
        <v>303</v>
      </c>
      <c r="C39" s="49">
        <f>GETPIVOTDATA("Sum of Watch Manager",RDSFTERoleAreaPivot!$A$3,"ReportingLevel","1:LA","lvl","South Ayrshire")</f>
        <v>3.17</v>
      </c>
      <c r="D39" s="49">
        <f>GETPIVOTDATA("Sum of Crew Manager",RDSFTERoleAreaPivot!$A$3,"ReportingLevel","1:LA","lvl","South Ayrshire")</f>
        <v>5.84</v>
      </c>
      <c r="E39" s="49">
        <f>GETPIVOTDATA("Sum of Firefighter",RDSFTERoleAreaPivot!$A$3,"ReportingLevel","1:LA","lvl","South Ayrshire")</f>
        <v>24.609999999999989</v>
      </c>
      <c r="F39" s="732">
        <f t="shared" si="1"/>
        <v>33.61999999999999</v>
      </c>
    </row>
    <row r="40" spans="1:6" x14ac:dyDescent="0.35">
      <c r="A40" s="89" t="s">
        <v>304</v>
      </c>
      <c r="B40" s="48" t="s">
        <v>305</v>
      </c>
      <c r="C40" s="49">
        <f>GETPIVOTDATA("Sum of Watch Manager",RDSFTERoleAreaPivot!$A$3,"ReportingLevel","1:LA","lvl","South Lanarkshire")</f>
        <v>5.5200000000000005</v>
      </c>
      <c r="D40" s="49">
        <f>GETPIVOTDATA("Sum of Crew Manager",RDSFTERoleAreaPivot!$A$3,"ReportingLevel","1:LA","lvl","South Lanarkshire")</f>
        <v>8.68</v>
      </c>
      <c r="E40" s="49">
        <f>GETPIVOTDATA("Sum of Firefighter",RDSFTERoleAreaPivot!$A$3,"ReportingLevel","1:LA","lvl","South Lanarkshire")</f>
        <v>42.619999999999983</v>
      </c>
      <c r="F40" s="732">
        <f t="shared" si="1"/>
        <v>56.819999999999979</v>
      </c>
    </row>
    <row r="41" spans="1:6" x14ac:dyDescent="0.35">
      <c r="A41" s="89" t="s">
        <v>307</v>
      </c>
      <c r="B41" s="48" t="s">
        <v>308</v>
      </c>
      <c r="C41" s="49">
        <f>GETPIVOTDATA("Sum of Watch Manager",RDSFTERoleAreaPivot!$A$3,"ReportingLevel","1:LA","lvl","Stirling")</f>
        <v>5.01</v>
      </c>
      <c r="D41" s="49">
        <f>GETPIVOTDATA("Sum of Crew Manager",RDSFTERoleAreaPivot!$A$3,"ReportingLevel","1:LA","lvl","Stirling")</f>
        <v>10.7</v>
      </c>
      <c r="E41" s="49">
        <f>GETPIVOTDATA("Sum of Firefighter",RDSFTERoleAreaPivot!$A$3,"ReportingLevel","1:LA","lvl","Stirling")</f>
        <v>42.360000000000014</v>
      </c>
      <c r="F41" s="732">
        <f t="shared" si="1"/>
        <v>58.070000000000014</v>
      </c>
    </row>
    <row r="42" spans="1:6" x14ac:dyDescent="0.35">
      <c r="A42" s="89" t="s">
        <v>309</v>
      </c>
      <c r="B42" s="48" t="s">
        <v>310</v>
      </c>
      <c r="C42" s="49">
        <f>GETPIVOTDATA("Sum of Watch Manager",RDSFTERoleAreaPivot!$A$3,"ReportingLevel","1:LA","lvl","West Dunbartonshire")</f>
        <v>1.5</v>
      </c>
      <c r="D42" s="49">
        <f>GETPIVOTDATA("Sum of Crew Manager",RDSFTERoleAreaPivot!$A$3,"ReportingLevel","1:LA","lvl","West Dunbartonshire")</f>
        <v>1.34</v>
      </c>
      <c r="E42" s="49">
        <f>GETPIVOTDATA("Sum of Firefighter",RDSFTERoleAreaPivot!$A$3,"ReportingLevel","1:LA","lvl","West Dunbartonshire")</f>
        <v>15.82</v>
      </c>
      <c r="F42" s="732">
        <f t="shared" si="1"/>
        <v>18.66</v>
      </c>
    </row>
    <row r="43" spans="1:6" x14ac:dyDescent="0.35">
      <c r="A43" s="89" t="s">
        <v>311</v>
      </c>
      <c r="B43" s="48" t="s">
        <v>312</v>
      </c>
      <c r="C43" s="49">
        <f>GETPIVOTDATA("Sum of Watch Manager",RDSFTERoleAreaPivot!$A$3,"ReportingLevel","1:LA","lvl","West Lothian")</f>
        <v>4.51</v>
      </c>
      <c r="D43" s="49">
        <f>GETPIVOTDATA("Sum of Crew Manager",RDSFTERoleAreaPivot!$A$3,"ReportingLevel","1:LA","lvl","West Lothian")</f>
        <v>6.1899999999999995</v>
      </c>
      <c r="E43" s="49">
        <f>GETPIVOTDATA("Sum of Firefighter",RDSFTERoleAreaPivot!$A$3,"ReportingLevel","1:LA","lvl","West Lothian")</f>
        <v>35.639999999999986</v>
      </c>
      <c r="F43" s="732">
        <f t="shared" si="1"/>
        <v>46.339999999999989</v>
      </c>
    </row>
    <row r="44" spans="1:6" ht="15" thickBot="1" x14ac:dyDescent="0.4">
      <c r="A44" s="455"/>
      <c r="B44" s="52" t="s">
        <v>552</v>
      </c>
      <c r="C44" s="314">
        <f>RDSFTERoleAreaPivot!B7</f>
        <v>211.69999999999973</v>
      </c>
      <c r="D44" s="314">
        <f>RDSFTERoleAreaPivot!C7</f>
        <v>431.42000000000087</v>
      </c>
      <c r="E44" s="314">
        <f>RDSFTERoleAreaPivot!D7</f>
        <v>1650.8000000000006</v>
      </c>
      <c r="F44" s="314">
        <f>SUM(C44:E44)</f>
        <v>2293.920000000001</v>
      </c>
    </row>
    <row r="45" spans="1:6" x14ac:dyDescent="0.35">
      <c r="B45" s="81"/>
      <c r="C45" s="265"/>
      <c r="D45" s="265"/>
      <c r="E45" s="265"/>
      <c r="F45" s="265"/>
    </row>
    <row r="46" spans="1:6" x14ac:dyDescent="0.35">
      <c r="A46" s="348" t="s">
        <v>329</v>
      </c>
    </row>
    <row r="47" spans="1:6" x14ac:dyDescent="0.35">
      <c r="A47" s="458" t="s">
        <v>522</v>
      </c>
    </row>
    <row r="48" spans="1:6" x14ac:dyDescent="0.35">
      <c r="A48" s="370" t="s">
        <v>711</v>
      </c>
    </row>
    <row r="49" spans="1:10" ht="45" customHeight="1" x14ac:dyDescent="0.35">
      <c r="A49" s="1020" t="s">
        <v>659</v>
      </c>
      <c r="B49" s="1020"/>
      <c r="C49" s="1020"/>
      <c r="D49" s="1020"/>
      <c r="E49" s="1020"/>
      <c r="F49" s="1020"/>
      <c r="G49" s="1020"/>
      <c r="H49" s="1020"/>
      <c r="I49" s="1020"/>
      <c r="J49" s="372"/>
    </row>
    <row r="50" spans="1:10" x14ac:dyDescent="0.35">
      <c r="B50" s="345"/>
    </row>
    <row r="51" spans="1:10" x14ac:dyDescent="0.35">
      <c r="E51" s="370"/>
    </row>
  </sheetData>
  <sheetProtection algorithmName="SHA-512" hashValue="oQZEdC1ekPUgXZuty2f7jjVbq3iLDr+xaw4y1K/PGdJ4Dr33spVVU++nmAmyb4fuqxCRGjEZWcbbr8E+NW5dYg==" saltValue="IIGXmR1SirR2e7/1JDWFDQ==" spinCount="100000" sheet="1" scenarios="1" formatCells="0" sort="0" autoFilter="0" pivotTables="0"/>
  <mergeCells count="2">
    <mergeCell ref="A1:G1"/>
    <mergeCell ref="A49:I49"/>
  </mergeCells>
  <hyperlinks>
    <hyperlink ref="A2" location="'Table of Contents'!A1" display="Back to Table of Contents" xr:uid="{00000000-0004-0000-4A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H225"/>
  <sheetViews>
    <sheetView topLeftCell="A208" zoomScale="90" zoomScaleNormal="90" workbookViewId="0">
      <selection activeCell="B223" sqref="B223"/>
    </sheetView>
  </sheetViews>
  <sheetFormatPr defaultRowHeight="14.5" x14ac:dyDescent="0.35"/>
  <cols>
    <col min="2" max="2" width="20.453125" bestFit="1" customWidth="1"/>
    <col min="3" max="3" width="16.453125" bestFit="1" customWidth="1"/>
    <col min="4" max="4" width="28.26953125" bestFit="1" customWidth="1"/>
    <col min="5" max="5" width="23.81640625" bestFit="1" customWidth="1"/>
    <col min="6" max="6" width="15.54296875" bestFit="1" customWidth="1"/>
    <col min="7" max="7" width="14.54296875" bestFit="1" customWidth="1"/>
  </cols>
  <sheetData>
    <row r="1" spans="1:8" x14ac:dyDescent="0.35">
      <c r="A1" t="s">
        <v>207</v>
      </c>
      <c r="B1" t="s">
        <v>358</v>
      </c>
      <c r="C1" s="645" t="s">
        <v>335</v>
      </c>
      <c r="D1" s="645" t="s">
        <v>337</v>
      </c>
      <c r="E1" s="645" t="s">
        <v>336</v>
      </c>
      <c r="F1" s="645" t="s">
        <v>339</v>
      </c>
      <c r="G1" s="645" t="s">
        <v>338</v>
      </c>
      <c r="H1" s="312" t="s">
        <v>340</v>
      </c>
    </row>
    <row r="2" spans="1:8" x14ac:dyDescent="0.35">
      <c r="A2" t="s">
        <v>214</v>
      </c>
      <c r="B2" s="388" t="s">
        <v>216</v>
      </c>
      <c r="C2">
        <v>3</v>
      </c>
      <c r="G2">
        <v>1</v>
      </c>
      <c r="H2">
        <f>SUM(C2:G2)</f>
        <v>4</v>
      </c>
    </row>
    <row r="3" spans="1:8" x14ac:dyDescent="0.35">
      <c r="A3" t="s">
        <v>214</v>
      </c>
      <c r="B3" s="388" t="s">
        <v>221</v>
      </c>
      <c r="D3">
        <v>1</v>
      </c>
      <c r="G3">
        <v>23</v>
      </c>
      <c r="H3">
        <f t="shared" ref="H3:H66" si="0">SUM(C3:G3)</f>
        <v>24</v>
      </c>
    </row>
    <row r="4" spans="1:8" x14ac:dyDescent="0.35">
      <c r="A4" t="s">
        <v>214</v>
      </c>
      <c r="B4" s="388" t="s">
        <v>225</v>
      </c>
      <c r="D4">
        <v>1</v>
      </c>
      <c r="G4">
        <v>5</v>
      </c>
      <c r="H4">
        <f t="shared" si="0"/>
        <v>6</v>
      </c>
    </row>
    <row r="5" spans="1:8" x14ac:dyDescent="0.35">
      <c r="A5" t="s">
        <v>214</v>
      </c>
      <c r="B5" s="388" t="s">
        <v>229</v>
      </c>
      <c r="D5">
        <v>2</v>
      </c>
      <c r="F5">
        <v>25</v>
      </c>
      <c r="G5">
        <v>12</v>
      </c>
      <c r="H5">
        <f t="shared" si="0"/>
        <v>39</v>
      </c>
    </row>
    <row r="6" spans="1:8" x14ac:dyDescent="0.35">
      <c r="A6" t="s">
        <v>214</v>
      </c>
      <c r="B6" s="388" t="s">
        <v>235</v>
      </c>
      <c r="C6">
        <v>7</v>
      </c>
      <c r="G6">
        <v>1</v>
      </c>
      <c r="H6">
        <f t="shared" si="0"/>
        <v>8</v>
      </c>
    </row>
    <row r="7" spans="1:8" x14ac:dyDescent="0.35">
      <c r="A7" t="s">
        <v>214</v>
      </c>
      <c r="B7" s="388" t="s">
        <v>241</v>
      </c>
      <c r="D7">
        <v>1</v>
      </c>
      <c r="G7">
        <v>1</v>
      </c>
      <c r="H7">
        <f t="shared" si="0"/>
        <v>2</v>
      </c>
    </row>
    <row r="8" spans="1:8" x14ac:dyDescent="0.35">
      <c r="A8" t="s">
        <v>214</v>
      </c>
      <c r="B8" s="388" t="s">
        <v>245</v>
      </c>
      <c r="D8">
        <v>1</v>
      </c>
      <c r="F8">
        <v>1</v>
      </c>
      <c r="G8">
        <v>15</v>
      </c>
      <c r="H8">
        <f t="shared" si="0"/>
        <v>17</v>
      </c>
    </row>
    <row r="9" spans="1:8" x14ac:dyDescent="0.35">
      <c r="A9" t="s">
        <v>214</v>
      </c>
      <c r="B9" s="388" t="s">
        <v>248</v>
      </c>
      <c r="C9">
        <v>3</v>
      </c>
      <c r="D9">
        <v>1</v>
      </c>
      <c r="H9">
        <f t="shared" si="0"/>
        <v>4</v>
      </c>
    </row>
    <row r="10" spans="1:8" x14ac:dyDescent="0.35">
      <c r="A10" t="s">
        <v>214</v>
      </c>
      <c r="B10" s="388" t="s">
        <v>250</v>
      </c>
      <c r="C10">
        <v>1</v>
      </c>
      <c r="G10">
        <v>7</v>
      </c>
      <c r="H10">
        <f t="shared" si="0"/>
        <v>8</v>
      </c>
    </row>
    <row r="11" spans="1:8" x14ac:dyDescent="0.35">
      <c r="A11" t="s">
        <v>214</v>
      </c>
      <c r="B11" s="388" t="s">
        <v>254</v>
      </c>
      <c r="C11">
        <v>3</v>
      </c>
      <c r="H11">
        <f t="shared" si="0"/>
        <v>3</v>
      </c>
    </row>
    <row r="12" spans="1:8" x14ac:dyDescent="0.35">
      <c r="A12" t="s">
        <v>214</v>
      </c>
      <c r="B12" s="388" t="s">
        <v>256</v>
      </c>
      <c r="C12">
        <v>1</v>
      </c>
      <c r="G12">
        <v>5</v>
      </c>
      <c r="H12">
        <f t="shared" si="0"/>
        <v>6</v>
      </c>
    </row>
    <row r="13" spans="1:8" x14ac:dyDescent="0.35">
      <c r="A13" t="s">
        <v>214</v>
      </c>
      <c r="B13" s="388" t="s">
        <v>260</v>
      </c>
      <c r="C13">
        <v>2</v>
      </c>
      <c r="H13">
        <f t="shared" si="0"/>
        <v>2</v>
      </c>
    </row>
    <row r="14" spans="1:8" x14ac:dyDescent="0.35">
      <c r="A14" t="s">
        <v>214</v>
      </c>
      <c r="B14" s="388" t="s">
        <v>264</v>
      </c>
      <c r="D14">
        <v>3</v>
      </c>
      <c r="G14">
        <v>2</v>
      </c>
      <c r="H14">
        <f t="shared" si="0"/>
        <v>5</v>
      </c>
    </row>
    <row r="15" spans="1:8" x14ac:dyDescent="0.35">
      <c r="A15" t="s">
        <v>214</v>
      </c>
      <c r="B15" s="388" t="s">
        <v>268</v>
      </c>
      <c r="C15">
        <v>5</v>
      </c>
      <c r="G15">
        <v>8</v>
      </c>
      <c r="H15">
        <f t="shared" si="0"/>
        <v>13</v>
      </c>
    </row>
    <row r="16" spans="1:8" x14ac:dyDescent="0.35">
      <c r="A16" t="s">
        <v>214</v>
      </c>
      <c r="B16" s="388" t="s">
        <v>271</v>
      </c>
      <c r="C16">
        <v>11</v>
      </c>
      <c r="H16">
        <f t="shared" si="0"/>
        <v>11</v>
      </c>
    </row>
    <row r="17" spans="1:8" x14ac:dyDescent="0.35">
      <c r="A17" t="s">
        <v>214</v>
      </c>
      <c r="B17" s="388" t="s">
        <v>274</v>
      </c>
      <c r="D17">
        <v>1</v>
      </c>
      <c r="F17">
        <v>9</v>
      </c>
      <c r="G17">
        <v>51</v>
      </c>
      <c r="H17">
        <f t="shared" si="0"/>
        <v>61</v>
      </c>
    </row>
    <row r="18" spans="1:8" x14ac:dyDescent="0.35">
      <c r="A18" t="s">
        <v>214</v>
      </c>
      <c r="B18" s="388" t="s">
        <v>278</v>
      </c>
      <c r="D18">
        <v>2</v>
      </c>
      <c r="G18">
        <v>1</v>
      </c>
      <c r="H18">
        <f t="shared" si="0"/>
        <v>3</v>
      </c>
    </row>
    <row r="19" spans="1:8" x14ac:dyDescent="0.35">
      <c r="A19" t="s">
        <v>214</v>
      </c>
      <c r="B19" s="388" t="s">
        <v>280</v>
      </c>
      <c r="C19">
        <v>1</v>
      </c>
      <c r="G19">
        <v>1</v>
      </c>
      <c r="H19">
        <f t="shared" si="0"/>
        <v>2</v>
      </c>
    </row>
    <row r="20" spans="1:8" x14ac:dyDescent="0.35">
      <c r="A20" t="s">
        <v>214</v>
      </c>
      <c r="B20" s="388" t="s">
        <v>282</v>
      </c>
      <c r="D20">
        <v>1</v>
      </c>
      <c r="F20">
        <v>1</v>
      </c>
      <c r="G20">
        <v>10</v>
      </c>
      <c r="H20">
        <f t="shared" si="0"/>
        <v>12</v>
      </c>
    </row>
    <row r="21" spans="1:8" x14ac:dyDescent="0.35">
      <c r="A21" t="s">
        <v>214</v>
      </c>
      <c r="B21" s="388" t="s">
        <v>284</v>
      </c>
      <c r="G21">
        <v>14</v>
      </c>
      <c r="H21">
        <f t="shared" si="0"/>
        <v>14</v>
      </c>
    </row>
    <row r="22" spans="1:8" x14ac:dyDescent="0.35">
      <c r="A22" t="s">
        <v>214</v>
      </c>
      <c r="B22" s="388" t="s">
        <v>288</v>
      </c>
      <c r="C22">
        <v>1</v>
      </c>
      <c r="D22">
        <v>2</v>
      </c>
      <c r="F22">
        <v>3</v>
      </c>
      <c r="G22">
        <v>8</v>
      </c>
      <c r="H22">
        <f t="shared" si="0"/>
        <v>14</v>
      </c>
    </row>
    <row r="23" spans="1:8" x14ac:dyDescent="0.35">
      <c r="A23" t="s">
        <v>214</v>
      </c>
      <c r="B23" s="388" t="s">
        <v>290</v>
      </c>
      <c r="C23">
        <v>4</v>
      </c>
      <c r="G23">
        <v>3</v>
      </c>
      <c r="H23">
        <f t="shared" si="0"/>
        <v>7</v>
      </c>
    </row>
    <row r="24" spans="1:8" x14ac:dyDescent="0.35">
      <c r="A24" t="s">
        <v>214</v>
      </c>
      <c r="B24" s="388" t="s">
        <v>293</v>
      </c>
      <c r="G24">
        <v>12</v>
      </c>
      <c r="H24">
        <f t="shared" si="0"/>
        <v>12</v>
      </c>
    </row>
    <row r="25" spans="1:8" x14ac:dyDescent="0.35">
      <c r="A25" t="s">
        <v>214</v>
      </c>
      <c r="B25" s="388" t="s">
        <v>295</v>
      </c>
      <c r="C25">
        <v>1</v>
      </c>
      <c r="F25">
        <v>3</v>
      </c>
      <c r="G25">
        <v>10</v>
      </c>
      <c r="H25">
        <f t="shared" si="0"/>
        <v>14</v>
      </c>
    </row>
    <row r="26" spans="1:8" x14ac:dyDescent="0.35">
      <c r="A26" t="s">
        <v>214</v>
      </c>
      <c r="B26" s="388" t="s">
        <v>297</v>
      </c>
      <c r="C26">
        <v>2</v>
      </c>
      <c r="D26">
        <v>1</v>
      </c>
      <c r="H26">
        <f t="shared" si="0"/>
        <v>3</v>
      </c>
    </row>
    <row r="27" spans="1:8" x14ac:dyDescent="0.35">
      <c r="A27" t="s">
        <v>214</v>
      </c>
      <c r="B27" s="388" t="s">
        <v>299</v>
      </c>
      <c r="D27">
        <v>2</v>
      </c>
      <c r="G27">
        <v>11</v>
      </c>
      <c r="H27">
        <f t="shared" si="0"/>
        <v>13</v>
      </c>
    </row>
    <row r="28" spans="1:8" x14ac:dyDescent="0.35">
      <c r="A28" t="s">
        <v>214</v>
      </c>
      <c r="B28" s="388" t="s">
        <v>301</v>
      </c>
      <c r="G28">
        <v>14</v>
      </c>
      <c r="H28">
        <f t="shared" si="0"/>
        <v>14</v>
      </c>
    </row>
    <row r="29" spans="1:8" x14ac:dyDescent="0.35">
      <c r="A29" t="s">
        <v>214</v>
      </c>
      <c r="B29" s="388" t="s">
        <v>303</v>
      </c>
      <c r="D29">
        <v>1</v>
      </c>
      <c r="G29">
        <v>4</v>
      </c>
      <c r="H29">
        <f t="shared" si="0"/>
        <v>5</v>
      </c>
    </row>
    <row r="30" spans="1:8" x14ac:dyDescent="0.35">
      <c r="A30" t="s">
        <v>214</v>
      </c>
      <c r="B30" s="388" t="s">
        <v>305</v>
      </c>
      <c r="C30">
        <v>3</v>
      </c>
      <c r="D30">
        <v>1</v>
      </c>
      <c r="F30">
        <v>1</v>
      </c>
      <c r="G30">
        <v>7</v>
      </c>
      <c r="H30">
        <f t="shared" si="0"/>
        <v>12</v>
      </c>
    </row>
    <row r="31" spans="1:8" x14ac:dyDescent="0.35">
      <c r="A31" t="s">
        <v>214</v>
      </c>
      <c r="B31" s="388" t="s">
        <v>308</v>
      </c>
      <c r="C31">
        <v>1</v>
      </c>
      <c r="G31">
        <v>9</v>
      </c>
      <c r="H31">
        <f t="shared" si="0"/>
        <v>10</v>
      </c>
    </row>
    <row r="32" spans="1:8" x14ac:dyDescent="0.35">
      <c r="A32" t="s">
        <v>214</v>
      </c>
      <c r="B32" s="388" t="s">
        <v>310</v>
      </c>
      <c r="C32">
        <v>1</v>
      </c>
      <c r="D32">
        <v>1</v>
      </c>
      <c r="G32">
        <v>1</v>
      </c>
      <c r="H32">
        <f t="shared" si="0"/>
        <v>3</v>
      </c>
    </row>
    <row r="33" spans="1:8" x14ac:dyDescent="0.35">
      <c r="A33" t="s">
        <v>214</v>
      </c>
      <c r="B33" s="388" t="s">
        <v>312</v>
      </c>
      <c r="D33">
        <v>1</v>
      </c>
      <c r="E33">
        <v>1</v>
      </c>
      <c r="G33">
        <v>4</v>
      </c>
      <c r="H33">
        <f t="shared" si="0"/>
        <v>6</v>
      </c>
    </row>
    <row r="34" spans="1:8" x14ac:dyDescent="0.35">
      <c r="A34" t="s">
        <v>313</v>
      </c>
      <c r="B34" s="388" t="s">
        <v>216</v>
      </c>
      <c r="C34">
        <v>3</v>
      </c>
      <c r="G34">
        <v>1</v>
      </c>
      <c r="H34">
        <f t="shared" si="0"/>
        <v>4</v>
      </c>
    </row>
    <row r="35" spans="1:8" x14ac:dyDescent="0.35">
      <c r="A35" t="s">
        <v>313</v>
      </c>
      <c r="B35" s="388" t="s">
        <v>221</v>
      </c>
      <c r="D35">
        <v>1</v>
      </c>
      <c r="G35">
        <v>23</v>
      </c>
      <c r="H35">
        <f t="shared" si="0"/>
        <v>24</v>
      </c>
    </row>
    <row r="36" spans="1:8" x14ac:dyDescent="0.35">
      <c r="A36" t="s">
        <v>313</v>
      </c>
      <c r="B36" s="388" t="s">
        <v>225</v>
      </c>
      <c r="D36">
        <v>1</v>
      </c>
      <c r="G36">
        <v>5</v>
      </c>
      <c r="H36">
        <f t="shared" si="0"/>
        <v>6</v>
      </c>
    </row>
    <row r="37" spans="1:8" x14ac:dyDescent="0.35">
      <c r="A37" t="s">
        <v>313</v>
      </c>
      <c r="B37" s="388" t="s">
        <v>229</v>
      </c>
      <c r="D37">
        <v>2</v>
      </c>
      <c r="F37">
        <v>25</v>
      </c>
      <c r="G37">
        <v>12</v>
      </c>
      <c r="H37">
        <f t="shared" si="0"/>
        <v>39</v>
      </c>
    </row>
    <row r="38" spans="1:8" x14ac:dyDescent="0.35">
      <c r="A38" t="s">
        <v>313</v>
      </c>
      <c r="B38" s="388" t="s">
        <v>235</v>
      </c>
      <c r="C38">
        <v>7</v>
      </c>
      <c r="G38">
        <v>1</v>
      </c>
      <c r="H38">
        <f t="shared" si="0"/>
        <v>8</v>
      </c>
    </row>
    <row r="39" spans="1:8" x14ac:dyDescent="0.35">
      <c r="A39" t="s">
        <v>313</v>
      </c>
      <c r="B39" s="388" t="s">
        <v>241</v>
      </c>
      <c r="D39">
        <v>1</v>
      </c>
      <c r="G39">
        <v>1</v>
      </c>
      <c r="H39">
        <f t="shared" si="0"/>
        <v>2</v>
      </c>
    </row>
    <row r="40" spans="1:8" x14ac:dyDescent="0.35">
      <c r="A40" t="s">
        <v>313</v>
      </c>
      <c r="B40" s="388" t="s">
        <v>245</v>
      </c>
      <c r="D40">
        <v>1</v>
      </c>
      <c r="F40">
        <v>1</v>
      </c>
      <c r="G40">
        <v>15</v>
      </c>
      <c r="H40">
        <f t="shared" si="0"/>
        <v>17</v>
      </c>
    </row>
    <row r="41" spans="1:8" x14ac:dyDescent="0.35">
      <c r="A41" t="s">
        <v>313</v>
      </c>
      <c r="B41" s="388" t="s">
        <v>248</v>
      </c>
      <c r="C41">
        <v>3</v>
      </c>
      <c r="D41">
        <v>1</v>
      </c>
      <c r="H41">
        <f t="shared" si="0"/>
        <v>4</v>
      </c>
    </row>
    <row r="42" spans="1:8" x14ac:dyDescent="0.35">
      <c r="A42" t="s">
        <v>313</v>
      </c>
      <c r="B42" s="388" t="s">
        <v>250</v>
      </c>
      <c r="C42">
        <v>1</v>
      </c>
      <c r="G42">
        <v>7</v>
      </c>
      <c r="H42">
        <f t="shared" si="0"/>
        <v>8</v>
      </c>
    </row>
    <row r="43" spans="1:8" x14ac:dyDescent="0.35">
      <c r="A43" t="s">
        <v>313</v>
      </c>
      <c r="B43" s="388" t="s">
        <v>254</v>
      </c>
      <c r="C43">
        <v>3</v>
      </c>
      <c r="H43">
        <f t="shared" si="0"/>
        <v>3</v>
      </c>
    </row>
    <row r="44" spans="1:8" x14ac:dyDescent="0.35">
      <c r="A44" t="s">
        <v>313</v>
      </c>
      <c r="B44" s="388" t="s">
        <v>256</v>
      </c>
      <c r="C44">
        <v>1</v>
      </c>
      <c r="G44">
        <v>5</v>
      </c>
      <c r="H44">
        <f t="shared" si="0"/>
        <v>6</v>
      </c>
    </row>
    <row r="45" spans="1:8" x14ac:dyDescent="0.35">
      <c r="A45" t="s">
        <v>313</v>
      </c>
      <c r="B45" s="388" t="s">
        <v>260</v>
      </c>
      <c r="C45">
        <v>2</v>
      </c>
      <c r="H45">
        <f t="shared" si="0"/>
        <v>2</v>
      </c>
    </row>
    <row r="46" spans="1:8" x14ac:dyDescent="0.35">
      <c r="A46" t="s">
        <v>313</v>
      </c>
      <c r="B46" s="388" t="s">
        <v>264</v>
      </c>
      <c r="D46">
        <v>3</v>
      </c>
      <c r="G46">
        <v>2</v>
      </c>
      <c r="H46">
        <f t="shared" si="0"/>
        <v>5</v>
      </c>
    </row>
    <row r="47" spans="1:8" x14ac:dyDescent="0.35">
      <c r="A47" t="s">
        <v>313</v>
      </c>
      <c r="B47" s="388" t="s">
        <v>268</v>
      </c>
      <c r="C47">
        <v>5</v>
      </c>
      <c r="G47">
        <v>8</v>
      </c>
      <c r="H47">
        <f t="shared" si="0"/>
        <v>13</v>
      </c>
    </row>
    <row r="48" spans="1:8" x14ac:dyDescent="0.35">
      <c r="A48" t="s">
        <v>313</v>
      </c>
      <c r="B48" s="388" t="s">
        <v>271</v>
      </c>
      <c r="C48">
        <v>11</v>
      </c>
      <c r="H48">
        <f t="shared" si="0"/>
        <v>11</v>
      </c>
    </row>
    <row r="49" spans="1:8" x14ac:dyDescent="0.35">
      <c r="A49" t="s">
        <v>313</v>
      </c>
      <c r="B49" s="388" t="s">
        <v>274</v>
      </c>
      <c r="D49">
        <v>1</v>
      </c>
      <c r="F49">
        <v>9</v>
      </c>
      <c r="G49">
        <v>51</v>
      </c>
      <c r="H49">
        <f t="shared" si="0"/>
        <v>61</v>
      </c>
    </row>
    <row r="50" spans="1:8" x14ac:dyDescent="0.35">
      <c r="A50" t="s">
        <v>313</v>
      </c>
      <c r="B50" s="388" t="s">
        <v>278</v>
      </c>
      <c r="D50">
        <v>2</v>
      </c>
      <c r="G50">
        <v>1</v>
      </c>
      <c r="H50">
        <f t="shared" si="0"/>
        <v>3</v>
      </c>
    </row>
    <row r="51" spans="1:8" x14ac:dyDescent="0.35">
      <c r="A51" t="s">
        <v>313</v>
      </c>
      <c r="B51" s="388" t="s">
        <v>280</v>
      </c>
      <c r="C51">
        <v>1</v>
      </c>
      <c r="G51">
        <v>1</v>
      </c>
      <c r="H51">
        <f t="shared" si="0"/>
        <v>2</v>
      </c>
    </row>
    <row r="52" spans="1:8" x14ac:dyDescent="0.35">
      <c r="A52" t="s">
        <v>313</v>
      </c>
      <c r="B52" s="388" t="s">
        <v>282</v>
      </c>
      <c r="D52">
        <v>1</v>
      </c>
      <c r="F52">
        <v>1</v>
      </c>
      <c r="G52">
        <v>10</v>
      </c>
      <c r="H52">
        <f t="shared" si="0"/>
        <v>12</v>
      </c>
    </row>
    <row r="53" spans="1:8" x14ac:dyDescent="0.35">
      <c r="A53" t="s">
        <v>313</v>
      </c>
      <c r="B53" s="388" t="s">
        <v>284</v>
      </c>
      <c r="G53">
        <v>14</v>
      </c>
      <c r="H53">
        <f t="shared" si="0"/>
        <v>14</v>
      </c>
    </row>
    <row r="54" spans="1:8" x14ac:dyDescent="0.35">
      <c r="A54" t="s">
        <v>313</v>
      </c>
      <c r="B54" s="388" t="s">
        <v>288</v>
      </c>
      <c r="C54">
        <v>1</v>
      </c>
      <c r="D54">
        <v>2</v>
      </c>
      <c r="F54">
        <v>3</v>
      </c>
      <c r="G54">
        <v>8</v>
      </c>
      <c r="H54">
        <f t="shared" si="0"/>
        <v>14</v>
      </c>
    </row>
    <row r="55" spans="1:8" x14ac:dyDescent="0.35">
      <c r="A55" t="s">
        <v>313</v>
      </c>
      <c r="B55" s="388" t="s">
        <v>290</v>
      </c>
      <c r="C55">
        <v>4</v>
      </c>
      <c r="G55">
        <v>3</v>
      </c>
      <c r="H55">
        <f t="shared" si="0"/>
        <v>7</v>
      </c>
    </row>
    <row r="56" spans="1:8" x14ac:dyDescent="0.35">
      <c r="A56" t="s">
        <v>313</v>
      </c>
      <c r="B56" s="388" t="s">
        <v>293</v>
      </c>
      <c r="G56">
        <v>12</v>
      </c>
      <c r="H56">
        <f t="shared" si="0"/>
        <v>12</v>
      </c>
    </row>
    <row r="57" spans="1:8" x14ac:dyDescent="0.35">
      <c r="A57" t="s">
        <v>313</v>
      </c>
      <c r="B57" s="388" t="s">
        <v>295</v>
      </c>
      <c r="C57">
        <v>1</v>
      </c>
      <c r="F57">
        <v>3</v>
      </c>
      <c r="G57">
        <v>10</v>
      </c>
      <c r="H57">
        <f t="shared" si="0"/>
        <v>14</v>
      </c>
    </row>
    <row r="58" spans="1:8" x14ac:dyDescent="0.35">
      <c r="A58" t="s">
        <v>313</v>
      </c>
      <c r="B58" s="388" t="s">
        <v>297</v>
      </c>
      <c r="C58">
        <v>2</v>
      </c>
      <c r="D58">
        <v>1</v>
      </c>
      <c r="H58">
        <f t="shared" si="0"/>
        <v>3</v>
      </c>
    </row>
    <row r="59" spans="1:8" x14ac:dyDescent="0.35">
      <c r="A59" t="s">
        <v>313</v>
      </c>
      <c r="B59" s="388" t="s">
        <v>299</v>
      </c>
      <c r="D59">
        <v>2</v>
      </c>
      <c r="G59">
        <v>11</v>
      </c>
      <c r="H59">
        <f t="shared" si="0"/>
        <v>13</v>
      </c>
    </row>
    <row r="60" spans="1:8" x14ac:dyDescent="0.35">
      <c r="A60" t="s">
        <v>313</v>
      </c>
      <c r="B60" s="388" t="s">
        <v>301</v>
      </c>
      <c r="G60">
        <v>14</v>
      </c>
      <c r="H60">
        <f t="shared" si="0"/>
        <v>14</v>
      </c>
    </row>
    <row r="61" spans="1:8" x14ac:dyDescent="0.35">
      <c r="A61" t="s">
        <v>313</v>
      </c>
      <c r="B61" s="388" t="s">
        <v>303</v>
      </c>
      <c r="D61">
        <v>1</v>
      </c>
      <c r="G61">
        <v>4</v>
      </c>
      <c r="H61">
        <f t="shared" si="0"/>
        <v>5</v>
      </c>
    </row>
    <row r="62" spans="1:8" x14ac:dyDescent="0.35">
      <c r="A62" t="s">
        <v>313</v>
      </c>
      <c r="B62" s="388" t="s">
        <v>305</v>
      </c>
      <c r="C62">
        <v>3</v>
      </c>
      <c r="D62">
        <v>1</v>
      </c>
      <c r="F62">
        <v>1</v>
      </c>
      <c r="G62">
        <v>7</v>
      </c>
      <c r="H62">
        <f t="shared" si="0"/>
        <v>12</v>
      </c>
    </row>
    <row r="63" spans="1:8" x14ac:dyDescent="0.35">
      <c r="A63" t="s">
        <v>313</v>
      </c>
      <c r="B63" s="388" t="s">
        <v>308</v>
      </c>
      <c r="C63">
        <v>1</v>
      </c>
      <c r="G63">
        <v>9</v>
      </c>
      <c r="H63">
        <f t="shared" si="0"/>
        <v>10</v>
      </c>
    </row>
    <row r="64" spans="1:8" x14ac:dyDescent="0.35">
      <c r="A64" t="s">
        <v>313</v>
      </c>
      <c r="B64" s="388" t="s">
        <v>310</v>
      </c>
      <c r="C64">
        <v>1</v>
      </c>
      <c r="D64">
        <v>1</v>
      </c>
      <c r="G64">
        <v>1</v>
      </c>
      <c r="H64">
        <f t="shared" si="0"/>
        <v>3</v>
      </c>
    </row>
    <row r="65" spans="1:8" x14ac:dyDescent="0.35">
      <c r="A65" t="s">
        <v>313</v>
      </c>
      <c r="B65" s="388" t="s">
        <v>312</v>
      </c>
      <c r="D65">
        <v>1</v>
      </c>
      <c r="E65">
        <v>1</v>
      </c>
      <c r="G65">
        <v>4</v>
      </c>
      <c r="H65">
        <f t="shared" si="0"/>
        <v>6</v>
      </c>
    </row>
    <row r="66" spans="1:8" x14ac:dyDescent="0.35">
      <c r="A66" t="s">
        <v>319</v>
      </c>
      <c r="B66" s="388" t="s">
        <v>216</v>
      </c>
      <c r="C66">
        <v>3</v>
      </c>
      <c r="G66">
        <v>1</v>
      </c>
      <c r="H66">
        <f t="shared" si="0"/>
        <v>4</v>
      </c>
    </row>
    <row r="67" spans="1:8" x14ac:dyDescent="0.35">
      <c r="A67" t="s">
        <v>319</v>
      </c>
      <c r="B67" s="388" t="s">
        <v>221</v>
      </c>
      <c r="D67">
        <v>1</v>
      </c>
      <c r="G67">
        <v>23</v>
      </c>
      <c r="H67">
        <f t="shared" ref="H67:H98" si="1">SUM(C67:G67)</f>
        <v>24</v>
      </c>
    </row>
    <row r="68" spans="1:8" x14ac:dyDescent="0.35">
      <c r="A68" t="s">
        <v>319</v>
      </c>
      <c r="B68" s="388" t="s">
        <v>225</v>
      </c>
      <c r="D68">
        <v>1</v>
      </c>
      <c r="G68">
        <v>5</v>
      </c>
      <c r="H68">
        <f t="shared" si="1"/>
        <v>6</v>
      </c>
    </row>
    <row r="69" spans="1:8" x14ac:dyDescent="0.35">
      <c r="A69" t="s">
        <v>319</v>
      </c>
      <c r="B69" s="388" t="s">
        <v>229</v>
      </c>
      <c r="D69">
        <v>2</v>
      </c>
      <c r="F69">
        <v>25</v>
      </c>
      <c r="G69">
        <v>12</v>
      </c>
      <c r="H69">
        <f t="shared" si="1"/>
        <v>39</v>
      </c>
    </row>
    <row r="70" spans="1:8" x14ac:dyDescent="0.35">
      <c r="A70" t="s">
        <v>319</v>
      </c>
      <c r="B70" s="388" t="s">
        <v>235</v>
      </c>
      <c r="C70">
        <v>7</v>
      </c>
      <c r="G70">
        <v>1</v>
      </c>
      <c r="H70">
        <f t="shared" si="1"/>
        <v>8</v>
      </c>
    </row>
    <row r="71" spans="1:8" x14ac:dyDescent="0.35">
      <c r="A71" t="s">
        <v>319</v>
      </c>
      <c r="B71" s="388" t="s">
        <v>241</v>
      </c>
      <c r="D71">
        <v>1</v>
      </c>
      <c r="G71">
        <v>1</v>
      </c>
      <c r="H71">
        <f t="shared" si="1"/>
        <v>2</v>
      </c>
    </row>
    <row r="72" spans="1:8" x14ac:dyDescent="0.35">
      <c r="A72" t="s">
        <v>319</v>
      </c>
      <c r="B72" s="388" t="s">
        <v>245</v>
      </c>
      <c r="D72">
        <v>1</v>
      </c>
      <c r="F72">
        <v>1</v>
      </c>
      <c r="G72">
        <v>15</v>
      </c>
      <c r="H72">
        <f t="shared" si="1"/>
        <v>17</v>
      </c>
    </row>
    <row r="73" spans="1:8" x14ac:dyDescent="0.35">
      <c r="A73" t="s">
        <v>319</v>
      </c>
      <c r="B73" s="388" t="s">
        <v>248</v>
      </c>
      <c r="C73">
        <v>3</v>
      </c>
      <c r="D73">
        <v>1</v>
      </c>
      <c r="H73">
        <f t="shared" si="1"/>
        <v>4</v>
      </c>
    </row>
    <row r="74" spans="1:8" x14ac:dyDescent="0.35">
      <c r="A74" t="s">
        <v>319</v>
      </c>
      <c r="B74" s="388" t="s">
        <v>250</v>
      </c>
      <c r="C74">
        <v>1</v>
      </c>
      <c r="G74">
        <v>7</v>
      </c>
      <c r="H74">
        <f t="shared" si="1"/>
        <v>8</v>
      </c>
    </row>
    <row r="75" spans="1:8" x14ac:dyDescent="0.35">
      <c r="A75" t="s">
        <v>319</v>
      </c>
      <c r="B75" s="388" t="s">
        <v>254</v>
      </c>
      <c r="C75">
        <v>3</v>
      </c>
      <c r="H75">
        <f t="shared" si="1"/>
        <v>3</v>
      </c>
    </row>
    <row r="76" spans="1:8" x14ac:dyDescent="0.35">
      <c r="A76" t="s">
        <v>319</v>
      </c>
      <c r="B76" s="388" t="s">
        <v>256</v>
      </c>
      <c r="C76">
        <v>1</v>
      </c>
      <c r="G76">
        <v>5</v>
      </c>
      <c r="H76">
        <f t="shared" si="1"/>
        <v>6</v>
      </c>
    </row>
    <row r="77" spans="1:8" x14ac:dyDescent="0.35">
      <c r="A77" t="s">
        <v>319</v>
      </c>
      <c r="B77" s="388" t="s">
        <v>260</v>
      </c>
      <c r="C77">
        <v>2</v>
      </c>
      <c r="H77">
        <f t="shared" si="1"/>
        <v>2</v>
      </c>
    </row>
    <row r="78" spans="1:8" x14ac:dyDescent="0.35">
      <c r="A78" t="s">
        <v>319</v>
      </c>
      <c r="B78" s="388" t="s">
        <v>264</v>
      </c>
      <c r="D78">
        <v>3</v>
      </c>
      <c r="G78">
        <v>2</v>
      </c>
      <c r="H78">
        <f t="shared" si="1"/>
        <v>5</v>
      </c>
    </row>
    <row r="79" spans="1:8" x14ac:dyDescent="0.35">
      <c r="A79" t="s">
        <v>319</v>
      </c>
      <c r="B79" s="388" t="s">
        <v>268</v>
      </c>
      <c r="C79">
        <v>5</v>
      </c>
      <c r="G79">
        <v>8</v>
      </c>
      <c r="H79">
        <f t="shared" si="1"/>
        <v>13</v>
      </c>
    </row>
    <row r="80" spans="1:8" x14ac:dyDescent="0.35">
      <c r="A80" t="s">
        <v>319</v>
      </c>
      <c r="B80" s="388" t="s">
        <v>271</v>
      </c>
      <c r="C80">
        <v>11</v>
      </c>
      <c r="H80">
        <f t="shared" si="1"/>
        <v>11</v>
      </c>
    </row>
    <row r="81" spans="1:8" x14ac:dyDescent="0.35">
      <c r="A81" t="s">
        <v>319</v>
      </c>
      <c r="B81" s="388" t="s">
        <v>274</v>
      </c>
      <c r="D81">
        <v>1</v>
      </c>
      <c r="F81">
        <v>9</v>
      </c>
      <c r="G81">
        <v>51</v>
      </c>
      <c r="H81">
        <f t="shared" si="1"/>
        <v>61</v>
      </c>
    </row>
    <row r="82" spans="1:8" x14ac:dyDescent="0.35">
      <c r="A82" t="s">
        <v>319</v>
      </c>
      <c r="B82" s="388" t="s">
        <v>278</v>
      </c>
      <c r="D82">
        <v>2</v>
      </c>
      <c r="G82">
        <v>1</v>
      </c>
      <c r="H82">
        <f t="shared" si="1"/>
        <v>3</v>
      </c>
    </row>
    <row r="83" spans="1:8" x14ac:dyDescent="0.35">
      <c r="A83" t="s">
        <v>319</v>
      </c>
      <c r="B83" s="388" t="s">
        <v>280</v>
      </c>
      <c r="C83">
        <v>1</v>
      </c>
      <c r="G83">
        <v>1</v>
      </c>
      <c r="H83">
        <f t="shared" si="1"/>
        <v>2</v>
      </c>
    </row>
    <row r="84" spans="1:8" x14ac:dyDescent="0.35">
      <c r="A84" t="s">
        <v>319</v>
      </c>
      <c r="B84" s="388" t="s">
        <v>282</v>
      </c>
      <c r="D84">
        <v>1</v>
      </c>
      <c r="F84">
        <v>1</v>
      </c>
      <c r="G84">
        <v>10</v>
      </c>
      <c r="H84">
        <f t="shared" si="1"/>
        <v>12</v>
      </c>
    </row>
    <row r="85" spans="1:8" x14ac:dyDescent="0.35">
      <c r="A85" t="s">
        <v>319</v>
      </c>
      <c r="B85" s="388" t="s">
        <v>284</v>
      </c>
      <c r="G85">
        <v>14</v>
      </c>
      <c r="H85">
        <f t="shared" si="1"/>
        <v>14</v>
      </c>
    </row>
    <row r="86" spans="1:8" x14ac:dyDescent="0.35">
      <c r="A86" t="s">
        <v>319</v>
      </c>
      <c r="B86" s="388" t="s">
        <v>288</v>
      </c>
      <c r="C86">
        <v>1</v>
      </c>
      <c r="D86">
        <v>2</v>
      </c>
      <c r="F86">
        <v>3</v>
      </c>
      <c r="G86">
        <v>8</v>
      </c>
      <c r="H86">
        <f t="shared" si="1"/>
        <v>14</v>
      </c>
    </row>
    <row r="87" spans="1:8" x14ac:dyDescent="0.35">
      <c r="A87" t="s">
        <v>319</v>
      </c>
      <c r="B87" s="388" t="s">
        <v>290</v>
      </c>
      <c r="C87">
        <v>4</v>
      </c>
      <c r="G87">
        <v>3</v>
      </c>
      <c r="H87">
        <f t="shared" si="1"/>
        <v>7</v>
      </c>
    </row>
    <row r="88" spans="1:8" x14ac:dyDescent="0.35">
      <c r="A88" t="s">
        <v>319</v>
      </c>
      <c r="B88" s="388" t="s">
        <v>293</v>
      </c>
      <c r="G88">
        <v>12</v>
      </c>
      <c r="H88">
        <f t="shared" si="1"/>
        <v>12</v>
      </c>
    </row>
    <row r="89" spans="1:8" x14ac:dyDescent="0.35">
      <c r="A89" t="s">
        <v>319</v>
      </c>
      <c r="B89" s="388" t="s">
        <v>295</v>
      </c>
      <c r="C89">
        <v>1</v>
      </c>
      <c r="F89">
        <v>3</v>
      </c>
      <c r="G89">
        <v>10</v>
      </c>
      <c r="H89">
        <f t="shared" si="1"/>
        <v>14</v>
      </c>
    </row>
    <row r="90" spans="1:8" x14ac:dyDescent="0.35">
      <c r="A90" t="s">
        <v>319</v>
      </c>
      <c r="B90" s="388" t="s">
        <v>297</v>
      </c>
      <c r="C90">
        <v>2</v>
      </c>
      <c r="D90">
        <v>1</v>
      </c>
      <c r="H90">
        <f t="shared" si="1"/>
        <v>3</v>
      </c>
    </row>
    <row r="91" spans="1:8" x14ac:dyDescent="0.35">
      <c r="A91" t="s">
        <v>319</v>
      </c>
      <c r="B91" s="388" t="s">
        <v>299</v>
      </c>
      <c r="D91">
        <v>2</v>
      </c>
      <c r="G91">
        <v>11</v>
      </c>
      <c r="H91">
        <f t="shared" si="1"/>
        <v>13</v>
      </c>
    </row>
    <row r="92" spans="1:8" x14ac:dyDescent="0.35">
      <c r="A92" t="s">
        <v>319</v>
      </c>
      <c r="B92" s="388" t="s">
        <v>301</v>
      </c>
      <c r="G92">
        <v>14</v>
      </c>
      <c r="H92">
        <f t="shared" si="1"/>
        <v>14</v>
      </c>
    </row>
    <row r="93" spans="1:8" x14ac:dyDescent="0.35">
      <c r="A93" t="s">
        <v>319</v>
      </c>
      <c r="B93" s="388" t="s">
        <v>303</v>
      </c>
      <c r="D93">
        <v>1</v>
      </c>
      <c r="G93">
        <v>4</v>
      </c>
      <c r="H93">
        <f t="shared" si="1"/>
        <v>5</v>
      </c>
    </row>
    <row r="94" spans="1:8" x14ac:dyDescent="0.35">
      <c r="A94" t="s">
        <v>319</v>
      </c>
      <c r="B94" s="388" t="s">
        <v>305</v>
      </c>
      <c r="C94">
        <v>3</v>
      </c>
      <c r="D94">
        <v>1</v>
      </c>
      <c r="F94">
        <v>1</v>
      </c>
      <c r="G94">
        <v>7</v>
      </c>
      <c r="H94">
        <f t="shared" si="1"/>
        <v>12</v>
      </c>
    </row>
    <row r="95" spans="1:8" x14ac:dyDescent="0.35">
      <c r="A95" t="s">
        <v>319</v>
      </c>
      <c r="B95" s="388" t="s">
        <v>308</v>
      </c>
      <c r="C95">
        <v>1</v>
      </c>
      <c r="G95">
        <v>9</v>
      </c>
      <c r="H95">
        <f t="shared" si="1"/>
        <v>10</v>
      </c>
    </row>
    <row r="96" spans="1:8" x14ac:dyDescent="0.35">
      <c r="A96" t="s">
        <v>319</v>
      </c>
      <c r="B96" s="388" t="s">
        <v>310</v>
      </c>
      <c r="C96">
        <v>1</v>
      </c>
      <c r="D96">
        <v>1</v>
      </c>
      <c r="G96">
        <v>1</v>
      </c>
      <c r="H96">
        <f t="shared" si="1"/>
        <v>3</v>
      </c>
    </row>
    <row r="97" spans="1:8" x14ac:dyDescent="0.35">
      <c r="A97" t="s">
        <v>319</v>
      </c>
      <c r="B97" s="388" t="s">
        <v>312</v>
      </c>
      <c r="D97">
        <v>1</v>
      </c>
      <c r="E97">
        <v>1</v>
      </c>
      <c r="G97">
        <v>4</v>
      </c>
      <c r="H97">
        <f t="shared" si="1"/>
        <v>6</v>
      </c>
    </row>
    <row r="98" spans="1:8" x14ac:dyDescent="0.35">
      <c r="A98" t="s">
        <v>321</v>
      </c>
      <c r="B98" s="388" t="s">
        <v>216</v>
      </c>
      <c r="C98">
        <v>3</v>
      </c>
      <c r="G98">
        <v>1</v>
      </c>
      <c r="H98">
        <f t="shared" si="1"/>
        <v>4</v>
      </c>
    </row>
    <row r="99" spans="1:8" x14ac:dyDescent="0.35">
      <c r="A99" t="s">
        <v>321</v>
      </c>
      <c r="B99" s="388" t="s">
        <v>221</v>
      </c>
      <c r="D99">
        <v>1</v>
      </c>
      <c r="G99">
        <v>23</v>
      </c>
      <c r="H99">
        <f t="shared" ref="H99:H130" si="2">SUM(C99:G99)</f>
        <v>24</v>
      </c>
    </row>
    <row r="100" spans="1:8" x14ac:dyDescent="0.35">
      <c r="A100" t="s">
        <v>321</v>
      </c>
      <c r="B100" s="388" t="s">
        <v>225</v>
      </c>
      <c r="D100">
        <v>1</v>
      </c>
      <c r="G100">
        <v>5</v>
      </c>
      <c r="H100">
        <f t="shared" si="2"/>
        <v>6</v>
      </c>
    </row>
    <row r="101" spans="1:8" x14ac:dyDescent="0.35">
      <c r="A101" t="s">
        <v>321</v>
      </c>
      <c r="B101" s="388" t="s">
        <v>229</v>
      </c>
      <c r="D101">
        <v>2</v>
      </c>
      <c r="F101">
        <v>25</v>
      </c>
      <c r="G101">
        <v>12</v>
      </c>
      <c r="H101">
        <f t="shared" si="2"/>
        <v>39</v>
      </c>
    </row>
    <row r="102" spans="1:8" x14ac:dyDescent="0.35">
      <c r="A102" t="s">
        <v>321</v>
      </c>
      <c r="B102" s="388" t="s">
        <v>235</v>
      </c>
      <c r="C102">
        <v>7</v>
      </c>
      <c r="G102">
        <v>1</v>
      </c>
      <c r="H102">
        <f t="shared" si="2"/>
        <v>8</v>
      </c>
    </row>
    <row r="103" spans="1:8" x14ac:dyDescent="0.35">
      <c r="A103" t="s">
        <v>321</v>
      </c>
      <c r="B103" s="388" t="s">
        <v>241</v>
      </c>
      <c r="D103">
        <v>1</v>
      </c>
      <c r="G103">
        <v>1</v>
      </c>
      <c r="H103">
        <f t="shared" si="2"/>
        <v>2</v>
      </c>
    </row>
    <row r="104" spans="1:8" x14ac:dyDescent="0.35">
      <c r="A104" t="s">
        <v>321</v>
      </c>
      <c r="B104" s="388" t="s">
        <v>245</v>
      </c>
      <c r="D104">
        <v>1</v>
      </c>
      <c r="F104">
        <v>1</v>
      </c>
      <c r="G104">
        <v>15</v>
      </c>
      <c r="H104">
        <f t="shared" si="2"/>
        <v>17</v>
      </c>
    </row>
    <row r="105" spans="1:8" x14ac:dyDescent="0.35">
      <c r="A105" t="s">
        <v>321</v>
      </c>
      <c r="B105" s="388" t="s">
        <v>248</v>
      </c>
      <c r="C105">
        <v>3</v>
      </c>
      <c r="D105">
        <v>1</v>
      </c>
      <c r="H105">
        <f t="shared" si="2"/>
        <v>4</v>
      </c>
    </row>
    <row r="106" spans="1:8" x14ac:dyDescent="0.35">
      <c r="A106" t="s">
        <v>321</v>
      </c>
      <c r="B106" s="388" t="s">
        <v>250</v>
      </c>
      <c r="C106">
        <v>1</v>
      </c>
      <c r="G106">
        <v>7</v>
      </c>
      <c r="H106">
        <f t="shared" si="2"/>
        <v>8</v>
      </c>
    </row>
    <row r="107" spans="1:8" x14ac:dyDescent="0.35">
      <c r="A107" t="s">
        <v>321</v>
      </c>
      <c r="B107" s="388" t="s">
        <v>254</v>
      </c>
      <c r="C107">
        <v>3</v>
      </c>
      <c r="H107">
        <f t="shared" si="2"/>
        <v>3</v>
      </c>
    </row>
    <row r="108" spans="1:8" x14ac:dyDescent="0.35">
      <c r="A108" t="s">
        <v>321</v>
      </c>
      <c r="B108" s="388" t="s">
        <v>256</v>
      </c>
      <c r="C108">
        <v>1</v>
      </c>
      <c r="G108">
        <v>5</v>
      </c>
      <c r="H108">
        <f t="shared" si="2"/>
        <v>6</v>
      </c>
    </row>
    <row r="109" spans="1:8" x14ac:dyDescent="0.35">
      <c r="A109" t="s">
        <v>321</v>
      </c>
      <c r="B109" s="388" t="s">
        <v>260</v>
      </c>
      <c r="C109">
        <v>2</v>
      </c>
      <c r="H109">
        <f t="shared" si="2"/>
        <v>2</v>
      </c>
    </row>
    <row r="110" spans="1:8" x14ac:dyDescent="0.35">
      <c r="A110" t="s">
        <v>321</v>
      </c>
      <c r="B110" s="388" t="s">
        <v>264</v>
      </c>
      <c r="D110">
        <v>3</v>
      </c>
      <c r="G110">
        <v>2</v>
      </c>
      <c r="H110">
        <f t="shared" si="2"/>
        <v>5</v>
      </c>
    </row>
    <row r="111" spans="1:8" x14ac:dyDescent="0.35">
      <c r="A111" t="s">
        <v>321</v>
      </c>
      <c r="B111" s="388" t="s">
        <v>268</v>
      </c>
      <c r="C111">
        <v>5</v>
      </c>
      <c r="G111">
        <v>8</v>
      </c>
      <c r="H111">
        <f t="shared" si="2"/>
        <v>13</v>
      </c>
    </row>
    <row r="112" spans="1:8" x14ac:dyDescent="0.35">
      <c r="A112" t="s">
        <v>321</v>
      </c>
      <c r="B112" s="388" t="s">
        <v>271</v>
      </c>
      <c r="C112">
        <v>11</v>
      </c>
      <c r="H112">
        <f t="shared" si="2"/>
        <v>11</v>
      </c>
    </row>
    <row r="113" spans="1:8" x14ac:dyDescent="0.35">
      <c r="A113" t="s">
        <v>321</v>
      </c>
      <c r="B113" s="388" t="s">
        <v>274</v>
      </c>
      <c r="D113">
        <v>1</v>
      </c>
      <c r="F113">
        <v>9</v>
      </c>
      <c r="G113">
        <v>51</v>
      </c>
      <c r="H113">
        <f t="shared" si="2"/>
        <v>61</v>
      </c>
    </row>
    <row r="114" spans="1:8" x14ac:dyDescent="0.35">
      <c r="A114" t="s">
        <v>321</v>
      </c>
      <c r="B114" s="388" t="s">
        <v>278</v>
      </c>
      <c r="D114">
        <v>2</v>
      </c>
      <c r="G114">
        <v>1</v>
      </c>
      <c r="H114">
        <f t="shared" si="2"/>
        <v>3</v>
      </c>
    </row>
    <row r="115" spans="1:8" x14ac:dyDescent="0.35">
      <c r="A115" t="s">
        <v>321</v>
      </c>
      <c r="B115" s="388" t="s">
        <v>280</v>
      </c>
      <c r="C115">
        <v>1</v>
      </c>
      <c r="G115">
        <v>1</v>
      </c>
      <c r="H115">
        <f t="shared" si="2"/>
        <v>2</v>
      </c>
    </row>
    <row r="116" spans="1:8" x14ac:dyDescent="0.35">
      <c r="A116" t="s">
        <v>321</v>
      </c>
      <c r="B116" s="388" t="s">
        <v>282</v>
      </c>
      <c r="D116">
        <v>1</v>
      </c>
      <c r="F116">
        <v>1</v>
      </c>
      <c r="G116">
        <v>10</v>
      </c>
      <c r="H116">
        <f t="shared" si="2"/>
        <v>12</v>
      </c>
    </row>
    <row r="117" spans="1:8" x14ac:dyDescent="0.35">
      <c r="A117" t="s">
        <v>321</v>
      </c>
      <c r="B117" s="388" t="s">
        <v>284</v>
      </c>
      <c r="G117">
        <v>14</v>
      </c>
      <c r="H117">
        <f t="shared" si="2"/>
        <v>14</v>
      </c>
    </row>
    <row r="118" spans="1:8" x14ac:dyDescent="0.35">
      <c r="A118" t="s">
        <v>321</v>
      </c>
      <c r="B118" s="388" t="s">
        <v>288</v>
      </c>
      <c r="C118">
        <v>1</v>
      </c>
      <c r="D118">
        <v>2</v>
      </c>
      <c r="F118">
        <v>3</v>
      </c>
      <c r="G118">
        <v>8</v>
      </c>
      <c r="H118">
        <f t="shared" si="2"/>
        <v>14</v>
      </c>
    </row>
    <row r="119" spans="1:8" x14ac:dyDescent="0.35">
      <c r="A119" t="s">
        <v>321</v>
      </c>
      <c r="B119" s="388" t="s">
        <v>290</v>
      </c>
      <c r="C119">
        <v>4</v>
      </c>
      <c r="G119">
        <v>3</v>
      </c>
      <c r="H119">
        <f t="shared" si="2"/>
        <v>7</v>
      </c>
    </row>
    <row r="120" spans="1:8" x14ac:dyDescent="0.35">
      <c r="A120" t="s">
        <v>321</v>
      </c>
      <c r="B120" s="388" t="s">
        <v>293</v>
      </c>
      <c r="G120">
        <v>12</v>
      </c>
      <c r="H120">
        <f t="shared" si="2"/>
        <v>12</v>
      </c>
    </row>
    <row r="121" spans="1:8" x14ac:dyDescent="0.35">
      <c r="A121" t="s">
        <v>321</v>
      </c>
      <c r="B121" s="388" t="s">
        <v>295</v>
      </c>
      <c r="C121">
        <v>1</v>
      </c>
      <c r="F121">
        <v>3</v>
      </c>
      <c r="G121">
        <v>10</v>
      </c>
      <c r="H121">
        <f t="shared" si="2"/>
        <v>14</v>
      </c>
    </row>
    <row r="122" spans="1:8" x14ac:dyDescent="0.35">
      <c r="A122" t="s">
        <v>321</v>
      </c>
      <c r="B122" s="388" t="s">
        <v>297</v>
      </c>
      <c r="C122">
        <v>2</v>
      </c>
      <c r="D122">
        <v>1</v>
      </c>
      <c r="H122">
        <f t="shared" si="2"/>
        <v>3</v>
      </c>
    </row>
    <row r="123" spans="1:8" x14ac:dyDescent="0.35">
      <c r="A123" t="s">
        <v>321</v>
      </c>
      <c r="B123" s="388" t="s">
        <v>299</v>
      </c>
      <c r="D123">
        <v>2</v>
      </c>
      <c r="G123">
        <v>11</v>
      </c>
      <c r="H123">
        <f t="shared" si="2"/>
        <v>13</v>
      </c>
    </row>
    <row r="124" spans="1:8" x14ac:dyDescent="0.35">
      <c r="A124" t="s">
        <v>321</v>
      </c>
      <c r="B124" s="388" t="s">
        <v>301</v>
      </c>
      <c r="G124">
        <v>14</v>
      </c>
      <c r="H124">
        <f t="shared" si="2"/>
        <v>14</v>
      </c>
    </row>
    <row r="125" spans="1:8" x14ac:dyDescent="0.35">
      <c r="A125" t="s">
        <v>321</v>
      </c>
      <c r="B125" s="388" t="s">
        <v>303</v>
      </c>
      <c r="D125">
        <v>1</v>
      </c>
      <c r="G125">
        <v>4</v>
      </c>
      <c r="H125">
        <f t="shared" si="2"/>
        <v>5</v>
      </c>
    </row>
    <row r="126" spans="1:8" x14ac:dyDescent="0.35">
      <c r="A126" t="s">
        <v>321</v>
      </c>
      <c r="B126" s="388" t="s">
        <v>305</v>
      </c>
      <c r="C126">
        <v>3</v>
      </c>
      <c r="D126">
        <v>1</v>
      </c>
      <c r="F126">
        <v>1</v>
      </c>
      <c r="G126">
        <v>7</v>
      </c>
      <c r="H126">
        <f t="shared" si="2"/>
        <v>12</v>
      </c>
    </row>
    <row r="127" spans="1:8" x14ac:dyDescent="0.35">
      <c r="A127" t="s">
        <v>321</v>
      </c>
      <c r="B127" s="388" t="s">
        <v>308</v>
      </c>
      <c r="C127">
        <v>1</v>
      </c>
      <c r="G127">
        <v>9</v>
      </c>
      <c r="H127">
        <f t="shared" si="2"/>
        <v>10</v>
      </c>
    </row>
    <row r="128" spans="1:8" x14ac:dyDescent="0.35">
      <c r="A128" t="s">
        <v>321</v>
      </c>
      <c r="B128" s="388" t="s">
        <v>310</v>
      </c>
      <c r="C128">
        <v>1</v>
      </c>
      <c r="D128">
        <v>1</v>
      </c>
      <c r="G128">
        <v>1</v>
      </c>
      <c r="H128">
        <f t="shared" si="2"/>
        <v>3</v>
      </c>
    </row>
    <row r="129" spans="1:8" x14ac:dyDescent="0.35">
      <c r="A129" t="s">
        <v>321</v>
      </c>
      <c r="B129" s="388" t="s">
        <v>312</v>
      </c>
      <c r="D129">
        <v>1</v>
      </c>
      <c r="E129">
        <v>1</v>
      </c>
      <c r="G129">
        <v>4</v>
      </c>
      <c r="H129">
        <f t="shared" si="2"/>
        <v>6</v>
      </c>
    </row>
    <row r="130" spans="1:8" x14ac:dyDescent="0.35">
      <c r="A130" t="s">
        <v>326</v>
      </c>
      <c r="B130" s="388" t="s">
        <v>216</v>
      </c>
      <c r="C130">
        <v>3</v>
      </c>
      <c r="G130">
        <v>1</v>
      </c>
      <c r="H130">
        <f t="shared" si="2"/>
        <v>4</v>
      </c>
    </row>
    <row r="131" spans="1:8" x14ac:dyDescent="0.35">
      <c r="A131" t="s">
        <v>326</v>
      </c>
      <c r="B131" s="388" t="s">
        <v>221</v>
      </c>
      <c r="D131">
        <v>1</v>
      </c>
      <c r="G131">
        <v>23</v>
      </c>
      <c r="H131">
        <f t="shared" ref="H131:H161" si="3">SUM(C131:G131)</f>
        <v>24</v>
      </c>
    </row>
    <row r="132" spans="1:8" x14ac:dyDescent="0.35">
      <c r="A132" t="s">
        <v>326</v>
      </c>
      <c r="B132" s="388" t="s">
        <v>225</v>
      </c>
      <c r="D132">
        <v>1</v>
      </c>
      <c r="G132">
        <v>5</v>
      </c>
      <c r="H132">
        <f t="shared" si="3"/>
        <v>6</v>
      </c>
    </row>
    <row r="133" spans="1:8" x14ac:dyDescent="0.35">
      <c r="A133" t="s">
        <v>326</v>
      </c>
      <c r="B133" s="388" t="s">
        <v>229</v>
      </c>
      <c r="D133">
        <v>2</v>
      </c>
      <c r="F133">
        <v>25</v>
      </c>
      <c r="G133">
        <v>12</v>
      </c>
      <c r="H133">
        <f t="shared" si="3"/>
        <v>39</v>
      </c>
    </row>
    <row r="134" spans="1:8" x14ac:dyDescent="0.35">
      <c r="A134" t="s">
        <v>326</v>
      </c>
      <c r="B134" s="388" t="s">
        <v>235</v>
      </c>
      <c r="C134">
        <v>7</v>
      </c>
      <c r="G134">
        <v>1</v>
      </c>
      <c r="H134">
        <f t="shared" si="3"/>
        <v>8</v>
      </c>
    </row>
    <row r="135" spans="1:8" x14ac:dyDescent="0.35">
      <c r="A135" t="s">
        <v>326</v>
      </c>
      <c r="B135" s="388" t="s">
        <v>241</v>
      </c>
      <c r="D135">
        <v>1</v>
      </c>
      <c r="G135">
        <v>1</v>
      </c>
      <c r="H135">
        <f t="shared" si="3"/>
        <v>2</v>
      </c>
    </row>
    <row r="136" spans="1:8" x14ac:dyDescent="0.35">
      <c r="A136" t="s">
        <v>326</v>
      </c>
      <c r="B136" s="388" t="s">
        <v>245</v>
      </c>
      <c r="D136">
        <v>1</v>
      </c>
      <c r="F136">
        <v>1</v>
      </c>
      <c r="G136">
        <v>15</v>
      </c>
      <c r="H136">
        <f t="shared" si="3"/>
        <v>17</v>
      </c>
    </row>
    <row r="137" spans="1:8" x14ac:dyDescent="0.35">
      <c r="A137" t="s">
        <v>326</v>
      </c>
      <c r="B137" s="388" t="s">
        <v>248</v>
      </c>
      <c r="C137">
        <v>3</v>
      </c>
      <c r="D137">
        <v>1</v>
      </c>
      <c r="H137">
        <f t="shared" si="3"/>
        <v>4</v>
      </c>
    </row>
    <row r="138" spans="1:8" x14ac:dyDescent="0.35">
      <c r="A138" t="s">
        <v>326</v>
      </c>
      <c r="B138" s="388" t="s">
        <v>250</v>
      </c>
      <c r="C138">
        <v>1</v>
      </c>
      <c r="G138">
        <v>7</v>
      </c>
      <c r="H138">
        <f t="shared" si="3"/>
        <v>8</v>
      </c>
    </row>
    <row r="139" spans="1:8" x14ac:dyDescent="0.35">
      <c r="A139" t="s">
        <v>326</v>
      </c>
      <c r="B139" s="388" t="s">
        <v>254</v>
      </c>
      <c r="C139">
        <v>3</v>
      </c>
      <c r="H139">
        <f t="shared" si="3"/>
        <v>3</v>
      </c>
    </row>
    <row r="140" spans="1:8" x14ac:dyDescent="0.35">
      <c r="A140" t="s">
        <v>326</v>
      </c>
      <c r="B140" s="388" t="s">
        <v>256</v>
      </c>
      <c r="C140">
        <v>1</v>
      </c>
      <c r="G140">
        <v>5</v>
      </c>
      <c r="H140">
        <f t="shared" si="3"/>
        <v>6</v>
      </c>
    </row>
    <row r="141" spans="1:8" x14ac:dyDescent="0.35">
      <c r="A141" t="s">
        <v>326</v>
      </c>
      <c r="B141" s="388" t="s">
        <v>260</v>
      </c>
      <c r="C141">
        <v>2</v>
      </c>
      <c r="H141">
        <f t="shared" si="3"/>
        <v>2</v>
      </c>
    </row>
    <row r="142" spans="1:8" x14ac:dyDescent="0.35">
      <c r="A142" t="s">
        <v>326</v>
      </c>
      <c r="B142" s="388" t="s">
        <v>264</v>
      </c>
      <c r="D142">
        <v>3</v>
      </c>
      <c r="G142">
        <v>2</v>
      </c>
      <c r="H142">
        <f t="shared" si="3"/>
        <v>5</v>
      </c>
    </row>
    <row r="143" spans="1:8" x14ac:dyDescent="0.35">
      <c r="A143" t="s">
        <v>326</v>
      </c>
      <c r="B143" s="388" t="s">
        <v>268</v>
      </c>
      <c r="C143">
        <v>5</v>
      </c>
      <c r="G143">
        <v>8</v>
      </c>
      <c r="H143">
        <f t="shared" si="3"/>
        <v>13</v>
      </c>
    </row>
    <row r="144" spans="1:8" x14ac:dyDescent="0.35">
      <c r="A144" t="s">
        <v>326</v>
      </c>
      <c r="B144" s="388" t="s">
        <v>271</v>
      </c>
      <c r="C144">
        <v>11</v>
      </c>
      <c r="H144">
        <f t="shared" si="3"/>
        <v>11</v>
      </c>
    </row>
    <row r="145" spans="1:8" x14ac:dyDescent="0.35">
      <c r="A145" t="s">
        <v>326</v>
      </c>
      <c r="B145" s="388" t="s">
        <v>274</v>
      </c>
      <c r="D145">
        <v>1</v>
      </c>
      <c r="F145">
        <v>9</v>
      </c>
      <c r="G145">
        <v>51</v>
      </c>
      <c r="H145">
        <f t="shared" si="3"/>
        <v>61</v>
      </c>
    </row>
    <row r="146" spans="1:8" x14ac:dyDescent="0.35">
      <c r="A146" t="s">
        <v>326</v>
      </c>
      <c r="B146" s="388" t="s">
        <v>278</v>
      </c>
      <c r="D146">
        <v>2</v>
      </c>
      <c r="G146">
        <v>1</v>
      </c>
      <c r="H146">
        <f t="shared" si="3"/>
        <v>3</v>
      </c>
    </row>
    <row r="147" spans="1:8" x14ac:dyDescent="0.35">
      <c r="A147" t="s">
        <v>326</v>
      </c>
      <c r="B147" s="388" t="s">
        <v>280</v>
      </c>
      <c r="C147">
        <v>1</v>
      </c>
      <c r="G147">
        <v>1</v>
      </c>
      <c r="H147">
        <f t="shared" si="3"/>
        <v>2</v>
      </c>
    </row>
    <row r="148" spans="1:8" x14ac:dyDescent="0.35">
      <c r="A148" t="s">
        <v>326</v>
      </c>
      <c r="B148" s="388" t="s">
        <v>282</v>
      </c>
      <c r="D148">
        <v>1</v>
      </c>
      <c r="F148">
        <v>1</v>
      </c>
      <c r="G148">
        <v>10</v>
      </c>
      <c r="H148">
        <f t="shared" si="3"/>
        <v>12</v>
      </c>
    </row>
    <row r="149" spans="1:8" x14ac:dyDescent="0.35">
      <c r="A149" t="s">
        <v>326</v>
      </c>
      <c r="B149" s="388" t="s">
        <v>284</v>
      </c>
      <c r="G149">
        <v>14</v>
      </c>
      <c r="H149">
        <f t="shared" si="3"/>
        <v>14</v>
      </c>
    </row>
    <row r="150" spans="1:8" x14ac:dyDescent="0.35">
      <c r="A150" t="s">
        <v>326</v>
      </c>
      <c r="B150" s="388" t="s">
        <v>288</v>
      </c>
      <c r="C150">
        <v>1</v>
      </c>
      <c r="D150">
        <v>2</v>
      </c>
      <c r="F150">
        <v>3</v>
      </c>
      <c r="G150">
        <v>8</v>
      </c>
      <c r="H150">
        <f t="shared" si="3"/>
        <v>14</v>
      </c>
    </row>
    <row r="151" spans="1:8" x14ac:dyDescent="0.35">
      <c r="A151" t="s">
        <v>326</v>
      </c>
      <c r="B151" s="388" t="s">
        <v>290</v>
      </c>
      <c r="C151">
        <v>4</v>
      </c>
      <c r="G151">
        <v>3</v>
      </c>
      <c r="H151">
        <f t="shared" si="3"/>
        <v>7</v>
      </c>
    </row>
    <row r="152" spans="1:8" x14ac:dyDescent="0.35">
      <c r="A152" t="s">
        <v>326</v>
      </c>
      <c r="B152" s="388" t="s">
        <v>293</v>
      </c>
      <c r="G152">
        <v>12</v>
      </c>
      <c r="H152">
        <f t="shared" si="3"/>
        <v>12</v>
      </c>
    </row>
    <row r="153" spans="1:8" x14ac:dyDescent="0.35">
      <c r="A153" t="s">
        <v>326</v>
      </c>
      <c r="B153" s="388" t="s">
        <v>295</v>
      </c>
      <c r="C153">
        <v>1</v>
      </c>
      <c r="F153">
        <v>3</v>
      </c>
      <c r="G153">
        <v>10</v>
      </c>
      <c r="H153">
        <f t="shared" si="3"/>
        <v>14</v>
      </c>
    </row>
    <row r="154" spans="1:8" x14ac:dyDescent="0.35">
      <c r="A154" t="s">
        <v>326</v>
      </c>
      <c r="B154" s="388" t="s">
        <v>297</v>
      </c>
      <c r="C154">
        <v>2</v>
      </c>
      <c r="D154">
        <v>1</v>
      </c>
      <c r="H154">
        <f t="shared" si="3"/>
        <v>3</v>
      </c>
    </row>
    <row r="155" spans="1:8" x14ac:dyDescent="0.35">
      <c r="A155" t="s">
        <v>326</v>
      </c>
      <c r="B155" s="388" t="s">
        <v>299</v>
      </c>
      <c r="D155">
        <v>2</v>
      </c>
      <c r="G155">
        <v>11</v>
      </c>
      <c r="H155">
        <f t="shared" si="3"/>
        <v>13</v>
      </c>
    </row>
    <row r="156" spans="1:8" x14ac:dyDescent="0.35">
      <c r="A156" t="s">
        <v>326</v>
      </c>
      <c r="B156" s="388" t="s">
        <v>301</v>
      </c>
      <c r="G156">
        <v>14</v>
      </c>
      <c r="H156">
        <f t="shared" si="3"/>
        <v>14</v>
      </c>
    </row>
    <row r="157" spans="1:8" x14ac:dyDescent="0.35">
      <c r="A157" t="s">
        <v>326</v>
      </c>
      <c r="B157" s="388" t="s">
        <v>303</v>
      </c>
      <c r="D157">
        <v>1</v>
      </c>
      <c r="G157">
        <v>4</v>
      </c>
      <c r="H157">
        <f t="shared" si="3"/>
        <v>5</v>
      </c>
    </row>
    <row r="158" spans="1:8" x14ac:dyDescent="0.35">
      <c r="A158" t="s">
        <v>326</v>
      </c>
      <c r="B158" s="388" t="s">
        <v>305</v>
      </c>
      <c r="C158">
        <v>3</v>
      </c>
      <c r="D158">
        <v>1</v>
      </c>
      <c r="F158">
        <v>1</v>
      </c>
      <c r="G158">
        <v>7</v>
      </c>
      <c r="H158">
        <f t="shared" si="3"/>
        <v>12</v>
      </c>
    </row>
    <row r="159" spans="1:8" x14ac:dyDescent="0.35">
      <c r="A159" t="s">
        <v>326</v>
      </c>
      <c r="B159" s="388" t="s">
        <v>308</v>
      </c>
      <c r="C159">
        <v>1</v>
      </c>
      <c r="G159">
        <v>9</v>
      </c>
      <c r="H159">
        <f t="shared" si="3"/>
        <v>10</v>
      </c>
    </row>
    <row r="160" spans="1:8" x14ac:dyDescent="0.35">
      <c r="A160" t="s">
        <v>326</v>
      </c>
      <c r="B160" s="388" t="s">
        <v>310</v>
      </c>
      <c r="C160">
        <v>1</v>
      </c>
      <c r="D160">
        <v>1</v>
      </c>
      <c r="G160">
        <v>1</v>
      </c>
      <c r="H160">
        <f t="shared" si="3"/>
        <v>3</v>
      </c>
    </row>
    <row r="161" spans="1:8" x14ac:dyDescent="0.35">
      <c r="A161" t="s">
        <v>326</v>
      </c>
      <c r="B161" s="388" t="s">
        <v>312</v>
      </c>
      <c r="D161">
        <v>1</v>
      </c>
      <c r="E161">
        <v>1</v>
      </c>
      <c r="G161">
        <v>4</v>
      </c>
      <c r="H161">
        <f t="shared" si="3"/>
        <v>6</v>
      </c>
    </row>
    <row r="162" spans="1:8" x14ac:dyDescent="0.35">
      <c r="A162" t="s">
        <v>327</v>
      </c>
      <c r="B162" t="s">
        <v>216</v>
      </c>
      <c r="C162">
        <v>3</v>
      </c>
      <c r="G162">
        <v>1</v>
      </c>
      <c r="H162">
        <v>4</v>
      </c>
    </row>
    <row r="163" spans="1:8" x14ac:dyDescent="0.35">
      <c r="A163" t="s">
        <v>327</v>
      </c>
      <c r="B163" t="s">
        <v>221</v>
      </c>
      <c r="D163">
        <v>1</v>
      </c>
      <c r="G163">
        <v>23</v>
      </c>
      <c r="H163">
        <v>24</v>
      </c>
    </row>
    <row r="164" spans="1:8" x14ac:dyDescent="0.35">
      <c r="A164" t="s">
        <v>327</v>
      </c>
      <c r="B164" t="s">
        <v>225</v>
      </c>
      <c r="D164">
        <v>1</v>
      </c>
      <c r="G164">
        <v>5</v>
      </c>
      <c r="H164">
        <v>6</v>
      </c>
    </row>
    <row r="165" spans="1:8" x14ac:dyDescent="0.35">
      <c r="A165" t="s">
        <v>327</v>
      </c>
      <c r="B165" t="s">
        <v>229</v>
      </c>
      <c r="D165">
        <v>2</v>
      </c>
      <c r="F165">
        <v>25</v>
      </c>
      <c r="G165">
        <v>12</v>
      </c>
      <c r="H165">
        <v>39</v>
      </c>
    </row>
    <row r="166" spans="1:8" x14ac:dyDescent="0.35">
      <c r="A166" t="s">
        <v>327</v>
      </c>
      <c r="B166" t="s">
        <v>235</v>
      </c>
      <c r="C166">
        <v>7</v>
      </c>
      <c r="G166">
        <v>1</v>
      </c>
      <c r="H166">
        <v>8</v>
      </c>
    </row>
    <row r="167" spans="1:8" x14ac:dyDescent="0.35">
      <c r="A167" t="s">
        <v>327</v>
      </c>
      <c r="B167" t="s">
        <v>241</v>
      </c>
      <c r="D167">
        <v>1</v>
      </c>
      <c r="G167">
        <v>1</v>
      </c>
      <c r="H167">
        <v>2</v>
      </c>
    </row>
    <row r="168" spans="1:8" x14ac:dyDescent="0.35">
      <c r="A168" t="s">
        <v>327</v>
      </c>
      <c r="B168" t="s">
        <v>245</v>
      </c>
      <c r="D168">
        <v>1</v>
      </c>
      <c r="F168">
        <v>1</v>
      </c>
      <c r="G168">
        <v>15</v>
      </c>
      <c r="H168">
        <v>17</v>
      </c>
    </row>
    <row r="169" spans="1:8" x14ac:dyDescent="0.35">
      <c r="A169" t="s">
        <v>327</v>
      </c>
      <c r="B169" t="s">
        <v>248</v>
      </c>
      <c r="C169">
        <v>3</v>
      </c>
      <c r="D169">
        <v>1</v>
      </c>
      <c r="H169">
        <v>4</v>
      </c>
    </row>
    <row r="170" spans="1:8" x14ac:dyDescent="0.35">
      <c r="A170" t="s">
        <v>327</v>
      </c>
      <c r="B170" t="s">
        <v>250</v>
      </c>
      <c r="C170">
        <v>1</v>
      </c>
      <c r="G170">
        <v>7</v>
      </c>
      <c r="H170">
        <v>8</v>
      </c>
    </row>
    <row r="171" spans="1:8" x14ac:dyDescent="0.35">
      <c r="A171" t="s">
        <v>327</v>
      </c>
      <c r="B171" t="s">
        <v>254</v>
      </c>
      <c r="C171">
        <v>3</v>
      </c>
      <c r="H171">
        <v>3</v>
      </c>
    </row>
    <row r="172" spans="1:8" x14ac:dyDescent="0.35">
      <c r="A172" t="s">
        <v>327</v>
      </c>
      <c r="B172" t="s">
        <v>256</v>
      </c>
      <c r="C172">
        <v>1</v>
      </c>
      <c r="G172">
        <v>5</v>
      </c>
      <c r="H172">
        <v>6</v>
      </c>
    </row>
    <row r="173" spans="1:8" x14ac:dyDescent="0.35">
      <c r="A173" t="s">
        <v>327</v>
      </c>
      <c r="B173" t="s">
        <v>260</v>
      </c>
      <c r="C173">
        <v>2</v>
      </c>
      <c r="H173">
        <v>2</v>
      </c>
    </row>
    <row r="174" spans="1:8" x14ac:dyDescent="0.35">
      <c r="A174" t="s">
        <v>327</v>
      </c>
      <c r="B174" t="s">
        <v>264</v>
      </c>
      <c r="D174">
        <v>3</v>
      </c>
      <c r="G174">
        <v>2</v>
      </c>
      <c r="H174">
        <v>5</v>
      </c>
    </row>
    <row r="175" spans="1:8" x14ac:dyDescent="0.35">
      <c r="A175" t="s">
        <v>327</v>
      </c>
      <c r="B175" t="s">
        <v>268</v>
      </c>
      <c r="C175">
        <v>5</v>
      </c>
      <c r="G175">
        <v>8</v>
      </c>
      <c r="H175">
        <v>13</v>
      </c>
    </row>
    <row r="176" spans="1:8" x14ac:dyDescent="0.35">
      <c r="A176" t="s">
        <v>327</v>
      </c>
      <c r="B176" t="s">
        <v>271</v>
      </c>
      <c r="C176">
        <v>11</v>
      </c>
      <c r="H176">
        <v>11</v>
      </c>
    </row>
    <row r="177" spans="1:8" x14ac:dyDescent="0.35">
      <c r="A177" t="s">
        <v>327</v>
      </c>
      <c r="B177" t="s">
        <v>274</v>
      </c>
      <c r="D177">
        <v>1</v>
      </c>
      <c r="F177">
        <v>9</v>
      </c>
      <c r="G177">
        <v>51</v>
      </c>
      <c r="H177">
        <v>61</v>
      </c>
    </row>
    <row r="178" spans="1:8" x14ac:dyDescent="0.35">
      <c r="A178" t="s">
        <v>327</v>
      </c>
      <c r="B178" t="s">
        <v>278</v>
      </c>
      <c r="D178">
        <v>2</v>
      </c>
      <c r="G178">
        <v>1</v>
      </c>
      <c r="H178">
        <v>3</v>
      </c>
    </row>
    <row r="179" spans="1:8" x14ac:dyDescent="0.35">
      <c r="A179" t="s">
        <v>327</v>
      </c>
      <c r="B179" t="s">
        <v>280</v>
      </c>
      <c r="C179">
        <v>1</v>
      </c>
      <c r="G179">
        <v>1</v>
      </c>
      <c r="H179">
        <v>2</v>
      </c>
    </row>
    <row r="180" spans="1:8" x14ac:dyDescent="0.35">
      <c r="A180" t="s">
        <v>327</v>
      </c>
      <c r="B180" t="s">
        <v>282</v>
      </c>
      <c r="D180">
        <v>1</v>
      </c>
      <c r="F180">
        <v>1</v>
      </c>
      <c r="G180">
        <v>10</v>
      </c>
      <c r="H180">
        <v>12</v>
      </c>
    </row>
    <row r="181" spans="1:8" x14ac:dyDescent="0.35">
      <c r="A181" t="s">
        <v>327</v>
      </c>
      <c r="B181" t="s">
        <v>284</v>
      </c>
      <c r="G181">
        <v>14</v>
      </c>
      <c r="H181">
        <v>14</v>
      </c>
    </row>
    <row r="182" spans="1:8" x14ac:dyDescent="0.35">
      <c r="A182" t="s">
        <v>327</v>
      </c>
      <c r="B182" t="s">
        <v>288</v>
      </c>
      <c r="C182">
        <v>1</v>
      </c>
      <c r="D182">
        <v>2</v>
      </c>
      <c r="F182">
        <v>3</v>
      </c>
      <c r="G182">
        <v>8</v>
      </c>
      <c r="H182">
        <v>14</v>
      </c>
    </row>
    <row r="183" spans="1:8" x14ac:dyDescent="0.35">
      <c r="A183" t="s">
        <v>327</v>
      </c>
      <c r="B183" t="s">
        <v>290</v>
      </c>
      <c r="C183">
        <v>4</v>
      </c>
      <c r="G183">
        <v>3</v>
      </c>
      <c r="H183">
        <v>7</v>
      </c>
    </row>
    <row r="184" spans="1:8" x14ac:dyDescent="0.35">
      <c r="A184" t="s">
        <v>327</v>
      </c>
      <c r="B184" t="s">
        <v>293</v>
      </c>
      <c r="G184">
        <v>12</v>
      </c>
      <c r="H184">
        <v>12</v>
      </c>
    </row>
    <row r="185" spans="1:8" x14ac:dyDescent="0.35">
      <c r="A185" t="s">
        <v>327</v>
      </c>
      <c r="B185" t="s">
        <v>295</v>
      </c>
      <c r="C185">
        <v>1</v>
      </c>
      <c r="F185">
        <v>3</v>
      </c>
      <c r="G185">
        <v>10</v>
      </c>
      <c r="H185">
        <v>14</v>
      </c>
    </row>
    <row r="186" spans="1:8" x14ac:dyDescent="0.35">
      <c r="A186" t="s">
        <v>327</v>
      </c>
      <c r="B186" t="s">
        <v>297</v>
      </c>
      <c r="C186">
        <v>2</v>
      </c>
      <c r="D186">
        <v>1</v>
      </c>
      <c r="H186">
        <v>3</v>
      </c>
    </row>
    <row r="187" spans="1:8" x14ac:dyDescent="0.35">
      <c r="A187" t="s">
        <v>327</v>
      </c>
      <c r="B187" t="s">
        <v>299</v>
      </c>
      <c r="D187">
        <v>2</v>
      </c>
      <c r="G187">
        <v>11</v>
      </c>
      <c r="H187">
        <v>13</v>
      </c>
    </row>
    <row r="188" spans="1:8" x14ac:dyDescent="0.35">
      <c r="A188" t="s">
        <v>327</v>
      </c>
      <c r="B188" t="s">
        <v>301</v>
      </c>
      <c r="G188">
        <v>14</v>
      </c>
      <c r="H188">
        <v>14</v>
      </c>
    </row>
    <row r="189" spans="1:8" x14ac:dyDescent="0.35">
      <c r="A189" t="s">
        <v>327</v>
      </c>
      <c r="B189" t="s">
        <v>303</v>
      </c>
      <c r="D189">
        <v>1</v>
      </c>
      <c r="G189">
        <v>4</v>
      </c>
      <c r="H189">
        <v>5</v>
      </c>
    </row>
    <row r="190" spans="1:8" x14ac:dyDescent="0.35">
      <c r="A190" t="s">
        <v>327</v>
      </c>
      <c r="B190" t="s">
        <v>305</v>
      </c>
      <c r="C190">
        <v>3</v>
      </c>
      <c r="D190">
        <v>1</v>
      </c>
      <c r="G190">
        <v>7</v>
      </c>
      <c r="H190">
        <v>12</v>
      </c>
    </row>
    <row r="191" spans="1:8" x14ac:dyDescent="0.35">
      <c r="A191" t="s">
        <v>327</v>
      </c>
      <c r="B191" t="s">
        <v>308</v>
      </c>
      <c r="C191">
        <v>1</v>
      </c>
      <c r="G191">
        <v>9</v>
      </c>
      <c r="H191">
        <v>10</v>
      </c>
    </row>
    <row r="192" spans="1:8" x14ac:dyDescent="0.35">
      <c r="A192" t="s">
        <v>327</v>
      </c>
      <c r="B192" t="s">
        <v>310</v>
      </c>
      <c r="C192">
        <v>1</v>
      </c>
      <c r="D192">
        <v>1</v>
      </c>
      <c r="G192">
        <v>1</v>
      </c>
      <c r="H192">
        <v>3</v>
      </c>
    </row>
    <row r="193" spans="1:8" x14ac:dyDescent="0.35">
      <c r="A193" t="s">
        <v>327</v>
      </c>
      <c r="B193" t="s">
        <v>312</v>
      </c>
      <c r="D193">
        <v>1</v>
      </c>
      <c r="E193">
        <v>1</v>
      </c>
      <c r="G193">
        <v>4</v>
      </c>
      <c r="H193">
        <v>6</v>
      </c>
    </row>
    <row r="194" spans="1:8" x14ac:dyDescent="0.35">
      <c r="A194" t="s">
        <v>466</v>
      </c>
      <c r="B194" t="s">
        <v>216</v>
      </c>
      <c r="C194">
        <v>3</v>
      </c>
      <c r="G194">
        <v>1</v>
      </c>
      <c r="H194">
        <v>4</v>
      </c>
    </row>
    <row r="195" spans="1:8" x14ac:dyDescent="0.35">
      <c r="A195" t="s">
        <v>466</v>
      </c>
      <c r="B195" t="s">
        <v>221</v>
      </c>
      <c r="D195">
        <v>1</v>
      </c>
      <c r="G195">
        <v>23</v>
      </c>
      <c r="H195">
        <v>24</v>
      </c>
    </row>
    <row r="196" spans="1:8" x14ac:dyDescent="0.35">
      <c r="A196" t="s">
        <v>466</v>
      </c>
      <c r="B196" t="s">
        <v>225</v>
      </c>
      <c r="D196">
        <v>1</v>
      </c>
      <c r="G196">
        <v>5</v>
      </c>
      <c r="H196">
        <v>6</v>
      </c>
    </row>
    <row r="197" spans="1:8" x14ac:dyDescent="0.35">
      <c r="A197" t="s">
        <v>466</v>
      </c>
      <c r="B197" t="s">
        <v>229</v>
      </c>
      <c r="D197">
        <v>2</v>
      </c>
      <c r="F197">
        <v>25</v>
      </c>
      <c r="G197">
        <v>12</v>
      </c>
      <c r="H197">
        <v>39</v>
      </c>
    </row>
    <row r="198" spans="1:8" x14ac:dyDescent="0.35">
      <c r="A198" t="s">
        <v>466</v>
      </c>
      <c r="B198" t="s">
        <v>235</v>
      </c>
      <c r="C198">
        <v>7</v>
      </c>
      <c r="G198">
        <v>1</v>
      </c>
      <c r="H198">
        <v>8</v>
      </c>
    </row>
    <row r="199" spans="1:8" x14ac:dyDescent="0.35">
      <c r="A199" t="s">
        <v>466</v>
      </c>
      <c r="B199" t="s">
        <v>241</v>
      </c>
      <c r="D199">
        <v>1</v>
      </c>
      <c r="G199">
        <v>1</v>
      </c>
      <c r="H199">
        <v>2</v>
      </c>
    </row>
    <row r="200" spans="1:8" x14ac:dyDescent="0.35">
      <c r="A200" t="s">
        <v>466</v>
      </c>
      <c r="B200" t="s">
        <v>245</v>
      </c>
      <c r="D200">
        <v>1</v>
      </c>
      <c r="F200">
        <v>1</v>
      </c>
      <c r="G200">
        <v>15</v>
      </c>
      <c r="H200">
        <v>17</v>
      </c>
    </row>
    <row r="201" spans="1:8" x14ac:dyDescent="0.35">
      <c r="A201" t="s">
        <v>466</v>
      </c>
      <c r="B201" t="s">
        <v>248</v>
      </c>
      <c r="C201">
        <v>3</v>
      </c>
      <c r="D201">
        <v>1</v>
      </c>
      <c r="H201">
        <v>4</v>
      </c>
    </row>
    <row r="202" spans="1:8" x14ac:dyDescent="0.35">
      <c r="A202" t="s">
        <v>466</v>
      </c>
      <c r="B202" t="s">
        <v>250</v>
      </c>
      <c r="C202">
        <v>1</v>
      </c>
      <c r="G202">
        <v>7</v>
      </c>
      <c r="H202">
        <v>8</v>
      </c>
    </row>
    <row r="203" spans="1:8" x14ac:dyDescent="0.35">
      <c r="A203" t="s">
        <v>466</v>
      </c>
      <c r="B203" t="s">
        <v>254</v>
      </c>
      <c r="C203">
        <v>3</v>
      </c>
      <c r="H203">
        <v>3</v>
      </c>
    </row>
    <row r="204" spans="1:8" x14ac:dyDescent="0.35">
      <c r="A204" t="s">
        <v>466</v>
      </c>
      <c r="B204" t="s">
        <v>256</v>
      </c>
      <c r="C204">
        <v>1</v>
      </c>
      <c r="G204">
        <v>5</v>
      </c>
      <c r="H204">
        <v>6</v>
      </c>
    </row>
    <row r="205" spans="1:8" x14ac:dyDescent="0.35">
      <c r="A205" t="s">
        <v>466</v>
      </c>
      <c r="B205" t="s">
        <v>260</v>
      </c>
      <c r="C205">
        <v>2</v>
      </c>
      <c r="H205">
        <v>2</v>
      </c>
    </row>
    <row r="206" spans="1:8" x14ac:dyDescent="0.35">
      <c r="A206" t="s">
        <v>466</v>
      </c>
      <c r="B206" t="s">
        <v>264</v>
      </c>
      <c r="D206">
        <v>3</v>
      </c>
      <c r="G206">
        <v>2</v>
      </c>
      <c r="H206">
        <v>5</v>
      </c>
    </row>
    <row r="207" spans="1:8" x14ac:dyDescent="0.35">
      <c r="A207" t="s">
        <v>466</v>
      </c>
      <c r="B207" t="s">
        <v>268</v>
      </c>
      <c r="C207">
        <v>5</v>
      </c>
      <c r="G207">
        <v>8</v>
      </c>
      <c r="H207">
        <v>13</v>
      </c>
    </row>
    <row r="208" spans="1:8" x14ac:dyDescent="0.35">
      <c r="A208" t="s">
        <v>466</v>
      </c>
      <c r="B208" t="s">
        <v>271</v>
      </c>
      <c r="C208">
        <v>11</v>
      </c>
      <c r="H208">
        <v>11</v>
      </c>
    </row>
    <row r="209" spans="1:8" x14ac:dyDescent="0.35">
      <c r="A209" t="s">
        <v>466</v>
      </c>
      <c r="B209" t="s">
        <v>274</v>
      </c>
      <c r="D209">
        <v>1</v>
      </c>
      <c r="F209">
        <v>9</v>
      </c>
      <c r="G209">
        <v>51</v>
      </c>
      <c r="H209">
        <v>61</v>
      </c>
    </row>
    <row r="210" spans="1:8" x14ac:dyDescent="0.35">
      <c r="A210" t="s">
        <v>466</v>
      </c>
      <c r="B210" t="s">
        <v>278</v>
      </c>
      <c r="D210">
        <v>2</v>
      </c>
      <c r="G210">
        <v>1</v>
      </c>
      <c r="H210">
        <v>3</v>
      </c>
    </row>
    <row r="211" spans="1:8" x14ac:dyDescent="0.35">
      <c r="A211" t="s">
        <v>466</v>
      </c>
      <c r="B211" t="s">
        <v>280</v>
      </c>
      <c r="C211">
        <v>1</v>
      </c>
      <c r="G211">
        <v>1</v>
      </c>
      <c r="H211">
        <v>2</v>
      </c>
    </row>
    <row r="212" spans="1:8" x14ac:dyDescent="0.35">
      <c r="A212" t="s">
        <v>466</v>
      </c>
      <c r="B212" t="s">
        <v>282</v>
      </c>
      <c r="D212">
        <v>1</v>
      </c>
      <c r="F212">
        <v>1</v>
      </c>
      <c r="G212">
        <v>10</v>
      </c>
      <c r="H212">
        <v>12</v>
      </c>
    </row>
    <row r="213" spans="1:8" x14ac:dyDescent="0.35">
      <c r="A213" t="s">
        <v>466</v>
      </c>
      <c r="B213" t="s">
        <v>284</v>
      </c>
      <c r="G213">
        <v>14</v>
      </c>
      <c r="H213">
        <v>14</v>
      </c>
    </row>
    <row r="214" spans="1:8" x14ac:dyDescent="0.35">
      <c r="A214" t="s">
        <v>466</v>
      </c>
      <c r="B214" t="s">
        <v>288</v>
      </c>
      <c r="C214">
        <v>1</v>
      </c>
      <c r="D214">
        <v>2</v>
      </c>
      <c r="F214">
        <v>3</v>
      </c>
      <c r="G214">
        <v>8</v>
      </c>
      <c r="H214">
        <v>14</v>
      </c>
    </row>
    <row r="215" spans="1:8" x14ac:dyDescent="0.35">
      <c r="A215" t="s">
        <v>466</v>
      </c>
      <c r="B215" t="s">
        <v>290</v>
      </c>
      <c r="C215">
        <v>4</v>
      </c>
      <c r="G215">
        <v>3</v>
      </c>
      <c r="H215">
        <v>7</v>
      </c>
    </row>
    <row r="216" spans="1:8" x14ac:dyDescent="0.35">
      <c r="A216" t="s">
        <v>466</v>
      </c>
      <c r="B216" t="s">
        <v>293</v>
      </c>
      <c r="G216">
        <v>12</v>
      </c>
      <c r="H216">
        <v>12</v>
      </c>
    </row>
    <row r="217" spans="1:8" x14ac:dyDescent="0.35">
      <c r="A217" t="s">
        <v>466</v>
      </c>
      <c r="B217" t="s">
        <v>295</v>
      </c>
      <c r="C217">
        <v>1</v>
      </c>
      <c r="F217">
        <v>3</v>
      </c>
      <c r="G217">
        <v>10</v>
      </c>
      <c r="H217">
        <v>14</v>
      </c>
    </row>
    <row r="218" spans="1:8" x14ac:dyDescent="0.35">
      <c r="A218" t="s">
        <v>466</v>
      </c>
      <c r="B218" t="s">
        <v>297</v>
      </c>
      <c r="C218">
        <v>2</v>
      </c>
      <c r="D218">
        <v>1</v>
      </c>
      <c r="H218">
        <v>3</v>
      </c>
    </row>
    <row r="219" spans="1:8" x14ac:dyDescent="0.35">
      <c r="A219" t="s">
        <v>466</v>
      </c>
      <c r="B219" t="s">
        <v>299</v>
      </c>
      <c r="D219">
        <v>2</v>
      </c>
      <c r="G219">
        <v>11</v>
      </c>
      <c r="H219">
        <v>13</v>
      </c>
    </row>
    <row r="220" spans="1:8" x14ac:dyDescent="0.35">
      <c r="A220" t="s">
        <v>466</v>
      </c>
      <c r="B220" t="s">
        <v>301</v>
      </c>
      <c r="G220">
        <v>14</v>
      </c>
      <c r="H220">
        <v>14</v>
      </c>
    </row>
    <row r="221" spans="1:8" x14ac:dyDescent="0.35">
      <c r="A221" t="s">
        <v>466</v>
      </c>
      <c r="B221" t="s">
        <v>303</v>
      </c>
      <c r="D221">
        <v>1</v>
      </c>
      <c r="G221">
        <v>4</v>
      </c>
      <c r="H221">
        <v>5</v>
      </c>
    </row>
    <row r="222" spans="1:8" x14ac:dyDescent="0.35">
      <c r="A222" t="s">
        <v>466</v>
      </c>
      <c r="B222" t="s">
        <v>305</v>
      </c>
      <c r="C222">
        <v>3</v>
      </c>
      <c r="D222">
        <v>1</v>
      </c>
      <c r="G222">
        <v>7</v>
      </c>
      <c r="H222">
        <v>12</v>
      </c>
    </row>
    <row r="223" spans="1:8" x14ac:dyDescent="0.35">
      <c r="A223" t="s">
        <v>466</v>
      </c>
      <c r="B223" t="s">
        <v>308</v>
      </c>
      <c r="C223">
        <v>1</v>
      </c>
      <c r="G223">
        <v>9</v>
      </c>
      <c r="H223">
        <v>10</v>
      </c>
    </row>
    <row r="224" spans="1:8" x14ac:dyDescent="0.35">
      <c r="A224" t="s">
        <v>466</v>
      </c>
      <c r="B224" t="s">
        <v>310</v>
      </c>
      <c r="C224">
        <v>1</v>
      </c>
      <c r="D224">
        <v>1</v>
      </c>
      <c r="G224">
        <v>1</v>
      </c>
      <c r="H224">
        <v>3</v>
      </c>
    </row>
    <row r="225" spans="1:8" x14ac:dyDescent="0.35">
      <c r="A225" t="s">
        <v>466</v>
      </c>
      <c r="B225" t="s">
        <v>312</v>
      </c>
      <c r="D225">
        <v>1</v>
      </c>
      <c r="E225">
        <v>1</v>
      </c>
      <c r="G225">
        <v>4</v>
      </c>
      <c r="H225">
        <v>6</v>
      </c>
    </row>
  </sheetData>
  <phoneticPr fontId="53" type="noConversion"/>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39997558519241921"/>
  </sheetPr>
  <dimension ref="A1:G5"/>
  <sheetViews>
    <sheetView workbookViewId="0">
      <selection activeCell="D4" sqref="D4"/>
    </sheetView>
  </sheetViews>
  <sheetFormatPr defaultRowHeight="14.5" x14ac:dyDescent="0.35"/>
  <cols>
    <col min="1" max="1" width="12.6328125" bestFit="1" customWidth="1"/>
    <col min="2" max="2" width="19.36328125" bestFit="1" customWidth="1"/>
    <col min="3" max="3" width="20.81640625" bestFit="1" customWidth="1"/>
    <col min="4" max="4" width="21.54296875" bestFit="1" customWidth="1"/>
    <col min="5" max="5" width="21" bestFit="1" customWidth="1"/>
    <col min="6" max="6" width="19.7265625" bestFit="1" customWidth="1"/>
    <col min="7" max="7" width="21.90625" bestFit="1" customWidth="1"/>
  </cols>
  <sheetData>
    <row r="1" spans="1:7" x14ac:dyDescent="0.35">
      <c r="A1" s="387" t="s">
        <v>207</v>
      </c>
      <c r="B1" t="s">
        <v>466</v>
      </c>
    </row>
    <row r="3" spans="1:7" x14ac:dyDescent="0.35">
      <c r="A3" s="387" t="s">
        <v>350</v>
      </c>
      <c r="B3" t="s">
        <v>636</v>
      </c>
      <c r="C3" t="s">
        <v>637</v>
      </c>
      <c r="D3" t="s">
        <v>638</v>
      </c>
      <c r="E3" t="s">
        <v>639</v>
      </c>
      <c r="F3" t="s">
        <v>640</v>
      </c>
      <c r="G3" t="s">
        <v>678</v>
      </c>
    </row>
    <row r="4" spans="1:7" x14ac:dyDescent="0.35">
      <c r="A4" s="388" t="s">
        <v>543</v>
      </c>
      <c r="B4">
        <v>1</v>
      </c>
      <c r="C4">
        <v>2</v>
      </c>
      <c r="D4">
        <v>8</v>
      </c>
      <c r="E4">
        <v>37</v>
      </c>
      <c r="F4">
        <v>28</v>
      </c>
      <c r="G4">
        <v>91.69</v>
      </c>
    </row>
    <row r="5" spans="1:7" x14ac:dyDescent="0.35">
      <c r="A5" s="388" t="s">
        <v>357</v>
      </c>
      <c r="B5">
        <v>1</v>
      </c>
      <c r="C5">
        <v>2</v>
      </c>
      <c r="D5">
        <v>8</v>
      </c>
      <c r="E5">
        <v>37</v>
      </c>
      <c r="F5">
        <v>28</v>
      </c>
      <c r="G5">
        <v>91.69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39997558519241921"/>
  </sheetPr>
  <dimension ref="A1:K13"/>
  <sheetViews>
    <sheetView workbookViewId="0">
      <selection activeCell="F4" sqref="F4"/>
    </sheetView>
  </sheetViews>
  <sheetFormatPr defaultRowHeight="14.5" x14ac:dyDescent="0.35"/>
  <cols>
    <col min="1" max="1" width="7.453125" bestFit="1" customWidth="1"/>
    <col min="2" max="2" width="15.54296875" bestFit="1" customWidth="1"/>
    <col min="3" max="3" width="7.90625" bestFit="1" customWidth="1"/>
    <col min="4" max="4" width="9.7265625" bestFit="1" customWidth="1"/>
    <col min="5" max="5" width="11.81640625" bestFit="1" customWidth="1"/>
    <col min="6" max="6" width="14.90625" bestFit="1" customWidth="1"/>
    <col min="7" max="7" width="16.36328125" bestFit="1" customWidth="1"/>
    <col min="8" max="8" width="17.08984375" bestFit="1" customWidth="1"/>
    <col min="9" max="9" width="16.54296875" bestFit="1" customWidth="1"/>
    <col min="10" max="10" width="15.36328125" bestFit="1" customWidth="1"/>
    <col min="11" max="11" width="17.6328125" bestFit="1" customWidth="1"/>
  </cols>
  <sheetData>
    <row r="1" spans="1:11" x14ac:dyDescent="0.35">
      <c r="A1" t="s">
        <v>207</v>
      </c>
      <c r="B1" t="s">
        <v>546</v>
      </c>
      <c r="C1" t="s">
        <v>547</v>
      </c>
      <c r="D1" t="s">
        <v>23</v>
      </c>
      <c r="E1" t="s">
        <v>340</v>
      </c>
      <c r="F1" t="s">
        <v>627</v>
      </c>
      <c r="G1" t="s">
        <v>628</v>
      </c>
      <c r="H1" t="s">
        <v>629</v>
      </c>
      <c r="I1" t="s">
        <v>630</v>
      </c>
      <c r="J1" t="s">
        <v>631</v>
      </c>
      <c r="K1" t="s">
        <v>679</v>
      </c>
    </row>
    <row r="2" spans="1:11" x14ac:dyDescent="0.35">
      <c r="A2" t="s">
        <v>364</v>
      </c>
      <c r="B2" t="s">
        <v>543</v>
      </c>
      <c r="C2" t="s">
        <v>544</v>
      </c>
      <c r="D2" t="s">
        <v>548</v>
      </c>
      <c r="E2">
        <v>212.96</v>
      </c>
      <c r="F2">
        <v>0</v>
      </c>
      <c r="G2">
        <v>5</v>
      </c>
      <c r="H2">
        <v>11</v>
      </c>
      <c r="I2">
        <v>51.56</v>
      </c>
      <c r="J2">
        <v>51.01</v>
      </c>
      <c r="K2">
        <v>94.39</v>
      </c>
    </row>
    <row r="3" spans="1:11" x14ac:dyDescent="0.35">
      <c r="A3" t="s">
        <v>365</v>
      </c>
      <c r="B3" t="s">
        <v>543</v>
      </c>
      <c r="C3" t="s">
        <v>544</v>
      </c>
      <c r="D3" t="s">
        <v>548</v>
      </c>
      <c r="E3">
        <v>220.79</v>
      </c>
      <c r="F3">
        <v>0</v>
      </c>
      <c r="G3">
        <v>5</v>
      </c>
      <c r="H3">
        <v>12.85</v>
      </c>
      <c r="I3">
        <v>49.46</v>
      </c>
      <c r="J3">
        <v>50.79</v>
      </c>
      <c r="K3">
        <v>102.69</v>
      </c>
    </row>
    <row r="4" spans="1:11" x14ac:dyDescent="0.35">
      <c r="A4" t="s">
        <v>366</v>
      </c>
      <c r="B4" t="s">
        <v>543</v>
      </c>
      <c r="C4" t="s">
        <v>544</v>
      </c>
      <c r="D4" t="s">
        <v>548</v>
      </c>
      <c r="E4">
        <v>195.16952380952381</v>
      </c>
      <c r="F4">
        <v>0</v>
      </c>
      <c r="G4">
        <v>6</v>
      </c>
      <c r="H4">
        <v>6.8333333333333339</v>
      </c>
      <c r="I4">
        <v>50.314285714285717</v>
      </c>
      <c r="J4">
        <v>43</v>
      </c>
      <c r="K4">
        <v>89.021904761904764</v>
      </c>
    </row>
    <row r="5" spans="1:11" x14ac:dyDescent="0.35">
      <c r="A5" t="s">
        <v>341</v>
      </c>
      <c r="B5" t="s">
        <v>543</v>
      </c>
      <c r="C5" t="s">
        <v>544</v>
      </c>
      <c r="D5" t="s">
        <v>548</v>
      </c>
      <c r="E5">
        <v>160</v>
      </c>
      <c r="F5">
        <v>0</v>
      </c>
      <c r="G5">
        <v>5</v>
      </c>
      <c r="H5">
        <v>8</v>
      </c>
      <c r="I5">
        <v>40</v>
      </c>
      <c r="J5">
        <v>30</v>
      </c>
      <c r="K5">
        <v>76</v>
      </c>
    </row>
    <row r="6" spans="1:11" x14ac:dyDescent="0.35">
      <c r="A6" t="s">
        <v>342</v>
      </c>
      <c r="B6" t="s">
        <v>543</v>
      </c>
      <c r="C6" t="s">
        <v>544</v>
      </c>
      <c r="D6" t="s">
        <v>548</v>
      </c>
      <c r="E6">
        <v>184</v>
      </c>
      <c r="F6">
        <v>0</v>
      </c>
      <c r="G6">
        <v>5</v>
      </c>
      <c r="H6">
        <v>8</v>
      </c>
      <c r="I6">
        <v>43</v>
      </c>
      <c r="J6">
        <v>27</v>
      </c>
      <c r="K6">
        <v>101</v>
      </c>
    </row>
    <row r="7" spans="1:11" x14ac:dyDescent="0.35">
      <c r="A7" t="s">
        <v>214</v>
      </c>
      <c r="B7" t="s">
        <v>543</v>
      </c>
      <c r="C7" t="s">
        <v>544</v>
      </c>
      <c r="D7" t="s">
        <v>548</v>
      </c>
      <c r="E7">
        <v>202.32999999999998</v>
      </c>
      <c r="F7">
        <v>1</v>
      </c>
      <c r="G7">
        <v>4</v>
      </c>
      <c r="H7">
        <v>9</v>
      </c>
      <c r="I7">
        <v>42</v>
      </c>
      <c r="J7">
        <v>27</v>
      </c>
      <c r="K7">
        <v>119.33</v>
      </c>
    </row>
    <row r="8" spans="1:11" x14ac:dyDescent="0.35">
      <c r="A8" t="s">
        <v>313</v>
      </c>
      <c r="B8" t="s">
        <v>543</v>
      </c>
      <c r="C8" t="s">
        <v>544</v>
      </c>
      <c r="D8" t="s">
        <v>548</v>
      </c>
      <c r="E8">
        <v>183.82999999999998</v>
      </c>
      <c r="F8">
        <v>1</v>
      </c>
      <c r="G8">
        <v>4</v>
      </c>
      <c r="H8">
        <v>8</v>
      </c>
      <c r="I8">
        <v>45</v>
      </c>
      <c r="J8">
        <v>26</v>
      </c>
      <c r="K8">
        <v>99.83</v>
      </c>
    </row>
    <row r="9" spans="1:11" x14ac:dyDescent="0.35">
      <c r="A9" t="s">
        <v>319</v>
      </c>
      <c r="B9" t="s">
        <v>543</v>
      </c>
      <c r="C9" t="s">
        <v>544</v>
      </c>
      <c r="D9" t="s">
        <v>548</v>
      </c>
      <c r="E9">
        <v>176.06</v>
      </c>
      <c r="F9">
        <v>1</v>
      </c>
      <c r="G9">
        <v>4</v>
      </c>
      <c r="H9">
        <v>10</v>
      </c>
      <c r="I9">
        <v>41</v>
      </c>
      <c r="J9">
        <v>30</v>
      </c>
      <c r="K9">
        <v>90.06</v>
      </c>
    </row>
    <row r="10" spans="1:11" x14ac:dyDescent="0.35">
      <c r="A10" t="s">
        <v>321</v>
      </c>
      <c r="B10" t="s">
        <v>543</v>
      </c>
      <c r="C10" t="s">
        <v>544</v>
      </c>
      <c r="D10" t="s">
        <v>548</v>
      </c>
      <c r="E10">
        <v>170.46</v>
      </c>
      <c r="F10">
        <v>1</v>
      </c>
      <c r="G10">
        <v>4</v>
      </c>
      <c r="H10">
        <v>10</v>
      </c>
      <c r="I10">
        <v>42</v>
      </c>
      <c r="J10">
        <v>27</v>
      </c>
      <c r="K10">
        <v>86.460000000000008</v>
      </c>
    </row>
    <row r="11" spans="1:11" x14ac:dyDescent="0.35">
      <c r="A11" t="s">
        <v>326</v>
      </c>
      <c r="B11" t="s">
        <v>543</v>
      </c>
      <c r="C11" t="s">
        <v>544</v>
      </c>
      <c r="D11" t="s">
        <v>548</v>
      </c>
      <c r="E11">
        <v>168.06</v>
      </c>
      <c r="F11">
        <v>1</v>
      </c>
      <c r="G11">
        <v>4</v>
      </c>
      <c r="H11">
        <v>10</v>
      </c>
      <c r="I11">
        <v>36.86</v>
      </c>
      <c r="J11">
        <v>28.29</v>
      </c>
      <c r="K11">
        <v>87.91</v>
      </c>
    </row>
    <row r="12" spans="1:11" x14ac:dyDescent="0.35">
      <c r="A12" t="s">
        <v>327</v>
      </c>
      <c r="B12" t="s">
        <v>543</v>
      </c>
      <c r="C12" t="s">
        <v>544</v>
      </c>
      <c r="D12" t="s">
        <v>548</v>
      </c>
      <c r="E12">
        <v>166.20999999999998</v>
      </c>
      <c r="F12">
        <v>1</v>
      </c>
      <c r="G12">
        <v>4</v>
      </c>
      <c r="H12">
        <v>9</v>
      </c>
      <c r="I12">
        <v>39.57</v>
      </c>
      <c r="J12">
        <v>25.79</v>
      </c>
      <c r="K12">
        <v>86.85</v>
      </c>
    </row>
    <row r="13" spans="1:11" x14ac:dyDescent="0.35">
      <c r="A13" t="s">
        <v>466</v>
      </c>
      <c r="B13" t="s">
        <v>543</v>
      </c>
      <c r="C13" t="s">
        <v>544</v>
      </c>
      <c r="D13" t="s">
        <v>548</v>
      </c>
      <c r="E13">
        <v>167.69</v>
      </c>
      <c r="F13">
        <v>1</v>
      </c>
      <c r="G13">
        <v>2</v>
      </c>
      <c r="H13">
        <v>8</v>
      </c>
      <c r="I13">
        <v>37</v>
      </c>
      <c r="J13">
        <v>28</v>
      </c>
      <c r="K13">
        <v>91.69</v>
      </c>
    </row>
  </sheetData>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39997558519241921"/>
  </sheetPr>
  <dimension ref="A1:I5"/>
  <sheetViews>
    <sheetView workbookViewId="0">
      <selection activeCell="D4" sqref="D4"/>
    </sheetView>
  </sheetViews>
  <sheetFormatPr defaultRowHeight="14.5" x14ac:dyDescent="0.35"/>
  <cols>
    <col min="1" max="1" width="12.6328125" bestFit="1" customWidth="1"/>
    <col min="2" max="2" width="14.1796875" bestFit="1" customWidth="1"/>
    <col min="3" max="3" width="21.6328125" bestFit="1" customWidth="1"/>
    <col min="4" max="4" width="18.26953125" bestFit="1" customWidth="1"/>
    <col min="5" max="5" width="18" bestFit="1" customWidth="1"/>
    <col min="6" max="6" width="24" bestFit="1" customWidth="1"/>
    <col min="7" max="7" width="18.54296875" bestFit="1" customWidth="1"/>
    <col min="8" max="8" width="20.1796875" bestFit="1" customWidth="1"/>
    <col min="9" max="9" width="11.453125" bestFit="1" customWidth="1"/>
  </cols>
  <sheetData>
    <row r="1" spans="1:9" x14ac:dyDescent="0.35">
      <c r="A1" s="387" t="s">
        <v>207</v>
      </c>
      <c r="B1" t="s">
        <v>466</v>
      </c>
    </row>
    <row r="3" spans="1:9" x14ac:dyDescent="0.35">
      <c r="A3" s="387" t="s">
        <v>350</v>
      </c>
      <c r="B3" t="s">
        <v>680</v>
      </c>
      <c r="C3" t="s">
        <v>681</v>
      </c>
      <c r="D3" t="s">
        <v>682</v>
      </c>
      <c r="E3" t="s">
        <v>683</v>
      </c>
      <c r="F3" t="s">
        <v>684</v>
      </c>
      <c r="G3" t="s">
        <v>685</v>
      </c>
      <c r="H3" t="s">
        <v>686</v>
      </c>
      <c r="I3" t="s">
        <v>356</v>
      </c>
    </row>
    <row r="4" spans="1:9" x14ac:dyDescent="0.35">
      <c r="A4" s="388" t="s">
        <v>543</v>
      </c>
      <c r="B4">
        <v>4</v>
      </c>
      <c r="C4">
        <v>94.089999999999989</v>
      </c>
      <c r="D4">
        <v>35</v>
      </c>
      <c r="E4">
        <v>89.24</v>
      </c>
      <c r="F4">
        <v>447.61000000000024</v>
      </c>
      <c r="G4">
        <v>54.53000000000003</v>
      </c>
      <c r="H4">
        <v>129.12</v>
      </c>
      <c r="I4">
        <v>853.59000000000026</v>
      </c>
    </row>
    <row r="5" spans="1:9" x14ac:dyDescent="0.35">
      <c r="A5" s="388" t="s">
        <v>357</v>
      </c>
      <c r="B5">
        <v>4</v>
      </c>
      <c r="C5">
        <v>94.089999999999989</v>
      </c>
      <c r="D5">
        <v>35</v>
      </c>
      <c r="E5">
        <v>89.24</v>
      </c>
      <c r="F5">
        <v>447.61000000000024</v>
      </c>
      <c r="G5">
        <v>54.53000000000003</v>
      </c>
      <c r="H5">
        <v>129.12</v>
      </c>
      <c r="I5">
        <v>853.59000000000026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tint="0.39997558519241921"/>
  </sheetPr>
  <dimension ref="A1:L13"/>
  <sheetViews>
    <sheetView workbookViewId="0">
      <selection activeCell="F5" sqref="F5"/>
    </sheetView>
  </sheetViews>
  <sheetFormatPr defaultRowHeight="14.5" x14ac:dyDescent="0.35"/>
  <cols>
    <col min="1" max="1" width="7.453125" bestFit="1" customWidth="1"/>
    <col min="2" max="2" width="9.7265625" bestFit="1" customWidth="1"/>
    <col min="3" max="3" width="16.1796875" bestFit="1" customWidth="1"/>
    <col min="4" max="4" width="8.1796875" bestFit="1" customWidth="1"/>
    <col min="5" max="5" width="10.08984375" bestFit="1" customWidth="1"/>
    <col min="6" max="6" width="17.453125" bestFit="1" customWidth="1"/>
    <col min="7" max="7" width="14" bestFit="1" customWidth="1"/>
    <col min="8" max="8" width="13.7265625" bestFit="1" customWidth="1"/>
    <col min="9" max="9" width="19.90625" bestFit="1" customWidth="1"/>
    <col min="10" max="10" width="14.26953125" bestFit="1" customWidth="1"/>
    <col min="11" max="11" width="16.08984375" bestFit="1" customWidth="1"/>
    <col min="12" max="12" width="11.81640625" bestFit="1" customWidth="1"/>
  </cols>
  <sheetData>
    <row r="1" spans="1:12" x14ac:dyDescent="0.35">
      <c r="A1" t="s">
        <v>207</v>
      </c>
      <c r="B1" t="s">
        <v>23</v>
      </c>
      <c r="C1" t="s">
        <v>546</v>
      </c>
      <c r="D1" t="s">
        <v>547</v>
      </c>
      <c r="E1" t="s">
        <v>687</v>
      </c>
      <c r="F1" t="s">
        <v>688</v>
      </c>
      <c r="G1" t="s">
        <v>689</v>
      </c>
      <c r="H1" t="s">
        <v>690</v>
      </c>
      <c r="I1" t="s">
        <v>691</v>
      </c>
      <c r="J1" t="s">
        <v>692</v>
      </c>
      <c r="K1" t="s">
        <v>693</v>
      </c>
      <c r="L1" t="s">
        <v>340</v>
      </c>
    </row>
    <row r="2" spans="1:12" x14ac:dyDescent="0.35">
      <c r="A2" t="s">
        <v>364</v>
      </c>
      <c r="B2" t="s">
        <v>548</v>
      </c>
      <c r="C2" t="s">
        <v>543</v>
      </c>
      <c r="D2" t="s">
        <v>544</v>
      </c>
      <c r="F2">
        <v>69.7</v>
      </c>
      <c r="G2">
        <v>19.8</v>
      </c>
      <c r="H2">
        <v>42.3</v>
      </c>
      <c r="I2">
        <v>256.40000000000003</v>
      </c>
      <c r="J2">
        <v>199.5</v>
      </c>
      <c r="K2">
        <v>223.6</v>
      </c>
      <c r="L2">
        <v>811.3</v>
      </c>
    </row>
    <row r="3" spans="1:12" x14ac:dyDescent="0.35">
      <c r="A3" t="s">
        <v>365</v>
      </c>
      <c r="B3" t="s">
        <v>548</v>
      </c>
      <c r="C3" t="s">
        <v>543</v>
      </c>
      <c r="D3" t="s">
        <v>544</v>
      </c>
      <c r="E3">
        <v>2</v>
      </c>
      <c r="F3">
        <v>43.99</v>
      </c>
      <c r="G3">
        <v>35.9</v>
      </c>
      <c r="H3">
        <v>55.47</v>
      </c>
      <c r="I3">
        <v>327.22999999999996</v>
      </c>
      <c r="J3">
        <v>126.98</v>
      </c>
      <c r="K3">
        <v>152.39000000000001</v>
      </c>
      <c r="L3">
        <v>743.95999999999992</v>
      </c>
    </row>
    <row r="4" spans="1:12" x14ac:dyDescent="0.35">
      <c r="A4" t="s">
        <v>366</v>
      </c>
      <c r="B4" t="s">
        <v>548</v>
      </c>
      <c r="C4" t="s">
        <v>543</v>
      </c>
      <c r="D4" t="s">
        <v>544</v>
      </c>
      <c r="E4">
        <v>3</v>
      </c>
      <c r="F4">
        <v>40</v>
      </c>
      <c r="G4">
        <v>33.309428571428569</v>
      </c>
      <c r="H4">
        <v>70.714285714285722</v>
      </c>
      <c r="I4">
        <v>303.60857142857139</v>
      </c>
      <c r="J4">
        <v>122.20028571428574</v>
      </c>
      <c r="K4">
        <v>146</v>
      </c>
      <c r="L4">
        <v>718.56228571428574</v>
      </c>
    </row>
    <row r="5" spans="1:12" x14ac:dyDescent="0.35">
      <c r="A5" t="s">
        <v>341</v>
      </c>
      <c r="B5" t="s">
        <v>548</v>
      </c>
      <c r="C5" t="s">
        <v>543</v>
      </c>
      <c r="D5" t="s">
        <v>544</v>
      </c>
      <c r="E5">
        <v>3</v>
      </c>
      <c r="F5">
        <v>42</v>
      </c>
      <c r="G5">
        <v>33</v>
      </c>
      <c r="H5">
        <v>74</v>
      </c>
      <c r="I5">
        <v>334</v>
      </c>
      <c r="J5">
        <v>115</v>
      </c>
      <c r="K5">
        <v>140</v>
      </c>
      <c r="L5">
        <v>745</v>
      </c>
    </row>
    <row r="6" spans="1:12" x14ac:dyDescent="0.35">
      <c r="A6" t="s">
        <v>342</v>
      </c>
      <c r="B6" t="s">
        <v>548</v>
      </c>
      <c r="C6" t="s">
        <v>543</v>
      </c>
      <c r="D6" t="s">
        <v>544</v>
      </c>
      <c r="E6">
        <v>2</v>
      </c>
      <c r="F6">
        <v>50</v>
      </c>
      <c r="G6">
        <v>31</v>
      </c>
      <c r="H6">
        <v>76</v>
      </c>
      <c r="I6">
        <v>355</v>
      </c>
      <c r="J6">
        <v>110</v>
      </c>
      <c r="K6">
        <v>135</v>
      </c>
      <c r="L6">
        <v>759</v>
      </c>
    </row>
    <row r="7" spans="1:12" x14ac:dyDescent="0.35">
      <c r="A7" t="s">
        <v>214</v>
      </c>
      <c r="B7" t="s">
        <v>548</v>
      </c>
      <c r="C7" t="s">
        <v>543</v>
      </c>
      <c r="D7" t="s">
        <v>544</v>
      </c>
      <c r="E7">
        <v>3</v>
      </c>
      <c r="F7">
        <v>49</v>
      </c>
      <c r="G7">
        <v>34</v>
      </c>
      <c r="H7">
        <v>80.399999999999991</v>
      </c>
      <c r="I7">
        <v>375.56000000000012</v>
      </c>
      <c r="J7">
        <v>58.610000000000042</v>
      </c>
      <c r="K7">
        <v>144.99</v>
      </c>
      <c r="L7">
        <v>745.56000000000006</v>
      </c>
    </row>
    <row r="8" spans="1:12" x14ac:dyDescent="0.35">
      <c r="A8" t="s">
        <v>313</v>
      </c>
      <c r="B8" t="s">
        <v>548</v>
      </c>
      <c r="C8" t="s">
        <v>543</v>
      </c>
      <c r="D8" t="s">
        <v>544</v>
      </c>
      <c r="E8">
        <v>3</v>
      </c>
      <c r="F8">
        <v>47</v>
      </c>
      <c r="G8">
        <v>32</v>
      </c>
      <c r="H8">
        <v>88.61</v>
      </c>
      <c r="I8">
        <v>382.50000000000017</v>
      </c>
      <c r="J8">
        <v>56.950000000000038</v>
      </c>
      <c r="K8">
        <v>154.34</v>
      </c>
      <c r="L8">
        <v>764.4000000000002</v>
      </c>
    </row>
    <row r="9" spans="1:12" x14ac:dyDescent="0.35">
      <c r="A9" t="s">
        <v>319</v>
      </c>
      <c r="B9" t="s">
        <v>548</v>
      </c>
      <c r="C9" t="s">
        <v>543</v>
      </c>
      <c r="D9" t="s">
        <v>544</v>
      </c>
      <c r="E9">
        <v>3</v>
      </c>
      <c r="F9">
        <v>49.8</v>
      </c>
      <c r="G9">
        <v>30</v>
      </c>
      <c r="H9">
        <v>88.429999999999993</v>
      </c>
      <c r="I9">
        <v>398.88000000000017</v>
      </c>
      <c r="J9">
        <v>55.73000000000004</v>
      </c>
      <c r="K9">
        <v>160.44999999999996</v>
      </c>
      <c r="L9">
        <v>786.29000000000008</v>
      </c>
    </row>
    <row r="10" spans="1:12" x14ac:dyDescent="0.35">
      <c r="A10" t="s">
        <v>321</v>
      </c>
      <c r="B10" t="s">
        <v>548</v>
      </c>
      <c r="C10" t="s">
        <v>543</v>
      </c>
      <c r="D10" t="s">
        <v>544</v>
      </c>
      <c r="E10">
        <v>4</v>
      </c>
      <c r="F10">
        <v>57</v>
      </c>
      <c r="G10">
        <v>32</v>
      </c>
      <c r="H10">
        <v>100.35</v>
      </c>
      <c r="I10">
        <v>449.55000000000018</v>
      </c>
      <c r="J10">
        <v>55.650000000000041</v>
      </c>
      <c r="K10">
        <v>163.91000000000003</v>
      </c>
      <c r="L10">
        <v>862.46000000000026</v>
      </c>
    </row>
    <row r="11" spans="1:12" x14ac:dyDescent="0.35">
      <c r="A11" t="s">
        <v>326</v>
      </c>
      <c r="B11" t="s">
        <v>548</v>
      </c>
      <c r="C11" t="s">
        <v>543</v>
      </c>
      <c r="D11" t="s">
        <v>544</v>
      </c>
      <c r="E11">
        <v>4</v>
      </c>
      <c r="F11">
        <v>80.139999999999986</v>
      </c>
      <c r="G11">
        <v>36</v>
      </c>
      <c r="H11">
        <v>94.669999999999973</v>
      </c>
      <c r="I11">
        <v>441.38000000000017</v>
      </c>
      <c r="J11">
        <v>53.880000000000038</v>
      </c>
      <c r="K11">
        <v>140.27999999999997</v>
      </c>
      <c r="L11">
        <v>850.35</v>
      </c>
    </row>
    <row r="12" spans="1:12" x14ac:dyDescent="0.35">
      <c r="A12" t="s">
        <v>327</v>
      </c>
      <c r="B12" t="s">
        <v>548</v>
      </c>
      <c r="C12" t="s">
        <v>543</v>
      </c>
      <c r="D12" t="s">
        <v>544</v>
      </c>
      <c r="E12">
        <v>3</v>
      </c>
      <c r="F12">
        <v>85.679999999999993</v>
      </c>
      <c r="G12">
        <v>35</v>
      </c>
      <c r="H12">
        <v>88.1</v>
      </c>
      <c r="I12">
        <v>438.38000000000022</v>
      </c>
      <c r="J12">
        <v>55.880000000000038</v>
      </c>
      <c r="K12">
        <v>123.36</v>
      </c>
      <c r="L12">
        <v>829.4000000000002</v>
      </c>
    </row>
    <row r="13" spans="1:12" x14ac:dyDescent="0.35">
      <c r="A13" t="s">
        <v>466</v>
      </c>
      <c r="B13" t="s">
        <v>548</v>
      </c>
      <c r="C13" t="s">
        <v>543</v>
      </c>
      <c r="D13" t="s">
        <v>544</v>
      </c>
      <c r="E13">
        <v>4</v>
      </c>
      <c r="F13">
        <v>94.089999999999989</v>
      </c>
      <c r="G13">
        <v>35</v>
      </c>
      <c r="H13">
        <v>89.24</v>
      </c>
      <c r="I13">
        <v>447.61000000000024</v>
      </c>
      <c r="J13">
        <v>54.53000000000003</v>
      </c>
      <c r="K13">
        <v>129.12</v>
      </c>
      <c r="L13">
        <v>853.59000000000026</v>
      </c>
    </row>
  </sheetData>
  <pageMargins left="0.7" right="0.7" top="0.75" bottom="0.75" header="0.3" footer="0.3"/>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3">
    <tabColor theme="9" tint="0.39997558519241921"/>
    <pageSetUpPr fitToPage="1"/>
  </sheetPr>
  <dimension ref="A1:XFC42"/>
  <sheetViews>
    <sheetView showGridLines="0" zoomScaleNormal="100" workbookViewId="0">
      <pane ySplit="2" topLeftCell="A3" activePane="bottomLeft" state="frozen"/>
      <selection pane="bottomLeft" sqref="A1:H1"/>
    </sheetView>
  </sheetViews>
  <sheetFormatPr defaultRowHeight="14.5" x14ac:dyDescent="0.35"/>
  <cols>
    <col min="1" max="1" width="17.26953125" customWidth="1"/>
    <col min="2" max="2" width="58.7265625" customWidth="1"/>
    <col min="3" max="10" width="12.7265625" customWidth="1"/>
  </cols>
  <sheetData>
    <row r="1" spans="1:16383" ht="15.5" x14ac:dyDescent="0.35">
      <c r="A1" s="1011" t="s">
        <v>513</v>
      </c>
      <c r="B1" s="1011"/>
      <c r="C1" s="1011"/>
      <c r="D1" s="1011"/>
      <c r="E1" s="1011"/>
      <c r="F1" s="1011"/>
      <c r="G1" s="1011"/>
      <c r="H1" s="1011"/>
    </row>
    <row r="2" spans="1:16383" ht="15.5" x14ac:dyDescent="0.35">
      <c r="A2" s="499" t="s">
        <v>201</v>
      </c>
      <c r="C2" s="441"/>
      <c r="D2" s="441"/>
      <c r="E2" s="441"/>
      <c r="F2" s="441"/>
      <c r="G2" s="441"/>
      <c r="H2" s="441"/>
    </row>
    <row r="3" spans="1:16383" ht="15.5" x14ac:dyDescent="0.35">
      <c r="C3" s="441"/>
      <c r="D3" s="441"/>
      <c r="E3" s="441"/>
      <c r="F3" s="441"/>
      <c r="G3" s="441"/>
      <c r="H3" s="441"/>
    </row>
    <row r="4" spans="1:16383" ht="31.5" customHeight="1" x14ac:dyDescent="0.35">
      <c r="A4" s="421" t="s">
        <v>715</v>
      </c>
      <c r="B4" s="421"/>
      <c r="C4" s="421"/>
      <c r="D4" s="421"/>
      <c r="E4" s="421"/>
      <c r="F4" s="421"/>
      <c r="G4" s="421"/>
      <c r="H4" s="421"/>
      <c r="I4" s="421"/>
      <c r="J4" s="83"/>
    </row>
    <row r="5" spans="1:16383" ht="15" customHeight="1" x14ac:dyDescent="0.35">
      <c r="A5" t="s">
        <v>202</v>
      </c>
      <c r="B5" t="s">
        <v>83</v>
      </c>
      <c r="C5" s="421"/>
      <c r="D5" s="421"/>
      <c r="E5" s="421"/>
      <c r="F5" s="421"/>
      <c r="G5" s="421"/>
      <c r="H5" s="421"/>
      <c r="I5" s="421"/>
      <c r="J5" s="83"/>
    </row>
    <row r="6" spans="1:16383" ht="15" customHeight="1" x14ac:dyDescent="0.35">
      <c r="A6" t="s">
        <v>203</v>
      </c>
      <c r="B6" t="s">
        <v>204</v>
      </c>
      <c r="C6" s="421"/>
      <c r="D6" s="421"/>
      <c r="E6" s="421"/>
      <c r="F6" s="421"/>
      <c r="G6" s="421"/>
      <c r="H6" s="421"/>
      <c r="I6" s="421"/>
      <c r="J6" s="83"/>
    </row>
    <row r="7" spans="1:16383" ht="15" customHeight="1" x14ac:dyDescent="0.35">
      <c r="A7" t="s">
        <v>205</v>
      </c>
      <c r="B7" t="s">
        <v>206</v>
      </c>
      <c r="C7" s="421"/>
      <c r="D7" s="421"/>
      <c r="E7" s="421"/>
      <c r="F7" s="421"/>
      <c r="G7" s="421"/>
      <c r="H7" s="421"/>
      <c r="I7" s="421"/>
      <c r="J7" s="83"/>
    </row>
    <row r="8" spans="1:16383" ht="26" x14ac:dyDescent="0.35">
      <c r="A8" s="78" t="s">
        <v>556</v>
      </c>
      <c r="B8" s="78" t="s">
        <v>550</v>
      </c>
      <c r="C8" s="84" t="s">
        <v>644</v>
      </c>
      <c r="D8" s="84" t="s">
        <v>645</v>
      </c>
      <c r="E8" s="84" t="s">
        <v>646</v>
      </c>
      <c r="F8" s="84" t="s">
        <v>647</v>
      </c>
      <c r="G8" s="84" t="s">
        <v>648</v>
      </c>
      <c r="H8" s="84" t="s">
        <v>679</v>
      </c>
      <c r="I8" s="480" t="s">
        <v>340</v>
      </c>
    </row>
    <row r="9" spans="1:16383" ht="15" thickBot="1" x14ac:dyDescent="0.4">
      <c r="A9" s="455" t="s">
        <v>548</v>
      </c>
      <c r="B9" s="80" t="s">
        <v>695</v>
      </c>
      <c r="C9" s="315">
        <f>GETPIVOTDATA("Sum of Area Manager",CSFTERoleAreaControlPivot!$A$3,"ReportingLevel","4:National")</f>
        <v>1</v>
      </c>
      <c r="D9" s="315">
        <f>GETPIVOTDATA("Sum of Group Manager",CSFTERoleAreaControlPivot!$A$3,"ReportingLevel","4:National")</f>
        <v>2</v>
      </c>
      <c r="E9" s="315">
        <f>GETPIVOTDATA("Sum of Station Manager",CSFTERoleAreaControlPivot!$A$3,"ReportingLevel","4:National")</f>
        <v>8</v>
      </c>
      <c r="F9" s="315">
        <f>GETPIVOTDATA("Sum of Watch Manager",CSFTERoleAreaControlPivot!$A$3,"ReportingLevel","4:National")</f>
        <v>37</v>
      </c>
      <c r="G9" s="315">
        <f>GETPIVOTDATA("Sum of Crew Manager",CSFTERoleAreaControlPivot!$A$3,"ReportingLevel","4:National")</f>
        <v>28</v>
      </c>
      <c r="H9" s="315">
        <f>GETPIVOTDATA("Sum of Control Operator",CSFTERoleAreaControlPivot!$A$3,"ReportingLevel","4:National")</f>
        <v>91.69</v>
      </c>
      <c r="I9" s="481">
        <f>SUM(C9:H9)</f>
        <v>167.69</v>
      </c>
      <c r="K9" s="69"/>
      <c r="L9" s="69"/>
      <c r="M9" s="69"/>
      <c r="N9" s="69"/>
      <c r="O9" s="69"/>
      <c r="P9" s="69"/>
      <c r="Q9" s="69"/>
      <c r="R9" s="69"/>
    </row>
    <row r="10" spans="1:16383" x14ac:dyDescent="0.35">
      <c r="B10" s="82"/>
      <c r="C10" s="15"/>
      <c r="D10" s="15"/>
      <c r="E10" s="15"/>
      <c r="F10" s="15"/>
      <c r="G10" s="15"/>
      <c r="H10" s="15"/>
      <c r="I10" s="12"/>
      <c r="J10" s="19"/>
    </row>
    <row r="11" spans="1:16383" x14ac:dyDescent="0.35">
      <c r="A11" s="374" t="s">
        <v>329</v>
      </c>
      <c r="C11" s="15"/>
      <c r="D11" s="15"/>
      <c r="E11" s="15"/>
      <c r="F11" s="15"/>
      <c r="G11" s="15"/>
      <c r="H11" s="15"/>
      <c r="I11" s="12"/>
      <c r="J11" s="19"/>
    </row>
    <row r="12" spans="1:16383" x14ac:dyDescent="0.35">
      <c r="A12" s="458" t="s">
        <v>522</v>
      </c>
      <c r="B12" s="388"/>
      <c r="C12" s="464"/>
      <c r="D12" s="464"/>
      <c r="E12" s="464"/>
      <c r="F12" s="464"/>
      <c r="G12" s="464"/>
      <c r="H12" s="464"/>
      <c r="I12" s="464"/>
      <c r="J12" s="464"/>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3" ht="15.5" x14ac:dyDescent="0.35">
      <c r="A13" s="465" t="s">
        <v>711</v>
      </c>
      <c r="B13" s="466"/>
      <c r="C13" s="459"/>
      <c r="D13" s="459"/>
      <c r="E13" s="459"/>
      <c r="F13" s="459"/>
      <c r="G13" s="459"/>
      <c r="H13" s="459"/>
      <c r="I13" s="459"/>
      <c r="J13" s="467"/>
    </row>
    <row r="14" spans="1:16383" ht="15.5" x14ac:dyDescent="0.35">
      <c r="A14" s="388" t="s">
        <v>696</v>
      </c>
      <c r="B14" s="466"/>
      <c r="C14" s="459"/>
      <c r="D14" s="459"/>
      <c r="E14" s="459"/>
      <c r="F14" s="459"/>
      <c r="G14" s="459"/>
      <c r="H14" s="459"/>
      <c r="I14" s="459"/>
      <c r="J14" s="467"/>
    </row>
    <row r="15" spans="1:16383" ht="31" customHeight="1" x14ac:dyDescent="0.35">
      <c r="A15" s="1020" t="s">
        <v>659</v>
      </c>
      <c r="B15" s="1020"/>
      <c r="C15" s="1020"/>
      <c r="D15" s="1020"/>
      <c r="E15" s="1020"/>
      <c r="F15" s="1020"/>
      <c r="G15" s="1020"/>
      <c r="H15" s="1020"/>
      <c r="I15" s="1020"/>
      <c r="J15" s="467"/>
    </row>
    <row r="16" spans="1:16383" x14ac:dyDescent="0.35">
      <c r="A16" s="571"/>
      <c r="B16" s="571"/>
      <c r="C16" s="571"/>
      <c r="D16" s="571"/>
      <c r="E16" s="571"/>
      <c r="F16" s="571"/>
      <c r="G16" s="571"/>
      <c r="H16" s="571"/>
      <c r="I16" s="571"/>
      <c r="J16" s="467"/>
    </row>
    <row r="17" spans="1:10" ht="37.5" customHeight="1" x14ac:dyDescent="0.35">
      <c r="A17" s="421" t="s">
        <v>716</v>
      </c>
      <c r="B17" s="421"/>
      <c r="C17" s="421"/>
      <c r="D17" s="421"/>
      <c r="E17" s="421"/>
      <c r="F17" s="421"/>
      <c r="G17" s="421"/>
      <c r="H17" s="421"/>
      <c r="I17" s="421"/>
      <c r="J17" s="83"/>
    </row>
    <row r="18" spans="1:10" ht="15" customHeight="1" x14ac:dyDescent="0.35">
      <c r="A18" t="s">
        <v>202</v>
      </c>
      <c r="B18" t="s">
        <v>84</v>
      </c>
      <c r="C18" s="421"/>
      <c r="D18" s="421"/>
      <c r="E18" s="421"/>
      <c r="F18" s="421"/>
      <c r="G18" s="421"/>
      <c r="H18" s="421"/>
      <c r="I18" s="421"/>
      <c r="J18" s="83"/>
    </row>
    <row r="19" spans="1:10" ht="15" customHeight="1" x14ac:dyDescent="0.35">
      <c r="A19" t="s">
        <v>203</v>
      </c>
      <c r="B19" t="s">
        <v>204</v>
      </c>
      <c r="C19" s="421"/>
      <c r="D19" s="421"/>
      <c r="E19" s="421"/>
      <c r="F19" s="421"/>
      <c r="G19" s="421"/>
      <c r="H19" s="421"/>
      <c r="I19" s="421"/>
      <c r="J19" s="83"/>
    </row>
    <row r="20" spans="1:10" ht="15" customHeight="1" x14ac:dyDescent="0.35">
      <c r="A20" t="s">
        <v>205</v>
      </c>
      <c r="B20" t="s">
        <v>206</v>
      </c>
      <c r="C20" s="421"/>
      <c r="D20" s="421"/>
      <c r="E20" s="421"/>
      <c r="F20" s="421"/>
      <c r="G20" s="421"/>
      <c r="H20" s="421"/>
      <c r="I20" s="421"/>
      <c r="J20" s="83"/>
    </row>
    <row r="21" spans="1:10" ht="26.5" x14ac:dyDescent="0.35">
      <c r="A21" s="78" t="s">
        <v>556</v>
      </c>
      <c r="B21" s="78" t="s">
        <v>550</v>
      </c>
      <c r="C21" s="37" t="s">
        <v>687</v>
      </c>
      <c r="D21" s="37" t="s">
        <v>688</v>
      </c>
      <c r="E21" s="37" t="s">
        <v>699</v>
      </c>
      <c r="F21" s="37" t="s">
        <v>690</v>
      </c>
      <c r="G21" s="37" t="s">
        <v>700</v>
      </c>
      <c r="H21" s="37" t="s">
        <v>701</v>
      </c>
      <c r="I21" s="37" t="s">
        <v>717</v>
      </c>
      <c r="J21" s="480" t="s">
        <v>340</v>
      </c>
    </row>
    <row r="22" spans="1:10" ht="15" thickBot="1" x14ac:dyDescent="0.4">
      <c r="A22" s="455" t="s">
        <v>548</v>
      </c>
      <c r="B22" s="80" t="s">
        <v>695</v>
      </c>
      <c r="C22" s="314">
        <f>GETPIVOTDATA("Sum of Director",CSFTERoleAreaSupportPivot!$A$3,"ReportingLevel","4:National")</f>
        <v>4</v>
      </c>
      <c r="D22" s="314">
        <f>GETPIVOTDATA("Sum of Service Manager",CSFTERoleAreaSupportPivot!$A$3,"ReportingLevel","4:National")</f>
        <v>94.089999999999989</v>
      </c>
      <c r="E22" s="314">
        <f>GETPIVOTDATA("Sum of Team Leader",CSFTERoleAreaSupportPivot!$A$3,"ReportingLevel","4:National")</f>
        <v>35</v>
      </c>
      <c r="F22" s="314">
        <f>GETPIVOTDATA("Sum of Professional",CSFTERoleAreaSupportPivot!$A$3,"ReportingLevel","4:National")</f>
        <v>89.24</v>
      </c>
      <c r="G22" s="314">
        <f>GETPIVOTDATA("Sum of Specialist Technical",CSFTERoleAreaSupportPivot!$A$3,"ReportingLevel","4:National")</f>
        <v>447.61000000000024</v>
      </c>
      <c r="H22" s="314">
        <f>GETPIVOTDATA("Sum of Tech Support",CSFTERoleAreaSupportPivot!$A$3,"ReportingLevel","4:National")</f>
        <v>54.53000000000003</v>
      </c>
      <c r="I22" s="314">
        <f>GETPIVOTDATA("Sum of Administration",CSFTERoleAreaSupportPivot!$A$3,"ReportingLevel","4:National")</f>
        <v>129.12</v>
      </c>
      <c r="J22" s="481">
        <f>GETPIVOTDATA("Sum of Total",CSFTERoleAreaSupportPivot!$A$3,"ReportingLevel","4:National")</f>
        <v>853.59000000000026</v>
      </c>
    </row>
    <row r="23" spans="1:10" x14ac:dyDescent="0.35">
      <c r="B23" s="82"/>
      <c r="C23" s="82"/>
      <c r="D23" s="88"/>
      <c r="E23" s="88"/>
      <c r="F23" s="88"/>
      <c r="G23" s="88"/>
      <c r="H23" s="88"/>
    </row>
    <row r="24" spans="1:10" x14ac:dyDescent="0.35">
      <c r="A24" s="48"/>
      <c r="B24" s="461"/>
      <c r="C24" s="461"/>
      <c r="D24" s="461"/>
      <c r="E24" s="461"/>
      <c r="F24" s="461"/>
      <c r="G24" s="461"/>
      <c r="H24" s="462"/>
      <c r="I24" s="463"/>
    </row>
    <row r="25" spans="1:10" x14ac:dyDescent="0.35">
      <c r="A25" s="342" t="s">
        <v>329</v>
      </c>
      <c r="B25" s="448"/>
      <c r="C25" s="448"/>
      <c r="D25" s="448"/>
      <c r="E25" s="448"/>
      <c r="F25" s="448"/>
      <c r="G25" s="448"/>
      <c r="H25" s="449"/>
      <c r="I25" s="450"/>
    </row>
    <row r="26" spans="1:10" x14ac:dyDescent="0.35">
      <c r="A26" s="458" t="s">
        <v>522</v>
      </c>
      <c r="B26" s="448"/>
      <c r="C26" s="448"/>
      <c r="D26" s="448"/>
      <c r="E26" s="448"/>
      <c r="F26" s="448"/>
      <c r="G26" s="448"/>
      <c r="H26" s="449"/>
      <c r="I26" s="450"/>
    </row>
    <row r="27" spans="1:10" x14ac:dyDescent="0.35">
      <c r="A27" s="370" t="s">
        <v>711</v>
      </c>
      <c r="B27" s="448"/>
      <c r="C27" s="448"/>
      <c r="D27" s="448"/>
      <c r="E27" s="448"/>
      <c r="F27" s="448"/>
      <c r="G27" s="448"/>
      <c r="H27" s="449"/>
      <c r="I27" s="450"/>
    </row>
    <row r="28" spans="1:10" x14ac:dyDescent="0.35">
      <c r="A28" s="563" t="s">
        <v>702</v>
      </c>
      <c r="B28" s="448"/>
      <c r="C28" s="448"/>
      <c r="D28" s="448"/>
      <c r="E28" s="448"/>
      <c r="F28" s="448"/>
      <c r="G28" s="448"/>
      <c r="H28" s="449"/>
      <c r="I28" s="450"/>
    </row>
    <row r="29" spans="1:10" ht="31.5" customHeight="1" x14ac:dyDescent="0.35">
      <c r="A29" s="1010" t="s">
        <v>703</v>
      </c>
      <c r="B29" s="1010"/>
      <c r="C29" s="1010"/>
      <c r="D29" s="1010"/>
      <c r="E29" s="1010"/>
      <c r="F29" s="1010"/>
      <c r="G29" s="1010"/>
      <c r="H29" s="1010"/>
      <c r="I29" s="1010"/>
      <c r="J29" s="1010"/>
    </row>
    <row r="30" spans="1:10" x14ac:dyDescent="0.35">
      <c r="A30" s="451" t="s">
        <v>704</v>
      </c>
      <c r="B30" s="451"/>
      <c r="C30" s="451"/>
      <c r="D30" s="451"/>
      <c r="E30" s="451"/>
      <c r="F30" s="451"/>
      <c r="G30" s="451"/>
      <c r="H30" s="451"/>
      <c r="I30" s="451"/>
      <c r="J30" s="451"/>
    </row>
    <row r="31" spans="1:10" x14ac:dyDescent="0.35">
      <c r="A31" s="1028" t="s">
        <v>705</v>
      </c>
      <c r="B31" s="1028"/>
      <c r="C31" s="1028"/>
      <c r="D31" s="1028"/>
      <c r="E31" s="1028"/>
      <c r="F31" s="1028"/>
      <c r="G31" s="1028"/>
      <c r="H31" s="1028"/>
      <c r="I31" s="1028"/>
      <c r="J31" s="1028"/>
    </row>
    <row r="32" spans="1:10" x14ac:dyDescent="0.35">
      <c r="A32" s="345" t="s">
        <v>558</v>
      </c>
      <c r="B32" s="338"/>
      <c r="C32" s="346"/>
      <c r="D32" s="452"/>
      <c r="E32" s="452"/>
      <c r="F32" s="452"/>
      <c r="G32" s="452"/>
      <c r="H32" s="452"/>
      <c r="I32" s="452"/>
    </row>
    <row r="36" spans="1:10" ht="15" customHeight="1" x14ac:dyDescent="0.35"/>
    <row r="37" spans="1:10" ht="30" customHeight="1" x14ac:dyDescent="0.35">
      <c r="B37" s="1028"/>
      <c r="C37" s="1028"/>
      <c r="D37" s="1028"/>
      <c r="E37" s="1028"/>
      <c r="F37" s="1028"/>
      <c r="G37" s="1028"/>
      <c r="H37" s="1028"/>
      <c r="I37" s="1028"/>
      <c r="J37" s="1028"/>
    </row>
    <row r="38" spans="1:10" ht="15" customHeight="1" x14ac:dyDescent="0.35">
      <c r="A38" s="563"/>
      <c r="B38" s="448"/>
      <c r="C38" s="448"/>
      <c r="D38" s="448"/>
      <c r="E38" s="448"/>
      <c r="F38" s="448"/>
      <c r="G38" s="448"/>
      <c r="H38" s="449"/>
      <c r="I38" s="450"/>
    </row>
    <row r="39" spans="1:10" ht="30" customHeight="1" x14ac:dyDescent="0.35">
      <c r="A39" s="1010"/>
      <c r="B39" s="1010"/>
      <c r="C39" s="1010"/>
      <c r="D39" s="1010"/>
      <c r="E39" s="1010"/>
      <c r="F39" s="1010"/>
      <c r="G39" s="1010"/>
      <c r="H39" s="1010"/>
      <c r="I39" s="1010"/>
      <c r="J39" s="1010"/>
    </row>
    <row r="40" spans="1:10" ht="15" customHeight="1" x14ac:dyDescent="0.35">
      <c r="A40" s="451"/>
      <c r="B40" s="451"/>
      <c r="C40" s="451"/>
      <c r="D40" s="451"/>
      <c r="E40" s="451"/>
      <c r="F40" s="451"/>
      <c r="G40" s="451"/>
      <c r="H40" s="451"/>
      <c r="I40" s="451"/>
      <c r="J40" s="451"/>
    </row>
    <row r="41" spans="1:10" x14ac:dyDescent="0.35">
      <c r="A41" s="1028"/>
      <c r="B41" s="1028"/>
      <c r="C41" s="1028"/>
      <c r="D41" s="1028"/>
      <c r="E41" s="1028"/>
      <c r="F41" s="1028"/>
      <c r="G41" s="1028"/>
      <c r="H41" s="1028"/>
      <c r="I41" s="1028"/>
      <c r="J41" s="1028"/>
    </row>
    <row r="42" spans="1:10" x14ac:dyDescent="0.35">
      <c r="A42" s="345"/>
      <c r="B42" s="338"/>
      <c r="C42" s="346"/>
      <c r="D42" s="452"/>
      <c r="E42" s="452"/>
      <c r="F42" s="452"/>
      <c r="G42" s="452"/>
      <c r="H42" s="452"/>
      <c r="I42" s="452"/>
    </row>
  </sheetData>
  <sheetProtection algorithmName="SHA-512" hashValue="pZpTxW/Dse+YG9cQAsLb3O9DAl/k/FXR02Y8QP4WYC01Z67Zy2FzOyW7pCM/Y3vHluDo3ETc+L9bd7VZF6U6Iw==" saltValue="kcH9ZUBY9SJ62al2XF+IHA==" spinCount="100000" sheet="1" scenarios="1" formatCells="0" sort="0" autoFilter="0" pivotTables="0"/>
  <mergeCells count="7">
    <mergeCell ref="A41:J41"/>
    <mergeCell ref="A39:J39"/>
    <mergeCell ref="A1:H1"/>
    <mergeCell ref="B37:J37"/>
    <mergeCell ref="A29:J29"/>
    <mergeCell ref="A31:J31"/>
    <mergeCell ref="A15:I15"/>
  </mergeCells>
  <conditionalFormatting sqref="A21:A22">
    <cfRule type="duplicateValues" dxfId="0" priority="1"/>
  </conditionalFormatting>
  <hyperlinks>
    <hyperlink ref="A2" location="'Table of Contents'!A1" display="Back to Table of Contents" xr:uid="{00000000-0004-0000-4F00-000000000000}"/>
  </hyperlinks>
  <pageMargins left="0.70866141732283472" right="0.70866141732283472" top="0.74803149606299213" bottom="0.74803149606299213" header="0.31496062992125984" footer="0.31496062992125984"/>
  <pageSetup paperSize="9" scale="85" orientation="landscape" r:id="rId1"/>
  <drawing r:id="rId2"/>
  <extLst>
    <ext xmlns:x14="http://schemas.microsoft.com/office/spreadsheetml/2009/9/main" uri="{A8765BA9-456A-4dab-B4F3-ACF838C121DE}">
      <x14:slicerList>
        <x14:slicer r:id="rId3"/>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84DCA-7C0E-46FE-AF0E-11A28C21773F}">
  <sheetPr>
    <tabColor theme="9" tint="0.39997558519241921"/>
  </sheetPr>
  <dimension ref="B5:N21"/>
  <sheetViews>
    <sheetView topLeftCell="J1" workbookViewId="0">
      <selection activeCell="L16" sqref="L16"/>
    </sheetView>
  </sheetViews>
  <sheetFormatPr defaultRowHeight="14.5" x14ac:dyDescent="0.35"/>
  <cols>
    <col min="2" max="2" width="12.6328125" bestFit="1" customWidth="1"/>
    <col min="3" max="3" width="16.6328125" bestFit="1" customWidth="1"/>
    <col min="4" max="4" width="14.54296875" bestFit="1" customWidth="1"/>
    <col min="5" max="5" width="17" bestFit="1" customWidth="1"/>
    <col min="6" max="6" width="15" bestFit="1" customWidth="1"/>
    <col min="7" max="7" width="24.81640625" bestFit="1" customWidth="1"/>
    <col min="8" max="8" width="22.7265625" bestFit="1" customWidth="1"/>
    <col min="9" max="9" width="20" bestFit="1" customWidth="1"/>
    <col min="10" max="10" width="18.08984375" bestFit="1" customWidth="1"/>
    <col min="11" max="11" width="20.54296875" bestFit="1" customWidth="1"/>
    <col min="12" max="12" width="18.54296875" bestFit="1" customWidth="1"/>
    <col min="13" max="13" width="16.6328125" bestFit="1" customWidth="1"/>
    <col min="14" max="14" width="14.54296875" bestFit="1" customWidth="1"/>
  </cols>
  <sheetData>
    <row r="5" spans="2:14" x14ac:dyDescent="0.35">
      <c r="B5" s="387" t="s">
        <v>350</v>
      </c>
      <c r="C5" t="s">
        <v>718</v>
      </c>
      <c r="D5" t="s">
        <v>719</v>
      </c>
      <c r="E5" t="s">
        <v>720</v>
      </c>
      <c r="F5" t="s">
        <v>721</v>
      </c>
      <c r="G5" t="s">
        <v>722</v>
      </c>
      <c r="H5" t="s">
        <v>723</v>
      </c>
      <c r="I5" t="s">
        <v>724</v>
      </c>
      <c r="J5" t="s">
        <v>725</v>
      </c>
      <c r="K5" t="s">
        <v>726</v>
      </c>
      <c r="L5" t="s">
        <v>727</v>
      </c>
      <c r="M5" t="s">
        <v>728</v>
      </c>
      <c r="N5" t="s">
        <v>729</v>
      </c>
    </row>
    <row r="6" spans="2:14" x14ac:dyDescent="0.35">
      <c r="B6" s="388" t="s">
        <v>508</v>
      </c>
      <c r="C6">
        <v>146</v>
      </c>
      <c r="D6">
        <v>4055</v>
      </c>
      <c r="E6">
        <v>160</v>
      </c>
      <c r="F6">
        <v>2879</v>
      </c>
      <c r="I6">
        <v>199</v>
      </c>
      <c r="J6">
        <v>34</v>
      </c>
      <c r="K6">
        <v>650</v>
      </c>
      <c r="L6">
        <v>464</v>
      </c>
      <c r="M6">
        <v>63</v>
      </c>
      <c r="N6">
        <v>374</v>
      </c>
    </row>
    <row r="7" spans="2:14" x14ac:dyDescent="0.35">
      <c r="B7" s="388" t="s">
        <v>362</v>
      </c>
      <c r="C7">
        <v>148</v>
      </c>
      <c r="D7">
        <v>4011</v>
      </c>
      <c r="E7">
        <v>182</v>
      </c>
      <c r="F7">
        <v>2870</v>
      </c>
      <c r="I7">
        <v>202</v>
      </c>
      <c r="J7">
        <v>32</v>
      </c>
      <c r="K7">
        <v>649</v>
      </c>
      <c r="L7">
        <v>487</v>
      </c>
      <c r="M7">
        <v>59</v>
      </c>
      <c r="N7">
        <v>400</v>
      </c>
    </row>
    <row r="8" spans="2:14" x14ac:dyDescent="0.35">
      <c r="B8" s="388" t="s">
        <v>363</v>
      </c>
      <c r="C8">
        <v>158</v>
      </c>
      <c r="D8">
        <v>3993</v>
      </c>
      <c r="E8">
        <v>173</v>
      </c>
      <c r="F8">
        <v>2903</v>
      </c>
      <c r="I8">
        <v>203</v>
      </c>
      <c r="J8">
        <v>31</v>
      </c>
      <c r="K8">
        <v>604</v>
      </c>
      <c r="L8">
        <v>482</v>
      </c>
      <c r="M8">
        <v>52</v>
      </c>
      <c r="N8">
        <v>365</v>
      </c>
    </row>
    <row r="9" spans="2:14" x14ac:dyDescent="0.35">
      <c r="B9" s="388" t="s">
        <v>364</v>
      </c>
      <c r="C9">
        <v>159</v>
      </c>
      <c r="D9">
        <v>3842</v>
      </c>
      <c r="E9">
        <v>178</v>
      </c>
      <c r="F9">
        <v>2762</v>
      </c>
      <c r="I9">
        <v>199</v>
      </c>
      <c r="J9">
        <v>24</v>
      </c>
      <c r="K9">
        <v>545</v>
      </c>
      <c r="L9">
        <v>416</v>
      </c>
      <c r="M9">
        <v>52</v>
      </c>
      <c r="N9">
        <v>307</v>
      </c>
    </row>
    <row r="10" spans="2:14" x14ac:dyDescent="0.35">
      <c r="B10" s="388" t="s">
        <v>365</v>
      </c>
      <c r="C10">
        <v>164</v>
      </c>
      <c r="D10">
        <v>3692</v>
      </c>
      <c r="E10">
        <v>172</v>
      </c>
      <c r="F10">
        <v>2778</v>
      </c>
      <c r="I10">
        <v>192</v>
      </c>
      <c r="J10">
        <v>38</v>
      </c>
      <c r="K10">
        <v>480</v>
      </c>
      <c r="L10">
        <v>387</v>
      </c>
      <c r="M10">
        <v>56</v>
      </c>
      <c r="N10">
        <v>322</v>
      </c>
    </row>
    <row r="11" spans="2:14" x14ac:dyDescent="0.35">
      <c r="B11" s="388" t="s">
        <v>366</v>
      </c>
      <c r="C11">
        <v>167</v>
      </c>
      <c r="D11">
        <v>3523</v>
      </c>
      <c r="E11">
        <v>163</v>
      </c>
      <c r="F11">
        <v>2707</v>
      </c>
      <c r="I11">
        <v>171</v>
      </c>
      <c r="J11">
        <v>32</v>
      </c>
      <c r="K11">
        <v>463</v>
      </c>
      <c r="L11">
        <v>365</v>
      </c>
      <c r="M11">
        <v>56</v>
      </c>
      <c r="N11">
        <v>286</v>
      </c>
    </row>
    <row r="12" spans="2:14" x14ac:dyDescent="0.35">
      <c r="B12" s="388" t="s">
        <v>341</v>
      </c>
      <c r="C12">
        <v>178</v>
      </c>
      <c r="D12">
        <v>3467</v>
      </c>
      <c r="E12">
        <v>158</v>
      </c>
      <c r="F12">
        <v>2712</v>
      </c>
      <c r="I12">
        <v>139</v>
      </c>
      <c r="J12">
        <v>26</v>
      </c>
      <c r="K12">
        <v>466</v>
      </c>
      <c r="L12">
        <v>372</v>
      </c>
      <c r="M12">
        <v>48</v>
      </c>
      <c r="N12">
        <v>268</v>
      </c>
    </row>
    <row r="13" spans="2:14" x14ac:dyDescent="0.35">
      <c r="B13" s="388" t="s">
        <v>342</v>
      </c>
      <c r="C13">
        <v>175</v>
      </c>
      <c r="D13">
        <v>3371</v>
      </c>
      <c r="E13">
        <v>171</v>
      </c>
      <c r="F13">
        <v>2692</v>
      </c>
      <c r="I13">
        <v>158</v>
      </c>
      <c r="J13">
        <v>31</v>
      </c>
      <c r="K13">
        <v>476</v>
      </c>
      <c r="L13">
        <v>370</v>
      </c>
      <c r="M13">
        <v>55</v>
      </c>
      <c r="N13">
        <v>277</v>
      </c>
    </row>
    <row r="14" spans="2:14" x14ac:dyDescent="0.35">
      <c r="B14" s="388" t="s">
        <v>214</v>
      </c>
      <c r="C14">
        <v>196</v>
      </c>
      <c r="D14">
        <v>3441</v>
      </c>
      <c r="E14">
        <v>201</v>
      </c>
      <c r="F14">
        <v>2734</v>
      </c>
      <c r="G14">
        <v>1</v>
      </c>
      <c r="H14">
        <v>17</v>
      </c>
      <c r="I14">
        <v>172</v>
      </c>
      <c r="J14">
        <v>35</v>
      </c>
      <c r="K14">
        <v>427</v>
      </c>
      <c r="L14">
        <v>365</v>
      </c>
      <c r="M14">
        <v>54</v>
      </c>
      <c r="N14">
        <v>263</v>
      </c>
    </row>
    <row r="15" spans="2:14" x14ac:dyDescent="0.35">
      <c r="B15" s="388" t="s">
        <v>313</v>
      </c>
      <c r="C15">
        <v>222</v>
      </c>
      <c r="D15">
        <v>3414</v>
      </c>
      <c r="E15">
        <v>208</v>
      </c>
      <c r="F15">
        <v>2729</v>
      </c>
      <c r="G15">
        <v>7</v>
      </c>
      <c r="H15">
        <v>29</v>
      </c>
      <c r="I15">
        <v>156</v>
      </c>
      <c r="J15">
        <v>32</v>
      </c>
      <c r="K15">
        <v>447</v>
      </c>
      <c r="L15">
        <v>370</v>
      </c>
      <c r="M15">
        <v>54</v>
      </c>
      <c r="N15">
        <v>261</v>
      </c>
    </row>
    <row r="16" spans="2:14" x14ac:dyDescent="0.35">
      <c r="B16" s="388" t="s">
        <v>319</v>
      </c>
      <c r="C16">
        <v>219</v>
      </c>
      <c r="D16">
        <v>3362</v>
      </c>
      <c r="E16">
        <v>197</v>
      </c>
      <c r="F16">
        <v>2675</v>
      </c>
      <c r="G16">
        <v>11</v>
      </c>
      <c r="H16">
        <v>43</v>
      </c>
      <c r="I16">
        <v>151</v>
      </c>
      <c r="J16">
        <v>31</v>
      </c>
      <c r="K16">
        <v>461</v>
      </c>
      <c r="L16">
        <v>374</v>
      </c>
      <c r="M16">
        <v>52</v>
      </c>
      <c r="N16">
        <v>251</v>
      </c>
    </row>
    <row r="17" spans="2:14" x14ac:dyDescent="0.35">
      <c r="B17" s="388" t="s">
        <v>321</v>
      </c>
      <c r="C17">
        <v>225</v>
      </c>
      <c r="D17">
        <v>3305</v>
      </c>
      <c r="E17">
        <v>191</v>
      </c>
      <c r="F17">
        <v>2567</v>
      </c>
      <c r="G17">
        <v>10</v>
      </c>
      <c r="H17">
        <v>43</v>
      </c>
      <c r="I17">
        <v>146</v>
      </c>
      <c r="J17">
        <v>28</v>
      </c>
      <c r="K17">
        <v>501</v>
      </c>
      <c r="L17">
        <v>419</v>
      </c>
      <c r="M17">
        <v>46</v>
      </c>
      <c r="N17">
        <v>231</v>
      </c>
    </row>
    <row r="18" spans="2:14" x14ac:dyDescent="0.35">
      <c r="B18" s="388" t="s">
        <v>326</v>
      </c>
      <c r="C18">
        <v>227</v>
      </c>
      <c r="D18">
        <v>3263</v>
      </c>
      <c r="E18">
        <v>185</v>
      </c>
      <c r="F18">
        <v>2550</v>
      </c>
      <c r="G18">
        <v>9</v>
      </c>
      <c r="H18">
        <v>46</v>
      </c>
      <c r="I18">
        <v>144</v>
      </c>
      <c r="J18">
        <v>28</v>
      </c>
      <c r="K18">
        <v>484</v>
      </c>
      <c r="L18">
        <v>417</v>
      </c>
      <c r="M18">
        <v>40</v>
      </c>
      <c r="N18">
        <v>226</v>
      </c>
    </row>
    <row r="19" spans="2:14" x14ac:dyDescent="0.35">
      <c r="B19" s="388" t="s">
        <v>327</v>
      </c>
      <c r="C19">
        <v>220</v>
      </c>
      <c r="D19">
        <v>3202</v>
      </c>
      <c r="E19">
        <v>191</v>
      </c>
      <c r="F19">
        <v>2517</v>
      </c>
      <c r="G19">
        <v>8</v>
      </c>
      <c r="H19">
        <v>47</v>
      </c>
      <c r="I19">
        <v>142</v>
      </c>
      <c r="J19">
        <v>29</v>
      </c>
      <c r="K19">
        <v>482</v>
      </c>
      <c r="L19">
        <v>405</v>
      </c>
      <c r="M19">
        <v>42</v>
      </c>
      <c r="N19">
        <v>227</v>
      </c>
    </row>
    <row r="20" spans="2:14" x14ac:dyDescent="0.35">
      <c r="B20" s="388" t="s">
        <v>466</v>
      </c>
      <c r="C20">
        <v>220</v>
      </c>
      <c r="D20">
        <v>3210</v>
      </c>
      <c r="E20">
        <v>203</v>
      </c>
      <c r="F20">
        <v>2502</v>
      </c>
      <c r="G20">
        <v>7</v>
      </c>
      <c r="H20">
        <v>53</v>
      </c>
      <c r="I20">
        <v>139</v>
      </c>
      <c r="J20">
        <v>32</v>
      </c>
      <c r="K20">
        <v>492</v>
      </c>
      <c r="L20">
        <v>425</v>
      </c>
      <c r="M20">
        <v>42</v>
      </c>
      <c r="N20">
        <v>231</v>
      </c>
    </row>
    <row r="21" spans="2:14" x14ac:dyDescent="0.35">
      <c r="B21" s="388" t="s">
        <v>357</v>
      </c>
      <c r="C21">
        <v>2824</v>
      </c>
      <c r="D21">
        <v>53151</v>
      </c>
      <c r="E21">
        <v>2733</v>
      </c>
      <c r="F21">
        <v>40577</v>
      </c>
      <c r="G21">
        <v>53</v>
      </c>
      <c r="H21">
        <v>278</v>
      </c>
      <c r="I21">
        <v>2513</v>
      </c>
      <c r="J21">
        <v>463</v>
      </c>
      <c r="K21">
        <v>7627</v>
      </c>
      <c r="L21">
        <v>6118</v>
      </c>
      <c r="M21">
        <v>771</v>
      </c>
      <c r="N21">
        <v>4289</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C08EC-A081-4979-8390-86EE4FCB83CC}">
  <sheetPr>
    <tabColor theme="9" tint="0.39997558519241921"/>
  </sheetPr>
  <dimension ref="A1:M16"/>
  <sheetViews>
    <sheetView workbookViewId="0">
      <selection activeCell="D11" sqref="D11"/>
    </sheetView>
  </sheetViews>
  <sheetFormatPr defaultRowHeight="14.5" x14ac:dyDescent="0.35"/>
  <cols>
    <col min="1" max="1" width="7.453125" bestFit="1" customWidth="1"/>
    <col min="2" max="2" width="12.36328125" bestFit="1" customWidth="1"/>
    <col min="3" max="3" width="10.453125" bestFit="1" customWidth="1"/>
    <col min="4" max="4" width="12.81640625" bestFit="1" customWidth="1"/>
    <col min="5" max="5" width="10.90625" bestFit="1" customWidth="1"/>
    <col min="6" max="6" width="20.54296875" bestFit="1" customWidth="1"/>
    <col min="7" max="7" width="18.54296875" bestFit="1" customWidth="1"/>
    <col min="8" max="8" width="15.90625" bestFit="1" customWidth="1"/>
    <col min="9" max="9" width="13.90625" bestFit="1" customWidth="1"/>
    <col min="10" max="10" width="16.36328125" bestFit="1" customWidth="1"/>
    <col min="11" max="11" width="14.26953125" bestFit="1" customWidth="1"/>
    <col min="12" max="12" width="12.36328125" bestFit="1" customWidth="1"/>
    <col min="13" max="13" width="10.453125" bestFit="1" customWidth="1"/>
  </cols>
  <sheetData>
    <row r="1" spans="1:13" x14ac:dyDescent="0.35">
      <c r="A1" t="s">
        <v>207</v>
      </c>
      <c r="B1" t="s">
        <v>730</v>
      </c>
      <c r="C1" t="s">
        <v>731</v>
      </c>
      <c r="D1" t="s">
        <v>732</v>
      </c>
      <c r="E1" t="s">
        <v>733</v>
      </c>
      <c r="F1" t="s">
        <v>734</v>
      </c>
      <c r="G1" t="s">
        <v>735</v>
      </c>
      <c r="H1" t="s">
        <v>736</v>
      </c>
      <c r="I1" t="s">
        <v>737</v>
      </c>
      <c r="J1" t="s">
        <v>738</v>
      </c>
      <c r="K1" t="s">
        <v>739</v>
      </c>
      <c r="L1" t="s">
        <v>740</v>
      </c>
      <c r="M1" t="s">
        <v>741</v>
      </c>
    </row>
    <row r="2" spans="1:13" x14ac:dyDescent="0.35">
      <c r="A2" t="s">
        <v>508</v>
      </c>
      <c r="B2">
        <v>146</v>
      </c>
      <c r="C2">
        <v>4055</v>
      </c>
      <c r="D2">
        <v>160</v>
      </c>
      <c r="E2">
        <v>2879</v>
      </c>
      <c r="H2">
        <v>199</v>
      </c>
      <c r="I2">
        <v>34</v>
      </c>
      <c r="J2">
        <v>650</v>
      </c>
      <c r="K2">
        <v>464</v>
      </c>
      <c r="L2">
        <v>63</v>
      </c>
      <c r="M2">
        <v>374</v>
      </c>
    </row>
    <row r="3" spans="1:13" x14ac:dyDescent="0.35">
      <c r="A3" t="s">
        <v>342</v>
      </c>
      <c r="B3">
        <v>175</v>
      </c>
      <c r="C3">
        <v>3371</v>
      </c>
      <c r="D3">
        <v>171</v>
      </c>
      <c r="E3">
        <v>2692</v>
      </c>
      <c r="H3">
        <v>158</v>
      </c>
      <c r="I3">
        <v>31</v>
      </c>
      <c r="J3">
        <v>476</v>
      </c>
      <c r="K3">
        <v>370</v>
      </c>
      <c r="L3">
        <v>55</v>
      </c>
      <c r="M3">
        <v>277</v>
      </c>
    </row>
    <row r="4" spans="1:13" x14ac:dyDescent="0.35">
      <c r="A4" t="s">
        <v>364</v>
      </c>
      <c r="B4">
        <v>159</v>
      </c>
      <c r="C4">
        <v>3842</v>
      </c>
      <c r="D4">
        <v>178</v>
      </c>
      <c r="E4">
        <v>2762</v>
      </c>
      <c r="H4">
        <v>199</v>
      </c>
      <c r="I4">
        <v>24</v>
      </c>
      <c r="J4">
        <v>545</v>
      </c>
      <c r="K4">
        <v>416</v>
      </c>
      <c r="L4">
        <v>52</v>
      </c>
      <c r="M4">
        <v>307</v>
      </c>
    </row>
    <row r="5" spans="1:13" x14ac:dyDescent="0.35">
      <c r="A5" t="s">
        <v>365</v>
      </c>
      <c r="B5">
        <v>164</v>
      </c>
      <c r="C5">
        <v>3692</v>
      </c>
      <c r="D5">
        <v>172</v>
      </c>
      <c r="E5">
        <v>2778</v>
      </c>
      <c r="H5">
        <v>192</v>
      </c>
      <c r="I5">
        <v>38</v>
      </c>
      <c r="J5">
        <v>480</v>
      </c>
      <c r="K5">
        <v>387</v>
      </c>
      <c r="L5">
        <v>56</v>
      </c>
      <c r="M5">
        <v>322</v>
      </c>
    </row>
    <row r="6" spans="1:13" x14ac:dyDescent="0.35">
      <c r="A6" t="s">
        <v>366</v>
      </c>
      <c r="B6">
        <v>167</v>
      </c>
      <c r="C6">
        <v>3523</v>
      </c>
      <c r="D6">
        <v>163</v>
      </c>
      <c r="E6">
        <v>2707</v>
      </c>
      <c r="H6">
        <v>171</v>
      </c>
      <c r="I6">
        <v>32</v>
      </c>
      <c r="J6">
        <v>463</v>
      </c>
      <c r="K6">
        <v>365</v>
      </c>
      <c r="L6">
        <v>56</v>
      </c>
      <c r="M6">
        <v>286</v>
      </c>
    </row>
    <row r="7" spans="1:13" x14ac:dyDescent="0.35">
      <c r="A7" t="s">
        <v>214</v>
      </c>
      <c r="B7">
        <v>196</v>
      </c>
      <c r="C7">
        <v>3441</v>
      </c>
      <c r="D7">
        <v>201</v>
      </c>
      <c r="E7">
        <v>2734</v>
      </c>
      <c r="F7">
        <v>1</v>
      </c>
      <c r="G7">
        <v>17</v>
      </c>
      <c r="H7">
        <v>172</v>
      </c>
      <c r="I7">
        <v>35</v>
      </c>
      <c r="J7">
        <v>427</v>
      </c>
      <c r="K7">
        <v>365</v>
      </c>
      <c r="L7">
        <v>54</v>
      </c>
      <c r="M7">
        <v>263</v>
      </c>
    </row>
    <row r="8" spans="1:13" x14ac:dyDescent="0.35">
      <c r="A8" t="s">
        <v>313</v>
      </c>
      <c r="B8">
        <v>222</v>
      </c>
      <c r="C8">
        <v>3414</v>
      </c>
      <c r="D8">
        <v>208</v>
      </c>
      <c r="E8">
        <v>2729</v>
      </c>
      <c r="F8">
        <v>7</v>
      </c>
      <c r="G8">
        <v>29</v>
      </c>
      <c r="H8">
        <v>156</v>
      </c>
      <c r="I8">
        <v>32</v>
      </c>
      <c r="J8">
        <v>447</v>
      </c>
      <c r="K8">
        <v>370</v>
      </c>
      <c r="L8">
        <v>54</v>
      </c>
      <c r="M8">
        <v>261</v>
      </c>
    </row>
    <row r="9" spans="1:13" x14ac:dyDescent="0.35">
      <c r="A9" t="s">
        <v>341</v>
      </c>
      <c r="B9">
        <v>178</v>
      </c>
      <c r="C9">
        <v>3467</v>
      </c>
      <c r="D9">
        <v>158</v>
      </c>
      <c r="E9">
        <v>2712</v>
      </c>
      <c r="H9">
        <v>139</v>
      </c>
      <c r="I9">
        <v>26</v>
      </c>
      <c r="J9">
        <v>466</v>
      </c>
      <c r="K9">
        <v>372</v>
      </c>
      <c r="L9">
        <v>48</v>
      </c>
      <c r="M9">
        <v>268</v>
      </c>
    </row>
    <row r="10" spans="1:13" x14ac:dyDescent="0.35">
      <c r="A10" t="s">
        <v>327</v>
      </c>
      <c r="B10">
        <v>220</v>
      </c>
      <c r="C10">
        <v>3202</v>
      </c>
      <c r="D10">
        <v>191</v>
      </c>
      <c r="E10">
        <v>2517</v>
      </c>
      <c r="F10">
        <v>8</v>
      </c>
      <c r="G10">
        <v>47</v>
      </c>
      <c r="H10">
        <v>142</v>
      </c>
      <c r="I10">
        <v>29</v>
      </c>
      <c r="J10">
        <v>482</v>
      </c>
      <c r="K10">
        <v>405</v>
      </c>
      <c r="L10">
        <v>42</v>
      </c>
      <c r="M10">
        <v>227</v>
      </c>
    </row>
    <row r="11" spans="1:13" x14ac:dyDescent="0.35">
      <c r="A11" t="s">
        <v>363</v>
      </c>
      <c r="B11">
        <v>158</v>
      </c>
      <c r="C11">
        <v>3993</v>
      </c>
      <c r="D11">
        <v>173</v>
      </c>
      <c r="E11">
        <v>2903</v>
      </c>
      <c r="H11">
        <v>203</v>
      </c>
      <c r="I11">
        <v>31</v>
      </c>
      <c r="J11">
        <v>604</v>
      </c>
      <c r="K11">
        <v>482</v>
      </c>
      <c r="L11">
        <v>52</v>
      </c>
      <c r="M11">
        <v>365</v>
      </c>
    </row>
    <row r="12" spans="1:13" x14ac:dyDescent="0.35">
      <c r="A12" t="s">
        <v>321</v>
      </c>
      <c r="B12">
        <v>225</v>
      </c>
      <c r="C12">
        <v>3305</v>
      </c>
      <c r="D12">
        <v>191</v>
      </c>
      <c r="E12">
        <v>2567</v>
      </c>
      <c r="F12">
        <v>10</v>
      </c>
      <c r="G12">
        <v>43</v>
      </c>
      <c r="H12">
        <v>146</v>
      </c>
      <c r="I12">
        <v>28</v>
      </c>
      <c r="J12">
        <v>501</v>
      </c>
      <c r="K12">
        <v>419</v>
      </c>
      <c r="L12">
        <v>46</v>
      </c>
      <c r="M12">
        <v>231</v>
      </c>
    </row>
    <row r="13" spans="1:13" x14ac:dyDescent="0.35">
      <c r="A13" t="s">
        <v>326</v>
      </c>
      <c r="B13">
        <v>227</v>
      </c>
      <c r="C13">
        <v>3263</v>
      </c>
      <c r="D13">
        <v>185</v>
      </c>
      <c r="E13">
        <v>2550</v>
      </c>
      <c r="F13">
        <v>9</v>
      </c>
      <c r="G13">
        <v>46</v>
      </c>
      <c r="H13">
        <v>144</v>
      </c>
      <c r="I13">
        <v>28</v>
      </c>
      <c r="J13">
        <v>484</v>
      </c>
      <c r="K13">
        <v>417</v>
      </c>
      <c r="L13">
        <v>40</v>
      </c>
      <c r="M13">
        <v>226</v>
      </c>
    </row>
    <row r="14" spans="1:13" x14ac:dyDescent="0.35">
      <c r="A14" t="s">
        <v>362</v>
      </c>
      <c r="B14">
        <v>148</v>
      </c>
      <c r="C14">
        <v>4011</v>
      </c>
      <c r="D14">
        <v>182</v>
      </c>
      <c r="E14">
        <v>2870</v>
      </c>
      <c r="H14">
        <v>202</v>
      </c>
      <c r="I14">
        <v>32</v>
      </c>
      <c r="J14">
        <v>649</v>
      </c>
      <c r="K14">
        <v>487</v>
      </c>
      <c r="L14">
        <v>59</v>
      </c>
      <c r="M14">
        <v>400</v>
      </c>
    </row>
    <row r="15" spans="1:13" x14ac:dyDescent="0.35">
      <c r="A15" t="s">
        <v>319</v>
      </c>
      <c r="B15">
        <v>219</v>
      </c>
      <c r="C15">
        <v>3362</v>
      </c>
      <c r="D15">
        <v>197</v>
      </c>
      <c r="E15">
        <v>2675</v>
      </c>
      <c r="F15">
        <v>11</v>
      </c>
      <c r="G15">
        <v>43</v>
      </c>
      <c r="H15">
        <v>151</v>
      </c>
      <c r="I15">
        <v>31</v>
      </c>
      <c r="J15">
        <v>461</v>
      </c>
      <c r="K15">
        <v>374</v>
      </c>
      <c r="L15">
        <v>52</v>
      </c>
      <c r="M15">
        <v>251</v>
      </c>
    </row>
    <row r="16" spans="1:13" x14ac:dyDescent="0.35">
      <c r="A16" t="s">
        <v>466</v>
      </c>
      <c r="B16">
        <v>220</v>
      </c>
      <c r="C16">
        <v>3210</v>
      </c>
      <c r="D16">
        <v>203</v>
      </c>
      <c r="E16">
        <v>2502</v>
      </c>
      <c r="F16">
        <v>7</v>
      </c>
      <c r="G16">
        <v>53</v>
      </c>
      <c r="H16">
        <v>139</v>
      </c>
      <c r="I16">
        <v>32</v>
      </c>
      <c r="J16">
        <v>492</v>
      </c>
      <c r="K16">
        <v>425</v>
      </c>
      <c r="L16">
        <v>42</v>
      </c>
      <c r="M16">
        <v>231</v>
      </c>
    </row>
  </sheetData>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4">
    <tabColor theme="9" tint="0.39997558519241921"/>
    <pageSetUpPr fitToPage="1"/>
  </sheetPr>
  <dimension ref="A1:R64"/>
  <sheetViews>
    <sheetView showGridLines="0" zoomScaleNormal="100" workbookViewId="0">
      <pane ySplit="2" topLeftCell="A3" activePane="bottomLeft" state="frozen"/>
      <selection pane="bottomLeft" sqref="A1:E1"/>
    </sheetView>
  </sheetViews>
  <sheetFormatPr defaultRowHeight="14.5" x14ac:dyDescent="0.35"/>
  <cols>
    <col min="1" max="1" width="18.54296875" customWidth="1"/>
    <col min="2" max="2" width="12.54296875" customWidth="1"/>
    <col min="3" max="3" width="11.453125" customWidth="1"/>
    <col min="4" max="4" width="12.81640625" bestFit="1" customWidth="1"/>
    <col min="5" max="5" width="10.7265625" bestFit="1" customWidth="1"/>
    <col min="6" max="6" width="20.54296875" bestFit="1" customWidth="1"/>
    <col min="7" max="7" width="18.453125" bestFit="1" customWidth="1"/>
    <col min="8" max="8" width="15.81640625" bestFit="1" customWidth="1"/>
    <col min="9" max="9" width="13.7265625" bestFit="1" customWidth="1"/>
    <col min="10" max="10" width="16.453125" bestFit="1" customWidth="1"/>
    <col min="11" max="11" width="14.1796875" bestFit="1" customWidth="1"/>
    <col min="12" max="12" width="12.453125" bestFit="1" customWidth="1"/>
    <col min="13" max="13" width="10.453125" bestFit="1" customWidth="1"/>
    <col min="14" max="17" width="11.1796875" customWidth="1"/>
  </cols>
  <sheetData>
    <row r="1" spans="1:18" ht="15.5" x14ac:dyDescent="0.35">
      <c r="A1" s="1011" t="s">
        <v>513</v>
      </c>
      <c r="B1" s="1011"/>
      <c r="C1" s="1011"/>
      <c r="D1" s="1011"/>
      <c r="E1" s="1011"/>
      <c r="F1" s="441"/>
      <c r="G1" s="441"/>
    </row>
    <row r="2" spans="1:18" ht="15.5" x14ac:dyDescent="0.35">
      <c r="A2" s="499" t="s">
        <v>201</v>
      </c>
      <c r="C2" s="441"/>
      <c r="D2" s="441"/>
      <c r="E2" s="441"/>
      <c r="F2" s="441"/>
      <c r="G2" s="441"/>
    </row>
    <row r="3" spans="1:18" ht="15.5" x14ac:dyDescent="0.35">
      <c r="C3" s="441"/>
      <c r="D3" s="441"/>
      <c r="E3" s="441"/>
      <c r="F3" s="441"/>
      <c r="G3" s="441"/>
      <c r="H3" s="25"/>
      <c r="I3" s="25"/>
      <c r="J3" s="25"/>
      <c r="K3" s="25"/>
      <c r="L3" s="25"/>
      <c r="M3" s="25"/>
      <c r="N3" s="25"/>
      <c r="O3" s="25"/>
      <c r="P3" s="25"/>
      <c r="Q3" s="25"/>
    </row>
    <row r="4" spans="1:18" ht="15.5" x14ac:dyDescent="0.35">
      <c r="A4" s="1039" t="s">
        <v>742</v>
      </c>
      <c r="B4" s="1039"/>
      <c r="C4" s="1039"/>
      <c r="D4" s="1039"/>
      <c r="E4" s="1039"/>
      <c r="F4" s="1039"/>
      <c r="G4" s="1039"/>
      <c r="H4" s="1039"/>
      <c r="I4" s="1039"/>
      <c r="J4" s="1039"/>
      <c r="K4" s="1039"/>
      <c r="L4" s="1039"/>
      <c r="M4" s="1039"/>
      <c r="N4" s="1039"/>
      <c r="O4" s="1039"/>
      <c r="P4" s="1039"/>
      <c r="Q4" s="1039"/>
    </row>
    <row r="5" spans="1:18" ht="15.5" x14ac:dyDescent="0.35">
      <c r="A5" t="s">
        <v>202</v>
      </c>
      <c r="B5" t="s">
        <v>86</v>
      </c>
      <c r="C5" s="421"/>
      <c r="D5" s="421"/>
      <c r="E5" s="421"/>
      <c r="F5" s="421"/>
      <c r="G5" s="421"/>
      <c r="H5" s="421"/>
      <c r="I5" s="421"/>
      <c r="J5" s="421"/>
      <c r="K5" s="421"/>
      <c r="L5" s="421"/>
      <c r="M5" s="421"/>
      <c r="N5" s="421"/>
      <c r="O5" s="421"/>
      <c r="P5" s="421"/>
      <c r="Q5" s="421"/>
    </row>
    <row r="6" spans="1:18" ht="15.5" x14ac:dyDescent="0.35">
      <c r="A6" t="s">
        <v>203</v>
      </c>
      <c r="B6" t="s">
        <v>204</v>
      </c>
      <c r="C6" s="421"/>
      <c r="D6" s="421"/>
      <c r="E6" s="421"/>
      <c r="F6" s="421"/>
      <c r="G6" s="421"/>
      <c r="H6" s="421"/>
      <c r="I6" s="421"/>
      <c r="J6" s="421"/>
      <c r="K6" s="421"/>
      <c r="L6" s="421"/>
      <c r="M6" s="421"/>
      <c r="N6" s="421"/>
      <c r="O6" s="421"/>
      <c r="P6" s="421"/>
      <c r="Q6" s="421"/>
    </row>
    <row r="7" spans="1:18" ht="15.5" x14ac:dyDescent="0.35">
      <c r="A7" t="s">
        <v>205</v>
      </c>
      <c r="B7" t="s">
        <v>206</v>
      </c>
      <c r="C7" s="421"/>
      <c r="D7" s="421"/>
      <c r="E7" s="421"/>
      <c r="F7" s="421"/>
      <c r="G7" s="421"/>
      <c r="H7" s="421"/>
      <c r="I7" s="421"/>
      <c r="J7" s="421"/>
      <c r="K7" s="421"/>
      <c r="L7" s="421"/>
      <c r="M7" s="421"/>
      <c r="N7" s="421"/>
      <c r="O7" s="421"/>
      <c r="P7" s="421"/>
      <c r="Q7" s="421"/>
    </row>
    <row r="8" spans="1:18" x14ac:dyDescent="0.35">
      <c r="A8" s="12"/>
      <c r="B8" s="12"/>
      <c r="C8" s="12"/>
      <c r="D8" s="12"/>
      <c r="E8" s="12"/>
      <c r="F8" s="12"/>
      <c r="G8" s="12"/>
      <c r="H8" s="12"/>
      <c r="I8" s="12"/>
      <c r="J8" s="12"/>
      <c r="K8" s="12"/>
      <c r="L8" s="15"/>
      <c r="M8" s="99"/>
      <c r="N8" s="15"/>
      <c r="O8" s="15"/>
      <c r="P8" s="15"/>
      <c r="Q8" s="97" t="s">
        <v>346</v>
      </c>
    </row>
    <row r="9" spans="1:18" ht="29.5" customHeight="1" x14ac:dyDescent="0.35">
      <c r="A9" s="820" t="s">
        <v>53</v>
      </c>
      <c r="B9" s="1035" t="s">
        <v>515</v>
      </c>
      <c r="C9" s="1036"/>
      <c r="D9" s="1034" t="s">
        <v>361</v>
      </c>
      <c r="E9" s="1034"/>
      <c r="F9" s="1033" t="s">
        <v>516</v>
      </c>
      <c r="G9" s="1034"/>
      <c r="H9" s="1033" t="s">
        <v>511</v>
      </c>
      <c r="I9" s="1034"/>
      <c r="J9" s="1033" t="s">
        <v>743</v>
      </c>
      <c r="K9" s="1034"/>
      <c r="L9" s="1034" t="s">
        <v>339</v>
      </c>
      <c r="M9" s="1034"/>
      <c r="N9" s="1033" t="s">
        <v>340</v>
      </c>
      <c r="O9" s="1034"/>
      <c r="P9" s="1035" t="s">
        <v>744</v>
      </c>
      <c r="Q9" s="1036"/>
      <c r="R9" s="819"/>
    </row>
    <row r="10" spans="1:18" x14ac:dyDescent="0.35">
      <c r="A10" s="526" t="s">
        <v>207</v>
      </c>
      <c r="B10" s="821" t="s">
        <v>745</v>
      </c>
      <c r="C10" s="822" t="s">
        <v>746</v>
      </c>
      <c r="D10" s="648" t="s">
        <v>745</v>
      </c>
      <c r="E10" s="648" t="s">
        <v>746</v>
      </c>
      <c r="F10" s="821" t="s">
        <v>745</v>
      </c>
      <c r="G10" s="648" t="s">
        <v>746</v>
      </c>
      <c r="H10" s="821" t="s">
        <v>745</v>
      </c>
      <c r="I10" s="648" t="s">
        <v>746</v>
      </c>
      <c r="J10" s="821" t="s">
        <v>745</v>
      </c>
      <c r="K10" s="648" t="s">
        <v>746</v>
      </c>
      <c r="L10" s="648" t="s">
        <v>745</v>
      </c>
      <c r="M10" s="648" t="s">
        <v>746</v>
      </c>
      <c r="N10" s="821" t="s">
        <v>745</v>
      </c>
      <c r="O10" s="648" t="s">
        <v>746</v>
      </c>
      <c r="P10" s="821" t="s">
        <v>745</v>
      </c>
      <c r="Q10" s="822" t="s">
        <v>746</v>
      </c>
    </row>
    <row r="11" spans="1:18" x14ac:dyDescent="0.35">
      <c r="A11" s="312" t="s">
        <v>362</v>
      </c>
      <c r="B11" s="610">
        <f>GETPIVOTDATA("Sum of WTFemale",SexTimeseriesPivot!$B$5,"Year",A11)</f>
        <v>148</v>
      </c>
      <c r="C11" s="610">
        <f>GETPIVOTDATA("Sum of WTMale",SexTimeseriesPivot!$B$5,"Year",A11)</f>
        <v>4011</v>
      </c>
      <c r="D11" s="610">
        <f>GETPIVOTDATA("Sum of RDSFemale",SexTimeseriesPivot!$B$5,"Year",A11)</f>
        <v>182</v>
      </c>
      <c r="E11" s="610">
        <f>GETPIVOTDATA("Sum of RDSMale",SexTimeseriesPivot!$B$5,"Year",A11)</f>
        <v>2870</v>
      </c>
      <c r="F11" s="610"/>
      <c r="G11" s="610"/>
      <c r="H11" s="610">
        <f>GETPIVOTDATA("Sum of ControlFemale",SexTimeseriesPivot!$B$5,"Year",A11)</f>
        <v>202</v>
      </c>
      <c r="I11" s="610">
        <f>GETPIVOTDATA("Sum of ControlMale",SexTimeseriesPivot!$B$5,"Year",A11)</f>
        <v>32</v>
      </c>
      <c r="J11" s="610">
        <f>GETPIVOTDATA("Sum of SupportFemale",SexTimeseriesPivot!$B$5,"Year",A11)</f>
        <v>649</v>
      </c>
      <c r="K11" s="610">
        <f>GETPIVOTDATA("Sum of SupportMale",SexTimeseriesPivot!$B$5,"Year",A11)</f>
        <v>487</v>
      </c>
      <c r="L11" s="610">
        <f>GETPIVOTDATA("Sum of VolFemale",SexTimeseriesPivot!$B$5,"Year",A11)</f>
        <v>59</v>
      </c>
      <c r="M11" s="610">
        <f>GETPIVOTDATA("Sum of VolMale",SexTimeseriesPivot!$B$5,"Year",A11)</f>
        <v>400</v>
      </c>
      <c r="N11" s="825">
        <f>L11+J11+H11+F11+D11+B11</f>
        <v>1240</v>
      </c>
      <c r="O11" s="611">
        <f>M11+K11+I11+G11+E11+C11</f>
        <v>7800</v>
      </c>
      <c r="P11" s="823">
        <f>B11+D11+F11+H11+J11</f>
        <v>1181</v>
      </c>
      <c r="Q11" s="824">
        <f>C11+E11+G11+I11+K11</f>
        <v>7400</v>
      </c>
    </row>
    <row r="12" spans="1:18" x14ac:dyDescent="0.35">
      <c r="A12" s="312" t="s">
        <v>363</v>
      </c>
      <c r="B12" s="610">
        <f>GETPIVOTDATA("Sum of WTFemale",SexTimeseriesPivot!$B$5,"Year",A12)</f>
        <v>158</v>
      </c>
      <c r="C12" s="610">
        <f>GETPIVOTDATA("Sum of WTMale",SexTimeseriesPivot!$B$5,"Year",A12)</f>
        <v>3993</v>
      </c>
      <c r="D12" s="610">
        <f>GETPIVOTDATA("Sum of RDSFemale",SexTimeseriesPivot!$B$5,"Year",A12)</f>
        <v>173</v>
      </c>
      <c r="E12" s="610">
        <f>GETPIVOTDATA("Sum of RDSMale",SexTimeseriesPivot!$B$5,"Year",A12)</f>
        <v>2903</v>
      </c>
      <c r="F12" s="610"/>
      <c r="G12" s="610"/>
      <c r="H12" s="610">
        <f>GETPIVOTDATA("Sum of ControlFemale",SexTimeseriesPivot!$B$5,"Year",A12)</f>
        <v>203</v>
      </c>
      <c r="I12" s="610">
        <f>GETPIVOTDATA("Sum of ControlMale",SexTimeseriesPivot!$B$5,"Year",A12)</f>
        <v>31</v>
      </c>
      <c r="J12" s="610">
        <f>GETPIVOTDATA("Sum of SupportFemale",SexTimeseriesPivot!$B$5,"Year",A12)</f>
        <v>604</v>
      </c>
      <c r="K12" s="610">
        <f>GETPIVOTDATA("Sum of SupportMale",SexTimeseriesPivot!$B$5,"Year",A12)</f>
        <v>482</v>
      </c>
      <c r="L12" s="610">
        <f>GETPIVOTDATA("Sum of VolFemale",SexTimeseriesPivot!$B$5,"Year",A12)</f>
        <v>52</v>
      </c>
      <c r="M12" s="610">
        <f>GETPIVOTDATA("Sum of VolMale",SexTimeseriesPivot!$B$5,"Year",A12)</f>
        <v>365</v>
      </c>
      <c r="N12" s="825">
        <f t="shared" ref="N12:N22" si="0">L12+J12+H12+F12+D12+B12</f>
        <v>1190</v>
      </c>
      <c r="O12" s="611">
        <f t="shared" ref="O12:O22" si="1">M12+K12+I12+G12+E12+C12</f>
        <v>7774</v>
      </c>
      <c r="P12" s="823">
        <f t="shared" ref="P12:P22" si="2">B12+D12+F12+H12+J12</f>
        <v>1138</v>
      </c>
      <c r="Q12" s="824">
        <f t="shared" ref="Q12:Q22" si="3">C12+E12+G12+I12+K12</f>
        <v>7409</v>
      </c>
    </row>
    <row r="13" spans="1:18" x14ac:dyDescent="0.35">
      <c r="A13" s="312" t="s">
        <v>364</v>
      </c>
      <c r="B13" s="610">
        <f>GETPIVOTDATA("Sum of WTFemale",SexTimeseriesPivot!$B$5,"Year",A13)</f>
        <v>159</v>
      </c>
      <c r="C13" s="610">
        <f>GETPIVOTDATA("Sum of WTMale",SexTimeseriesPivot!$B$5,"Year",A13)</f>
        <v>3842</v>
      </c>
      <c r="D13" s="610">
        <f>GETPIVOTDATA("Sum of RDSFemale",SexTimeseriesPivot!$B$5,"Year",A13)</f>
        <v>178</v>
      </c>
      <c r="E13" s="610">
        <f>GETPIVOTDATA("Sum of RDSMale",SexTimeseriesPivot!$B$5,"Year",A13)</f>
        <v>2762</v>
      </c>
      <c r="F13" s="610"/>
      <c r="G13" s="610"/>
      <c r="H13" s="610">
        <f>GETPIVOTDATA("Sum of ControlFemale",SexTimeseriesPivot!$B$5,"Year",A13)</f>
        <v>199</v>
      </c>
      <c r="I13" s="610">
        <f>GETPIVOTDATA("Sum of ControlMale",SexTimeseriesPivot!$B$5,"Year",A13)</f>
        <v>24</v>
      </c>
      <c r="J13" s="610">
        <f>GETPIVOTDATA("Sum of SupportFemale",SexTimeseriesPivot!$B$5,"Year",A13)</f>
        <v>545</v>
      </c>
      <c r="K13" s="610">
        <f>GETPIVOTDATA("Sum of SupportMale",SexTimeseriesPivot!$B$5,"Year",A13)</f>
        <v>416</v>
      </c>
      <c r="L13" s="610">
        <f>GETPIVOTDATA("Sum of VolFemale",SexTimeseriesPivot!$B$5,"Year",A13)</f>
        <v>52</v>
      </c>
      <c r="M13" s="610">
        <f>GETPIVOTDATA("Sum of VolMale",SexTimeseriesPivot!$B$5,"Year",A13)</f>
        <v>307</v>
      </c>
      <c r="N13" s="825">
        <f t="shared" si="0"/>
        <v>1133</v>
      </c>
      <c r="O13" s="611">
        <f t="shared" si="1"/>
        <v>7351</v>
      </c>
      <c r="P13" s="823">
        <f t="shared" si="2"/>
        <v>1081</v>
      </c>
      <c r="Q13" s="824">
        <f t="shared" si="3"/>
        <v>7044</v>
      </c>
    </row>
    <row r="14" spans="1:18" x14ac:dyDescent="0.35">
      <c r="A14" s="312" t="s">
        <v>365</v>
      </c>
      <c r="B14" s="610">
        <f>GETPIVOTDATA("Sum of WTFemale",SexTimeseriesPivot!$B$5,"Year",A14)</f>
        <v>164</v>
      </c>
      <c r="C14" s="610">
        <f>GETPIVOTDATA("Sum of WTMale",SexTimeseriesPivot!$B$5,"Year",A14)</f>
        <v>3692</v>
      </c>
      <c r="D14" s="610">
        <f>GETPIVOTDATA("Sum of RDSFemale",SexTimeseriesPivot!$B$5,"Year",A14)</f>
        <v>172</v>
      </c>
      <c r="E14" s="610">
        <f>GETPIVOTDATA("Sum of RDSMale",SexTimeseriesPivot!$B$5,"Year",A14)</f>
        <v>2778</v>
      </c>
      <c r="F14" s="610"/>
      <c r="G14" s="610"/>
      <c r="H14" s="610">
        <f>GETPIVOTDATA("Sum of ControlFemale",SexTimeseriesPivot!$B$5,"Year",A14)</f>
        <v>192</v>
      </c>
      <c r="I14" s="610">
        <f>GETPIVOTDATA("Sum of ControlMale",SexTimeseriesPivot!$B$5,"Year",A14)</f>
        <v>38</v>
      </c>
      <c r="J14" s="610">
        <f>GETPIVOTDATA("Sum of SupportFemale",SexTimeseriesPivot!$B$5,"Year",A14)</f>
        <v>480</v>
      </c>
      <c r="K14" s="610">
        <f>GETPIVOTDATA("Sum of SupportMale",SexTimeseriesPivot!$B$5,"Year",A14)</f>
        <v>387</v>
      </c>
      <c r="L14" s="610">
        <f>GETPIVOTDATA("Sum of VolFemale",SexTimeseriesPivot!$B$5,"Year",A14)</f>
        <v>56</v>
      </c>
      <c r="M14" s="610">
        <f>GETPIVOTDATA("Sum of VolMale",SexTimeseriesPivot!$B$5,"Year",A14)</f>
        <v>322</v>
      </c>
      <c r="N14" s="825">
        <f t="shared" si="0"/>
        <v>1064</v>
      </c>
      <c r="O14" s="611">
        <f t="shared" si="1"/>
        <v>7217</v>
      </c>
      <c r="P14" s="823">
        <f t="shared" si="2"/>
        <v>1008</v>
      </c>
      <c r="Q14" s="824">
        <f t="shared" si="3"/>
        <v>6895</v>
      </c>
    </row>
    <row r="15" spans="1:18" x14ac:dyDescent="0.35">
      <c r="A15" s="312" t="s">
        <v>366</v>
      </c>
      <c r="B15" s="610">
        <f>GETPIVOTDATA("Sum of WTFemale",SexTimeseriesPivot!$B$5,"Year",A15)</f>
        <v>167</v>
      </c>
      <c r="C15" s="610">
        <f>GETPIVOTDATA("Sum of WTMale",SexTimeseriesPivot!$B$5,"Year",A15)</f>
        <v>3523</v>
      </c>
      <c r="D15" s="610">
        <f>GETPIVOTDATA("Sum of RDSFemale",SexTimeseriesPivot!$B$5,"Year",A15)</f>
        <v>163</v>
      </c>
      <c r="E15" s="610">
        <f>GETPIVOTDATA("Sum of RDSMale",SexTimeseriesPivot!$B$5,"Year",A15)</f>
        <v>2707</v>
      </c>
      <c r="F15" s="610"/>
      <c r="G15" s="610"/>
      <c r="H15" s="610">
        <f>GETPIVOTDATA("Sum of ControlFemale",SexTimeseriesPivot!$B$5,"Year",A15)</f>
        <v>171</v>
      </c>
      <c r="I15" s="610">
        <f>GETPIVOTDATA("Sum of ControlMale",SexTimeseriesPivot!$B$5,"Year",A15)</f>
        <v>32</v>
      </c>
      <c r="J15" s="610">
        <f>GETPIVOTDATA("Sum of SupportFemale",SexTimeseriesPivot!$B$5,"Year",A15)</f>
        <v>463</v>
      </c>
      <c r="K15" s="610">
        <f>GETPIVOTDATA("Sum of SupportMale",SexTimeseriesPivot!$B$5,"Year",A15)</f>
        <v>365</v>
      </c>
      <c r="L15" s="610">
        <f>GETPIVOTDATA("Sum of VolFemale",SexTimeseriesPivot!$B$5,"Year",A15)</f>
        <v>56</v>
      </c>
      <c r="M15" s="610">
        <f>GETPIVOTDATA("Sum of VolMale",SexTimeseriesPivot!$B$5,"Year",A15)</f>
        <v>286</v>
      </c>
      <c r="N15" s="825">
        <f t="shared" si="0"/>
        <v>1020</v>
      </c>
      <c r="O15" s="611">
        <f t="shared" si="1"/>
        <v>6913</v>
      </c>
      <c r="P15" s="823">
        <f t="shared" si="2"/>
        <v>964</v>
      </c>
      <c r="Q15" s="824">
        <f t="shared" si="3"/>
        <v>6627</v>
      </c>
    </row>
    <row r="16" spans="1:18" x14ac:dyDescent="0.35">
      <c r="A16" s="312" t="s">
        <v>341</v>
      </c>
      <c r="B16" s="610">
        <f>GETPIVOTDATA("Sum of WTFemale",SexTimeseriesPivot!$B$5,"Year",A16)</f>
        <v>178</v>
      </c>
      <c r="C16" s="610">
        <f>GETPIVOTDATA("Sum of WTMale",SexTimeseriesPivot!$B$5,"Year",A16)</f>
        <v>3467</v>
      </c>
      <c r="D16" s="610">
        <f>GETPIVOTDATA("Sum of RDSFemale",SexTimeseriesPivot!$B$5,"Year",A16)</f>
        <v>158</v>
      </c>
      <c r="E16" s="610">
        <f>GETPIVOTDATA("Sum of RDSMale",SexTimeseriesPivot!$B$5,"Year",A16)</f>
        <v>2712</v>
      </c>
      <c r="F16" s="610"/>
      <c r="G16" s="610"/>
      <c r="H16" s="610">
        <f>GETPIVOTDATA("Sum of ControlFemale",SexTimeseriesPivot!$B$5,"Year",A16)</f>
        <v>139</v>
      </c>
      <c r="I16" s="610">
        <f>GETPIVOTDATA("Sum of ControlMale",SexTimeseriesPivot!$B$5,"Year",A16)</f>
        <v>26</v>
      </c>
      <c r="J16" s="610">
        <f>GETPIVOTDATA("Sum of SupportFemale",SexTimeseriesPivot!$B$5,"Year",A16)</f>
        <v>466</v>
      </c>
      <c r="K16" s="610">
        <f>GETPIVOTDATA("Sum of SupportMale",SexTimeseriesPivot!$B$5,"Year",A16)</f>
        <v>372</v>
      </c>
      <c r="L16" s="610">
        <f>GETPIVOTDATA("Sum of VolFemale",SexTimeseriesPivot!$B$5,"Year",A16)</f>
        <v>48</v>
      </c>
      <c r="M16" s="610">
        <f>GETPIVOTDATA("Sum of VolMale",SexTimeseriesPivot!$B$5,"Year",A16)</f>
        <v>268</v>
      </c>
      <c r="N16" s="825">
        <f t="shared" si="0"/>
        <v>989</v>
      </c>
      <c r="O16" s="611">
        <f t="shared" si="1"/>
        <v>6845</v>
      </c>
      <c r="P16" s="823">
        <f t="shared" si="2"/>
        <v>941</v>
      </c>
      <c r="Q16" s="824">
        <f t="shared" si="3"/>
        <v>6577</v>
      </c>
    </row>
    <row r="17" spans="1:17" x14ac:dyDescent="0.35">
      <c r="A17" s="312" t="s">
        <v>342</v>
      </c>
      <c r="B17" s="610">
        <f>GETPIVOTDATA("Sum of WTFemale",SexTimeseriesPivot!$B$5,"Year",A17)</f>
        <v>175</v>
      </c>
      <c r="C17" s="610">
        <f>GETPIVOTDATA("Sum of WTMale",SexTimeseriesPivot!$B$5,"Year",A17)</f>
        <v>3371</v>
      </c>
      <c r="D17" s="610">
        <f>GETPIVOTDATA("Sum of RDSFemale",SexTimeseriesPivot!$B$5,"Year",A17)</f>
        <v>171</v>
      </c>
      <c r="E17" s="610">
        <f>GETPIVOTDATA("Sum of RDSMale",SexTimeseriesPivot!$B$5,"Year",A17)</f>
        <v>2692</v>
      </c>
      <c r="F17" s="610"/>
      <c r="G17" s="610"/>
      <c r="H17" s="610">
        <f>GETPIVOTDATA("Sum of ControlFemale",SexTimeseriesPivot!$B$5,"Year",A17)</f>
        <v>158</v>
      </c>
      <c r="I17" s="610">
        <f>GETPIVOTDATA("Sum of ControlMale",SexTimeseriesPivot!$B$5,"Year",A17)</f>
        <v>31</v>
      </c>
      <c r="J17" s="610">
        <f>GETPIVOTDATA("Sum of SupportFemale",SexTimeseriesPivot!$B$5,"Year",A17)</f>
        <v>476</v>
      </c>
      <c r="K17" s="610">
        <f>GETPIVOTDATA("Sum of SupportMale",SexTimeseriesPivot!$B$5,"Year",A17)</f>
        <v>370</v>
      </c>
      <c r="L17" s="610">
        <f>GETPIVOTDATA("Sum of VolFemale",SexTimeseriesPivot!$B$5,"Year",A17)</f>
        <v>55</v>
      </c>
      <c r="M17" s="610">
        <f>GETPIVOTDATA("Sum of VolMale",SexTimeseriesPivot!$B$5,"Year",A17)</f>
        <v>277</v>
      </c>
      <c r="N17" s="825">
        <f t="shared" si="0"/>
        <v>1035</v>
      </c>
      <c r="O17" s="611">
        <f t="shared" si="1"/>
        <v>6741</v>
      </c>
      <c r="P17" s="823">
        <f t="shared" si="2"/>
        <v>980</v>
      </c>
      <c r="Q17" s="824">
        <f t="shared" si="3"/>
        <v>6464</v>
      </c>
    </row>
    <row r="18" spans="1:17" x14ac:dyDescent="0.35">
      <c r="A18" s="312" t="s">
        <v>214</v>
      </c>
      <c r="B18" s="610">
        <f>GETPIVOTDATA("Sum of WTFemale",SexTimeseriesPivot!$B$5,"Year",A18)</f>
        <v>196</v>
      </c>
      <c r="C18" s="610">
        <f>GETPIVOTDATA("Sum of WTMale",SexTimeseriesPivot!$B$5,"Year",A18)</f>
        <v>3441</v>
      </c>
      <c r="D18" s="610">
        <f>GETPIVOTDATA("Sum of RDSFemale",SexTimeseriesPivot!$B$5,"Year",A18)</f>
        <v>201</v>
      </c>
      <c r="E18" s="610">
        <f>GETPIVOTDATA("Sum of RDSMale",SexTimeseriesPivot!$B$5,"Year",A18)</f>
        <v>2734</v>
      </c>
      <c r="F18" s="610">
        <f>GETPIVOTDATA("Sum of RDS FulltimeFemale",SexTimeseriesPivot!$B$5,"Year",A18)</f>
        <v>1</v>
      </c>
      <c r="G18" s="610">
        <f>GETPIVOTDATA("Sum of RDS FulltimeMale",SexTimeseriesPivot!$B$5,"Year",A18)</f>
        <v>17</v>
      </c>
      <c r="H18" s="610">
        <f>GETPIVOTDATA("Sum of ControlFemale",SexTimeseriesPivot!$B$5,"Year",A18)</f>
        <v>172</v>
      </c>
      <c r="I18" s="610">
        <f>GETPIVOTDATA("Sum of ControlMale",SexTimeseriesPivot!$B$5,"Year",A18)</f>
        <v>35</v>
      </c>
      <c r="J18" s="610">
        <f>GETPIVOTDATA("Sum of SupportFemale",SexTimeseriesPivot!$B$5,"Year",A18)</f>
        <v>427</v>
      </c>
      <c r="K18" s="610">
        <f>GETPIVOTDATA("Sum of SupportMale",SexTimeseriesPivot!$B$5,"Year",A18)</f>
        <v>365</v>
      </c>
      <c r="L18" s="610">
        <f>GETPIVOTDATA("Sum of VolFemale",SexTimeseriesPivot!$B$5,"Year",A18)</f>
        <v>54</v>
      </c>
      <c r="M18" s="610">
        <f>GETPIVOTDATA("Sum of VolMale",SexTimeseriesPivot!$B$5,"Year",A18)</f>
        <v>263</v>
      </c>
      <c r="N18" s="825">
        <f t="shared" si="0"/>
        <v>1051</v>
      </c>
      <c r="O18" s="611">
        <f t="shared" si="1"/>
        <v>6855</v>
      </c>
      <c r="P18" s="823">
        <f t="shared" si="2"/>
        <v>997</v>
      </c>
      <c r="Q18" s="824">
        <f t="shared" si="3"/>
        <v>6592</v>
      </c>
    </row>
    <row r="19" spans="1:17" x14ac:dyDescent="0.35">
      <c r="A19" s="312" t="s">
        <v>313</v>
      </c>
      <c r="B19" s="610">
        <f>GETPIVOTDATA("Sum of WTFemale",SexTimeseriesPivot!$B$5,"Year",A19)</f>
        <v>222</v>
      </c>
      <c r="C19" s="610">
        <f>GETPIVOTDATA("Sum of WTMale",SexTimeseriesPivot!$B$5,"Year",A19)</f>
        <v>3414</v>
      </c>
      <c r="D19" s="610">
        <f>GETPIVOTDATA("Sum of RDSFemale",SexTimeseriesPivot!$B$5,"Year",A19)</f>
        <v>208</v>
      </c>
      <c r="E19" s="610">
        <f>GETPIVOTDATA("Sum of RDSMale",SexTimeseriesPivot!$B$5,"Year",A19)</f>
        <v>2729</v>
      </c>
      <c r="F19" s="610">
        <f>GETPIVOTDATA("Sum of RDS FulltimeFemale",SexTimeseriesPivot!$B$5,"Year",A19)</f>
        <v>7</v>
      </c>
      <c r="G19" s="610">
        <f>GETPIVOTDATA("Sum of RDS FulltimeMale",SexTimeseriesPivot!$B$5,"Year",A19)</f>
        <v>29</v>
      </c>
      <c r="H19" s="610">
        <f>GETPIVOTDATA("Sum of ControlFemale",SexTimeseriesPivot!$B$5,"Year",A19)</f>
        <v>156</v>
      </c>
      <c r="I19" s="610">
        <f>GETPIVOTDATA("Sum of ControlMale",SexTimeseriesPivot!$B$5,"Year",A19)</f>
        <v>32</v>
      </c>
      <c r="J19" s="610">
        <f>GETPIVOTDATA("Sum of SupportFemale",SexTimeseriesPivot!$B$5,"Year",A19)</f>
        <v>447</v>
      </c>
      <c r="K19" s="610">
        <f>GETPIVOTDATA("Sum of SupportMale",SexTimeseriesPivot!$B$5,"Year",A19)</f>
        <v>370</v>
      </c>
      <c r="L19" s="610">
        <f>GETPIVOTDATA("Sum of VolFemale",SexTimeseriesPivot!$B$5,"Year",A19)</f>
        <v>54</v>
      </c>
      <c r="M19" s="610">
        <f>GETPIVOTDATA("Sum of VolMale",SexTimeseriesPivot!$B$5,"Year",A19)</f>
        <v>261</v>
      </c>
      <c r="N19" s="825">
        <f t="shared" si="0"/>
        <v>1094</v>
      </c>
      <c r="O19" s="611">
        <f t="shared" si="1"/>
        <v>6835</v>
      </c>
      <c r="P19" s="823">
        <f t="shared" si="2"/>
        <v>1040</v>
      </c>
      <c r="Q19" s="824">
        <f t="shared" si="3"/>
        <v>6574</v>
      </c>
    </row>
    <row r="20" spans="1:17" x14ac:dyDescent="0.35">
      <c r="A20" s="312" t="s">
        <v>319</v>
      </c>
      <c r="B20" s="610">
        <f>GETPIVOTDATA("Sum of WTFemale",SexTimeseriesPivot!$B$5,"Year",A20)</f>
        <v>219</v>
      </c>
      <c r="C20" s="610">
        <f>GETPIVOTDATA("Sum of WTMale",SexTimeseriesPivot!$B$5,"Year",A20)</f>
        <v>3362</v>
      </c>
      <c r="D20" s="610">
        <f>GETPIVOTDATA("Sum of RDSFemale",SexTimeseriesPivot!$B$5,"Year",A20)</f>
        <v>197</v>
      </c>
      <c r="E20" s="610">
        <f>GETPIVOTDATA("Sum of RDSMale",SexTimeseriesPivot!$B$5,"Year",A20)</f>
        <v>2675</v>
      </c>
      <c r="F20" s="610">
        <f>GETPIVOTDATA("Sum of RDS FulltimeFemale",SexTimeseriesPivot!$B$5,"Year",A20)</f>
        <v>11</v>
      </c>
      <c r="G20" s="610">
        <f>GETPIVOTDATA("Sum of RDS FulltimeMale",SexTimeseriesPivot!$B$5,"Year",A20)</f>
        <v>43</v>
      </c>
      <c r="H20" s="610">
        <f>GETPIVOTDATA("Sum of ControlFemale",SexTimeseriesPivot!$B$5,"Year",A20)</f>
        <v>151</v>
      </c>
      <c r="I20" s="610">
        <f>GETPIVOTDATA("Sum of ControlMale",SexTimeseriesPivot!$B$5,"Year",A20)</f>
        <v>31</v>
      </c>
      <c r="J20" s="610">
        <f>GETPIVOTDATA("Sum of SupportFemale",SexTimeseriesPivot!$B$5,"Year",A20)</f>
        <v>461</v>
      </c>
      <c r="K20" s="610">
        <f>GETPIVOTDATA("Sum of SupportMale",SexTimeseriesPivot!$B$5,"Year",A20)</f>
        <v>374</v>
      </c>
      <c r="L20" s="610">
        <f>GETPIVOTDATA("Sum of VolFemale",SexTimeseriesPivot!$B$5,"Year",A20)</f>
        <v>52</v>
      </c>
      <c r="M20" s="610">
        <f>GETPIVOTDATA("Sum of VolMale",SexTimeseriesPivot!$B$5,"Year",A20)</f>
        <v>251</v>
      </c>
      <c r="N20" s="825">
        <f t="shared" si="0"/>
        <v>1091</v>
      </c>
      <c r="O20" s="611">
        <f t="shared" si="1"/>
        <v>6736</v>
      </c>
      <c r="P20" s="823">
        <f t="shared" si="2"/>
        <v>1039</v>
      </c>
      <c r="Q20" s="824">
        <f t="shared" si="3"/>
        <v>6485</v>
      </c>
    </row>
    <row r="21" spans="1:17" x14ac:dyDescent="0.35">
      <c r="A21" s="312" t="s">
        <v>321</v>
      </c>
      <c r="B21" s="610">
        <f>GETPIVOTDATA("Sum of WTFemale",SexTimeseriesPivot!$B$5,"Year",A21)</f>
        <v>225</v>
      </c>
      <c r="C21" s="610">
        <f>GETPIVOTDATA("Sum of WTMale",SexTimeseriesPivot!$B$5,"Year",A21)</f>
        <v>3305</v>
      </c>
      <c r="D21" s="610">
        <f>GETPIVOTDATA("Sum of RDSFemale",SexTimeseriesPivot!$B$5,"Year",A21)</f>
        <v>191</v>
      </c>
      <c r="E21" s="610">
        <f>GETPIVOTDATA("Sum of RDSMale",SexTimeseriesPivot!$B$5,"Year",A21)</f>
        <v>2567</v>
      </c>
      <c r="F21" s="610">
        <f>GETPIVOTDATA("Sum of RDS FulltimeFemale",SexTimeseriesPivot!$B$5,"Year",A21)</f>
        <v>10</v>
      </c>
      <c r="G21" s="610">
        <f>GETPIVOTDATA("Sum of RDS FulltimeMale",SexTimeseriesPivot!$B$5,"Year",A21)</f>
        <v>43</v>
      </c>
      <c r="H21" s="610">
        <f>GETPIVOTDATA("Sum of ControlFemale",SexTimeseriesPivot!$B$5,"Year",A21)</f>
        <v>146</v>
      </c>
      <c r="I21" s="610">
        <f>GETPIVOTDATA("Sum of ControlMale",SexTimeseriesPivot!$B$5,"Year",A21)</f>
        <v>28</v>
      </c>
      <c r="J21" s="610">
        <f>GETPIVOTDATA("Sum of SupportFemale",SexTimeseriesPivot!$B$5,"Year",A21)</f>
        <v>501</v>
      </c>
      <c r="K21" s="610">
        <f>GETPIVOTDATA("Sum of SupportMale",SexTimeseriesPivot!$B$5,"Year",A21)</f>
        <v>419</v>
      </c>
      <c r="L21" s="610">
        <f>GETPIVOTDATA("Sum of VolFemale",SexTimeseriesPivot!$B$5,"Year",A21)</f>
        <v>46</v>
      </c>
      <c r="M21" s="610">
        <f>GETPIVOTDATA("Sum of VolMale",SexTimeseriesPivot!$B$5,"Year",A21)</f>
        <v>231</v>
      </c>
      <c r="N21" s="825">
        <f t="shared" si="0"/>
        <v>1119</v>
      </c>
      <c r="O21" s="611">
        <f t="shared" si="1"/>
        <v>6593</v>
      </c>
      <c r="P21" s="823">
        <f t="shared" si="2"/>
        <v>1073</v>
      </c>
      <c r="Q21" s="824">
        <f t="shared" si="3"/>
        <v>6362</v>
      </c>
    </row>
    <row r="22" spans="1:17" x14ac:dyDescent="0.35">
      <c r="A22" s="312" t="s">
        <v>326</v>
      </c>
      <c r="B22" s="610">
        <f>GETPIVOTDATA("Sum of WTFemale",SexTimeseriesPivot!$B$5,"Year",A22)</f>
        <v>227</v>
      </c>
      <c r="C22" s="610">
        <f>GETPIVOTDATA("Sum of WTMale",SexTimeseriesPivot!$B$5,"Year",A22)</f>
        <v>3263</v>
      </c>
      <c r="D22" s="610">
        <f>GETPIVOTDATA("Sum of RDSFemale",SexTimeseriesPivot!$B$5,"Year",A22)</f>
        <v>185</v>
      </c>
      <c r="E22" s="610">
        <f>GETPIVOTDATA("Sum of RDSMale",SexTimeseriesPivot!$B$5,"Year",A22)</f>
        <v>2550</v>
      </c>
      <c r="F22" s="610">
        <f>GETPIVOTDATA("Sum of RDS FulltimeFemale",SexTimeseriesPivot!$B$5,"Year",A22)</f>
        <v>9</v>
      </c>
      <c r="G22" s="610">
        <f>GETPIVOTDATA("Sum of RDS FulltimeMale",SexTimeseriesPivot!$B$5,"Year",A22)</f>
        <v>46</v>
      </c>
      <c r="H22" s="610">
        <f>GETPIVOTDATA("Sum of ControlFemale",SexTimeseriesPivot!$B$5,"Year",A22)</f>
        <v>144</v>
      </c>
      <c r="I22" s="610">
        <f>GETPIVOTDATA("Sum of ControlMale",SexTimeseriesPivot!$B$5,"Year",A22)</f>
        <v>28</v>
      </c>
      <c r="J22" s="610">
        <f>GETPIVOTDATA("Sum of SupportFemale",SexTimeseriesPivot!$B$5,"Year",A22)</f>
        <v>484</v>
      </c>
      <c r="K22" s="610">
        <f>GETPIVOTDATA("Sum of SupportMale",SexTimeseriesPivot!$B$5,"Year",A22)</f>
        <v>417</v>
      </c>
      <c r="L22" s="610">
        <f>GETPIVOTDATA("Sum of VolFemale",SexTimeseriesPivot!$B$5,"Year",A22)</f>
        <v>40</v>
      </c>
      <c r="M22" s="610">
        <f>GETPIVOTDATA("Sum of VolMale",SexTimeseriesPivot!$B$5,"Year",A22)</f>
        <v>226</v>
      </c>
      <c r="N22" s="825">
        <f t="shared" si="0"/>
        <v>1089</v>
      </c>
      <c r="O22" s="837">
        <f t="shared" si="1"/>
        <v>6530</v>
      </c>
      <c r="P22" s="582">
        <f t="shared" si="2"/>
        <v>1049</v>
      </c>
      <c r="Q22" s="824">
        <f t="shared" si="3"/>
        <v>6304</v>
      </c>
    </row>
    <row r="23" spans="1:17" x14ac:dyDescent="0.35">
      <c r="A23" s="312" t="s">
        <v>327</v>
      </c>
      <c r="B23" s="610">
        <f>GETPIVOTDATA("Sum of WTFemale",SexTimeseriesPivot!$B$5,"Year",A23)</f>
        <v>220</v>
      </c>
      <c r="C23" s="610">
        <f>GETPIVOTDATA("Sum of WTMale",SexTimeseriesPivot!$B$5,"Year",A23)</f>
        <v>3202</v>
      </c>
      <c r="D23" s="610">
        <f>GETPIVOTDATA("Sum of RDSFemale",SexTimeseriesPivot!$B$5,"Year",A23)</f>
        <v>191</v>
      </c>
      <c r="E23" s="610">
        <f>GETPIVOTDATA("Sum of RDSMale",SexTimeseriesPivot!$B$5,"Year",A23)</f>
        <v>2517</v>
      </c>
      <c r="F23" s="610">
        <f>GETPIVOTDATA("Sum of RDS FulltimeFemale",SexTimeseriesPivot!$B$5,"Year",A23)</f>
        <v>8</v>
      </c>
      <c r="G23" s="610">
        <f>GETPIVOTDATA("Sum of RDS FulltimeMale",SexTimeseriesPivot!$B$5,"Year",A23)</f>
        <v>47</v>
      </c>
      <c r="H23" s="610">
        <f>GETPIVOTDATA("Sum of ControlFemale",SexTimeseriesPivot!$B$5,"Year",A23)</f>
        <v>142</v>
      </c>
      <c r="I23" s="610">
        <f>GETPIVOTDATA("Sum of ControlMale",SexTimeseriesPivot!$B$5,"Year",A23)</f>
        <v>29</v>
      </c>
      <c r="J23" s="610">
        <f>GETPIVOTDATA("Sum of SupportFemale",SexTimeseriesPivot!$B$5,"Year",A23)</f>
        <v>482</v>
      </c>
      <c r="K23" s="610">
        <f>GETPIVOTDATA("Sum of SupportMale",SexTimeseriesPivot!$B$5,"Year",A23)</f>
        <v>405</v>
      </c>
      <c r="L23" s="610">
        <f>GETPIVOTDATA("Sum of VolFemale",SexTimeseriesPivot!$B$5,"Year",A23)</f>
        <v>42</v>
      </c>
      <c r="M23" s="991">
        <f>GETPIVOTDATA("Sum of VolMale",SexTimeseriesPivot!$B$5,"Year",A23)</f>
        <v>227</v>
      </c>
      <c r="N23" s="825">
        <f t="shared" ref="N23" si="4">L23+J23+H23+F23+D23+B23</f>
        <v>1085</v>
      </c>
      <c r="O23" s="837">
        <f t="shared" ref="O23" si="5">M23+K23+I23+G23+E23+C23</f>
        <v>6427</v>
      </c>
      <c r="P23" s="823">
        <f t="shared" ref="P23" si="6">B23+D23+F23+H23+J23</f>
        <v>1043</v>
      </c>
      <c r="Q23" s="824">
        <f t="shared" ref="Q23" si="7">C23+E23+G23+I23+K23</f>
        <v>6200</v>
      </c>
    </row>
    <row r="24" spans="1:17" x14ac:dyDescent="0.35">
      <c r="A24" s="526" t="s">
        <v>466</v>
      </c>
      <c r="B24" s="826">
        <f>GETPIVOTDATA("Sum of WTFemale",SexTimeseriesPivot!$B$5,"Year",A24)</f>
        <v>220</v>
      </c>
      <c r="C24" s="826">
        <f>GETPIVOTDATA("Sum of WTMale",SexTimeseriesPivot!$B$5,"Year",A24)</f>
        <v>3210</v>
      </c>
      <c r="D24" s="826">
        <f>GETPIVOTDATA("Sum of RDSFemale",SexTimeseriesPivot!$B$5,"Year",A24)</f>
        <v>203</v>
      </c>
      <c r="E24" s="826">
        <f>GETPIVOTDATA("Sum of RDSMale",SexTimeseriesPivot!$B$5,"Year",A24)</f>
        <v>2502</v>
      </c>
      <c r="F24" s="826">
        <f>GETPIVOTDATA("Sum of RDS FulltimeFemale",SexTimeseriesPivot!$B$5,"Year",A24)</f>
        <v>7</v>
      </c>
      <c r="G24" s="826">
        <f>GETPIVOTDATA("Sum of RDS FulltimeMale",SexTimeseriesPivot!$B$5,"Year",A24)</f>
        <v>53</v>
      </c>
      <c r="H24" s="826">
        <f>GETPIVOTDATA("Sum of ControlFemale",SexTimeseriesPivot!$B$5,"Year",A24)</f>
        <v>139</v>
      </c>
      <c r="I24" s="826">
        <f>GETPIVOTDATA("Sum of ControlMale",SexTimeseriesPivot!$B$5,"Year",A24)</f>
        <v>32</v>
      </c>
      <c r="J24" s="826">
        <f>GETPIVOTDATA("Sum of SupportFemale",SexTimeseriesPivot!$B$5,"Year",A24)</f>
        <v>492</v>
      </c>
      <c r="K24" s="826">
        <f>GETPIVOTDATA("Sum of SupportMale",SexTimeseriesPivot!$B$5,"Year",A24)</f>
        <v>425</v>
      </c>
      <c r="L24" s="826">
        <f>GETPIVOTDATA("Sum of VolFemale",SexTimeseriesPivot!$B$5,"Year",A24)</f>
        <v>42</v>
      </c>
      <c r="M24" s="826">
        <f>GETPIVOTDATA("Sum of VolMale",SexTimeseriesPivot!$B$5,"Year",A24)</f>
        <v>231</v>
      </c>
      <c r="N24" s="827">
        <f t="shared" ref="N24" si="8">L24+J24+H24+F24+D24+B24</f>
        <v>1103</v>
      </c>
      <c r="O24" s="838">
        <f t="shared" ref="O24" si="9">M24+K24+I24+G24+E24+C24</f>
        <v>6453</v>
      </c>
      <c r="P24" s="648">
        <f t="shared" ref="P24" si="10">B24+D24+F24+H24+J24</f>
        <v>1061</v>
      </c>
      <c r="Q24" s="822">
        <f t="shared" ref="Q24" si="11">C24+E24+G24+I24+K24</f>
        <v>6222</v>
      </c>
    </row>
    <row r="25" spans="1:17" x14ac:dyDescent="0.35">
      <c r="A25" s="312"/>
      <c r="N25" s="85"/>
      <c r="O25" s="85"/>
      <c r="P25" s="85"/>
      <c r="Q25" s="62"/>
    </row>
    <row r="26" spans="1:17" x14ac:dyDescent="0.35">
      <c r="A26" s="5"/>
      <c r="B26" s="100"/>
      <c r="C26" s="100"/>
      <c r="D26" s="100"/>
      <c r="E26" s="100"/>
      <c r="F26" s="100"/>
      <c r="G26" s="100"/>
      <c r="H26" s="100"/>
      <c r="I26" s="100"/>
      <c r="J26" s="100"/>
      <c r="K26" s="100"/>
      <c r="L26" s="100"/>
      <c r="M26" s="100"/>
      <c r="N26" s="62"/>
      <c r="O26" s="62"/>
      <c r="P26" s="62"/>
      <c r="Q26" s="101" t="s">
        <v>92</v>
      </c>
    </row>
    <row r="27" spans="1:17" ht="28" customHeight="1" x14ac:dyDescent="0.35">
      <c r="A27" s="208" t="s">
        <v>92</v>
      </c>
      <c r="B27" s="1031" t="s">
        <v>747</v>
      </c>
      <c r="C27" s="1031"/>
      <c r="D27" s="1032" t="s">
        <v>361</v>
      </c>
      <c r="E27" s="1032"/>
      <c r="F27" s="1040" t="s">
        <v>516</v>
      </c>
      <c r="G27" s="1041"/>
      <c r="H27" s="1031" t="s">
        <v>511</v>
      </c>
      <c r="I27" s="1031"/>
      <c r="J27" s="1031" t="s">
        <v>743</v>
      </c>
      <c r="K27" s="1031"/>
      <c r="L27" s="1032" t="s">
        <v>339</v>
      </c>
      <c r="M27" s="1032"/>
      <c r="N27" s="1031" t="s">
        <v>340</v>
      </c>
      <c r="O27" s="1031"/>
      <c r="P27" s="1037" t="s">
        <v>744</v>
      </c>
      <c r="Q27" s="1038"/>
    </row>
    <row r="28" spans="1:17" ht="24.65" customHeight="1" x14ac:dyDescent="0.35">
      <c r="A28" s="471" t="s">
        <v>207</v>
      </c>
      <c r="B28" s="468" t="s">
        <v>745</v>
      </c>
      <c r="C28" s="468" t="s">
        <v>746</v>
      </c>
      <c r="D28" s="468" t="s">
        <v>745</v>
      </c>
      <c r="E28" s="468" t="s">
        <v>746</v>
      </c>
      <c r="F28" s="468" t="s">
        <v>745</v>
      </c>
      <c r="G28" s="468" t="s">
        <v>746</v>
      </c>
      <c r="H28" s="468" t="s">
        <v>745</v>
      </c>
      <c r="I28" s="468" t="s">
        <v>746</v>
      </c>
      <c r="J28" s="468" t="s">
        <v>745</v>
      </c>
      <c r="K28" s="468" t="s">
        <v>746</v>
      </c>
      <c r="L28" s="468" t="s">
        <v>745</v>
      </c>
      <c r="M28" s="468" t="s">
        <v>746</v>
      </c>
      <c r="N28" s="621" t="s">
        <v>745</v>
      </c>
      <c r="O28" s="468" t="s">
        <v>746</v>
      </c>
      <c r="P28" s="468" t="s">
        <v>745</v>
      </c>
      <c r="Q28" s="621" t="s">
        <v>746</v>
      </c>
    </row>
    <row r="29" spans="1:17" x14ac:dyDescent="0.35">
      <c r="A29" s="5" t="str">
        <f t="shared" ref="A29:A37" si="12">A13</f>
        <v>2013-14</v>
      </c>
      <c r="B29" s="102">
        <f t="shared" ref="B29:B37" si="13">B13/(B13+C13)</f>
        <v>3.9740064983754063E-2</v>
      </c>
      <c r="C29" s="102">
        <f t="shared" ref="C29:C37" si="14">C13/(B13+C13)</f>
        <v>0.96025993501624596</v>
      </c>
      <c r="D29" s="102">
        <f t="shared" ref="D29:D37" si="15">D13/(D13+E13)</f>
        <v>6.0544217687074832E-2</v>
      </c>
      <c r="E29" s="102">
        <f t="shared" ref="E29:E37" si="16">E13/(D13+E13)</f>
        <v>0.93945578231292515</v>
      </c>
      <c r="F29" s="102"/>
      <c r="G29" s="102"/>
      <c r="H29" s="102">
        <f t="shared" ref="H29:H37" si="17">H13/(H13+I13)</f>
        <v>0.8923766816143498</v>
      </c>
      <c r="I29" s="102">
        <f t="shared" ref="I29:I37" si="18">I13/(H13+I13)</f>
        <v>0.10762331838565023</v>
      </c>
      <c r="J29" s="102">
        <f t="shared" ref="J29:J37" si="19">J13/(J13+K13)</f>
        <v>0.56711758584807492</v>
      </c>
      <c r="K29" s="102">
        <f t="shared" ref="K29:K37" si="20">K13/(J13+K13)</f>
        <v>0.43288241415192508</v>
      </c>
      <c r="L29" s="102">
        <f t="shared" ref="L29:L37" si="21">L13/(L13+M13)</f>
        <v>0.14484679665738162</v>
      </c>
      <c r="M29" s="102">
        <f t="shared" ref="M29:M37" si="22">M13/(L13+M13)</f>
        <v>0.85515320334261835</v>
      </c>
      <c r="N29" s="469">
        <f t="shared" ref="N29:N38" si="23">N13/(N13+O13)</f>
        <v>0.13354549740688354</v>
      </c>
      <c r="O29" s="102">
        <f t="shared" ref="O29:O38" si="24">O13/(N13+O13)</f>
        <v>0.8664545025931164</v>
      </c>
      <c r="P29" s="469">
        <f t="shared" ref="P29:P38" si="25">P13/(P13+Q13)</f>
        <v>0.13304615384615384</v>
      </c>
      <c r="Q29" s="472">
        <f t="shared" ref="Q29:Q38" si="26">Q13/(P13+Q13)</f>
        <v>0.86695384615384619</v>
      </c>
    </row>
    <row r="30" spans="1:17" x14ac:dyDescent="0.35">
      <c r="A30" s="5" t="str">
        <f t="shared" si="12"/>
        <v>2014-15</v>
      </c>
      <c r="B30" s="102">
        <f t="shared" si="13"/>
        <v>4.2531120331950209E-2</v>
      </c>
      <c r="C30" s="102">
        <f t="shared" si="14"/>
        <v>0.95746887966804983</v>
      </c>
      <c r="D30" s="102">
        <f t="shared" si="15"/>
        <v>5.8305084745762709E-2</v>
      </c>
      <c r="E30" s="102">
        <f t="shared" si="16"/>
        <v>0.94169491525423732</v>
      </c>
      <c r="F30" s="102"/>
      <c r="G30" s="102"/>
      <c r="H30" s="102">
        <f t="shared" si="17"/>
        <v>0.83478260869565213</v>
      </c>
      <c r="I30" s="102">
        <f t="shared" si="18"/>
        <v>0.16521739130434782</v>
      </c>
      <c r="J30" s="102">
        <f t="shared" si="19"/>
        <v>0.55363321799307963</v>
      </c>
      <c r="K30" s="102">
        <f t="shared" si="20"/>
        <v>0.44636678200692043</v>
      </c>
      <c r="L30" s="102">
        <f t="shared" si="21"/>
        <v>0.14814814814814814</v>
      </c>
      <c r="M30" s="102">
        <f t="shared" si="22"/>
        <v>0.85185185185185186</v>
      </c>
      <c r="N30" s="470">
        <f t="shared" si="23"/>
        <v>0.12848689771766694</v>
      </c>
      <c r="O30" s="102">
        <f t="shared" si="24"/>
        <v>0.87151310228233303</v>
      </c>
      <c r="P30" s="470">
        <f t="shared" si="25"/>
        <v>0.1275465013286094</v>
      </c>
      <c r="Q30" s="473">
        <f t="shared" si="26"/>
        <v>0.87245349867139066</v>
      </c>
    </row>
    <row r="31" spans="1:17" x14ac:dyDescent="0.35">
      <c r="A31" s="5" t="str">
        <f t="shared" si="12"/>
        <v>2015-16</v>
      </c>
      <c r="B31" s="102">
        <f t="shared" si="13"/>
        <v>4.5257452574525743E-2</v>
      </c>
      <c r="C31" s="102">
        <f t="shared" si="14"/>
        <v>0.95474254742547426</v>
      </c>
      <c r="D31" s="102">
        <f t="shared" si="15"/>
        <v>5.6794425087108011E-2</v>
      </c>
      <c r="E31" s="102">
        <f t="shared" si="16"/>
        <v>0.94320557491289203</v>
      </c>
      <c r="F31" s="102"/>
      <c r="G31" s="102"/>
      <c r="H31" s="102">
        <f t="shared" si="17"/>
        <v>0.8423645320197044</v>
      </c>
      <c r="I31" s="102">
        <f t="shared" si="18"/>
        <v>0.15763546798029557</v>
      </c>
      <c r="J31" s="102">
        <f t="shared" si="19"/>
        <v>0.5591787439613527</v>
      </c>
      <c r="K31" s="102">
        <f t="shared" si="20"/>
        <v>0.44082125603864736</v>
      </c>
      <c r="L31" s="102">
        <f t="shared" si="21"/>
        <v>0.16374269005847952</v>
      </c>
      <c r="M31" s="102">
        <f t="shared" si="22"/>
        <v>0.83625730994152048</v>
      </c>
      <c r="N31" s="470">
        <f t="shared" si="23"/>
        <v>0.12857683095928402</v>
      </c>
      <c r="O31" s="102">
        <f t="shared" si="24"/>
        <v>0.87142316904071604</v>
      </c>
      <c r="P31" s="470">
        <f t="shared" si="25"/>
        <v>0.12699249110789093</v>
      </c>
      <c r="Q31" s="473">
        <f t="shared" si="26"/>
        <v>0.8730075088921091</v>
      </c>
    </row>
    <row r="32" spans="1:17" x14ac:dyDescent="0.35">
      <c r="A32" s="5" t="str">
        <f t="shared" si="12"/>
        <v>2016-17</v>
      </c>
      <c r="B32" s="102">
        <f t="shared" si="13"/>
        <v>4.8834019204389574E-2</v>
      </c>
      <c r="C32" s="102">
        <f t="shared" si="14"/>
        <v>0.95116598079561043</v>
      </c>
      <c r="D32" s="102">
        <f t="shared" si="15"/>
        <v>5.5052264808362367E-2</v>
      </c>
      <c r="E32" s="102">
        <f t="shared" si="16"/>
        <v>0.94494773519163766</v>
      </c>
      <c r="F32" s="102"/>
      <c r="G32" s="102"/>
      <c r="H32" s="102">
        <f t="shared" si="17"/>
        <v>0.84242424242424241</v>
      </c>
      <c r="I32" s="102">
        <f t="shared" si="18"/>
        <v>0.15757575757575756</v>
      </c>
      <c r="J32" s="102">
        <f t="shared" si="19"/>
        <v>0.55608591885441527</v>
      </c>
      <c r="K32" s="102">
        <f t="shared" si="20"/>
        <v>0.44391408114558473</v>
      </c>
      <c r="L32" s="102">
        <f t="shared" si="21"/>
        <v>0.15189873417721519</v>
      </c>
      <c r="M32" s="102">
        <f t="shared" si="22"/>
        <v>0.84810126582278478</v>
      </c>
      <c r="N32" s="470">
        <f t="shared" si="23"/>
        <v>0.12624457492979321</v>
      </c>
      <c r="O32" s="102">
        <f t="shared" si="24"/>
        <v>0.87375542507020676</v>
      </c>
      <c r="P32" s="470">
        <f t="shared" si="25"/>
        <v>0.12516626762436819</v>
      </c>
      <c r="Q32" s="473">
        <f t="shared" si="26"/>
        <v>0.87483373237563178</v>
      </c>
    </row>
    <row r="33" spans="1:17" x14ac:dyDescent="0.35">
      <c r="A33" s="5" t="str">
        <f t="shared" si="12"/>
        <v>2017-18</v>
      </c>
      <c r="B33" s="102">
        <f t="shared" si="13"/>
        <v>4.9351381838691484E-2</v>
      </c>
      <c r="C33" s="102">
        <f t="shared" si="14"/>
        <v>0.95064861816130852</v>
      </c>
      <c r="D33" s="102">
        <f t="shared" si="15"/>
        <v>5.9727558505064615E-2</v>
      </c>
      <c r="E33" s="102">
        <f t="shared" si="16"/>
        <v>0.94027244149493538</v>
      </c>
      <c r="F33" s="102"/>
      <c r="G33" s="102"/>
      <c r="H33" s="102">
        <f t="shared" si="17"/>
        <v>0.83597883597883593</v>
      </c>
      <c r="I33" s="102">
        <f t="shared" si="18"/>
        <v>0.16402116402116401</v>
      </c>
      <c r="J33" s="102">
        <f t="shared" si="19"/>
        <v>0.56264775413711587</v>
      </c>
      <c r="K33" s="102">
        <f t="shared" si="20"/>
        <v>0.43735224586288418</v>
      </c>
      <c r="L33" s="102">
        <f t="shared" si="21"/>
        <v>0.16566265060240964</v>
      </c>
      <c r="M33" s="102">
        <f t="shared" si="22"/>
        <v>0.83433734939759041</v>
      </c>
      <c r="N33" s="470">
        <f t="shared" si="23"/>
        <v>0.13310185185185186</v>
      </c>
      <c r="O33" s="102">
        <f t="shared" si="24"/>
        <v>0.86689814814814814</v>
      </c>
      <c r="P33" s="470">
        <f t="shared" si="25"/>
        <v>0.13164965072541646</v>
      </c>
      <c r="Q33" s="473">
        <f t="shared" si="26"/>
        <v>0.86835034927458354</v>
      </c>
    </row>
    <row r="34" spans="1:17" x14ac:dyDescent="0.35">
      <c r="A34" s="5" t="str">
        <f t="shared" si="12"/>
        <v>2018-19</v>
      </c>
      <c r="B34" s="102">
        <f t="shared" si="13"/>
        <v>5.3890569150398679E-2</v>
      </c>
      <c r="C34" s="102">
        <f t="shared" si="14"/>
        <v>0.94610943084960131</v>
      </c>
      <c r="D34" s="102">
        <f t="shared" si="15"/>
        <v>6.8483816013628615E-2</v>
      </c>
      <c r="E34" s="102">
        <f t="shared" si="16"/>
        <v>0.93151618398637137</v>
      </c>
      <c r="F34" s="102"/>
      <c r="G34" s="102"/>
      <c r="H34" s="102">
        <f t="shared" si="17"/>
        <v>0.83091787439613529</v>
      </c>
      <c r="I34" s="102">
        <f t="shared" si="18"/>
        <v>0.16908212560386474</v>
      </c>
      <c r="J34" s="102">
        <f t="shared" si="19"/>
        <v>0.53914141414141414</v>
      </c>
      <c r="K34" s="102">
        <f t="shared" si="20"/>
        <v>0.46085858585858586</v>
      </c>
      <c r="L34" s="102">
        <f t="shared" si="21"/>
        <v>0.17034700315457413</v>
      </c>
      <c r="M34" s="102">
        <f t="shared" si="22"/>
        <v>0.82965299684542582</v>
      </c>
      <c r="N34" s="470">
        <f t="shared" si="23"/>
        <v>0.1329370098659246</v>
      </c>
      <c r="O34" s="102">
        <f t="shared" si="24"/>
        <v>0.8670629901340754</v>
      </c>
      <c r="P34" s="470">
        <f t="shared" si="25"/>
        <v>0.13137435762287522</v>
      </c>
      <c r="Q34" s="473">
        <f t="shared" si="26"/>
        <v>0.86862564237712481</v>
      </c>
    </row>
    <row r="35" spans="1:17" x14ac:dyDescent="0.35">
      <c r="A35" s="5" t="str">
        <f t="shared" si="12"/>
        <v>2019-20</v>
      </c>
      <c r="B35" s="102">
        <f t="shared" si="13"/>
        <v>6.1056105610561059E-2</v>
      </c>
      <c r="C35" s="102">
        <f t="shared" si="14"/>
        <v>0.93894389438943893</v>
      </c>
      <c r="D35" s="102">
        <f t="shared" si="15"/>
        <v>7.0820565202587671E-2</v>
      </c>
      <c r="E35" s="102">
        <f t="shared" si="16"/>
        <v>0.92917943479741227</v>
      </c>
      <c r="F35" s="102"/>
      <c r="G35" s="102"/>
      <c r="H35" s="102">
        <f t="shared" si="17"/>
        <v>0.82978723404255317</v>
      </c>
      <c r="I35" s="102">
        <f t="shared" si="18"/>
        <v>0.1702127659574468</v>
      </c>
      <c r="J35" s="102">
        <f t="shared" si="19"/>
        <v>0.54712362301101591</v>
      </c>
      <c r="K35" s="102">
        <f t="shared" si="20"/>
        <v>0.45287637698898409</v>
      </c>
      <c r="L35" s="102">
        <f t="shared" si="21"/>
        <v>0.17142857142857143</v>
      </c>
      <c r="M35" s="102">
        <f t="shared" si="22"/>
        <v>0.82857142857142863</v>
      </c>
      <c r="N35" s="470">
        <f t="shared" si="23"/>
        <v>0.13797452389960904</v>
      </c>
      <c r="O35" s="102">
        <f t="shared" si="24"/>
        <v>0.86202547610039093</v>
      </c>
      <c r="P35" s="470">
        <f t="shared" si="25"/>
        <v>0.13659049120042027</v>
      </c>
      <c r="Q35" s="473">
        <f t="shared" si="26"/>
        <v>0.86340950879957967</v>
      </c>
    </row>
    <row r="36" spans="1:17" x14ac:dyDescent="0.35">
      <c r="A36" s="5" t="str">
        <f t="shared" si="12"/>
        <v>2020-21</v>
      </c>
      <c r="B36" s="102">
        <f t="shared" si="13"/>
        <v>6.1156101647584477E-2</v>
      </c>
      <c r="C36" s="102">
        <f t="shared" si="14"/>
        <v>0.93884389835241555</v>
      </c>
      <c r="D36" s="102">
        <f t="shared" si="15"/>
        <v>6.8593314763231203E-2</v>
      </c>
      <c r="E36" s="102">
        <f t="shared" si="16"/>
        <v>0.93140668523676884</v>
      </c>
      <c r="F36" s="102">
        <f>F20/(F20+G20)</f>
        <v>0.20370370370370369</v>
      </c>
      <c r="G36" s="102">
        <f>G20/(F20+G20)</f>
        <v>0.79629629629629628</v>
      </c>
      <c r="H36" s="102">
        <f t="shared" si="17"/>
        <v>0.82967032967032972</v>
      </c>
      <c r="I36" s="102">
        <f t="shared" si="18"/>
        <v>0.17032967032967034</v>
      </c>
      <c r="J36" s="102">
        <f t="shared" si="19"/>
        <v>0.55209580838323358</v>
      </c>
      <c r="K36" s="102">
        <f t="shared" si="20"/>
        <v>0.44790419161676648</v>
      </c>
      <c r="L36" s="102">
        <f t="shared" si="21"/>
        <v>0.17161716171617161</v>
      </c>
      <c r="M36" s="102">
        <f t="shared" si="22"/>
        <v>0.82838283828382842</v>
      </c>
      <c r="N36" s="470">
        <f t="shared" si="23"/>
        <v>0.13938929347131723</v>
      </c>
      <c r="O36" s="102">
        <f t="shared" si="24"/>
        <v>0.86061070652868277</v>
      </c>
      <c r="P36" s="470">
        <f t="shared" si="25"/>
        <v>0.13809144072301968</v>
      </c>
      <c r="Q36" s="473">
        <f t="shared" si="26"/>
        <v>0.86190855927698029</v>
      </c>
    </row>
    <row r="37" spans="1:17" x14ac:dyDescent="0.35">
      <c r="A37" s="5" t="str">
        <f t="shared" si="12"/>
        <v>2021-22</v>
      </c>
      <c r="B37" s="102">
        <f t="shared" si="13"/>
        <v>6.3739376770538245E-2</v>
      </c>
      <c r="C37" s="102">
        <f t="shared" si="14"/>
        <v>0.9362606232294618</v>
      </c>
      <c r="D37" s="102">
        <f t="shared" si="15"/>
        <v>6.9253081943437267E-2</v>
      </c>
      <c r="E37" s="102">
        <f t="shared" si="16"/>
        <v>0.93074691805656273</v>
      </c>
      <c r="F37" s="102">
        <f>F21/(F21+G21)</f>
        <v>0.18867924528301888</v>
      </c>
      <c r="G37" s="102">
        <f>G21/(F21+G21)</f>
        <v>0.81132075471698117</v>
      </c>
      <c r="H37" s="102">
        <f t="shared" si="17"/>
        <v>0.83908045977011492</v>
      </c>
      <c r="I37" s="102">
        <f t="shared" si="18"/>
        <v>0.16091954022988506</v>
      </c>
      <c r="J37" s="102">
        <f t="shared" si="19"/>
        <v>0.54456521739130437</v>
      </c>
      <c r="K37" s="102">
        <f t="shared" si="20"/>
        <v>0.45543478260869563</v>
      </c>
      <c r="L37" s="102">
        <f t="shared" si="21"/>
        <v>0.16606498194945848</v>
      </c>
      <c r="M37" s="473">
        <f t="shared" si="22"/>
        <v>0.83393501805054149</v>
      </c>
      <c r="N37" s="102">
        <f t="shared" si="23"/>
        <v>0.14509854771784234</v>
      </c>
      <c r="O37" s="473">
        <f t="shared" si="24"/>
        <v>0.85490145228215764</v>
      </c>
      <c r="P37" s="102">
        <f t="shared" si="25"/>
        <v>0.14431741761936787</v>
      </c>
      <c r="Q37" s="473">
        <f t="shared" si="26"/>
        <v>0.85568258238063211</v>
      </c>
    </row>
    <row r="38" spans="1:17" x14ac:dyDescent="0.35">
      <c r="A38" s="5" t="str">
        <f t="shared" ref="A38:A40" si="27">A22</f>
        <v>2022-23</v>
      </c>
      <c r="B38" s="102">
        <f t="shared" ref="B38" si="28">B22/(B22+C22)</f>
        <v>6.504297994269341E-2</v>
      </c>
      <c r="C38" s="102">
        <f t="shared" ref="C38" si="29">C22/(B22+C22)</f>
        <v>0.93495702005730663</v>
      </c>
      <c r="D38" s="102">
        <f t="shared" ref="D38" si="30">D22/(D22+E22)</f>
        <v>6.7641681901279713E-2</v>
      </c>
      <c r="E38" s="102">
        <f t="shared" ref="E38" si="31">E22/(D22+E22)</f>
        <v>0.93235831809872027</v>
      </c>
      <c r="F38" s="102">
        <f>F22/(F22+G22)</f>
        <v>0.16363636363636364</v>
      </c>
      <c r="G38" s="102">
        <f>G22/(F22+G22)</f>
        <v>0.83636363636363631</v>
      </c>
      <c r="H38" s="102">
        <f t="shared" ref="H38" si="32">H22/(H22+I22)</f>
        <v>0.83720930232558144</v>
      </c>
      <c r="I38" s="102">
        <f t="shared" ref="I38" si="33">I22/(H22+I22)</f>
        <v>0.16279069767441862</v>
      </c>
      <c r="J38" s="102">
        <f t="shared" ref="J38" si="34">J22/(J22+K22)</f>
        <v>0.537180910099889</v>
      </c>
      <c r="K38" s="102">
        <f t="shared" ref="K38" si="35">K22/(J22+K22)</f>
        <v>0.462819089900111</v>
      </c>
      <c r="L38" s="102">
        <f t="shared" ref="L38" si="36">L22/(L22+M22)</f>
        <v>0.15037593984962405</v>
      </c>
      <c r="M38" s="473">
        <f t="shared" ref="M38" si="37">M22/(L22+M22)</f>
        <v>0.84962406015037595</v>
      </c>
      <c r="N38" s="102">
        <f t="shared" si="23"/>
        <v>0.14293214332589579</v>
      </c>
      <c r="O38" s="473">
        <f t="shared" si="24"/>
        <v>0.85706785667410423</v>
      </c>
      <c r="P38" s="102">
        <f t="shared" si="25"/>
        <v>0.14266285869713041</v>
      </c>
      <c r="Q38" s="473">
        <f t="shared" si="26"/>
        <v>0.85733714130286953</v>
      </c>
    </row>
    <row r="39" spans="1:17" x14ac:dyDescent="0.35">
      <c r="A39" s="5" t="str">
        <f t="shared" si="27"/>
        <v>2023-24</v>
      </c>
      <c r="B39" s="102">
        <f t="shared" ref="B39" si="38">B23/(B23+C23)</f>
        <v>6.4289888953828173E-2</v>
      </c>
      <c r="C39" s="102">
        <f t="shared" ref="C39" si="39">C23/(B23+C23)</f>
        <v>0.93571011104617186</v>
      </c>
      <c r="D39" s="102">
        <f t="shared" ref="D39" si="40">D23/(D23+E23)</f>
        <v>7.0531757754800598E-2</v>
      </c>
      <c r="E39" s="102">
        <f t="shared" ref="E39" si="41">E23/(D23+E23)</f>
        <v>0.92946824224519942</v>
      </c>
      <c r="F39" s="102">
        <f>F23/(F23+G23)</f>
        <v>0.14545454545454545</v>
      </c>
      <c r="G39" s="102">
        <f>G23/(F23+G23)</f>
        <v>0.8545454545454545</v>
      </c>
      <c r="H39" s="102">
        <f t="shared" ref="H39" si="42">H23/(H23+I23)</f>
        <v>0.83040935672514615</v>
      </c>
      <c r="I39" s="102">
        <f t="shared" ref="I39" si="43">I23/(H23+I23)</f>
        <v>0.16959064327485379</v>
      </c>
      <c r="J39" s="102">
        <f t="shared" ref="J39" si="44">J23/(J23+K23)</f>
        <v>0.54340473506200682</v>
      </c>
      <c r="K39" s="102">
        <f t="shared" ref="K39" si="45">K23/(J23+K23)</f>
        <v>0.45659526493799324</v>
      </c>
      <c r="L39" s="102">
        <f t="shared" ref="L39" si="46">L23/(L23+M23)</f>
        <v>0.15613382899628253</v>
      </c>
      <c r="M39" s="473">
        <f t="shared" ref="M39" si="47">M23/(L23+M23)</f>
        <v>0.84386617100371752</v>
      </c>
      <c r="N39" s="102">
        <f t="shared" ref="N39" si="48">N23/(N23+O23)</f>
        <v>0.14443556975505858</v>
      </c>
      <c r="O39" s="473">
        <f t="shared" ref="O39" si="49">O23/(N23+O23)</f>
        <v>0.85556443024494144</v>
      </c>
      <c r="P39" s="102">
        <f t="shared" ref="P39" si="50">P23/(P23+Q23)</f>
        <v>0.14400110451470385</v>
      </c>
      <c r="Q39" s="473">
        <f t="shared" ref="Q39" si="51">Q23/(P23+Q23)</f>
        <v>0.85599889548529617</v>
      </c>
    </row>
    <row r="40" spans="1:17" x14ac:dyDescent="0.35">
      <c r="A40" s="16" t="str">
        <f t="shared" si="27"/>
        <v>2024-25</v>
      </c>
      <c r="B40" s="103">
        <f t="shared" ref="B40" si="52">B24/(B24+C24)</f>
        <v>6.4139941690962099E-2</v>
      </c>
      <c r="C40" s="103">
        <f t="shared" ref="C40" si="53">C24/(B24+C24)</f>
        <v>0.93586005830903785</v>
      </c>
      <c r="D40" s="103">
        <f t="shared" ref="D40" si="54">D24/(D24+E24)</f>
        <v>7.5046210720887241E-2</v>
      </c>
      <c r="E40" s="103">
        <f t="shared" ref="E40" si="55">E24/(D24+E24)</f>
        <v>0.92495378927911276</v>
      </c>
      <c r="F40" s="103">
        <f>F24/(F24+G24)</f>
        <v>0.11666666666666667</v>
      </c>
      <c r="G40" s="103">
        <f>G24/(F24+G24)</f>
        <v>0.8833333333333333</v>
      </c>
      <c r="H40" s="103">
        <f t="shared" ref="H40" si="56">H24/(H24+I24)</f>
        <v>0.8128654970760234</v>
      </c>
      <c r="I40" s="103">
        <f t="shared" ref="I40" si="57">I24/(H24+I24)</f>
        <v>0.1871345029239766</v>
      </c>
      <c r="J40" s="103">
        <f t="shared" ref="J40" si="58">J24/(J24+K24)</f>
        <v>0.53653217011995635</v>
      </c>
      <c r="K40" s="103">
        <f t="shared" ref="K40" si="59">K24/(J24+K24)</f>
        <v>0.46346782988004365</v>
      </c>
      <c r="L40" s="103">
        <f t="shared" ref="L40" si="60">L24/(L24+M24)</f>
        <v>0.15384615384615385</v>
      </c>
      <c r="M40" s="474">
        <f t="shared" ref="M40" si="61">M24/(L24+M24)</f>
        <v>0.84615384615384615</v>
      </c>
      <c r="N40" s="103">
        <f t="shared" ref="N40" si="62">N24/(N24+O24)</f>
        <v>0.14597670725251455</v>
      </c>
      <c r="O40" s="474">
        <f t="shared" ref="O40" si="63">O24/(N24+O24)</f>
        <v>0.85402329274748545</v>
      </c>
      <c r="P40" s="103">
        <f t="shared" ref="P40" si="64">P24/(P24+Q24)</f>
        <v>0.14568172456405326</v>
      </c>
      <c r="Q40" s="474">
        <f t="shared" ref="Q40" si="65">Q24/(P24+Q24)</f>
        <v>0.85431827543594674</v>
      </c>
    </row>
    <row r="41" spans="1:17" ht="36.5" customHeight="1" x14ac:dyDescent="0.35">
      <c r="A41" s="1030" t="str">
        <f>"OneYear Change " &amp;A23 &amp; " to " &amp;A24</f>
        <v>OneYear Change 2023-24 to 2024-25</v>
      </c>
      <c r="B41" s="1030"/>
      <c r="C41" s="1030"/>
      <c r="D41" s="12"/>
      <c r="E41" s="12"/>
      <c r="F41" s="12"/>
      <c r="G41" s="12"/>
      <c r="H41" s="12"/>
      <c r="I41" s="12"/>
      <c r="J41" s="12"/>
      <c r="K41" s="12"/>
      <c r="L41" s="15"/>
      <c r="M41" s="99"/>
      <c r="N41" s="15"/>
      <c r="O41" s="15"/>
      <c r="P41" s="15"/>
      <c r="Q41" s="15"/>
    </row>
    <row r="42" spans="1:17" ht="15.65" customHeight="1" x14ac:dyDescent="0.35">
      <c r="A42" s="839" t="s">
        <v>346</v>
      </c>
      <c r="B42" s="104">
        <f>B24-B23</f>
        <v>0</v>
      </c>
      <c r="C42" s="104">
        <f t="shared" ref="C42:Q42" si="66">C24-C23</f>
        <v>8</v>
      </c>
      <c r="D42" s="104">
        <f t="shared" si="66"/>
        <v>12</v>
      </c>
      <c r="E42" s="104">
        <f t="shared" si="66"/>
        <v>-15</v>
      </c>
      <c r="F42" s="104">
        <f t="shared" si="66"/>
        <v>-1</v>
      </c>
      <c r="G42" s="104">
        <f t="shared" si="66"/>
        <v>6</v>
      </c>
      <c r="H42" s="104">
        <f t="shared" si="66"/>
        <v>-3</v>
      </c>
      <c r="I42" s="104">
        <f t="shared" si="66"/>
        <v>3</v>
      </c>
      <c r="J42" s="104">
        <f t="shared" si="66"/>
        <v>10</v>
      </c>
      <c r="K42" s="104">
        <f t="shared" si="66"/>
        <v>20</v>
      </c>
      <c r="L42" s="104">
        <f t="shared" si="66"/>
        <v>0</v>
      </c>
      <c r="M42" s="104">
        <f t="shared" si="66"/>
        <v>4</v>
      </c>
      <c r="N42" s="104">
        <f t="shared" si="66"/>
        <v>18</v>
      </c>
      <c r="O42" s="104">
        <f t="shared" si="66"/>
        <v>26</v>
      </c>
      <c r="P42" s="104">
        <f t="shared" si="66"/>
        <v>18</v>
      </c>
      <c r="Q42" s="104">
        <f t="shared" si="66"/>
        <v>22</v>
      </c>
    </row>
    <row r="43" spans="1:17" ht="15" thickBot="1" x14ac:dyDescent="0.4">
      <c r="A43" s="10" t="s">
        <v>92</v>
      </c>
      <c r="B43" s="11">
        <f>B42/B23</f>
        <v>0</v>
      </c>
      <c r="C43" s="11">
        <f t="shared" ref="C43:Q43" si="67">C42/C23</f>
        <v>2.4984384759525295E-3</v>
      </c>
      <c r="D43" s="11">
        <f t="shared" si="67"/>
        <v>6.2827225130890049E-2</v>
      </c>
      <c r="E43" s="11">
        <f t="shared" si="67"/>
        <v>-5.9594755661501785E-3</v>
      </c>
      <c r="F43" s="11">
        <f t="shared" si="67"/>
        <v>-0.125</v>
      </c>
      <c r="G43" s="11">
        <f t="shared" si="67"/>
        <v>0.1276595744680851</v>
      </c>
      <c r="H43" s="11">
        <f t="shared" si="67"/>
        <v>-2.1126760563380281E-2</v>
      </c>
      <c r="I43" s="11">
        <f t="shared" si="67"/>
        <v>0.10344827586206896</v>
      </c>
      <c r="J43" s="11">
        <f t="shared" si="67"/>
        <v>2.0746887966804978E-2</v>
      </c>
      <c r="K43" s="11">
        <f t="shared" si="67"/>
        <v>4.9382716049382713E-2</v>
      </c>
      <c r="L43" s="11">
        <f t="shared" si="67"/>
        <v>0</v>
      </c>
      <c r="M43" s="11">
        <f t="shared" si="67"/>
        <v>1.7621145374449341E-2</v>
      </c>
      <c r="N43" s="11">
        <f t="shared" si="67"/>
        <v>1.6589861751152075E-2</v>
      </c>
      <c r="O43" s="11">
        <f t="shared" si="67"/>
        <v>4.0454333281468805E-3</v>
      </c>
      <c r="P43" s="11">
        <f t="shared" si="67"/>
        <v>1.725790987535954E-2</v>
      </c>
      <c r="Q43" s="11">
        <f t="shared" si="67"/>
        <v>3.5483870967741938E-3</v>
      </c>
    </row>
    <row r="44" spans="1:17" x14ac:dyDescent="0.35">
      <c r="A44" s="12"/>
      <c r="B44" s="13"/>
      <c r="C44" s="13"/>
      <c r="D44" s="13"/>
      <c r="E44" s="13"/>
      <c r="F44" s="13"/>
      <c r="G44" s="13"/>
      <c r="H44" s="13"/>
      <c r="I44" s="13"/>
      <c r="J44" s="13"/>
      <c r="K44" s="12"/>
      <c r="L44" s="15"/>
      <c r="M44" s="99"/>
      <c r="N44" s="12"/>
      <c r="O44" s="12"/>
      <c r="P44" s="97"/>
      <c r="Q44" s="97"/>
    </row>
    <row r="45" spans="1:17" x14ac:dyDescent="0.35">
      <c r="A45" s="1029" t="str">
        <f>"Five Year Change " &amp;A19 &amp; " to " &amp;A24</f>
        <v>Five Year Change 2019-20 to 2024-25</v>
      </c>
      <c r="B45" s="1029"/>
      <c r="C45" s="1029"/>
      <c r="D45" s="12"/>
      <c r="E45" s="12"/>
      <c r="F45" s="12"/>
      <c r="G45" s="12"/>
      <c r="H45" s="12"/>
      <c r="I45" s="12"/>
      <c r="J45" s="12"/>
      <c r="K45" s="12"/>
      <c r="L45" s="15"/>
      <c r="M45" s="99"/>
      <c r="N45" s="15"/>
      <c r="O45" s="15"/>
      <c r="P45" s="15"/>
      <c r="Q45" s="15"/>
    </row>
    <row r="46" spans="1:17" x14ac:dyDescent="0.35">
      <c r="A46" s="21" t="s">
        <v>346</v>
      </c>
      <c r="B46" s="104">
        <f>B24-B19</f>
        <v>-2</v>
      </c>
      <c r="C46" s="104">
        <f t="shared" ref="C46:Q46" si="68">C24-C19</f>
        <v>-204</v>
      </c>
      <c r="D46" s="104">
        <f t="shared" si="68"/>
        <v>-5</v>
      </c>
      <c r="E46" s="104">
        <f t="shared" si="68"/>
        <v>-227</v>
      </c>
      <c r="F46" s="104">
        <f t="shared" si="68"/>
        <v>0</v>
      </c>
      <c r="G46" s="104">
        <f t="shared" si="68"/>
        <v>24</v>
      </c>
      <c r="H46" s="104">
        <f t="shared" si="68"/>
        <v>-17</v>
      </c>
      <c r="I46" s="104">
        <f t="shared" si="68"/>
        <v>0</v>
      </c>
      <c r="J46" s="104">
        <f t="shared" si="68"/>
        <v>45</v>
      </c>
      <c r="K46" s="104">
        <f t="shared" si="68"/>
        <v>55</v>
      </c>
      <c r="L46" s="104">
        <f t="shared" si="68"/>
        <v>-12</v>
      </c>
      <c r="M46" s="104">
        <f t="shared" si="68"/>
        <v>-30</v>
      </c>
      <c r="N46" s="104">
        <f t="shared" si="68"/>
        <v>9</v>
      </c>
      <c r="O46" s="104">
        <f t="shared" si="68"/>
        <v>-382</v>
      </c>
      <c r="P46" s="104">
        <f t="shared" si="68"/>
        <v>21</v>
      </c>
      <c r="Q46" s="104">
        <f t="shared" si="68"/>
        <v>-352</v>
      </c>
    </row>
    <row r="47" spans="1:17" ht="15" thickBot="1" x14ac:dyDescent="0.4">
      <c r="A47" s="10" t="s">
        <v>92</v>
      </c>
      <c r="B47" s="11">
        <f>B46/B19</f>
        <v>-9.0090090090090089E-3</v>
      </c>
      <c r="C47" s="11">
        <f t="shared" ref="C47:Q47" si="69">C46/C19</f>
        <v>-5.9753954305799648E-2</v>
      </c>
      <c r="D47" s="11">
        <f t="shared" si="69"/>
        <v>-2.403846153846154E-2</v>
      </c>
      <c r="E47" s="11">
        <f t="shared" si="69"/>
        <v>-8.318065225357274E-2</v>
      </c>
      <c r="F47" s="11">
        <f t="shared" si="69"/>
        <v>0</v>
      </c>
      <c r="G47" s="11">
        <f t="shared" si="69"/>
        <v>0.82758620689655171</v>
      </c>
      <c r="H47" s="11">
        <f t="shared" si="69"/>
        <v>-0.10897435897435898</v>
      </c>
      <c r="I47" s="11">
        <f t="shared" si="69"/>
        <v>0</v>
      </c>
      <c r="J47" s="11">
        <f t="shared" si="69"/>
        <v>0.10067114093959731</v>
      </c>
      <c r="K47" s="11">
        <f t="shared" si="69"/>
        <v>0.14864864864864866</v>
      </c>
      <c r="L47" s="11">
        <f t="shared" si="69"/>
        <v>-0.22222222222222221</v>
      </c>
      <c r="M47" s="11">
        <f t="shared" si="69"/>
        <v>-0.11494252873563218</v>
      </c>
      <c r="N47" s="11">
        <f t="shared" si="69"/>
        <v>8.2266910420475316E-3</v>
      </c>
      <c r="O47" s="11">
        <f t="shared" si="69"/>
        <v>-5.5888807607900513E-2</v>
      </c>
      <c r="P47" s="11">
        <f t="shared" si="69"/>
        <v>2.0192307692307693E-2</v>
      </c>
      <c r="Q47" s="11">
        <f t="shared" si="69"/>
        <v>-5.3544265287496194E-2</v>
      </c>
    </row>
    <row r="49" spans="1:1" x14ac:dyDescent="0.35">
      <c r="A49" s="312" t="s">
        <v>748</v>
      </c>
    </row>
    <row r="50" spans="1:1" x14ac:dyDescent="0.35">
      <c r="A50" t="s">
        <v>749</v>
      </c>
    </row>
    <row r="55" spans="1:1" ht="15" customHeight="1" x14ac:dyDescent="0.35"/>
    <row r="64" spans="1:1" ht="15" customHeight="1" x14ac:dyDescent="0.35"/>
  </sheetData>
  <sheetProtection algorithmName="SHA-512" hashValue="+7nUDBmcP3amDKhyIC6YD4c3JsRe1SY/9pCtHmj7L3DY4pPztupHywFR8bXYPVvMgpazc06KCKzbLh/Xy+fwEQ==" saltValue="wO4tAQK0NTE56tw/HnkQLw==" spinCount="100000" sheet="1" scenarios="1" formatCells="0" sort="0" autoFilter="0" pivotTables="0"/>
  <mergeCells count="20">
    <mergeCell ref="N9:O9"/>
    <mergeCell ref="P9:Q9"/>
    <mergeCell ref="A1:E1"/>
    <mergeCell ref="L27:M27"/>
    <mergeCell ref="N27:O27"/>
    <mergeCell ref="P27:Q27"/>
    <mergeCell ref="J27:K27"/>
    <mergeCell ref="A4:Q4"/>
    <mergeCell ref="B9:C9"/>
    <mergeCell ref="D9:E9"/>
    <mergeCell ref="H9:I9"/>
    <mergeCell ref="J9:K9"/>
    <mergeCell ref="L9:M9"/>
    <mergeCell ref="F9:G9"/>
    <mergeCell ref="F27:G27"/>
    <mergeCell ref="A45:C45"/>
    <mergeCell ref="A41:C41"/>
    <mergeCell ref="B27:C27"/>
    <mergeCell ref="D27:E27"/>
    <mergeCell ref="H27:I27"/>
  </mergeCells>
  <phoneticPr fontId="53" type="noConversion"/>
  <hyperlinks>
    <hyperlink ref="A2" location="'Table of Contents'!A1" display="Back to Table of Contents" xr:uid="{00000000-0004-0000-5000-000000000000}"/>
  </hyperlinks>
  <pageMargins left="0.70866141732283472" right="0.70866141732283472" top="0.74803149606299213" bottom="0.74803149606299213" header="0.31496062992125984" footer="0.31496062992125984"/>
  <pageSetup paperSize="9" scale="83"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9" tint="0.39997558519241921"/>
  </sheetPr>
  <dimension ref="A1:D10"/>
  <sheetViews>
    <sheetView workbookViewId="0">
      <selection activeCell="C4" sqref="C4"/>
    </sheetView>
  </sheetViews>
  <sheetFormatPr defaultRowHeight="14.5" x14ac:dyDescent="0.35"/>
  <cols>
    <col min="1" max="1" width="12.6328125" bestFit="1" customWidth="1"/>
    <col min="2" max="2" width="13.6328125" bestFit="1" customWidth="1"/>
    <col min="3" max="3" width="11.54296875" bestFit="1" customWidth="1"/>
    <col min="4" max="4" width="11.453125" bestFit="1" customWidth="1"/>
  </cols>
  <sheetData>
    <row r="1" spans="1:4" x14ac:dyDescent="0.35">
      <c r="A1" s="387" t="s">
        <v>207</v>
      </c>
      <c r="B1" t="s">
        <v>466</v>
      </c>
    </row>
    <row r="3" spans="1:4" x14ac:dyDescent="0.35">
      <c r="A3" s="387" t="s">
        <v>350</v>
      </c>
      <c r="B3" t="s">
        <v>750</v>
      </c>
      <c r="C3" t="s">
        <v>751</v>
      </c>
      <c r="D3" t="s">
        <v>356</v>
      </c>
    </row>
    <row r="4" spans="1:4" x14ac:dyDescent="0.35">
      <c r="A4" s="388" t="s">
        <v>511</v>
      </c>
      <c r="B4">
        <v>139</v>
      </c>
      <c r="C4">
        <v>32</v>
      </c>
      <c r="D4">
        <v>171</v>
      </c>
    </row>
    <row r="5" spans="1:4" x14ac:dyDescent="0.35">
      <c r="A5" s="388" t="s">
        <v>609</v>
      </c>
      <c r="B5">
        <v>203</v>
      </c>
      <c r="C5">
        <v>2502</v>
      </c>
      <c r="D5">
        <v>2705</v>
      </c>
    </row>
    <row r="6" spans="1:4" x14ac:dyDescent="0.35">
      <c r="A6" s="388" t="s">
        <v>510</v>
      </c>
      <c r="B6">
        <v>7</v>
      </c>
      <c r="C6">
        <v>53</v>
      </c>
      <c r="D6">
        <v>60</v>
      </c>
    </row>
    <row r="7" spans="1:4" x14ac:dyDescent="0.35">
      <c r="A7" s="388" t="s">
        <v>512</v>
      </c>
      <c r="B7">
        <v>492</v>
      </c>
      <c r="C7">
        <v>425</v>
      </c>
      <c r="D7">
        <v>917</v>
      </c>
    </row>
    <row r="8" spans="1:4" x14ac:dyDescent="0.35">
      <c r="A8" s="388" t="s">
        <v>634</v>
      </c>
      <c r="B8">
        <v>42</v>
      </c>
      <c r="C8">
        <v>231</v>
      </c>
      <c r="D8">
        <v>273</v>
      </c>
    </row>
    <row r="9" spans="1:4" x14ac:dyDescent="0.35">
      <c r="A9" s="388" t="s">
        <v>633</v>
      </c>
      <c r="B9">
        <v>220</v>
      </c>
      <c r="C9">
        <v>3210</v>
      </c>
      <c r="D9">
        <v>3430</v>
      </c>
    </row>
    <row r="10" spans="1:4" x14ac:dyDescent="0.35">
      <c r="A10" s="388" t="s">
        <v>357</v>
      </c>
      <c r="B10">
        <v>1103</v>
      </c>
      <c r="C10">
        <v>6453</v>
      </c>
      <c r="D10">
        <v>7556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9" tint="0.39997558519241921"/>
  </sheetPr>
  <dimension ref="A1:E68"/>
  <sheetViews>
    <sheetView workbookViewId="0">
      <selection activeCell="C6" sqref="C6"/>
    </sheetView>
  </sheetViews>
  <sheetFormatPr defaultRowHeight="14.5" x14ac:dyDescent="0.35"/>
  <cols>
    <col min="1" max="1" width="7.453125" bestFit="1" customWidth="1"/>
    <col min="2" max="2" width="11.1796875" bestFit="1" customWidth="1"/>
    <col min="3" max="3" width="7.453125" bestFit="1" customWidth="1"/>
    <col min="4" max="4" width="9.1796875" bestFit="1" customWidth="1"/>
    <col min="5" max="5" width="7.26953125" bestFit="1" customWidth="1"/>
  </cols>
  <sheetData>
    <row r="1" spans="1:5" x14ac:dyDescent="0.35">
      <c r="A1" t="s">
        <v>207</v>
      </c>
      <c r="B1" t="s">
        <v>625</v>
      </c>
      <c r="C1" t="s">
        <v>340</v>
      </c>
      <c r="D1" t="s">
        <v>745</v>
      </c>
      <c r="E1" t="s">
        <v>746</v>
      </c>
    </row>
    <row r="2" spans="1:5" x14ac:dyDescent="0.35">
      <c r="A2" t="s">
        <v>365</v>
      </c>
      <c r="B2" t="s">
        <v>634</v>
      </c>
      <c r="C2">
        <v>378</v>
      </c>
      <c r="D2">
        <v>56</v>
      </c>
      <c r="E2">
        <v>322</v>
      </c>
    </row>
    <row r="3" spans="1:5" x14ac:dyDescent="0.35">
      <c r="A3" t="s">
        <v>313</v>
      </c>
      <c r="B3" t="s">
        <v>609</v>
      </c>
      <c r="C3">
        <v>2937</v>
      </c>
      <c r="D3">
        <v>208</v>
      </c>
      <c r="E3">
        <v>2729</v>
      </c>
    </row>
    <row r="4" spans="1:5" x14ac:dyDescent="0.35">
      <c r="A4" t="s">
        <v>326</v>
      </c>
      <c r="B4" t="s">
        <v>510</v>
      </c>
      <c r="C4">
        <v>55</v>
      </c>
      <c r="D4">
        <v>9</v>
      </c>
      <c r="E4">
        <v>46</v>
      </c>
    </row>
    <row r="5" spans="1:5" x14ac:dyDescent="0.35">
      <c r="A5" t="s">
        <v>327</v>
      </c>
      <c r="B5" t="s">
        <v>609</v>
      </c>
      <c r="C5">
        <v>2708</v>
      </c>
      <c r="D5">
        <v>191</v>
      </c>
      <c r="E5">
        <v>2517</v>
      </c>
    </row>
    <row r="6" spans="1:5" x14ac:dyDescent="0.35">
      <c r="A6" t="s">
        <v>327</v>
      </c>
      <c r="B6" t="s">
        <v>512</v>
      </c>
      <c r="C6">
        <v>887</v>
      </c>
      <c r="D6">
        <v>482</v>
      </c>
      <c r="E6">
        <v>405</v>
      </c>
    </row>
    <row r="7" spans="1:5" x14ac:dyDescent="0.35">
      <c r="A7" t="s">
        <v>364</v>
      </c>
      <c r="B7" t="s">
        <v>634</v>
      </c>
      <c r="C7">
        <v>359</v>
      </c>
      <c r="D7">
        <v>52</v>
      </c>
      <c r="E7">
        <v>307</v>
      </c>
    </row>
    <row r="8" spans="1:5" x14ac:dyDescent="0.35">
      <c r="A8" t="s">
        <v>365</v>
      </c>
      <c r="B8" t="s">
        <v>633</v>
      </c>
      <c r="C8">
        <v>3856</v>
      </c>
      <c r="D8">
        <v>164</v>
      </c>
      <c r="E8">
        <v>3692</v>
      </c>
    </row>
    <row r="9" spans="1:5" x14ac:dyDescent="0.35">
      <c r="A9" t="s">
        <v>341</v>
      </c>
      <c r="B9" t="s">
        <v>609</v>
      </c>
      <c r="C9">
        <v>2870</v>
      </c>
      <c r="D9">
        <v>158</v>
      </c>
      <c r="E9">
        <v>2712</v>
      </c>
    </row>
    <row r="10" spans="1:5" x14ac:dyDescent="0.35">
      <c r="A10" t="s">
        <v>341</v>
      </c>
      <c r="B10" t="s">
        <v>512</v>
      </c>
      <c r="C10">
        <v>838</v>
      </c>
      <c r="D10">
        <v>466</v>
      </c>
      <c r="E10">
        <v>372</v>
      </c>
    </row>
    <row r="11" spans="1:5" x14ac:dyDescent="0.35">
      <c r="A11" t="s">
        <v>214</v>
      </c>
      <c r="B11" t="s">
        <v>633</v>
      </c>
      <c r="C11">
        <v>3637</v>
      </c>
      <c r="D11">
        <v>196</v>
      </c>
      <c r="E11">
        <v>3441</v>
      </c>
    </row>
    <row r="12" spans="1:5" x14ac:dyDescent="0.35">
      <c r="A12" t="s">
        <v>321</v>
      </c>
      <c r="B12" t="s">
        <v>633</v>
      </c>
      <c r="C12">
        <v>3530</v>
      </c>
      <c r="D12">
        <v>225</v>
      </c>
      <c r="E12">
        <v>3305</v>
      </c>
    </row>
    <row r="13" spans="1:5" x14ac:dyDescent="0.35">
      <c r="A13" t="s">
        <v>326</v>
      </c>
      <c r="B13" t="s">
        <v>633</v>
      </c>
      <c r="C13">
        <v>3490</v>
      </c>
      <c r="D13">
        <v>227</v>
      </c>
      <c r="E13">
        <v>3263</v>
      </c>
    </row>
    <row r="14" spans="1:5" x14ac:dyDescent="0.35">
      <c r="A14" t="s">
        <v>466</v>
      </c>
      <c r="B14" t="s">
        <v>512</v>
      </c>
      <c r="C14">
        <v>917</v>
      </c>
      <c r="D14">
        <v>492</v>
      </c>
      <c r="E14">
        <v>425</v>
      </c>
    </row>
    <row r="15" spans="1:5" x14ac:dyDescent="0.35">
      <c r="A15" t="s">
        <v>364</v>
      </c>
      <c r="B15" t="s">
        <v>511</v>
      </c>
      <c r="C15">
        <v>223</v>
      </c>
      <c r="D15">
        <v>199</v>
      </c>
      <c r="E15">
        <v>24</v>
      </c>
    </row>
    <row r="16" spans="1:5" x14ac:dyDescent="0.35">
      <c r="A16" t="s">
        <v>365</v>
      </c>
      <c r="B16" t="s">
        <v>609</v>
      </c>
      <c r="C16">
        <v>2950</v>
      </c>
      <c r="D16">
        <v>172</v>
      </c>
      <c r="E16">
        <v>2778</v>
      </c>
    </row>
    <row r="17" spans="1:5" x14ac:dyDescent="0.35">
      <c r="A17" t="s">
        <v>366</v>
      </c>
      <c r="B17" t="s">
        <v>633</v>
      </c>
      <c r="C17">
        <v>3690</v>
      </c>
      <c r="D17">
        <v>167</v>
      </c>
      <c r="E17">
        <v>3523</v>
      </c>
    </row>
    <row r="18" spans="1:5" x14ac:dyDescent="0.35">
      <c r="A18" t="s">
        <v>313</v>
      </c>
      <c r="B18" t="s">
        <v>511</v>
      </c>
      <c r="C18">
        <v>188</v>
      </c>
      <c r="D18">
        <v>156</v>
      </c>
      <c r="E18">
        <v>32</v>
      </c>
    </row>
    <row r="19" spans="1:5" x14ac:dyDescent="0.35">
      <c r="A19" t="s">
        <v>313</v>
      </c>
      <c r="B19" t="s">
        <v>510</v>
      </c>
      <c r="C19">
        <v>36</v>
      </c>
      <c r="D19">
        <v>7</v>
      </c>
      <c r="E19">
        <v>29</v>
      </c>
    </row>
    <row r="20" spans="1:5" x14ac:dyDescent="0.35">
      <c r="A20" t="s">
        <v>366</v>
      </c>
      <c r="B20" t="s">
        <v>634</v>
      </c>
      <c r="C20">
        <v>342</v>
      </c>
      <c r="D20">
        <v>56</v>
      </c>
      <c r="E20">
        <v>286</v>
      </c>
    </row>
    <row r="21" spans="1:5" x14ac:dyDescent="0.35">
      <c r="A21" t="s">
        <v>342</v>
      </c>
      <c r="B21" t="s">
        <v>512</v>
      </c>
      <c r="C21">
        <v>846</v>
      </c>
      <c r="D21">
        <v>476</v>
      </c>
      <c r="E21">
        <v>370</v>
      </c>
    </row>
    <row r="22" spans="1:5" x14ac:dyDescent="0.35">
      <c r="A22" t="s">
        <v>214</v>
      </c>
      <c r="B22" t="s">
        <v>512</v>
      </c>
      <c r="C22">
        <v>792</v>
      </c>
      <c r="D22">
        <v>427</v>
      </c>
      <c r="E22">
        <v>365</v>
      </c>
    </row>
    <row r="23" spans="1:5" x14ac:dyDescent="0.35">
      <c r="A23" t="s">
        <v>313</v>
      </c>
      <c r="B23" t="s">
        <v>512</v>
      </c>
      <c r="C23">
        <v>817</v>
      </c>
      <c r="D23">
        <v>447</v>
      </c>
      <c r="E23">
        <v>370</v>
      </c>
    </row>
    <row r="24" spans="1:5" x14ac:dyDescent="0.35">
      <c r="A24" t="s">
        <v>319</v>
      </c>
      <c r="B24" t="s">
        <v>609</v>
      </c>
      <c r="C24">
        <v>2872</v>
      </c>
      <c r="D24">
        <v>197</v>
      </c>
      <c r="E24">
        <v>2675</v>
      </c>
    </row>
    <row r="25" spans="1:5" x14ac:dyDescent="0.35">
      <c r="A25" t="s">
        <v>319</v>
      </c>
      <c r="B25" t="s">
        <v>634</v>
      </c>
      <c r="C25">
        <v>303</v>
      </c>
      <c r="D25">
        <v>52</v>
      </c>
      <c r="E25">
        <v>251</v>
      </c>
    </row>
    <row r="26" spans="1:5" x14ac:dyDescent="0.35">
      <c r="A26" t="s">
        <v>321</v>
      </c>
      <c r="B26" t="s">
        <v>634</v>
      </c>
      <c r="C26">
        <v>277</v>
      </c>
      <c r="D26">
        <v>46</v>
      </c>
      <c r="E26">
        <v>231</v>
      </c>
    </row>
    <row r="27" spans="1:5" x14ac:dyDescent="0.35">
      <c r="A27" t="s">
        <v>327</v>
      </c>
      <c r="B27" t="s">
        <v>633</v>
      </c>
      <c r="C27">
        <v>3422</v>
      </c>
      <c r="D27">
        <v>220</v>
      </c>
      <c r="E27">
        <v>3202</v>
      </c>
    </row>
    <row r="28" spans="1:5" x14ac:dyDescent="0.35">
      <c r="A28" t="s">
        <v>365</v>
      </c>
      <c r="B28" t="s">
        <v>512</v>
      </c>
      <c r="C28">
        <v>867</v>
      </c>
      <c r="D28">
        <v>480</v>
      </c>
      <c r="E28">
        <v>387</v>
      </c>
    </row>
    <row r="29" spans="1:5" x14ac:dyDescent="0.35">
      <c r="A29" t="s">
        <v>366</v>
      </c>
      <c r="B29" t="s">
        <v>511</v>
      </c>
      <c r="C29">
        <v>203</v>
      </c>
      <c r="D29">
        <v>171</v>
      </c>
      <c r="E29">
        <v>32</v>
      </c>
    </row>
    <row r="30" spans="1:5" x14ac:dyDescent="0.35">
      <c r="A30" t="s">
        <v>341</v>
      </c>
      <c r="B30" t="s">
        <v>511</v>
      </c>
      <c r="C30">
        <v>165</v>
      </c>
      <c r="D30">
        <v>139</v>
      </c>
      <c r="E30">
        <v>26</v>
      </c>
    </row>
    <row r="31" spans="1:5" x14ac:dyDescent="0.35">
      <c r="A31" t="s">
        <v>342</v>
      </c>
      <c r="B31" t="s">
        <v>633</v>
      </c>
      <c r="C31">
        <v>3546</v>
      </c>
      <c r="D31">
        <v>175</v>
      </c>
      <c r="E31">
        <v>3371</v>
      </c>
    </row>
    <row r="32" spans="1:5" x14ac:dyDescent="0.35">
      <c r="A32" t="s">
        <v>319</v>
      </c>
      <c r="B32" t="s">
        <v>511</v>
      </c>
      <c r="C32">
        <v>182</v>
      </c>
      <c r="D32">
        <v>151</v>
      </c>
      <c r="E32">
        <v>31</v>
      </c>
    </row>
    <row r="33" spans="1:5" x14ac:dyDescent="0.35">
      <c r="A33" t="s">
        <v>319</v>
      </c>
      <c r="B33" t="s">
        <v>633</v>
      </c>
      <c r="C33">
        <v>3581</v>
      </c>
      <c r="D33">
        <v>219</v>
      </c>
      <c r="E33">
        <v>3362</v>
      </c>
    </row>
    <row r="34" spans="1:5" x14ac:dyDescent="0.35">
      <c r="A34" t="s">
        <v>326</v>
      </c>
      <c r="B34" t="s">
        <v>512</v>
      </c>
      <c r="C34">
        <v>901</v>
      </c>
      <c r="D34">
        <v>484</v>
      </c>
      <c r="E34">
        <v>417</v>
      </c>
    </row>
    <row r="35" spans="1:5" x14ac:dyDescent="0.35">
      <c r="A35" t="s">
        <v>326</v>
      </c>
      <c r="B35" t="s">
        <v>634</v>
      </c>
      <c r="C35">
        <v>266</v>
      </c>
      <c r="D35">
        <v>40</v>
      </c>
      <c r="E35">
        <v>226</v>
      </c>
    </row>
    <row r="36" spans="1:5" x14ac:dyDescent="0.35">
      <c r="A36" t="s">
        <v>364</v>
      </c>
      <c r="B36" t="s">
        <v>609</v>
      </c>
      <c r="C36">
        <v>2940</v>
      </c>
      <c r="D36">
        <v>178</v>
      </c>
      <c r="E36">
        <v>2762</v>
      </c>
    </row>
    <row r="37" spans="1:5" x14ac:dyDescent="0.35">
      <c r="A37" t="s">
        <v>341</v>
      </c>
      <c r="B37" t="s">
        <v>634</v>
      </c>
      <c r="C37">
        <v>316</v>
      </c>
      <c r="D37">
        <v>48</v>
      </c>
      <c r="E37">
        <v>268</v>
      </c>
    </row>
    <row r="38" spans="1:5" x14ac:dyDescent="0.35">
      <c r="A38" t="s">
        <v>342</v>
      </c>
      <c r="B38" t="s">
        <v>511</v>
      </c>
      <c r="C38">
        <v>189</v>
      </c>
      <c r="D38">
        <v>158</v>
      </c>
      <c r="E38">
        <v>31</v>
      </c>
    </row>
    <row r="39" spans="1:5" x14ac:dyDescent="0.35">
      <c r="A39" t="s">
        <v>342</v>
      </c>
      <c r="B39" t="s">
        <v>609</v>
      </c>
      <c r="C39">
        <v>2863</v>
      </c>
      <c r="D39">
        <v>171</v>
      </c>
      <c r="E39">
        <v>2692</v>
      </c>
    </row>
    <row r="40" spans="1:5" x14ac:dyDescent="0.35">
      <c r="A40" t="s">
        <v>342</v>
      </c>
      <c r="B40" t="s">
        <v>634</v>
      </c>
      <c r="C40">
        <v>332</v>
      </c>
      <c r="D40">
        <v>55</v>
      </c>
      <c r="E40">
        <v>277</v>
      </c>
    </row>
    <row r="41" spans="1:5" x14ac:dyDescent="0.35">
      <c r="A41" t="s">
        <v>214</v>
      </c>
      <c r="B41" t="s">
        <v>510</v>
      </c>
      <c r="C41">
        <v>18</v>
      </c>
      <c r="D41">
        <v>1</v>
      </c>
      <c r="E41">
        <v>17</v>
      </c>
    </row>
    <row r="42" spans="1:5" x14ac:dyDescent="0.35">
      <c r="A42" t="s">
        <v>321</v>
      </c>
      <c r="B42" t="s">
        <v>609</v>
      </c>
      <c r="C42">
        <v>2758</v>
      </c>
      <c r="D42">
        <v>191</v>
      </c>
      <c r="E42">
        <v>2567</v>
      </c>
    </row>
    <row r="43" spans="1:5" x14ac:dyDescent="0.35">
      <c r="A43" t="s">
        <v>327</v>
      </c>
      <c r="B43" t="s">
        <v>510</v>
      </c>
      <c r="C43">
        <v>55</v>
      </c>
      <c r="D43">
        <v>8</v>
      </c>
      <c r="E43">
        <v>47</v>
      </c>
    </row>
    <row r="44" spans="1:5" x14ac:dyDescent="0.35">
      <c r="A44" t="s">
        <v>466</v>
      </c>
      <c r="B44" t="s">
        <v>609</v>
      </c>
      <c r="C44">
        <v>2705</v>
      </c>
      <c r="D44">
        <v>203</v>
      </c>
      <c r="E44">
        <v>2502</v>
      </c>
    </row>
    <row r="45" spans="1:5" x14ac:dyDescent="0.35">
      <c r="A45" t="s">
        <v>466</v>
      </c>
      <c r="B45" t="s">
        <v>634</v>
      </c>
      <c r="C45">
        <v>273</v>
      </c>
      <c r="D45">
        <v>42</v>
      </c>
      <c r="E45">
        <v>231</v>
      </c>
    </row>
    <row r="46" spans="1:5" x14ac:dyDescent="0.35">
      <c r="A46" t="s">
        <v>364</v>
      </c>
      <c r="B46" t="s">
        <v>633</v>
      </c>
      <c r="C46">
        <v>4001</v>
      </c>
      <c r="D46">
        <v>159</v>
      </c>
      <c r="E46">
        <v>3842</v>
      </c>
    </row>
    <row r="47" spans="1:5" x14ac:dyDescent="0.35">
      <c r="A47" t="s">
        <v>366</v>
      </c>
      <c r="B47" t="s">
        <v>609</v>
      </c>
      <c r="C47">
        <v>2870</v>
      </c>
      <c r="D47">
        <v>163</v>
      </c>
      <c r="E47">
        <v>2707</v>
      </c>
    </row>
    <row r="48" spans="1:5" x14ac:dyDescent="0.35">
      <c r="A48" t="s">
        <v>341</v>
      </c>
      <c r="B48" t="s">
        <v>633</v>
      </c>
      <c r="C48">
        <v>3645</v>
      </c>
      <c r="D48">
        <v>178</v>
      </c>
      <c r="E48">
        <v>3467</v>
      </c>
    </row>
    <row r="49" spans="1:5" x14ac:dyDescent="0.35">
      <c r="A49" t="s">
        <v>214</v>
      </c>
      <c r="B49" t="s">
        <v>609</v>
      </c>
      <c r="C49">
        <v>2935</v>
      </c>
      <c r="D49">
        <v>201</v>
      </c>
      <c r="E49">
        <v>2734</v>
      </c>
    </row>
    <row r="50" spans="1:5" x14ac:dyDescent="0.35">
      <c r="A50" t="s">
        <v>214</v>
      </c>
      <c r="B50" t="s">
        <v>634</v>
      </c>
      <c r="C50">
        <v>317</v>
      </c>
      <c r="D50">
        <v>54</v>
      </c>
      <c r="E50">
        <v>263</v>
      </c>
    </row>
    <row r="51" spans="1:5" x14ac:dyDescent="0.35">
      <c r="A51" t="s">
        <v>319</v>
      </c>
      <c r="B51" t="s">
        <v>512</v>
      </c>
      <c r="C51">
        <v>835</v>
      </c>
      <c r="D51">
        <v>461</v>
      </c>
      <c r="E51">
        <v>374</v>
      </c>
    </row>
    <row r="52" spans="1:5" x14ac:dyDescent="0.35">
      <c r="A52" t="s">
        <v>321</v>
      </c>
      <c r="B52" t="s">
        <v>511</v>
      </c>
      <c r="C52">
        <v>174</v>
      </c>
      <c r="D52">
        <v>146</v>
      </c>
      <c r="E52">
        <v>28</v>
      </c>
    </row>
    <row r="53" spans="1:5" x14ac:dyDescent="0.35">
      <c r="A53" t="s">
        <v>321</v>
      </c>
      <c r="B53" t="s">
        <v>510</v>
      </c>
      <c r="C53">
        <v>53</v>
      </c>
      <c r="D53">
        <v>10</v>
      </c>
      <c r="E53">
        <v>43</v>
      </c>
    </row>
    <row r="54" spans="1:5" x14ac:dyDescent="0.35">
      <c r="A54" t="s">
        <v>321</v>
      </c>
      <c r="B54" t="s">
        <v>512</v>
      </c>
      <c r="C54">
        <v>920</v>
      </c>
      <c r="D54">
        <v>501</v>
      </c>
      <c r="E54">
        <v>419</v>
      </c>
    </row>
    <row r="55" spans="1:5" x14ac:dyDescent="0.35">
      <c r="A55" t="s">
        <v>326</v>
      </c>
      <c r="B55" t="s">
        <v>511</v>
      </c>
      <c r="C55">
        <v>172</v>
      </c>
      <c r="D55">
        <v>144</v>
      </c>
      <c r="E55">
        <v>28</v>
      </c>
    </row>
    <row r="56" spans="1:5" x14ac:dyDescent="0.35">
      <c r="A56" t="s">
        <v>466</v>
      </c>
      <c r="B56" t="s">
        <v>510</v>
      </c>
      <c r="C56">
        <v>60</v>
      </c>
      <c r="D56">
        <v>7</v>
      </c>
      <c r="E56">
        <v>53</v>
      </c>
    </row>
    <row r="57" spans="1:5" x14ac:dyDescent="0.35">
      <c r="A57" t="s">
        <v>466</v>
      </c>
      <c r="B57" t="s">
        <v>633</v>
      </c>
      <c r="C57">
        <v>3430</v>
      </c>
      <c r="D57">
        <v>220</v>
      </c>
      <c r="E57">
        <v>3210</v>
      </c>
    </row>
    <row r="58" spans="1:5" x14ac:dyDescent="0.35">
      <c r="A58" t="s">
        <v>364</v>
      </c>
      <c r="B58" t="s">
        <v>512</v>
      </c>
      <c r="C58">
        <v>961</v>
      </c>
      <c r="D58">
        <v>545</v>
      </c>
      <c r="E58">
        <v>416</v>
      </c>
    </row>
    <row r="59" spans="1:5" x14ac:dyDescent="0.35">
      <c r="A59" t="s">
        <v>365</v>
      </c>
      <c r="B59" t="s">
        <v>511</v>
      </c>
      <c r="C59">
        <v>230</v>
      </c>
      <c r="D59">
        <v>192</v>
      </c>
      <c r="E59">
        <v>38</v>
      </c>
    </row>
    <row r="60" spans="1:5" x14ac:dyDescent="0.35">
      <c r="A60" t="s">
        <v>366</v>
      </c>
      <c r="B60" t="s">
        <v>512</v>
      </c>
      <c r="C60">
        <v>828</v>
      </c>
      <c r="D60">
        <v>463</v>
      </c>
      <c r="E60">
        <v>365</v>
      </c>
    </row>
    <row r="61" spans="1:5" x14ac:dyDescent="0.35">
      <c r="A61" t="s">
        <v>214</v>
      </c>
      <c r="B61" t="s">
        <v>511</v>
      </c>
      <c r="C61">
        <v>207</v>
      </c>
      <c r="D61">
        <v>172</v>
      </c>
      <c r="E61">
        <v>35</v>
      </c>
    </row>
    <row r="62" spans="1:5" x14ac:dyDescent="0.35">
      <c r="A62" t="s">
        <v>313</v>
      </c>
      <c r="B62" t="s">
        <v>634</v>
      </c>
      <c r="C62">
        <v>315</v>
      </c>
      <c r="D62">
        <v>54</v>
      </c>
      <c r="E62">
        <v>261</v>
      </c>
    </row>
    <row r="63" spans="1:5" x14ac:dyDescent="0.35">
      <c r="A63" t="s">
        <v>313</v>
      </c>
      <c r="B63" t="s">
        <v>633</v>
      </c>
      <c r="C63">
        <v>3636</v>
      </c>
      <c r="D63">
        <v>222</v>
      </c>
      <c r="E63">
        <v>3414</v>
      </c>
    </row>
    <row r="64" spans="1:5" x14ac:dyDescent="0.35">
      <c r="A64" t="s">
        <v>319</v>
      </c>
      <c r="B64" t="s">
        <v>510</v>
      </c>
      <c r="C64">
        <v>54</v>
      </c>
      <c r="D64">
        <v>11</v>
      </c>
      <c r="E64">
        <v>43</v>
      </c>
    </row>
    <row r="65" spans="1:5" x14ac:dyDescent="0.35">
      <c r="A65" t="s">
        <v>326</v>
      </c>
      <c r="B65" t="s">
        <v>609</v>
      </c>
      <c r="C65">
        <v>2735</v>
      </c>
      <c r="D65">
        <v>185</v>
      </c>
      <c r="E65">
        <v>2550</v>
      </c>
    </row>
    <row r="66" spans="1:5" x14ac:dyDescent="0.35">
      <c r="A66" t="s">
        <v>327</v>
      </c>
      <c r="B66" t="s">
        <v>511</v>
      </c>
      <c r="C66">
        <v>171</v>
      </c>
      <c r="D66">
        <v>142</v>
      </c>
      <c r="E66">
        <v>29</v>
      </c>
    </row>
    <row r="67" spans="1:5" x14ac:dyDescent="0.35">
      <c r="A67" t="s">
        <v>327</v>
      </c>
      <c r="B67" t="s">
        <v>634</v>
      </c>
      <c r="C67">
        <v>269</v>
      </c>
      <c r="D67">
        <v>42</v>
      </c>
      <c r="E67">
        <v>227</v>
      </c>
    </row>
    <row r="68" spans="1:5" x14ac:dyDescent="0.35">
      <c r="A68" t="s">
        <v>466</v>
      </c>
      <c r="B68" t="s">
        <v>511</v>
      </c>
      <c r="C68">
        <v>171</v>
      </c>
      <c r="D68">
        <v>139</v>
      </c>
      <c r="E68">
        <v>32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4" tint="0.59999389629810485"/>
    <pageSetUpPr fitToPage="1"/>
  </sheetPr>
  <dimension ref="A1:I46"/>
  <sheetViews>
    <sheetView showGridLines="0" zoomScaleNormal="100" zoomScaleSheetLayoutView="100" workbookViewId="0">
      <pane ySplit="2" topLeftCell="A3" activePane="bottomLeft" state="frozen"/>
      <selection pane="bottomLeft" sqref="A1:C1"/>
    </sheetView>
  </sheetViews>
  <sheetFormatPr defaultRowHeight="14.5" x14ac:dyDescent="0.35"/>
  <cols>
    <col min="1" max="1" width="17.7265625" customWidth="1"/>
    <col min="2" max="2" width="21.54296875" bestFit="1" customWidth="1"/>
    <col min="3" max="3" width="19.1796875" bestFit="1" customWidth="1"/>
    <col min="4" max="4" width="24" bestFit="1" customWidth="1"/>
    <col min="5" max="5" width="17.81640625" customWidth="1"/>
    <col min="6" max="6" width="15.7265625" customWidth="1"/>
    <col min="7" max="7" width="11.7265625" customWidth="1"/>
    <col min="8" max="8" width="7.54296875" bestFit="1" customWidth="1"/>
    <col min="9" max="9" width="21.54296875" bestFit="1" customWidth="1"/>
    <col min="10" max="10" width="19.1796875" bestFit="1" customWidth="1"/>
    <col min="11" max="11" width="24" bestFit="1" customWidth="1"/>
    <col min="12" max="12" width="9.54296875" bestFit="1" customWidth="1"/>
    <col min="13" max="13" width="9.81640625" bestFit="1" customWidth="1"/>
    <col min="14" max="14" width="5.54296875" bestFit="1" customWidth="1"/>
  </cols>
  <sheetData>
    <row r="1" spans="1:6" ht="15.5" x14ac:dyDescent="0.35">
      <c r="A1" s="1011" t="s">
        <v>333</v>
      </c>
      <c r="B1" s="1011"/>
      <c r="C1" s="1011"/>
    </row>
    <row r="2" spans="1:6" ht="15.5" x14ac:dyDescent="0.35">
      <c r="A2" s="499" t="s">
        <v>201</v>
      </c>
      <c r="B2" s="441"/>
      <c r="C2" s="441"/>
    </row>
    <row r="3" spans="1:6" ht="15.5" x14ac:dyDescent="0.35">
      <c r="D3" s="187"/>
      <c r="E3" s="187"/>
      <c r="F3" s="187"/>
    </row>
    <row r="4" spans="1:6" ht="15.75" customHeight="1" x14ac:dyDescent="0.35">
      <c r="A4" s="1012" t="s">
        <v>359</v>
      </c>
      <c r="B4" s="1012"/>
      <c r="C4" s="1012"/>
      <c r="D4" s="1012"/>
      <c r="E4" s="1012"/>
      <c r="F4" s="1012"/>
    </row>
    <row r="5" spans="1:6" ht="15.75" customHeight="1" x14ac:dyDescent="0.35">
      <c r="A5" t="s">
        <v>202</v>
      </c>
      <c r="B5" t="s">
        <v>35</v>
      </c>
      <c r="C5" s="233"/>
      <c r="D5" s="233"/>
      <c r="E5" s="233"/>
      <c r="F5" s="233"/>
    </row>
    <row r="6" spans="1:6" ht="15.75" customHeight="1" x14ac:dyDescent="0.35">
      <c r="A6" t="s">
        <v>203</v>
      </c>
      <c r="B6" t="s">
        <v>204</v>
      </c>
      <c r="C6" s="233"/>
      <c r="D6" s="233"/>
      <c r="E6" s="233"/>
      <c r="F6" s="233"/>
    </row>
    <row r="7" spans="1:6" ht="15.75" customHeight="1" x14ac:dyDescent="0.35">
      <c r="A7" t="s">
        <v>205</v>
      </c>
      <c r="B7" t="s">
        <v>206</v>
      </c>
      <c r="C7" s="233"/>
      <c r="D7" s="233"/>
      <c r="E7" s="233"/>
      <c r="F7" s="233"/>
    </row>
    <row r="8" spans="1:6" ht="15.75" customHeight="1" x14ac:dyDescent="0.35">
      <c r="A8" s="233"/>
      <c r="B8" s="233"/>
      <c r="C8" s="233"/>
      <c r="D8" s="233"/>
      <c r="E8" s="233"/>
      <c r="F8" s="233"/>
    </row>
    <row r="9" spans="1:6" x14ac:dyDescent="0.35">
      <c r="A9" s="25"/>
      <c r="B9" s="111"/>
      <c r="C9" s="223"/>
      <c r="D9" s="300"/>
      <c r="E9" s="128" t="s">
        <v>346</v>
      </c>
      <c r="F9" s="110"/>
    </row>
    <row r="10" spans="1:6" x14ac:dyDescent="0.35">
      <c r="A10" s="183" t="s">
        <v>207</v>
      </c>
      <c r="B10" s="110" t="s">
        <v>335</v>
      </c>
      <c r="C10" s="110" t="s">
        <v>360</v>
      </c>
      <c r="D10" s="110" t="s">
        <v>361</v>
      </c>
      <c r="E10" s="188" t="s">
        <v>339</v>
      </c>
      <c r="F10" s="390" t="s">
        <v>340</v>
      </c>
    </row>
    <row r="11" spans="1:6" x14ac:dyDescent="0.35">
      <c r="A11" s="176" t="s">
        <v>362</v>
      </c>
      <c r="B11" s="651">
        <v>74</v>
      </c>
      <c r="C11" s="651">
        <v>4</v>
      </c>
      <c r="D11" s="651">
        <v>241</v>
      </c>
      <c r="E11" s="651">
        <v>53</v>
      </c>
      <c r="F11" s="652">
        <v>372</v>
      </c>
    </row>
    <row r="12" spans="1:6" x14ac:dyDescent="0.35">
      <c r="A12" s="176" t="s">
        <v>363</v>
      </c>
      <c r="B12" s="651">
        <v>74</v>
      </c>
      <c r="C12" s="651">
        <v>4</v>
      </c>
      <c r="D12" s="651">
        <v>236</v>
      </c>
      <c r="E12" s="651">
        <v>43</v>
      </c>
      <c r="F12" s="652">
        <v>357</v>
      </c>
    </row>
    <row r="13" spans="1:6" x14ac:dyDescent="0.35">
      <c r="A13" s="176" t="s">
        <v>364</v>
      </c>
      <c r="B13" s="651">
        <v>74</v>
      </c>
      <c r="C13" s="651">
        <v>3</v>
      </c>
      <c r="D13" s="651">
        <v>237</v>
      </c>
      <c r="E13" s="651">
        <v>43</v>
      </c>
      <c r="F13" s="652">
        <v>357</v>
      </c>
    </row>
    <row r="14" spans="1:6" x14ac:dyDescent="0.35">
      <c r="A14" s="176" t="s">
        <v>365</v>
      </c>
      <c r="B14" s="651">
        <v>74</v>
      </c>
      <c r="C14" s="651">
        <v>0</v>
      </c>
      <c r="D14" s="651">
        <v>240</v>
      </c>
      <c r="E14" s="651">
        <v>43</v>
      </c>
      <c r="F14" s="653">
        <v>357</v>
      </c>
    </row>
    <row r="15" spans="1:6" x14ac:dyDescent="0.35">
      <c r="A15" s="176" t="s">
        <v>366</v>
      </c>
      <c r="B15" s="651">
        <v>74</v>
      </c>
      <c r="C15" s="651">
        <v>0</v>
      </c>
      <c r="D15" s="651">
        <v>240</v>
      </c>
      <c r="E15" s="651">
        <v>43</v>
      </c>
      <c r="F15" s="653">
        <v>357</v>
      </c>
    </row>
    <row r="16" spans="1:6" x14ac:dyDescent="0.35">
      <c r="A16" s="176" t="s">
        <v>341</v>
      </c>
      <c r="B16" s="651">
        <v>74</v>
      </c>
      <c r="C16" s="651">
        <v>0</v>
      </c>
      <c r="D16" s="651">
        <v>240</v>
      </c>
      <c r="E16" s="651">
        <v>43</v>
      </c>
      <c r="F16" s="653">
        <v>357</v>
      </c>
    </row>
    <row r="17" spans="1:6" x14ac:dyDescent="0.35">
      <c r="A17" s="176" t="s">
        <v>342</v>
      </c>
      <c r="B17" s="651">
        <v>74</v>
      </c>
      <c r="C17" s="651">
        <v>0</v>
      </c>
      <c r="D17" s="651">
        <v>240</v>
      </c>
      <c r="E17" s="651">
        <v>43</v>
      </c>
      <c r="F17" s="653">
        <v>357</v>
      </c>
    </row>
    <row r="18" spans="1:6" x14ac:dyDescent="0.35">
      <c r="A18" s="176" t="s">
        <v>214</v>
      </c>
      <c r="B18" s="651">
        <v>74</v>
      </c>
      <c r="C18" s="651">
        <v>0</v>
      </c>
      <c r="D18" s="651">
        <v>240</v>
      </c>
      <c r="E18" s="651">
        <v>43</v>
      </c>
      <c r="F18" s="653">
        <v>357</v>
      </c>
    </row>
    <row r="19" spans="1:6" x14ac:dyDescent="0.35">
      <c r="A19" s="176" t="s">
        <v>313</v>
      </c>
      <c r="B19" s="651">
        <v>74</v>
      </c>
      <c r="C19" s="651">
        <v>0</v>
      </c>
      <c r="D19" s="651">
        <v>240</v>
      </c>
      <c r="E19" s="651">
        <v>43</v>
      </c>
      <c r="F19" s="653">
        <v>357</v>
      </c>
    </row>
    <row r="20" spans="1:6" x14ac:dyDescent="0.35">
      <c r="A20" s="176" t="s">
        <v>319</v>
      </c>
      <c r="B20" s="656">
        <v>74</v>
      </c>
      <c r="C20" s="651">
        <v>0</v>
      </c>
      <c r="D20" s="651">
        <v>240</v>
      </c>
      <c r="E20" s="748">
        <v>43</v>
      </c>
      <c r="F20" s="657">
        <v>357</v>
      </c>
    </row>
    <row r="21" spans="1:6" x14ac:dyDescent="0.35">
      <c r="A21" s="176" t="s">
        <v>321</v>
      </c>
      <c r="B21" s="656">
        <v>74</v>
      </c>
      <c r="C21" s="651">
        <v>0</v>
      </c>
      <c r="D21" s="651">
        <v>240</v>
      </c>
      <c r="E21" s="748">
        <v>43</v>
      </c>
      <c r="F21" s="657">
        <v>357</v>
      </c>
    </row>
    <row r="22" spans="1:6" x14ac:dyDescent="0.35">
      <c r="A22" s="131" t="s">
        <v>326</v>
      </c>
      <c r="B22" s="656">
        <v>74</v>
      </c>
      <c r="C22" s="651">
        <v>0</v>
      </c>
      <c r="D22" s="651">
        <v>240</v>
      </c>
      <c r="E22" s="748">
        <v>43</v>
      </c>
      <c r="F22" s="657">
        <v>357</v>
      </c>
    </row>
    <row r="23" spans="1:6" x14ac:dyDescent="0.35">
      <c r="A23" s="131" t="s">
        <v>327</v>
      </c>
      <c r="B23" s="656">
        <v>74</v>
      </c>
      <c r="C23" s="651">
        <v>0</v>
      </c>
      <c r="D23" s="651">
        <v>240</v>
      </c>
      <c r="E23" s="748">
        <v>42</v>
      </c>
      <c r="F23" s="657">
        <v>356</v>
      </c>
    </row>
    <row r="24" spans="1:6" ht="15" thickBot="1" x14ac:dyDescent="0.4">
      <c r="A24" s="506" t="s">
        <v>466</v>
      </c>
      <c r="B24" s="654">
        <v>74</v>
      </c>
      <c r="C24" s="655">
        <v>0</v>
      </c>
      <c r="D24" s="655">
        <v>240</v>
      </c>
      <c r="E24" s="987">
        <v>42</v>
      </c>
      <c r="F24" s="988">
        <v>356</v>
      </c>
    </row>
    <row r="25" spans="1:6" x14ac:dyDescent="0.35">
      <c r="A25" s="25"/>
      <c r="B25" s="111"/>
      <c r="C25" s="111"/>
      <c r="D25" s="300"/>
      <c r="E25" s="128"/>
      <c r="F25" s="578"/>
    </row>
    <row r="26" spans="1:6" x14ac:dyDescent="0.35">
      <c r="A26" s="25"/>
      <c r="B26" s="111"/>
      <c r="C26" s="111"/>
      <c r="D26" s="300"/>
      <c r="E26" s="128" t="s">
        <v>92</v>
      </c>
      <c r="F26" s="578"/>
    </row>
    <row r="27" spans="1:6" x14ac:dyDescent="0.35">
      <c r="A27" s="183" t="s">
        <v>207</v>
      </c>
      <c r="B27" s="110" t="s">
        <v>335</v>
      </c>
      <c r="C27" s="110" t="s">
        <v>360</v>
      </c>
      <c r="D27" s="110" t="s">
        <v>361</v>
      </c>
      <c r="E27" s="188" t="s">
        <v>339</v>
      </c>
      <c r="F27" s="390" t="s">
        <v>340</v>
      </c>
    </row>
    <row r="28" spans="1:6" x14ac:dyDescent="0.35">
      <c r="A28" s="176" t="str">
        <f t="shared" ref="A28:A41" si="0">A11</f>
        <v>2011-12</v>
      </c>
      <c r="B28" s="178">
        <f t="shared" ref="B28:E41" si="1">B11/$F11%</f>
        <v>19.892473118279568</v>
      </c>
      <c r="C28" s="178">
        <f t="shared" si="1"/>
        <v>1.075268817204301</v>
      </c>
      <c r="D28" s="178">
        <f t="shared" si="1"/>
        <v>64.784946236559136</v>
      </c>
      <c r="E28" s="178">
        <f t="shared" si="1"/>
        <v>14.247311827956988</v>
      </c>
      <c r="F28" s="400">
        <f t="shared" ref="F28:F34" si="2">SUM(B28:E28)</f>
        <v>100</v>
      </c>
    </row>
    <row r="29" spans="1:6" x14ac:dyDescent="0.35">
      <c r="A29" s="176" t="str">
        <f t="shared" si="0"/>
        <v>2012-13</v>
      </c>
      <c r="B29" s="178">
        <f t="shared" si="1"/>
        <v>20.728291316526612</v>
      </c>
      <c r="C29" s="178">
        <f t="shared" si="1"/>
        <v>1.1204481792717087</v>
      </c>
      <c r="D29" s="178">
        <f t="shared" si="1"/>
        <v>66.106442577030819</v>
      </c>
      <c r="E29" s="178">
        <f t="shared" si="1"/>
        <v>12.044817927170868</v>
      </c>
      <c r="F29" s="400">
        <f t="shared" si="2"/>
        <v>100</v>
      </c>
    </row>
    <row r="30" spans="1:6" x14ac:dyDescent="0.35">
      <c r="A30" s="176" t="str">
        <f t="shared" si="0"/>
        <v>2013-14</v>
      </c>
      <c r="B30" s="178">
        <f t="shared" si="1"/>
        <v>20.728291316526612</v>
      </c>
      <c r="C30" s="178">
        <f t="shared" si="1"/>
        <v>0.84033613445378152</v>
      </c>
      <c r="D30" s="178">
        <f t="shared" si="1"/>
        <v>66.386554621848745</v>
      </c>
      <c r="E30" s="178">
        <f t="shared" si="1"/>
        <v>12.044817927170868</v>
      </c>
      <c r="F30" s="400">
        <f t="shared" si="2"/>
        <v>100</v>
      </c>
    </row>
    <row r="31" spans="1:6" x14ac:dyDescent="0.35">
      <c r="A31" s="176" t="str">
        <f t="shared" si="0"/>
        <v>2014-15</v>
      </c>
      <c r="B31" s="178">
        <f t="shared" si="1"/>
        <v>20.728291316526612</v>
      </c>
      <c r="C31" s="178">
        <f t="shared" si="1"/>
        <v>0</v>
      </c>
      <c r="D31" s="178">
        <f t="shared" si="1"/>
        <v>67.226890756302524</v>
      </c>
      <c r="E31" s="178">
        <f t="shared" si="1"/>
        <v>12.044817927170868</v>
      </c>
      <c r="F31" s="400">
        <f t="shared" si="2"/>
        <v>100</v>
      </c>
    </row>
    <row r="32" spans="1:6" x14ac:dyDescent="0.35">
      <c r="A32" s="176" t="str">
        <f t="shared" si="0"/>
        <v>2015-16</v>
      </c>
      <c r="B32" s="178">
        <f t="shared" si="1"/>
        <v>20.728291316526612</v>
      </c>
      <c r="C32" s="178">
        <f t="shared" si="1"/>
        <v>0</v>
      </c>
      <c r="D32" s="178">
        <f t="shared" si="1"/>
        <v>67.226890756302524</v>
      </c>
      <c r="E32" s="178">
        <f t="shared" si="1"/>
        <v>12.044817927170868</v>
      </c>
      <c r="F32" s="400">
        <f t="shared" si="2"/>
        <v>100</v>
      </c>
    </row>
    <row r="33" spans="1:9" x14ac:dyDescent="0.35">
      <c r="A33" s="176" t="str">
        <f t="shared" si="0"/>
        <v>2016-17</v>
      </c>
      <c r="B33" s="178">
        <f t="shared" si="1"/>
        <v>20.728291316526612</v>
      </c>
      <c r="C33" s="178">
        <f t="shared" si="1"/>
        <v>0</v>
      </c>
      <c r="D33" s="178">
        <f t="shared" si="1"/>
        <v>67.226890756302524</v>
      </c>
      <c r="E33" s="178">
        <f t="shared" si="1"/>
        <v>12.044817927170868</v>
      </c>
      <c r="F33" s="400">
        <f t="shared" si="2"/>
        <v>100</v>
      </c>
    </row>
    <row r="34" spans="1:9" x14ac:dyDescent="0.35">
      <c r="A34" s="176" t="str">
        <f t="shared" si="0"/>
        <v>2017-18</v>
      </c>
      <c r="B34" s="178">
        <f t="shared" si="1"/>
        <v>20.728291316526612</v>
      </c>
      <c r="C34" s="178">
        <f t="shared" si="1"/>
        <v>0</v>
      </c>
      <c r="D34" s="178">
        <f t="shared" si="1"/>
        <v>67.226890756302524</v>
      </c>
      <c r="E34" s="178">
        <f t="shared" si="1"/>
        <v>12.044817927170868</v>
      </c>
      <c r="F34" s="400">
        <f t="shared" si="2"/>
        <v>100</v>
      </c>
    </row>
    <row r="35" spans="1:9" x14ac:dyDescent="0.35">
      <c r="A35" s="176" t="str">
        <f t="shared" si="0"/>
        <v>2018-19</v>
      </c>
      <c r="B35" s="178">
        <f t="shared" si="1"/>
        <v>20.728291316526612</v>
      </c>
      <c r="C35" s="178">
        <f t="shared" si="1"/>
        <v>0</v>
      </c>
      <c r="D35" s="178">
        <f t="shared" si="1"/>
        <v>67.226890756302524</v>
      </c>
      <c r="E35" s="178">
        <f t="shared" si="1"/>
        <v>12.044817927170868</v>
      </c>
      <c r="F35" s="400">
        <f t="shared" ref="F35:F37" si="3">SUM(B35:E35)</f>
        <v>100</v>
      </c>
    </row>
    <row r="36" spans="1:9" x14ac:dyDescent="0.35">
      <c r="A36" s="176" t="str">
        <f t="shared" si="0"/>
        <v>2019-20</v>
      </c>
      <c r="B36" s="178">
        <f t="shared" si="1"/>
        <v>20.728291316526612</v>
      </c>
      <c r="C36" s="178">
        <f t="shared" si="1"/>
        <v>0</v>
      </c>
      <c r="D36" s="178">
        <f t="shared" si="1"/>
        <v>67.226890756302524</v>
      </c>
      <c r="E36" s="178">
        <f t="shared" si="1"/>
        <v>12.044817927170868</v>
      </c>
      <c r="F36" s="400">
        <f t="shared" ref="F36" si="4">SUM(B36:E36)</f>
        <v>100</v>
      </c>
    </row>
    <row r="37" spans="1:9" x14ac:dyDescent="0.35">
      <c r="A37" s="176" t="str">
        <f t="shared" si="0"/>
        <v>2020-21</v>
      </c>
      <c r="B37" s="178">
        <f t="shared" si="1"/>
        <v>20.728291316526612</v>
      </c>
      <c r="C37" s="178">
        <f t="shared" si="1"/>
        <v>0</v>
      </c>
      <c r="D37" s="178">
        <f t="shared" si="1"/>
        <v>67.226890756302524</v>
      </c>
      <c r="E37" s="749">
        <f t="shared" si="1"/>
        <v>12.044817927170868</v>
      </c>
      <c r="F37" s="658">
        <f t="shared" si="3"/>
        <v>100</v>
      </c>
    </row>
    <row r="38" spans="1:9" x14ac:dyDescent="0.35">
      <c r="A38" s="176" t="str">
        <f t="shared" si="0"/>
        <v>2021-22</v>
      </c>
      <c r="B38" s="178">
        <f t="shared" si="1"/>
        <v>20.728291316526612</v>
      </c>
      <c r="C38" s="178">
        <f t="shared" si="1"/>
        <v>0</v>
      </c>
      <c r="D38" s="178">
        <f t="shared" si="1"/>
        <v>67.226890756302524</v>
      </c>
      <c r="E38" s="749">
        <f t="shared" si="1"/>
        <v>12.044817927170868</v>
      </c>
      <c r="F38" s="658">
        <f t="shared" ref="F38" si="5">SUM(B38:E38)</f>
        <v>100</v>
      </c>
    </row>
    <row r="39" spans="1:9" x14ac:dyDescent="0.35">
      <c r="A39" s="176" t="str">
        <f t="shared" si="0"/>
        <v>2022-23</v>
      </c>
      <c r="B39" s="178">
        <f t="shared" si="1"/>
        <v>20.728291316526612</v>
      </c>
      <c r="C39" s="178">
        <f t="shared" si="1"/>
        <v>0</v>
      </c>
      <c r="D39" s="178">
        <f t="shared" si="1"/>
        <v>67.226890756302524</v>
      </c>
      <c r="E39" s="749">
        <f t="shared" si="1"/>
        <v>12.044817927170868</v>
      </c>
      <c r="F39" s="658">
        <f t="shared" ref="F39" si="6">SUM(B39:E39)</f>
        <v>100</v>
      </c>
    </row>
    <row r="40" spans="1:9" x14ac:dyDescent="0.35">
      <c r="A40" s="176" t="str">
        <f t="shared" si="0"/>
        <v>2023-24</v>
      </c>
      <c r="B40" s="178">
        <f t="shared" si="1"/>
        <v>20.786516853932582</v>
      </c>
      <c r="C40" s="178">
        <f t="shared" si="1"/>
        <v>0</v>
      </c>
      <c r="D40" s="178">
        <f t="shared" si="1"/>
        <v>67.415730337078656</v>
      </c>
      <c r="E40" s="749">
        <f t="shared" si="1"/>
        <v>11.797752808988763</v>
      </c>
      <c r="F40" s="658">
        <f t="shared" ref="F40" si="7">SUM(B40:E40)</f>
        <v>100</v>
      </c>
    </row>
    <row r="41" spans="1:9" ht="15" thickBot="1" x14ac:dyDescent="0.4">
      <c r="A41" s="184" t="str">
        <f t="shared" si="0"/>
        <v>2024-25</v>
      </c>
      <c r="B41" s="191">
        <f t="shared" si="1"/>
        <v>20.786516853932582</v>
      </c>
      <c r="C41" s="191">
        <f t="shared" si="1"/>
        <v>0</v>
      </c>
      <c r="D41" s="191">
        <f t="shared" si="1"/>
        <v>67.415730337078656</v>
      </c>
      <c r="E41" s="990">
        <f t="shared" si="1"/>
        <v>11.797752808988763</v>
      </c>
      <c r="F41" s="989">
        <f t="shared" ref="F41" si="8">SUM(B41:E41)</f>
        <v>100</v>
      </c>
    </row>
    <row r="42" spans="1:9" x14ac:dyDescent="0.35">
      <c r="A42" s="176"/>
      <c r="B42" s="178"/>
      <c r="C42" s="178"/>
      <c r="D42" s="178"/>
      <c r="E42" s="178"/>
      <c r="F42" s="658"/>
    </row>
    <row r="43" spans="1:9" x14ac:dyDescent="0.35">
      <c r="A43" s="334" t="s">
        <v>329</v>
      </c>
      <c r="B43" s="339"/>
      <c r="C43" s="339"/>
      <c r="D43" s="339"/>
      <c r="E43" s="339"/>
      <c r="F43" s="339"/>
    </row>
    <row r="44" spans="1:9" ht="30" customHeight="1" x14ac:dyDescent="0.35">
      <c r="A44" s="1013" t="s">
        <v>367</v>
      </c>
      <c r="B44" s="1013"/>
      <c r="C44" s="1013"/>
      <c r="D44" s="1013"/>
      <c r="E44" s="1013"/>
      <c r="F44" s="1013"/>
    </row>
    <row r="45" spans="1:9" ht="30" customHeight="1" x14ac:dyDescent="0.35">
      <c r="A45" s="1014" t="s">
        <v>368</v>
      </c>
      <c r="B45" s="1014"/>
      <c r="C45" s="1014"/>
      <c r="D45" s="1014"/>
      <c r="E45" s="1014"/>
      <c r="F45" s="1014"/>
      <c r="G45" s="1014"/>
      <c r="H45" s="1014"/>
    </row>
    <row r="46" spans="1:9" x14ac:dyDescent="0.35">
      <c r="B46" s="569"/>
      <c r="C46" s="569"/>
      <c r="D46" s="569"/>
      <c r="E46" s="569"/>
      <c r="F46" s="569"/>
      <c r="G46" s="569"/>
      <c r="H46" s="569"/>
      <c r="I46" s="569"/>
    </row>
  </sheetData>
  <sheetProtection algorithmName="SHA-512" hashValue="0bEa93zVlleA5t7pkkwaTySmN118KiQTNQyFQufl5mtM67x2h/DxZp8GqOY0CB4UA3ieZGjLG1l2Axn1n49sig==" saltValue="1JFBVlwTgtKXVTquoQaq8A==" spinCount="100000" sheet="1" scenarios="1" formatCells="0" sort="0" autoFilter="0" pivotTables="0"/>
  <mergeCells count="4">
    <mergeCell ref="A45:H45"/>
    <mergeCell ref="A4:F4"/>
    <mergeCell ref="A44:F44"/>
    <mergeCell ref="A1:C1"/>
  </mergeCells>
  <phoneticPr fontId="53" type="noConversion"/>
  <hyperlinks>
    <hyperlink ref="A2" location="'Table of Contents'!A1" display="Back to Table of Contents" xr:uid="{00000000-0004-0000-0900-000000000000}"/>
  </hyperlinks>
  <pageMargins left="0.70866141732283472" right="0.70866141732283472" top="0.74803149606299213" bottom="0.74803149606299213" header="0.31496062992125984" footer="0.31496062992125984"/>
  <pageSetup scale="7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
    <tabColor theme="9" tint="0.39997558519241921"/>
    <pageSetUpPr fitToPage="1"/>
  </sheetPr>
  <dimension ref="A1:G19"/>
  <sheetViews>
    <sheetView showGridLines="0" workbookViewId="0">
      <pane ySplit="2" topLeftCell="A3" activePane="bottomLeft" state="frozen"/>
      <selection pane="bottomLeft" sqref="A1:C1"/>
    </sheetView>
  </sheetViews>
  <sheetFormatPr defaultRowHeight="14.5" x14ac:dyDescent="0.35"/>
  <cols>
    <col min="1" max="1" width="25" customWidth="1"/>
    <col min="2" max="3" width="7.7265625" customWidth="1"/>
    <col min="4" max="4" width="11.453125" customWidth="1"/>
    <col min="5" max="6" width="7.7265625" customWidth="1"/>
    <col min="7" max="7" width="11.54296875" customWidth="1"/>
  </cols>
  <sheetData>
    <row r="1" spans="1:7" ht="29.5" customHeight="1" x14ac:dyDescent="0.35">
      <c r="A1" s="1011" t="s">
        <v>513</v>
      </c>
      <c r="B1" s="1011"/>
      <c r="C1" s="1011"/>
    </row>
    <row r="2" spans="1:7" x14ac:dyDescent="0.35">
      <c r="A2" s="499" t="s">
        <v>201</v>
      </c>
    </row>
    <row r="3" spans="1:7" x14ac:dyDescent="0.35">
      <c r="A3" s="25"/>
      <c r="B3" s="25"/>
      <c r="C3" s="25"/>
      <c r="D3" s="25"/>
      <c r="E3" s="25"/>
      <c r="F3" s="25"/>
      <c r="G3" s="25"/>
    </row>
    <row r="4" spans="1:7" ht="22.5" customHeight="1" x14ac:dyDescent="0.35">
      <c r="A4" s="1042" t="s">
        <v>752</v>
      </c>
      <c r="B4" s="1042"/>
      <c r="C4" s="1042"/>
      <c r="D4" s="1042"/>
      <c r="E4" s="1042"/>
      <c r="F4" s="1042"/>
      <c r="G4" s="1042"/>
    </row>
    <row r="5" spans="1:7" ht="15" customHeight="1" x14ac:dyDescent="0.35">
      <c r="A5" t="s">
        <v>202</v>
      </c>
      <c r="B5" t="s">
        <v>87</v>
      </c>
      <c r="C5" s="421"/>
      <c r="D5" s="297"/>
      <c r="E5" s="297"/>
      <c r="F5" s="297"/>
      <c r="G5" s="297"/>
    </row>
    <row r="6" spans="1:7" ht="15" customHeight="1" x14ac:dyDescent="0.35">
      <c r="A6" t="s">
        <v>203</v>
      </c>
      <c r="B6" t="s">
        <v>204</v>
      </c>
      <c r="C6" s="421"/>
      <c r="D6" s="297"/>
      <c r="E6" s="297"/>
      <c r="F6" s="297"/>
      <c r="G6" s="297"/>
    </row>
    <row r="7" spans="1:7" ht="15" customHeight="1" x14ac:dyDescent="0.35">
      <c r="A7" t="s">
        <v>205</v>
      </c>
      <c r="B7" t="s">
        <v>206</v>
      </c>
      <c r="C7" s="421"/>
      <c r="D7" s="297"/>
      <c r="E7" s="297"/>
      <c r="F7" s="297"/>
      <c r="G7" s="297"/>
    </row>
    <row r="8" spans="1:7" x14ac:dyDescent="0.35">
      <c r="A8" s="131"/>
      <c r="B8" s="131"/>
      <c r="C8" s="131"/>
      <c r="D8" s="107" t="s">
        <v>346</v>
      </c>
      <c r="E8" s="25"/>
      <c r="F8" s="25"/>
      <c r="G8" s="144" t="s">
        <v>92</v>
      </c>
    </row>
    <row r="9" spans="1:7" x14ac:dyDescent="0.35">
      <c r="A9" s="145" t="s">
        <v>52</v>
      </c>
      <c r="B9" s="146" t="s">
        <v>745</v>
      </c>
      <c r="C9" s="146" t="s">
        <v>746</v>
      </c>
      <c r="D9" s="146" t="s">
        <v>340</v>
      </c>
      <c r="E9" s="483" t="s">
        <v>745</v>
      </c>
      <c r="F9" s="146" t="s">
        <v>746</v>
      </c>
      <c r="G9" s="146" t="s">
        <v>340</v>
      </c>
    </row>
    <row r="10" spans="1:7" x14ac:dyDescent="0.35">
      <c r="A10" s="118" t="s">
        <v>515</v>
      </c>
      <c r="B10" s="148">
        <f>GETPIVOTDATA("Sum of Female",SexPivot!$A$3,"Type","WT")</f>
        <v>220</v>
      </c>
      <c r="C10" s="148">
        <f>GETPIVOTDATA("Sum of Male",SexPivot!$A$3,"Type","WT")</f>
        <v>3210</v>
      </c>
      <c r="D10" s="149">
        <f t="shared" ref="D10:D15" si="0">B10+C10</f>
        <v>3430</v>
      </c>
      <c r="E10" s="484">
        <f t="shared" ref="E10:E16" si="1">B10/D10</f>
        <v>6.4139941690962099E-2</v>
      </c>
      <c r="F10" s="150">
        <f t="shared" ref="F10:F15" si="2">C10/D10</f>
        <v>0.93586005830903785</v>
      </c>
      <c r="G10" s="150">
        <f>D10/$D$16</f>
        <v>0.45394388565378507</v>
      </c>
    </row>
    <row r="11" spans="1:7" x14ac:dyDescent="0.35">
      <c r="A11" s="313" t="s">
        <v>361</v>
      </c>
      <c r="B11" s="148">
        <f>GETPIVOTDATA("Sum of Female",SexPivot!$A$3,"Type","RDS")</f>
        <v>203</v>
      </c>
      <c r="C11" s="148">
        <f>GETPIVOTDATA("Sum of Male",SexPivot!$A$3,"Type","RDS")</f>
        <v>2502</v>
      </c>
      <c r="D11" s="149">
        <f t="shared" si="0"/>
        <v>2705</v>
      </c>
      <c r="E11" s="484">
        <f t="shared" si="1"/>
        <v>7.5046210720887241E-2</v>
      </c>
      <c r="F11" s="150">
        <f t="shared" si="2"/>
        <v>0.92495378927911276</v>
      </c>
      <c r="G11" s="150">
        <f>D11/$D$16</f>
        <v>0.35799364743250395</v>
      </c>
    </row>
    <row r="12" spans="1:7" x14ac:dyDescent="0.35">
      <c r="A12" s="313" t="s">
        <v>516</v>
      </c>
      <c r="B12" s="148">
        <f>IFERROR(GETPIVOTDATA("Sum of Female",SexPivot!$A$3,"Type","RDS Fulltime"), 0)</f>
        <v>7</v>
      </c>
      <c r="C12" s="148">
        <f>IFERROR(GETPIVOTDATA("Sum of Male",SexPivot!$A$3,"Type","RDS Fulltime"), 0)</f>
        <v>53</v>
      </c>
      <c r="D12" s="149">
        <f t="shared" si="0"/>
        <v>60</v>
      </c>
      <c r="E12" s="484">
        <f>IFERROR(B12/D12,"")</f>
        <v>0.11666666666666667</v>
      </c>
      <c r="F12" s="150">
        <f>IFERROR(C12/D12,"")</f>
        <v>0.8833333333333333</v>
      </c>
      <c r="G12" s="150">
        <f t="shared" ref="G12:G15" si="3">D12/$D$16</f>
        <v>7.9407093700370572E-3</v>
      </c>
    </row>
    <row r="13" spans="1:7" x14ac:dyDescent="0.35">
      <c r="A13" s="313" t="s">
        <v>511</v>
      </c>
      <c r="B13" s="148">
        <f>GETPIVOTDATA("Sum of Female",SexPivot!$A$3,"Type","Control")</f>
        <v>139</v>
      </c>
      <c r="C13" s="148">
        <f>GETPIVOTDATA("Sum of Male",SexPivot!$A$3,"Type","Control")</f>
        <v>32</v>
      </c>
      <c r="D13" s="149">
        <f t="shared" si="0"/>
        <v>171</v>
      </c>
      <c r="E13" s="484">
        <f t="shared" si="1"/>
        <v>0.8128654970760234</v>
      </c>
      <c r="F13" s="150">
        <f t="shared" si="2"/>
        <v>0.1871345029239766</v>
      </c>
      <c r="G13" s="150">
        <f t="shared" si="3"/>
        <v>2.2631021704605611E-2</v>
      </c>
    </row>
    <row r="14" spans="1:7" x14ac:dyDescent="0.35">
      <c r="A14" s="313" t="s">
        <v>512</v>
      </c>
      <c r="B14" s="148">
        <f>GETPIVOTDATA("Sum of Female",SexPivot!$A$3,"Type","Support")</f>
        <v>492</v>
      </c>
      <c r="C14" s="148">
        <f>GETPIVOTDATA("Sum of Male",SexPivot!$A$3,"Type","Support")</f>
        <v>425</v>
      </c>
      <c r="D14" s="149">
        <f t="shared" si="0"/>
        <v>917</v>
      </c>
      <c r="E14" s="484">
        <f t="shared" si="1"/>
        <v>0.53653217011995635</v>
      </c>
      <c r="F14" s="150">
        <f t="shared" si="2"/>
        <v>0.46346782988004365</v>
      </c>
      <c r="G14" s="150">
        <f t="shared" si="3"/>
        <v>0.12136050820539969</v>
      </c>
    </row>
    <row r="15" spans="1:7" x14ac:dyDescent="0.35">
      <c r="A15" s="313" t="s">
        <v>339</v>
      </c>
      <c r="B15" s="148">
        <f>GETPIVOTDATA("Sum of Female",SexPivot!$A$3,"Type","Vol")</f>
        <v>42</v>
      </c>
      <c r="C15" s="148">
        <f>GETPIVOTDATA("Sum of Male",SexPivot!$A$3,"Type","Vol")</f>
        <v>231</v>
      </c>
      <c r="D15" s="149">
        <f t="shared" si="0"/>
        <v>273</v>
      </c>
      <c r="E15" s="484">
        <f t="shared" si="1"/>
        <v>0.15384615384615385</v>
      </c>
      <c r="F15" s="150">
        <f t="shared" si="2"/>
        <v>0.84615384615384615</v>
      </c>
      <c r="G15" s="150">
        <f t="shared" si="3"/>
        <v>3.6130227633668605E-2</v>
      </c>
    </row>
    <row r="16" spans="1:7" ht="15" thickBot="1" x14ac:dyDescent="0.4">
      <c r="A16" s="151" t="s">
        <v>753</v>
      </c>
      <c r="B16" s="152">
        <f>SUM(B10:B15)</f>
        <v>1103</v>
      </c>
      <c r="C16" s="152">
        <f>SUM(C10:C15)</f>
        <v>6453</v>
      </c>
      <c r="D16" s="152">
        <f>C16+B16</f>
        <v>7556</v>
      </c>
      <c r="E16" s="720">
        <f t="shared" si="1"/>
        <v>0.14597670725251455</v>
      </c>
      <c r="F16" s="153">
        <f>C16/D16</f>
        <v>0.85402329274748545</v>
      </c>
      <c r="G16" s="153">
        <f t="shared" ref="G16" si="4">D16/$D$16</f>
        <v>1</v>
      </c>
    </row>
    <row r="17" spans="1:7" x14ac:dyDescent="0.35">
      <c r="A17" s="25"/>
      <c r="B17" s="25"/>
      <c r="C17" s="25"/>
      <c r="D17" s="25"/>
      <c r="E17" s="25"/>
      <c r="F17" s="25"/>
      <c r="G17" s="25"/>
    </row>
    <row r="18" spans="1:7" x14ac:dyDescent="0.35">
      <c r="A18" s="313" t="s">
        <v>748</v>
      </c>
      <c r="B18" s="25"/>
      <c r="C18" s="25"/>
      <c r="D18" s="25"/>
      <c r="E18" s="25"/>
      <c r="F18" s="25"/>
      <c r="G18" s="25"/>
    </row>
    <row r="19" spans="1:7" ht="27" customHeight="1" x14ac:dyDescent="0.35">
      <c r="A19" s="1010" t="s">
        <v>749</v>
      </c>
      <c r="B19" s="1010"/>
      <c r="C19" s="1010"/>
      <c r="D19" s="1010"/>
      <c r="E19" s="1010"/>
      <c r="F19" s="1010"/>
      <c r="G19" s="1010"/>
    </row>
  </sheetData>
  <sheetProtection algorithmName="SHA-512" hashValue="9K8IzWBGpXDj+5+qYHkeZ5LOAqWrSXEQKxFEn5Sy7hU7S92tlr4LC7sy4zJD5g+6kxltaXAGdrZ9s++dQ55oDA==" saltValue="+jC3DiEubkQIFqbTsFdIyQ==" spinCount="100000" sheet="1" scenarios="1" formatCells="0" sort="0" autoFilter="0" pivotTables="0"/>
  <mergeCells count="3">
    <mergeCell ref="A4:G4"/>
    <mergeCell ref="A1:C1"/>
    <mergeCell ref="A19:G19"/>
  </mergeCells>
  <hyperlinks>
    <hyperlink ref="A2" location="'Table of Contents'!A1" display="Back to Table of Contents" xr:uid="{00000000-0004-0000-5300-000000000000}"/>
  </hyperlinks>
  <pageMargins left="0.70866141732283472" right="0.70866141732283472" top="0.74803149606299213" bottom="0.74803149606299213" header="0.31496062992125984" footer="0.31496062992125984"/>
  <pageSetup paperSize="9" scale="90" orientation="portrait" r:id="rId1"/>
  <drawing r:id="rId2"/>
  <extLst>
    <ext xmlns:x14="http://schemas.microsoft.com/office/spreadsheetml/2009/9/main" uri="{A8765BA9-456A-4dab-B4F3-ACF838C121DE}">
      <x14:slicerList>
        <x14:slicer r:id="rId3"/>
      </x14:slicerList>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9" tint="0.39997558519241921"/>
  </sheetPr>
  <dimension ref="A1:D44"/>
  <sheetViews>
    <sheetView workbookViewId="0">
      <selection activeCell="C9" sqref="C9"/>
    </sheetView>
  </sheetViews>
  <sheetFormatPr defaultRowHeight="14.5" x14ac:dyDescent="0.35"/>
  <cols>
    <col min="1" max="1" width="21.90625" bestFit="1" customWidth="1"/>
    <col min="2" max="2" width="13.6328125" bestFit="1" customWidth="1"/>
    <col min="3" max="3" width="11.54296875" bestFit="1" customWidth="1"/>
    <col min="4" max="4" width="11.453125" bestFit="1" customWidth="1"/>
  </cols>
  <sheetData>
    <row r="1" spans="1:4" x14ac:dyDescent="0.35">
      <c r="A1" s="387" t="s">
        <v>207</v>
      </c>
      <c r="B1" t="s">
        <v>466</v>
      </c>
    </row>
    <row r="3" spans="1:4" x14ac:dyDescent="0.35">
      <c r="A3" s="387" t="s">
        <v>350</v>
      </c>
      <c r="B3" t="s">
        <v>750</v>
      </c>
      <c r="C3" t="s">
        <v>751</v>
      </c>
      <c r="D3" t="s">
        <v>356</v>
      </c>
    </row>
    <row r="4" spans="1:4" x14ac:dyDescent="0.35">
      <c r="A4" s="388" t="s">
        <v>511</v>
      </c>
    </row>
    <row r="5" spans="1:4" x14ac:dyDescent="0.35">
      <c r="A5" s="389" t="s">
        <v>627</v>
      </c>
      <c r="B5">
        <v>1</v>
      </c>
      <c r="C5">
        <v>0</v>
      </c>
      <c r="D5">
        <v>1</v>
      </c>
    </row>
    <row r="6" spans="1:4" x14ac:dyDescent="0.35">
      <c r="A6" s="389" t="s">
        <v>628</v>
      </c>
      <c r="B6">
        <v>2</v>
      </c>
      <c r="C6">
        <v>0</v>
      </c>
      <c r="D6">
        <v>2</v>
      </c>
    </row>
    <row r="7" spans="1:4" x14ac:dyDescent="0.35">
      <c r="A7" s="389" t="s">
        <v>629</v>
      </c>
      <c r="B7">
        <v>7</v>
      </c>
      <c r="C7">
        <v>1</v>
      </c>
      <c r="D7">
        <v>8</v>
      </c>
    </row>
    <row r="8" spans="1:4" x14ac:dyDescent="0.35">
      <c r="A8" s="389" t="s">
        <v>631</v>
      </c>
      <c r="B8">
        <v>24</v>
      </c>
      <c r="C8">
        <v>4</v>
      </c>
      <c r="D8">
        <v>28</v>
      </c>
    </row>
    <row r="9" spans="1:4" x14ac:dyDescent="0.35">
      <c r="A9" s="389" t="s">
        <v>630</v>
      </c>
      <c r="B9">
        <v>29</v>
      </c>
      <c r="C9">
        <v>8</v>
      </c>
      <c r="D9">
        <v>37</v>
      </c>
    </row>
    <row r="10" spans="1:4" x14ac:dyDescent="0.35">
      <c r="A10" s="389" t="s">
        <v>632</v>
      </c>
      <c r="B10">
        <v>76</v>
      </c>
      <c r="C10">
        <v>19</v>
      </c>
      <c r="D10">
        <v>95</v>
      </c>
    </row>
    <row r="11" spans="1:4" x14ac:dyDescent="0.35">
      <c r="A11" s="388" t="s">
        <v>755</v>
      </c>
      <c r="B11">
        <v>139</v>
      </c>
      <c r="C11">
        <v>32</v>
      </c>
      <c r="D11">
        <v>171</v>
      </c>
    </row>
    <row r="12" spans="1:4" x14ac:dyDescent="0.35">
      <c r="A12" s="388" t="s">
        <v>609</v>
      </c>
    </row>
    <row r="13" spans="1:4" x14ac:dyDescent="0.35">
      <c r="A13" s="389" t="s">
        <v>630</v>
      </c>
      <c r="B13">
        <v>11</v>
      </c>
      <c r="C13">
        <v>237</v>
      </c>
      <c r="D13">
        <v>248</v>
      </c>
    </row>
    <row r="14" spans="1:4" x14ac:dyDescent="0.35">
      <c r="A14" s="389" t="s">
        <v>631</v>
      </c>
      <c r="B14">
        <v>30</v>
      </c>
      <c r="C14">
        <v>484</v>
      </c>
      <c r="D14">
        <v>514</v>
      </c>
    </row>
    <row r="15" spans="1:4" x14ac:dyDescent="0.35">
      <c r="A15" s="389" t="s">
        <v>632</v>
      </c>
      <c r="B15">
        <v>162</v>
      </c>
      <c r="C15">
        <v>1781</v>
      </c>
      <c r="D15">
        <v>1943</v>
      </c>
    </row>
    <row r="16" spans="1:4" x14ac:dyDescent="0.35">
      <c r="A16" s="388" t="s">
        <v>756</v>
      </c>
      <c r="B16">
        <v>203</v>
      </c>
      <c r="C16">
        <v>2502</v>
      </c>
      <c r="D16">
        <v>2705</v>
      </c>
    </row>
    <row r="17" spans="1:4" x14ac:dyDescent="0.35">
      <c r="A17" s="388" t="s">
        <v>510</v>
      </c>
    </row>
    <row r="18" spans="1:4" x14ac:dyDescent="0.35">
      <c r="A18" s="389" t="s">
        <v>631</v>
      </c>
      <c r="B18">
        <v>0</v>
      </c>
      <c r="C18">
        <v>4</v>
      </c>
      <c r="D18">
        <v>4</v>
      </c>
    </row>
    <row r="19" spans="1:4" x14ac:dyDescent="0.35">
      <c r="A19" s="389" t="s">
        <v>630</v>
      </c>
      <c r="B19">
        <v>7</v>
      </c>
      <c r="C19">
        <v>49</v>
      </c>
      <c r="D19">
        <v>56</v>
      </c>
    </row>
    <row r="20" spans="1:4" x14ac:dyDescent="0.35">
      <c r="A20" s="388" t="s">
        <v>757</v>
      </c>
      <c r="B20">
        <v>7</v>
      </c>
      <c r="C20">
        <v>53</v>
      </c>
      <c r="D20">
        <v>60</v>
      </c>
    </row>
    <row r="21" spans="1:4" x14ac:dyDescent="0.35">
      <c r="A21" s="388" t="s">
        <v>512</v>
      </c>
    </row>
    <row r="22" spans="1:4" x14ac:dyDescent="0.35">
      <c r="A22" s="389" t="s">
        <v>687</v>
      </c>
      <c r="B22">
        <v>3</v>
      </c>
      <c r="C22">
        <v>1</v>
      </c>
      <c r="D22">
        <v>4</v>
      </c>
    </row>
    <row r="23" spans="1:4" x14ac:dyDescent="0.35">
      <c r="A23" s="389" t="s">
        <v>692</v>
      </c>
      <c r="B23">
        <v>19</v>
      </c>
      <c r="C23">
        <v>39</v>
      </c>
      <c r="D23">
        <v>58</v>
      </c>
    </row>
    <row r="24" spans="1:4" x14ac:dyDescent="0.35">
      <c r="A24" s="389" t="s">
        <v>689</v>
      </c>
      <c r="B24">
        <v>24</v>
      </c>
      <c r="C24">
        <v>11</v>
      </c>
      <c r="D24">
        <v>35</v>
      </c>
    </row>
    <row r="25" spans="1:4" x14ac:dyDescent="0.35">
      <c r="A25" s="389" t="s">
        <v>688</v>
      </c>
      <c r="B25">
        <v>44</v>
      </c>
      <c r="C25">
        <v>51</v>
      </c>
      <c r="D25">
        <v>95</v>
      </c>
    </row>
    <row r="26" spans="1:4" x14ac:dyDescent="0.35">
      <c r="A26" s="389" t="s">
        <v>690</v>
      </c>
      <c r="B26">
        <v>48</v>
      </c>
      <c r="C26">
        <v>46</v>
      </c>
      <c r="D26">
        <v>94</v>
      </c>
    </row>
    <row r="27" spans="1:4" x14ac:dyDescent="0.35">
      <c r="A27" s="389" t="s">
        <v>693</v>
      </c>
      <c r="B27">
        <v>138</v>
      </c>
      <c r="C27">
        <v>14</v>
      </c>
      <c r="D27">
        <v>152</v>
      </c>
    </row>
    <row r="28" spans="1:4" x14ac:dyDescent="0.35">
      <c r="A28" s="389" t="s">
        <v>691</v>
      </c>
      <c r="B28">
        <v>216</v>
      </c>
      <c r="C28">
        <v>263</v>
      </c>
      <c r="D28">
        <v>479</v>
      </c>
    </row>
    <row r="29" spans="1:4" x14ac:dyDescent="0.35">
      <c r="A29" s="388" t="s">
        <v>758</v>
      </c>
      <c r="B29">
        <v>492</v>
      </c>
      <c r="C29">
        <v>425</v>
      </c>
      <c r="D29">
        <v>917</v>
      </c>
    </row>
    <row r="30" spans="1:4" x14ac:dyDescent="0.35">
      <c r="A30" s="388" t="s">
        <v>634</v>
      </c>
    </row>
    <row r="31" spans="1:4" x14ac:dyDescent="0.35">
      <c r="A31" s="389" t="s">
        <v>630</v>
      </c>
      <c r="B31">
        <v>6</v>
      </c>
      <c r="C31">
        <v>30</v>
      </c>
      <c r="D31">
        <v>36</v>
      </c>
    </row>
    <row r="32" spans="1:4" x14ac:dyDescent="0.35">
      <c r="A32" s="389" t="s">
        <v>631</v>
      </c>
      <c r="B32">
        <v>6</v>
      </c>
      <c r="C32">
        <v>35</v>
      </c>
      <c r="D32">
        <v>41</v>
      </c>
    </row>
    <row r="33" spans="1:4" x14ac:dyDescent="0.35">
      <c r="A33" s="389" t="s">
        <v>632</v>
      </c>
      <c r="B33">
        <v>30</v>
      </c>
      <c r="C33">
        <v>166</v>
      </c>
      <c r="D33">
        <v>196</v>
      </c>
    </row>
    <row r="34" spans="1:4" x14ac:dyDescent="0.35">
      <c r="A34" s="388" t="s">
        <v>759</v>
      </c>
      <c r="B34">
        <v>42</v>
      </c>
      <c r="C34">
        <v>231</v>
      </c>
      <c r="D34">
        <v>273</v>
      </c>
    </row>
    <row r="35" spans="1:4" x14ac:dyDescent="0.35">
      <c r="A35" s="388" t="s">
        <v>633</v>
      </c>
    </row>
    <row r="36" spans="1:4" x14ac:dyDescent="0.35">
      <c r="A36" s="389" t="s">
        <v>626</v>
      </c>
      <c r="B36">
        <v>0</v>
      </c>
      <c r="C36">
        <v>5</v>
      </c>
      <c r="D36">
        <v>5</v>
      </c>
    </row>
    <row r="37" spans="1:4" x14ac:dyDescent="0.35">
      <c r="A37" s="389" t="s">
        <v>627</v>
      </c>
      <c r="B37">
        <v>0</v>
      </c>
      <c r="C37">
        <v>30</v>
      </c>
      <c r="D37">
        <v>30</v>
      </c>
    </row>
    <row r="38" spans="1:4" x14ac:dyDescent="0.35">
      <c r="A38" s="389" t="s">
        <v>629</v>
      </c>
      <c r="B38">
        <v>5</v>
      </c>
      <c r="C38">
        <v>155</v>
      </c>
      <c r="D38">
        <v>160</v>
      </c>
    </row>
    <row r="39" spans="1:4" x14ac:dyDescent="0.35">
      <c r="A39" s="389" t="s">
        <v>628</v>
      </c>
      <c r="B39">
        <v>9</v>
      </c>
      <c r="C39">
        <v>63</v>
      </c>
      <c r="D39">
        <v>72</v>
      </c>
    </row>
    <row r="40" spans="1:4" x14ac:dyDescent="0.35">
      <c r="A40" s="389" t="s">
        <v>630</v>
      </c>
      <c r="B40">
        <v>32</v>
      </c>
      <c r="C40">
        <v>573</v>
      </c>
      <c r="D40">
        <v>605</v>
      </c>
    </row>
    <row r="41" spans="1:4" x14ac:dyDescent="0.35">
      <c r="A41" s="389" t="s">
        <v>631</v>
      </c>
      <c r="B41">
        <v>35</v>
      </c>
      <c r="C41">
        <v>587</v>
      </c>
      <c r="D41">
        <v>622</v>
      </c>
    </row>
    <row r="42" spans="1:4" x14ac:dyDescent="0.35">
      <c r="A42" s="389" t="s">
        <v>632</v>
      </c>
      <c r="B42">
        <v>139</v>
      </c>
      <c r="C42">
        <v>1797</v>
      </c>
      <c r="D42">
        <v>1936</v>
      </c>
    </row>
    <row r="43" spans="1:4" x14ac:dyDescent="0.35">
      <c r="A43" s="388" t="s">
        <v>760</v>
      </c>
      <c r="B43">
        <v>220</v>
      </c>
      <c r="C43">
        <v>3210</v>
      </c>
      <c r="D43">
        <v>3430</v>
      </c>
    </row>
    <row r="44" spans="1:4" x14ac:dyDescent="0.35">
      <c r="A44" s="388" t="s">
        <v>357</v>
      </c>
      <c r="B44">
        <v>1103</v>
      </c>
      <c r="C44">
        <v>6453</v>
      </c>
      <c r="D44">
        <v>7556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9" tint="0.39997558519241921"/>
  </sheetPr>
  <dimension ref="A1:F318"/>
  <sheetViews>
    <sheetView workbookViewId="0">
      <selection activeCell="C9" sqref="C9"/>
    </sheetView>
  </sheetViews>
  <sheetFormatPr defaultRowHeight="14.5" x14ac:dyDescent="0.35"/>
  <cols>
    <col min="1" max="1" width="7.453125" bestFit="1" customWidth="1"/>
    <col min="2" max="2" width="11.7265625" bestFit="1" customWidth="1"/>
    <col min="3" max="3" width="17.54296875" bestFit="1" customWidth="1"/>
    <col min="4" max="4" width="7.453125" bestFit="1" customWidth="1"/>
    <col min="5" max="5" width="9.54296875" bestFit="1" customWidth="1"/>
    <col min="6" max="6" width="7.6328125" bestFit="1" customWidth="1"/>
  </cols>
  <sheetData>
    <row r="1" spans="1:6" x14ac:dyDescent="0.35">
      <c r="A1" t="s">
        <v>207</v>
      </c>
      <c r="B1" t="s">
        <v>625</v>
      </c>
      <c r="C1" t="s">
        <v>761</v>
      </c>
      <c r="D1" t="s">
        <v>340</v>
      </c>
      <c r="E1" t="s">
        <v>745</v>
      </c>
      <c r="F1" t="s">
        <v>746</v>
      </c>
    </row>
    <row r="2" spans="1:6" x14ac:dyDescent="0.35">
      <c r="A2" t="s">
        <v>364</v>
      </c>
      <c r="B2" t="s">
        <v>511</v>
      </c>
      <c r="C2" t="s">
        <v>628</v>
      </c>
      <c r="D2">
        <v>5</v>
      </c>
      <c r="E2">
        <v>4</v>
      </c>
      <c r="F2">
        <v>1</v>
      </c>
    </row>
    <row r="3" spans="1:6" x14ac:dyDescent="0.35">
      <c r="A3" t="s">
        <v>365</v>
      </c>
      <c r="B3" t="s">
        <v>512</v>
      </c>
      <c r="C3" t="s">
        <v>691</v>
      </c>
      <c r="D3">
        <v>335</v>
      </c>
      <c r="E3">
        <v>99</v>
      </c>
      <c r="F3">
        <v>236</v>
      </c>
    </row>
    <row r="4" spans="1:6" x14ac:dyDescent="0.35">
      <c r="A4" t="s">
        <v>365</v>
      </c>
      <c r="B4" t="s">
        <v>634</v>
      </c>
      <c r="C4" t="s">
        <v>631</v>
      </c>
      <c r="D4">
        <v>44</v>
      </c>
      <c r="E4">
        <v>4</v>
      </c>
      <c r="F4">
        <v>40</v>
      </c>
    </row>
    <row r="5" spans="1:6" x14ac:dyDescent="0.35">
      <c r="A5" t="s">
        <v>366</v>
      </c>
      <c r="B5" t="s">
        <v>512</v>
      </c>
      <c r="C5" t="s">
        <v>691</v>
      </c>
      <c r="D5">
        <v>316</v>
      </c>
      <c r="E5">
        <v>101</v>
      </c>
      <c r="F5">
        <v>215</v>
      </c>
    </row>
    <row r="6" spans="1:6" x14ac:dyDescent="0.35">
      <c r="A6" t="s">
        <v>366</v>
      </c>
      <c r="B6" t="s">
        <v>512</v>
      </c>
      <c r="C6" t="s">
        <v>692</v>
      </c>
      <c r="D6">
        <v>167</v>
      </c>
      <c r="E6">
        <v>94</v>
      </c>
      <c r="F6">
        <v>73</v>
      </c>
    </row>
    <row r="7" spans="1:6" x14ac:dyDescent="0.35">
      <c r="A7" t="s">
        <v>366</v>
      </c>
      <c r="B7" t="s">
        <v>633</v>
      </c>
      <c r="C7" t="s">
        <v>627</v>
      </c>
      <c r="D7">
        <v>35</v>
      </c>
      <c r="E7">
        <v>0</v>
      </c>
      <c r="F7">
        <v>35</v>
      </c>
    </row>
    <row r="8" spans="1:6" x14ac:dyDescent="0.35">
      <c r="A8" t="s">
        <v>341</v>
      </c>
      <c r="B8" t="s">
        <v>512</v>
      </c>
      <c r="C8" t="s">
        <v>693</v>
      </c>
      <c r="D8">
        <v>170</v>
      </c>
      <c r="E8">
        <v>159</v>
      </c>
      <c r="F8">
        <v>11</v>
      </c>
    </row>
    <row r="9" spans="1:6" x14ac:dyDescent="0.35">
      <c r="A9" t="s">
        <v>341</v>
      </c>
      <c r="B9" t="s">
        <v>512</v>
      </c>
      <c r="C9" t="s">
        <v>691</v>
      </c>
      <c r="D9">
        <v>346</v>
      </c>
      <c r="E9">
        <v>113</v>
      </c>
      <c r="F9">
        <v>233</v>
      </c>
    </row>
    <row r="10" spans="1:6" x14ac:dyDescent="0.35">
      <c r="A10" t="s">
        <v>342</v>
      </c>
      <c r="B10" t="s">
        <v>609</v>
      </c>
      <c r="C10" t="s">
        <v>631</v>
      </c>
      <c r="D10">
        <v>525</v>
      </c>
      <c r="E10">
        <v>19</v>
      </c>
      <c r="F10">
        <v>506</v>
      </c>
    </row>
    <row r="11" spans="1:6" x14ac:dyDescent="0.35">
      <c r="A11" t="s">
        <v>342</v>
      </c>
      <c r="B11" t="s">
        <v>633</v>
      </c>
      <c r="C11" t="s">
        <v>632</v>
      </c>
      <c r="D11">
        <v>1989</v>
      </c>
      <c r="E11">
        <v>114</v>
      </c>
      <c r="F11">
        <v>1875</v>
      </c>
    </row>
    <row r="12" spans="1:6" x14ac:dyDescent="0.35">
      <c r="A12" t="s">
        <v>313</v>
      </c>
      <c r="B12" t="s">
        <v>511</v>
      </c>
      <c r="C12" t="s">
        <v>632</v>
      </c>
      <c r="D12">
        <v>104</v>
      </c>
      <c r="E12">
        <v>86</v>
      </c>
      <c r="F12">
        <v>18</v>
      </c>
    </row>
    <row r="13" spans="1:6" x14ac:dyDescent="0.35">
      <c r="A13" t="s">
        <v>313</v>
      </c>
      <c r="B13" t="s">
        <v>510</v>
      </c>
      <c r="C13" t="s">
        <v>630</v>
      </c>
      <c r="D13">
        <v>36</v>
      </c>
      <c r="E13">
        <v>7</v>
      </c>
      <c r="F13">
        <v>29</v>
      </c>
    </row>
    <row r="14" spans="1:6" x14ac:dyDescent="0.35">
      <c r="A14" t="s">
        <v>313</v>
      </c>
      <c r="B14" t="s">
        <v>512</v>
      </c>
      <c r="C14" t="s">
        <v>687</v>
      </c>
      <c r="D14">
        <v>3</v>
      </c>
      <c r="E14">
        <v>2</v>
      </c>
      <c r="F14">
        <v>1</v>
      </c>
    </row>
    <row r="15" spans="1:6" x14ac:dyDescent="0.35">
      <c r="A15" t="s">
        <v>319</v>
      </c>
      <c r="B15" t="s">
        <v>609</v>
      </c>
      <c r="C15" t="s">
        <v>631</v>
      </c>
      <c r="D15">
        <v>522</v>
      </c>
      <c r="E15">
        <v>16</v>
      </c>
      <c r="F15">
        <v>506</v>
      </c>
    </row>
    <row r="16" spans="1:6" x14ac:dyDescent="0.35">
      <c r="A16" t="s">
        <v>319</v>
      </c>
      <c r="B16" t="s">
        <v>634</v>
      </c>
      <c r="C16" t="s">
        <v>631</v>
      </c>
      <c r="D16">
        <v>43</v>
      </c>
      <c r="E16">
        <v>3</v>
      </c>
      <c r="F16">
        <v>40</v>
      </c>
    </row>
    <row r="17" spans="1:6" x14ac:dyDescent="0.35">
      <c r="A17" t="s">
        <v>319</v>
      </c>
      <c r="B17" t="s">
        <v>633</v>
      </c>
      <c r="C17" t="s">
        <v>627</v>
      </c>
      <c r="D17">
        <v>35</v>
      </c>
      <c r="E17">
        <v>0</v>
      </c>
      <c r="F17">
        <v>35</v>
      </c>
    </row>
    <row r="18" spans="1:6" x14ac:dyDescent="0.35">
      <c r="A18" t="s">
        <v>319</v>
      </c>
      <c r="B18" t="s">
        <v>633</v>
      </c>
      <c r="C18" t="s">
        <v>626</v>
      </c>
      <c r="D18">
        <v>5</v>
      </c>
      <c r="E18">
        <v>0</v>
      </c>
      <c r="F18">
        <v>5</v>
      </c>
    </row>
    <row r="19" spans="1:6" x14ac:dyDescent="0.35">
      <c r="A19" t="s">
        <v>321</v>
      </c>
      <c r="B19" t="s">
        <v>633</v>
      </c>
      <c r="C19" t="s">
        <v>628</v>
      </c>
      <c r="D19">
        <v>76</v>
      </c>
      <c r="E19">
        <v>2</v>
      </c>
      <c r="F19">
        <v>74</v>
      </c>
    </row>
    <row r="20" spans="1:6" x14ac:dyDescent="0.35">
      <c r="A20" t="s">
        <v>326</v>
      </c>
      <c r="B20" t="s">
        <v>511</v>
      </c>
      <c r="C20" t="s">
        <v>629</v>
      </c>
      <c r="D20">
        <v>10</v>
      </c>
      <c r="E20">
        <v>9</v>
      </c>
      <c r="F20">
        <v>1</v>
      </c>
    </row>
    <row r="21" spans="1:6" x14ac:dyDescent="0.35">
      <c r="A21" t="s">
        <v>326</v>
      </c>
      <c r="B21" t="s">
        <v>609</v>
      </c>
      <c r="C21" t="s">
        <v>632</v>
      </c>
      <c r="D21">
        <v>1952</v>
      </c>
      <c r="E21">
        <v>147</v>
      </c>
      <c r="F21">
        <v>1805</v>
      </c>
    </row>
    <row r="22" spans="1:6" x14ac:dyDescent="0.35">
      <c r="A22" t="s">
        <v>326</v>
      </c>
      <c r="B22" t="s">
        <v>609</v>
      </c>
      <c r="C22" t="s">
        <v>630</v>
      </c>
      <c r="D22">
        <v>262</v>
      </c>
      <c r="E22">
        <v>16</v>
      </c>
      <c r="F22">
        <v>246</v>
      </c>
    </row>
    <row r="23" spans="1:6" x14ac:dyDescent="0.35">
      <c r="A23" t="s">
        <v>326</v>
      </c>
      <c r="B23" t="s">
        <v>510</v>
      </c>
      <c r="C23" t="s">
        <v>631</v>
      </c>
      <c r="D23">
        <v>1</v>
      </c>
      <c r="E23">
        <v>0</v>
      </c>
      <c r="F23">
        <v>1</v>
      </c>
    </row>
    <row r="24" spans="1:6" x14ac:dyDescent="0.35">
      <c r="A24" t="s">
        <v>326</v>
      </c>
      <c r="B24" t="s">
        <v>634</v>
      </c>
      <c r="C24" t="s">
        <v>631</v>
      </c>
      <c r="D24">
        <v>40</v>
      </c>
      <c r="E24">
        <v>3</v>
      </c>
      <c r="F24">
        <v>37</v>
      </c>
    </row>
    <row r="25" spans="1:6" x14ac:dyDescent="0.35">
      <c r="A25" t="s">
        <v>326</v>
      </c>
      <c r="B25" t="s">
        <v>633</v>
      </c>
      <c r="C25" t="s">
        <v>631</v>
      </c>
      <c r="D25">
        <v>655</v>
      </c>
      <c r="E25">
        <v>39</v>
      </c>
      <c r="F25">
        <v>616</v>
      </c>
    </row>
    <row r="26" spans="1:6" x14ac:dyDescent="0.35">
      <c r="A26" t="s">
        <v>326</v>
      </c>
      <c r="B26" t="s">
        <v>633</v>
      </c>
      <c r="C26" t="s">
        <v>628</v>
      </c>
      <c r="D26">
        <v>78</v>
      </c>
      <c r="E26">
        <v>2</v>
      </c>
      <c r="F26">
        <v>76</v>
      </c>
    </row>
    <row r="27" spans="1:6" x14ac:dyDescent="0.35">
      <c r="A27" t="s">
        <v>326</v>
      </c>
      <c r="B27" t="s">
        <v>633</v>
      </c>
      <c r="C27" t="s">
        <v>629</v>
      </c>
      <c r="D27">
        <v>148</v>
      </c>
      <c r="E27">
        <v>9</v>
      </c>
      <c r="F27">
        <v>139</v>
      </c>
    </row>
    <row r="28" spans="1:6" x14ac:dyDescent="0.35">
      <c r="A28" t="s">
        <v>327</v>
      </c>
      <c r="B28" t="s">
        <v>511</v>
      </c>
      <c r="C28" t="s">
        <v>632</v>
      </c>
      <c r="D28">
        <v>91</v>
      </c>
      <c r="E28">
        <v>73</v>
      </c>
      <c r="F28">
        <v>18</v>
      </c>
    </row>
    <row r="29" spans="1:6" x14ac:dyDescent="0.35">
      <c r="A29" t="s">
        <v>327</v>
      </c>
      <c r="B29" t="s">
        <v>609</v>
      </c>
      <c r="C29" t="s">
        <v>630</v>
      </c>
      <c r="D29">
        <v>251</v>
      </c>
      <c r="E29">
        <v>12</v>
      </c>
      <c r="F29">
        <v>239</v>
      </c>
    </row>
    <row r="30" spans="1:6" x14ac:dyDescent="0.35">
      <c r="A30" t="s">
        <v>327</v>
      </c>
      <c r="B30" t="s">
        <v>512</v>
      </c>
      <c r="C30" t="s">
        <v>691</v>
      </c>
      <c r="D30">
        <v>470</v>
      </c>
      <c r="E30">
        <v>218</v>
      </c>
      <c r="F30">
        <v>252</v>
      </c>
    </row>
    <row r="31" spans="1:6" x14ac:dyDescent="0.35">
      <c r="A31" t="s">
        <v>327</v>
      </c>
      <c r="B31" t="s">
        <v>512</v>
      </c>
      <c r="C31" t="s">
        <v>692</v>
      </c>
      <c r="D31">
        <v>60</v>
      </c>
      <c r="E31">
        <v>19</v>
      </c>
      <c r="F31">
        <v>41</v>
      </c>
    </row>
    <row r="32" spans="1:6" x14ac:dyDescent="0.35">
      <c r="A32" t="s">
        <v>327</v>
      </c>
      <c r="B32" t="s">
        <v>634</v>
      </c>
      <c r="C32" t="s">
        <v>632</v>
      </c>
      <c r="D32">
        <v>193</v>
      </c>
      <c r="E32">
        <v>31</v>
      </c>
      <c r="F32">
        <v>162</v>
      </c>
    </row>
    <row r="33" spans="1:6" x14ac:dyDescent="0.35">
      <c r="A33" t="s">
        <v>327</v>
      </c>
      <c r="B33" t="s">
        <v>634</v>
      </c>
      <c r="C33" t="s">
        <v>630</v>
      </c>
      <c r="D33">
        <v>35</v>
      </c>
      <c r="E33">
        <v>5</v>
      </c>
      <c r="F33">
        <v>30</v>
      </c>
    </row>
    <row r="34" spans="1:6" x14ac:dyDescent="0.35">
      <c r="A34" t="s">
        <v>327</v>
      </c>
      <c r="B34" t="s">
        <v>633</v>
      </c>
      <c r="C34" t="s">
        <v>626</v>
      </c>
      <c r="D34">
        <v>5</v>
      </c>
      <c r="E34">
        <v>0</v>
      </c>
      <c r="F34">
        <v>5</v>
      </c>
    </row>
    <row r="35" spans="1:6" x14ac:dyDescent="0.35">
      <c r="A35" t="s">
        <v>466</v>
      </c>
      <c r="B35" t="s">
        <v>609</v>
      </c>
      <c r="C35" t="s">
        <v>631</v>
      </c>
      <c r="D35">
        <v>514</v>
      </c>
      <c r="E35">
        <v>30</v>
      </c>
      <c r="F35">
        <v>484</v>
      </c>
    </row>
    <row r="36" spans="1:6" x14ac:dyDescent="0.35">
      <c r="A36" t="s">
        <v>466</v>
      </c>
      <c r="B36" t="s">
        <v>633</v>
      </c>
      <c r="C36" t="s">
        <v>626</v>
      </c>
      <c r="D36">
        <v>5</v>
      </c>
      <c r="E36">
        <v>0</v>
      </c>
      <c r="F36">
        <v>5</v>
      </c>
    </row>
    <row r="37" spans="1:6" x14ac:dyDescent="0.35">
      <c r="A37" t="s">
        <v>364</v>
      </c>
      <c r="B37" t="s">
        <v>512</v>
      </c>
      <c r="C37" t="s">
        <v>693</v>
      </c>
      <c r="D37">
        <v>278</v>
      </c>
      <c r="E37">
        <v>248</v>
      </c>
      <c r="F37">
        <v>30</v>
      </c>
    </row>
    <row r="38" spans="1:6" x14ac:dyDescent="0.35">
      <c r="A38" t="s">
        <v>364</v>
      </c>
      <c r="B38" t="s">
        <v>634</v>
      </c>
      <c r="C38" t="s">
        <v>632</v>
      </c>
      <c r="D38">
        <v>277</v>
      </c>
      <c r="E38">
        <v>44</v>
      </c>
      <c r="F38">
        <v>233</v>
      </c>
    </row>
    <row r="39" spans="1:6" x14ac:dyDescent="0.35">
      <c r="A39" t="s">
        <v>364</v>
      </c>
      <c r="B39" t="s">
        <v>633</v>
      </c>
      <c r="C39" t="s">
        <v>627</v>
      </c>
      <c r="D39">
        <v>28</v>
      </c>
      <c r="E39">
        <v>0</v>
      </c>
      <c r="F39">
        <v>28</v>
      </c>
    </row>
    <row r="40" spans="1:6" x14ac:dyDescent="0.35">
      <c r="A40" t="s">
        <v>365</v>
      </c>
      <c r="B40" t="s">
        <v>633</v>
      </c>
      <c r="C40" t="s">
        <v>631</v>
      </c>
      <c r="D40">
        <v>634</v>
      </c>
      <c r="E40">
        <v>24</v>
      </c>
      <c r="F40">
        <v>610</v>
      </c>
    </row>
    <row r="41" spans="1:6" x14ac:dyDescent="0.35">
      <c r="A41" t="s">
        <v>366</v>
      </c>
      <c r="B41" t="s">
        <v>512</v>
      </c>
      <c r="C41" t="s">
        <v>693</v>
      </c>
      <c r="D41">
        <v>194</v>
      </c>
      <c r="E41">
        <v>176</v>
      </c>
      <c r="F41">
        <v>18</v>
      </c>
    </row>
    <row r="42" spans="1:6" x14ac:dyDescent="0.35">
      <c r="A42" t="s">
        <v>366</v>
      </c>
      <c r="B42" t="s">
        <v>512</v>
      </c>
      <c r="C42" t="s">
        <v>687</v>
      </c>
      <c r="D42">
        <v>3</v>
      </c>
      <c r="E42">
        <v>2</v>
      </c>
      <c r="F42">
        <v>1</v>
      </c>
    </row>
    <row r="43" spans="1:6" x14ac:dyDescent="0.35">
      <c r="A43" t="s">
        <v>366</v>
      </c>
      <c r="B43" t="s">
        <v>512</v>
      </c>
      <c r="C43" t="s">
        <v>689</v>
      </c>
      <c r="D43">
        <v>34</v>
      </c>
      <c r="E43">
        <v>18</v>
      </c>
      <c r="F43">
        <v>16</v>
      </c>
    </row>
    <row r="44" spans="1:6" x14ac:dyDescent="0.35">
      <c r="A44" t="s">
        <v>341</v>
      </c>
      <c r="B44" t="s">
        <v>511</v>
      </c>
      <c r="C44" t="s">
        <v>630</v>
      </c>
      <c r="D44">
        <v>41</v>
      </c>
      <c r="E44">
        <v>35</v>
      </c>
      <c r="F44">
        <v>6</v>
      </c>
    </row>
    <row r="45" spans="1:6" x14ac:dyDescent="0.35">
      <c r="A45" t="s">
        <v>341</v>
      </c>
      <c r="B45" t="s">
        <v>512</v>
      </c>
      <c r="C45" t="s">
        <v>692</v>
      </c>
      <c r="D45">
        <v>165</v>
      </c>
      <c r="E45">
        <v>98</v>
      </c>
      <c r="F45">
        <v>67</v>
      </c>
    </row>
    <row r="46" spans="1:6" x14ac:dyDescent="0.35">
      <c r="A46" t="s">
        <v>341</v>
      </c>
      <c r="B46" t="s">
        <v>634</v>
      </c>
      <c r="C46" t="s">
        <v>631</v>
      </c>
      <c r="D46">
        <v>46</v>
      </c>
      <c r="E46">
        <v>4</v>
      </c>
      <c r="F46">
        <v>38</v>
      </c>
    </row>
    <row r="47" spans="1:6" x14ac:dyDescent="0.35">
      <c r="A47" t="s">
        <v>341</v>
      </c>
      <c r="B47" t="s">
        <v>634</v>
      </c>
      <c r="C47" t="s">
        <v>632</v>
      </c>
      <c r="D47">
        <v>260</v>
      </c>
      <c r="E47">
        <v>40</v>
      </c>
      <c r="F47">
        <v>198</v>
      </c>
    </row>
    <row r="48" spans="1:6" x14ac:dyDescent="0.35">
      <c r="A48" t="s">
        <v>342</v>
      </c>
      <c r="B48" t="s">
        <v>511</v>
      </c>
      <c r="C48" t="s">
        <v>631</v>
      </c>
      <c r="D48">
        <v>27</v>
      </c>
      <c r="E48">
        <v>23</v>
      </c>
      <c r="F48">
        <v>4</v>
      </c>
    </row>
    <row r="49" spans="1:6" x14ac:dyDescent="0.35">
      <c r="A49" t="s">
        <v>342</v>
      </c>
      <c r="B49" t="s">
        <v>512</v>
      </c>
      <c r="C49" t="s">
        <v>687</v>
      </c>
      <c r="D49">
        <v>2</v>
      </c>
      <c r="E49">
        <v>1</v>
      </c>
      <c r="F49">
        <v>1</v>
      </c>
    </row>
    <row r="50" spans="1:6" x14ac:dyDescent="0.35">
      <c r="A50" t="s">
        <v>342</v>
      </c>
      <c r="B50" t="s">
        <v>512</v>
      </c>
      <c r="C50" t="s">
        <v>688</v>
      </c>
      <c r="D50">
        <v>50</v>
      </c>
      <c r="E50">
        <v>17</v>
      </c>
      <c r="F50">
        <v>33</v>
      </c>
    </row>
    <row r="51" spans="1:6" x14ac:dyDescent="0.35">
      <c r="A51" t="s">
        <v>342</v>
      </c>
      <c r="B51" t="s">
        <v>634</v>
      </c>
      <c r="C51" t="s">
        <v>631</v>
      </c>
      <c r="D51">
        <v>39</v>
      </c>
      <c r="E51">
        <v>3</v>
      </c>
      <c r="F51">
        <v>36</v>
      </c>
    </row>
    <row r="52" spans="1:6" x14ac:dyDescent="0.35">
      <c r="A52" t="s">
        <v>214</v>
      </c>
      <c r="B52" t="s">
        <v>609</v>
      </c>
      <c r="C52" t="s">
        <v>630</v>
      </c>
      <c r="D52">
        <v>261</v>
      </c>
      <c r="E52">
        <v>13</v>
      </c>
      <c r="F52">
        <v>248</v>
      </c>
    </row>
    <row r="53" spans="1:6" x14ac:dyDescent="0.35">
      <c r="A53" t="s">
        <v>214</v>
      </c>
      <c r="B53" t="s">
        <v>512</v>
      </c>
      <c r="C53" t="s">
        <v>687</v>
      </c>
      <c r="D53">
        <v>3</v>
      </c>
      <c r="E53">
        <v>2</v>
      </c>
      <c r="F53">
        <v>1</v>
      </c>
    </row>
    <row r="54" spans="1:6" x14ac:dyDescent="0.35">
      <c r="A54" t="s">
        <v>214</v>
      </c>
      <c r="B54" t="s">
        <v>633</v>
      </c>
      <c r="C54" t="s">
        <v>630</v>
      </c>
      <c r="D54">
        <v>611</v>
      </c>
      <c r="E54">
        <v>33</v>
      </c>
      <c r="F54">
        <v>578</v>
      </c>
    </row>
    <row r="55" spans="1:6" x14ac:dyDescent="0.35">
      <c r="A55" t="s">
        <v>313</v>
      </c>
      <c r="B55" t="s">
        <v>511</v>
      </c>
      <c r="C55" t="s">
        <v>627</v>
      </c>
      <c r="D55">
        <v>1</v>
      </c>
      <c r="E55">
        <v>1</v>
      </c>
      <c r="F55">
        <v>0</v>
      </c>
    </row>
    <row r="56" spans="1:6" x14ac:dyDescent="0.35">
      <c r="A56" t="s">
        <v>313</v>
      </c>
      <c r="B56" t="s">
        <v>634</v>
      </c>
      <c r="C56" t="s">
        <v>632</v>
      </c>
      <c r="D56">
        <v>237</v>
      </c>
      <c r="E56">
        <v>48</v>
      </c>
      <c r="F56">
        <v>189</v>
      </c>
    </row>
    <row r="57" spans="1:6" x14ac:dyDescent="0.35">
      <c r="A57" t="s">
        <v>319</v>
      </c>
      <c r="B57" t="s">
        <v>511</v>
      </c>
      <c r="C57" t="s">
        <v>629</v>
      </c>
      <c r="D57">
        <v>10</v>
      </c>
      <c r="E57">
        <v>9</v>
      </c>
      <c r="F57">
        <v>1</v>
      </c>
    </row>
    <row r="58" spans="1:6" x14ac:dyDescent="0.35">
      <c r="A58" t="s">
        <v>319</v>
      </c>
      <c r="B58" t="s">
        <v>511</v>
      </c>
      <c r="C58" t="s">
        <v>630</v>
      </c>
      <c r="D58">
        <v>41</v>
      </c>
      <c r="E58">
        <v>35</v>
      </c>
      <c r="F58">
        <v>6</v>
      </c>
    </row>
    <row r="59" spans="1:6" x14ac:dyDescent="0.35">
      <c r="A59" t="s">
        <v>319</v>
      </c>
      <c r="B59" t="s">
        <v>512</v>
      </c>
      <c r="C59" t="s">
        <v>692</v>
      </c>
      <c r="D59">
        <v>61</v>
      </c>
      <c r="E59">
        <v>23</v>
      </c>
      <c r="F59">
        <v>38</v>
      </c>
    </row>
    <row r="60" spans="1:6" x14ac:dyDescent="0.35">
      <c r="A60" t="s">
        <v>321</v>
      </c>
      <c r="B60" t="s">
        <v>511</v>
      </c>
      <c r="C60" t="s">
        <v>630</v>
      </c>
      <c r="D60">
        <v>42</v>
      </c>
      <c r="E60">
        <v>37</v>
      </c>
      <c r="F60">
        <v>5</v>
      </c>
    </row>
    <row r="61" spans="1:6" x14ac:dyDescent="0.35">
      <c r="A61" t="s">
        <v>321</v>
      </c>
      <c r="B61" t="s">
        <v>512</v>
      </c>
      <c r="C61" t="s">
        <v>692</v>
      </c>
      <c r="D61">
        <v>60</v>
      </c>
      <c r="E61">
        <v>20</v>
      </c>
      <c r="F61">
        <v>40</v>
      </c>
    </row>
    <row r="62" spans="1:6" x14ac:dyDescent="0.35">
      <c r="A62" t="s">
        <v>321</v>
      </c>
      <c r="B62" t="s">
        <v>634</v>
      </c>
      <c r="C62" t="s">
        <v>631</v>
      </c>
      <c r="D62">
        <v>40</v>
      </c>
      <c r="E62">
        <v>2</v>
      </c>
      <c r="F62">
        <v>38</v>
      </c>
    </row>
    <row r="63" spans="1:6" x14ac:dyDescent="0.35">
      <c r="A63" t="s">
        <v>326</v>
      </c>
      <c r="B63" t="s">
        <v>511</v>
      </c>
      <c r="C63" t="s">
        <v>631</v>
      </c>
      <c r="D63">
        <v>29</v>
      </c>
      <c r="E63">
        <v>25</v>
      </c>
      <c r="F63">
        <v>4</v>
      </c>
    </row>
    <row r="64" spans="1:6" x14ac:dyDescent="0.35">
      <c r="A64" t="s">
        <v>326</v>
      </c>
      <c r="B64" t="s">
        <v>511</v>
      </c>
      <c r="C64" t="s">
        <v>628</v>
      </c>
      <c r="D64">
        <v>4</v>
      </c>
      <c r="E64">
        <v>3</v>
      </c>
      <c r="F64">
        <v>1</v>
      </c>
    </row>
    <row r="65" spans="1:6" x14ac:dyDescent="0.35">
      <c r="A65" t="s">
        <v>326</v>
      </c>
      <c r="B65" t="s">
        <v>512</v>
      </c>
      <c r="C65" t="s">
        <v>693</v>
      </c>
      <c r="D65">
        <v>159</v>
      </c>
      <c r="E65">
        <v>143</v>
      </c>
      <c r="F65">
        <v>16</v>
      </c>
    </row>
    <row r="66" spans="1:6" x14ac:dyDescent="0.35">
      <c r="A66" t="s">
        <v>326</v>
      </c>
      <c r="B66" t="s">
        <v>512</v>
      </c>
      <c r="C66" t="s">
        <v>688</v>
      </c>
      <c r="D66">
        <v>81</v>
      </c>
      <c r="E66">
        <v>37</v>
      </c>
      <c r="F66">
        <v>44</v>
      </c>
    </row>
    <row r="67" spans="1:6" x14ac:dyDescent="0.35">
      <c r="A67" t="s">
        <v>327</v>
      </c>
      <c r="B67" t="s">
        <v>511</v>
      </c>
      <c r="C67" t="s">
        <v>631</v>
      </c>
      <c r="D67">
        <v>26</v>
      </c>
      <c r="E67">
        <v>21</v>
      </c>
      <c r="F67">
        <v>5</v>
      </c>
    </row>
    <row r="68" spans="1:6" x14ac:dyDescent="0.35">
      <c r="A68" t="s">
        <v>327</v>
      </c>
      <c r="B68" t="s">
        <v>511</v>
      </c>
      <c r="C68" t="s">
        <v>629</v>
      </c>
      <c r="D68">
        <v>9</v>
      </c>
      <c r="E68">
        <v>8</v>
      </c>
      <c r="F68">
        <v>1</v>
      </c>
    </row>
    <row r="69" spans="1:6" x14ac:dyDescent="0.35">
      <c r="A69" t="s">
        <v>327</v>
      </c>
      <c r="B69" t="s">
        <v>609</v>
      </c>
      <c r="C69" t="s">
        <v>631</v>
      </c>
      <c r="D69">
        <v>525</v>
      </c>
      <c r="E69">
        <v>28</v>
      </c>
      <c r="F69">
        <v>497</v>
      </c>
    </row>
    <row r="70" spans="1:6" x14ac:dyDescent="0.35">
      <c r="A70" t="s">
        <v>466</v>
      </c>
      <c r="B70" t="s">
        <v>512</v>
      </c>
      <c r="C70" t="s">
        <v>688</v>
      </c>
      <c r="D70">
        <v>95</v>
      </c>
      <c r="E70">
        <v>44</v>
      </c>
      <c r="F70">
        <v>51</v>
      </c>
    </row>
    <row r="71" spans="1:6" x14ac:dyDescent="0.35">
      <c r="A71" t="s">
        <v>466</v>
      </c>
      <c r="B71" t="s">
        <v>634</v>
      </c>
      <c r="C71" t="s">
        <v>632</v>
      </c>
      <c r="D71">
        <v>196</v>
      </c>
      <c r="E71">
        <v>30</v>
      </c>
      <c r="F71">
        <v>166</v>
      </c>
    </row>
    <row r="72" spans="1:6" x14ac:dyDescent="0.35">
      <c r="A72" t="s">
        <v>466</v>
      </c>
      <c r="B72" t="s">
        <v>633</v>
      </c>
      <c r="C72" t="s">
        <v>632</v>
      </c>
      <c r="D72">
        <v>1936</v>
      </c>
      <c r="E72">
        <v>139</v>
      </c>
      <c r="F72">
        <v>1797</v>
      </c>
    </row>
    <row r="73" spans="1:6" x14ac:dyDescent="0.35">
      <c r="A73" t="s">
        <v>364</v>
      </c>
      <c r="B73" t="s">
        <v>634</v>
      </c>
      <c r="C73" t="s">
        <v>631</v>
      </c>
      <c r="D73">
        <v>73</v>
      </c>
      <c r="E73">
        <v>8</v>
      </c>
      <c r="F73">
        <v>65</v>
      </c>
    </row>
    <row r="74" spans="1:6" x14ac:dyDescent="0.35">
      <c r="A74" t="s">
        <v>364</v>
      </c>
      <c r="B74" t="s">
        <v>633</v>
      </c>
      <c r="C74" t="s">
        <v>628</v>
      </c>
      <c r="D74">
        <v>115</v>
      </c>
      <c r="E74">
        <v>3</v>
      </c>
      <c r="F74">
        <v>112</v>
      </c>
    </row>
    <row r="75" spans="1:6" x14ac:dyDescent="0.35">
      <c r="A75" t="s">
        <v>364</v>
      </c>
      <c r="B75" t="s">
        <v>633</v>
      </c>
      <c r="C75" t="s">
        <v>630</v>
      </c>
      <c r="D75">
        <v>679</v>
      </c>
      <c r="E75">
        <v>22</v>
      </c>
      <c r="F75">
        <v>657</v>
      </c>
    </row>
    <row r="76" spans="1:6" x14ac:dyDescent="0.35">
      <c r="A76" t="s">
        <v>365</v>
      </c>
      <c r="B76" t="s">
        <v>511</v>
      </c>
      <c r="C76" t="s">
        <v>632</v>
      </c>
      <c r="D76">
        <v>110</v>
      </c>
      <c r="E76">
        <v>89</v>
      </c>
      <c r="F76">
        <v>21</v>
      </c>
    </row>
    <row r="77" spans="1:6" x14ac:dyDescent="0.35">
      <c r="A77" t="s">
        <v>365</v>
      </c>
      <c r="B77" t="s">
        <v>512</v>
      </c>
      <c r="C77" t="s">
        <v>693</v>
      </c>
      <c r="D77">
        <v>195</v>
      </c>
      <c r="E77">
        <v>176</v>
      </c>
      <c r="F77">
        <v>19</v>
      </c>
    </row>
    <row r="78" spans="1:6" x14ac:dyDescent="0.35">
      <c r="A78" t="s">
        <v>365</v>
      </c>
      <c r="B78" t="s">
        <v>512</v>
      </c>
      <c r="C78" t="s">
        <v>687</v>
      </c>
      <c r="D78">
        <v>2</v>
      </c>
      <c r="E78">
        <v>2</v>
      </c>
      <c r="F78">
        <v>0</v>
      </c>
    </row>
    <row r="79" spans="1:6" x14ac:dyDescent="0.35">
      <c r="A79" t="s">
        <v>365</v>
      </c>
      <c r="B79" t="s">
        <v>512</v>
      </c>
      <c r="C79" t="s">
        <v>690</v>
      </c>
      <c r="D79">
        <v>59</v>
      </c>
      <c r="E79">
        <v>40</v>
      </c>
      <c r="F79">
        <v>19</v>
      </c>
    </row>
    <row r="80" spans="1:6" x14ac:dyDescent="0.35">
      <c r="A80" t="s">
        <v>365</v>
      </c>
      <c r="B80" t="s">
        <v>512</v>
      </c>
      <c r="C80" t="s">
        <v>688</v>
      </c>
      <c r="D80">
        <v>44</v>
      </c>
      <c r="E80">
        <v>21</v>
      </c>
      <c r="F80">
        <v>23</v>
      </c>
    </row>
    <row r="81" spans="1:6" x14ac:dyDescent="0.35">
      <c r="A81" t="s">
        <v>365</v>
      </c>
      <c r="B81" t="s">
        <v>633</v>
      </c>
      <c r="C81" t="s">
        <v>626</v>
      </c>
      <c r="D81">
        <v>7</v>
      </c>
      <c r="E81">
        <v>0</v>
      </c>
      <c r="F81">
        <v>7</v>
      </c>
    </row>
    <row r="82" spans="1:6" x14ac:dyDescent="0.35">
      <c r="A82" t="s">
        <v>365</v>
      </c>
      <c r="B82" t="s">
        <v>633</v>
      </c>
      <c r="C82" t="s">
        <v>632</v>
      </c>
      <c r="D82">
        <v>2285</v>
      </c>
      <c r="E82">
        <v>109</v>
      </c>
      <c r="F82">
        <v>2176</v>
      </c>
    </row>
    <row r="83" spans="1:6" x14ac:dyDescent="0.35">
      <c r="A83" t="s">
        <v>365</v>
      </c>
      <c r="B83" t="s">
        <v>633</v>
      </c>
      <c r="C83" t="s">
        <v>629</v>
      </c>
      <c r="D83">
        <v>130</v>
      </c>
      <c r="E83">
        <v>1</v>
      </c>
      <c r="F83">
        <v>129</v>
      </c>
    </row>
    <row r="84" spans="1:6" x14ac:dyDescent="0.35">
      <c r="A84" t="s">
        <v>366</v>
      </c>
      <c r="B84" t="s">
        <v>609</v>
      </c>
      <c r="C84" t="s">
        <v>631</v>
      </c>
      <c r="D84">
        <v>543</v>
      </c>
      <c r="E84">
        <v>17</v>
      </c>
      <c r="F84">
        <v>526</v>
      </c>
    </row>
    <row r="85" spans="1:6" x14ac:dyDescent="0.35">
      <c r="A85" t="s">
        <v>366</v>
      </c>
      <c r="B85" t="s">
        <v>512</v>
      </c>
      <c r="C85" t="s">
        <v>688</v>
      </c>
      <c r="D85">
        <v>40</v>
      </c>
      <c r="E85">
        <v>15</v>
      </c>
      <c r="F85">
        <v>25</v>
      </c>
    </row>
    <row r="86" spans="1:6" x14ac:dyDescent="0.35">
      <c r="A86" t="s">
        <v>366</v>
      </c>
      <c r="B86" t="s">
        <v>633</v>
      </c>
      <c r="C86" t="s">
        <v>626</v>
      </c>
      <c r="D86">
        <v>4</v>
      </c>
      <c r="E86">
        <v>0</v>
      </c>
      <c r="F86">
        <v>4</v>
      </c>
    </row>
    <row r="87" spans="1:6" x14ac:dyDescent="0.35">
      <c r="A87" t="s">
        <v>366</v>
      </c>
      <c r="B87" t="s">
        <v>633</v>
      </c>
      <c r="C87" t="s">
        <v>631</v>
      </c>
      <c r="D87">
        <v>600</v>
      </c>
      <c r="E87">
        <v>27</v>
      </c>
      <c r="F87">
        <v>573</v>
      </c>
    </row>
    <row r="88" spans="1:6" x14ac:dyDescent="0.35">
      <c r="A88" t="s">
        <v>341</v>
      </c>
      <c r="B88" t="s">
        <v>511</v>
      </c>
      <c r="C88" t="s">
        <v>628</v>
      </c>
      <c r="D88">
        <v>5</v>
      </c>
      <c r="E88">
        <v>4</v>
      </c>
      <c r="F88">
        <v>1</v>
      </c>
    </row>
    <row r="89" spans="1:6" x14ac:dyDescent="0.35">
      <c r="A89" t="s">
        <v>341</v>
      </c>
      <c r="B89" t="s">
        <v>609</v>
      </c>
      <c r="C89" t="s">
        <v>630</v>
      </c>
      <c r="D89">
        <v>260</v>
      </c>
      <c r="E89">
        <v>16</v>
      </c>
      <c r="F89">
        <v>244</v>
      </c>
    </row>
    <row r="90" spans="1:6" x14ac:dyDescent="0.35">
      <c r="A90" t="s">
        <v>342</v>
      </c>
      <c r="B90" t="s">
        <v>512</v>
      </c>
      <c r="C90" t="s">
        <v>689</v>
      </c>
      <c r="D90">
        <v>32</v>
      </c>
      <c r="E90">
        <v>19</v>
      </c>
      <c r="F90">
        <v>13</v>
      </c>
    </row>
    <row r="91" spans="1:6" x14ac:dyDescent="0.35">
      <c r="A91" t="s">
        <v>342</v>
      </c>
      <c r="B91" t="s">
        <v>633</v>
      </c>
      <c r="C91" t="s">
        <v>631</v>
      </c>
      <c r="D91">
        <v>689</v>
      </c>
      <c r="E91">
        <v>26</v>
      </c>
      <c r="F91">
        <v>663</v>
      </c>
    </row>
    <row r="92" spans="1:6" x14ac:dyDescent="0.35">
      <c r="A92" t="s">
        <v>342</v>
      </c>
      <c r="B92" t="s">
        <v>633</v>
      </c>
      <c r="C92" t="s">
        <v>629</v>
      </c>
      <c r="D92">
        <v>153</v>
      </c>
      <c r="E92">
        <v>2</v>
      </c>
      <c r="F92">
        <v>151</v>
      </c>
    </row>
    <row r="93" spans="1:6" x14ac:dyDescent="0.35">
      <c r="A93" t="s">
        <v>342</v>
      </c>
      <c r="B93" t="s">
        <v>633</v>
      </c>
      <c r="C93" t="s">
        <v>630</v>
      </c>
      <c r="D93">
        <v>603</v>
      </c>
      <c r="E93">
        <v>31</v>
      </c>
      <c r="F93">
        <v>572</v>
      </c>
    </row>
    <row r="94" spans="1:6" x14ac:dyDescent="0.35">
      <c r="A94" t="s">
        <v>214</v>
      </c>
      <c r="B94" t="s">
        <v>511</v>
      </c>
      <c r="C94" t="s">
        <v>632</v>
      </c>
      <c r="D94">
        <v>124</v>
      </c>
      <c r="E94">
        <v>103</v>
      </c>
      <c r="F94">
        <v>21</v>
      </c>
    </row>
    <row r="95" spans="1:6" x14ac:dyDescent="0.35">
      <c r="A95" t="s">
        <v>214</v>
      </c>
      <c r="B95" t="s">
        <v>511</v>
      </c>
      <c r="C95" t="s">
        <v>629</v>
      </c>
      <c r="D95">
        <v>9</v>
      </c>
      <c r="E95">
        <v>8</v>
      </c>
      <c r="F95">
        <v>1</v>
      </c>
    </row>
    <row r="96" spans="1:6" x14ac:dyDescent="0.35">
      <c r="A96" t="s">
        <v>214</v>
      </c>
      <c r="B96" t="s">
        <v>510</v>
      </c>
      <c r="C96" t="s">
        <v>762</v>
      </c>
      <c r="D96">
        <v>18</v>
      </c>
      <c r="E96">
        <v>1</v>
      </c>
      <c r="F96">
        <v>17</v>
      </c>
    </row>
    <row r="97" spans="1:6" x14ac:dyDescent="0.35">
      <c r="A97" t="s">
        <v>214</v>
      </c>
      <c r="B97" t="s">
        <v>634</v>
      </c>
      <c r="C97" t="s">
        <v>631</v>
      </c>
      <c r="D97">
        <v>40</v>
      </c>
      <c r="E97">
        <v>3</v>
      </c>
      <c r="F97">
        <v>37</v>
      </c>
    </row>
    <row r="98" spans="1:6" x14ac:dyDescent="0.35">
      <c r="A98" t="s">
        <v>214</v>
      </c>
      <c r="B98" t="s">
        <v>633</v>
      </c>
      <c r="C98" t="s">
        <v>626</v>
      </c>
      <c r="D98">
        <v>4</v>
      </c>
      <c r="E98">
        <v>0</v>
      </c>
      <c r="F98">
        <v>4</v>
      </c>
    </row>
    <row r="99" spans="1:6" x14ac:dyDescent="0.35">
      <c r="A99" t="s">
        <v>313</v>
      </c>
      <c r="B99" t="s">
        <v>512</v>
      </c>
      <c r="C99" t="s">
        <v>691</v>
      </c>
      <c r="D99">
        <v>400</v>
      </c>
      <c r="E99">
        <v>152</v>
      </c>
      <c r="F99">
        <v>248</v>
      </c>
    </row>
    <row r="100" spans="1:6" x14ac:dyDescent="0.35">
      <c r="A100" t="s">
        <v>313</v>
      </c>
      <c r="B100" t="s">
        <v>633</v>
      </c>
      <c r="C100" t="s">
        <v>627</v>
      </c>
      <c r="D100">
        <v>31</v>
      </c>
      <c r="E100">
        <v>0</v>
      </c>
      <c r="F100">
        <v>31</v>
      </c>
    </row>
    <row r="101" spans="1:6" x14ac:dyDescent="0.35">
      <c r="A101" t="s">
        <v>313</v>
      </c>
      <c r="B101" t="s">
        <v>633</v>
      </c>
      <c r="C101" t="s">
        <v>631</v>
      </c>
      <c r="D101">
        <v>688</v>
      </c>
      <c r="E101">
        <v>31</v>
      </c>
      <c r="F101">
        <v>657</v>
      </c>
    </row>
    <row r="102" spans="1:6" x14ac:dyDescent="0.35">
      <c r="A102" t="s">
        <v>319</v>
      </c>
      <c r="B102" t="s">
        <v>511</v>
      </c>
      <c r="C102" t="s">
        <v>632</v>
      </c>
      <c r="D102">
        <v>95</v>
      </c>
      <c r="E102">
        <v>79</v>
      </c>
      <c r="F102">
        <v>16</v>
      </c>
    </row>
    <row r="103" spans="1:6" x14ac:dyDescent="0.35">
      <c r="A103" t="s">
        <v>319</v>
      </c>
      <c r="B103" t="s">
        <v>609</v>
      </c>
      <c r="C103" t="s">
        <v>630</v>
      </c>
      <c r="D103">
        <v>267</v>
      </c>
      <c r="E103">
        <v>14</v>
      </c>
      <c r="F103">
        <v>253</v>
      </c>
    </row>
    <row r="104" spans="1:6" x14ac:dyDescent="0.35">
      <c r="A104" t="s">
        <v>319</v>
      </c>
      <c r="B104" t="s">
        <v>512</v>
      </c>
      <c r="C104" t="s">
        <v>693</v>
      </c>
      <c r="D104">
        <v>187</v>
      </c>
      <c r="E104">
        <v>178</v>
      </c>
      <c r="F104">
        <v>9</v>
      </c>
    </row>
    <row r="105" spans="1:6" x14ac:dyDescent="0.35">
      <c r="A105" t="s">
        <v>319</v>
      </c>
      <c r="B105" t="s">
        <v>512</v>
      </c>
      <c r="C105" t="s">
        <v>687</v>
      </c>
      <c r="D105">
        <v>3</v>
      </c>
      <c r="E105">
        <v>2</v>
      </c>
      <c r="F105">
        <v>1</v>
      </c>
    </row>
    <row r="106" spans="1:6" x14ac:dyDescent="0.35">
      <c r="A106" t="s">
        <v>319</v>
      </c>
      <c r="B106" t="s">
        <v>512</v>
      </c>
      <c r="C106" t="s">
        <v>691</v>
      </c>
      <c r="D106">
        <v>413</v>
      </c>
      <c r="E106">
        <v>161</v>
      </c>
      <c r="F106">
        <v>252</v>
      </c>
    </row>
    <row r="107" spans="1:6" x14ac:dyDescent="0.35">
      <c r="A107" t="s">
        <v>319</v>
      </c>
      <c r="B107" t="s">
        <v>634</v>
      </c>
      <c r="C107" t="s">
        <v>632</v>
      </c>
      <c r="D107">
        <v>223</v>
      </c>
      <c r="E107">
        <v>44</v>
      </c>
      <c r="F107">
        <v>179</v>
      </c>
    </row>
    <row r="108" spans="1:6" x14ac:dyDescent="0.35">
      <c r="A108" t="s">
        <v>319</v>
      </c>
      <c r="B108" t="s">
        <v>633</v>
      </c>
      <c r="C108" t="s">
        <v>628</v>
      </c>
      <c r="D108">
        <v>79</v>
      </c>
      <c r="E108">
        <v>2</v>
      </c>
      <c r="F108">
        <v>77</v>
      </c>
    </row>
    <row r="109" spans="1:6" x14ac:dyDescent="0.35">
      <c r="A109" t="s">
        <v>321</v>
      </c>
      <c r="B109" t="s">
        <v>511</v>
      </c>
      <c r="C109" t="s">
        <v>627</v>
      </c>
      <c r="D109">
        <v>1</v>
      </c>
      <c r="E109">
        <v>1</v>
      </c>
      <c r="F109">
        <v>0</v>
      </c>
    </row>
    <row r="110" spans="1:6" x14ac:dyDescent="0.35">
      <c r="A110" t="s">
        <v>321</v>
      </c>
      <c r="B110" t="s">
        <v>609</v>
      </c>
      <c r="C110" t="s">
        <v>631</v>
      </c>
      <c r="D110">
        <v>526</v>
      </c>
      <c r="E110">
        <v>18</v>
      </c>
      <c r="F110">
        <v>508</v>
      </c>
    </row>
    <row r="111" spans="1:6" x14ac:dyDescent="0.35">
      <c r="A111" t="s">
        <v>321</v>
      </c>
      <c r="B111" t="s">
        <v>512</v>
      </c>
      <c r="C111" t="s">
        <v>688</v>
      </c>
      <c r="D111">
        <v>57</v>
      </c>
      <c r="E111">
        <v>25</v>
      </c>
      <c r="F111">
        <v>32</v>
      </c>
    </row>
    <row r="112" spans="1:6" x14ac:dyDescent="0.35">
      <c r="A112" t="s">
        <v>321</v>
      </c>
      <c r="B112" t="s">
        <v>512</v>
      </c>
      <c r="C112" t="s">
        <v>689</v>
      </c>
      <c r="D112">
        <v>33</v>
      </c>
      <c r="E112">
        <v>20</v>
      </c>
      <c r="F112">
        <v>13</v>
      </c>
    </row>
    <row r="113" spans="1:6" x14ac:dyDescent="0.35">
      <c r="A113" t="s">
        <v>321</v>
      </c>
      <c r="B113" t="s">
        <v>634</v>
      </c>
      <c r="C113" t="s">
        <v>630</v>
      </c>
      <c r="D113">
        <v>36</v>
      </c>
      <c r="E113">
        <v>6</v>
      </c>
      <c r="F113">
        <v>30</v>
      </c>
    </row>
    <row r="114" spans="1:6" x14ac:dyDescent="0.35">
      <c r="A114" t="s">
        <v>326</v>
      </c>
      <c r="B114" t="s">
        <v>512</v>
      </c>
      <c r="C114" t="s">
        <v>692</v>
      </c>
      <c r="D114">
        <v>58</v>
      </c>
      <c r="E114">
        <v>18</v>
      </c>
      <c r="F114">
        <v>40</v>
      </c>
    </row>
    <row r="115" spans="1:6" x14ac:dyDescent="0.35">
      <c r="A115" t="s">
        <v>327</v>
      </c>
      <c r="B115" t="s">
        <v>511</v>
      </c>
      <c r="C115" t="s">
        <v>630</v>
      </c>
      <c r="D115">
        <v>40</v>
      </c>
      <c r="E115">
        <v>35</v>
      </c>
      <c r="F115">
        <v>5</v>
      </c>
    </row>
    <row r="116" spans="1:6" x14ac:dyDescent="0.35">
      <c r="A116" t="s">
        <v>327</v>
      </c>
      <c r="B116" t="s">
        <v>510</v>
      </c>
      <c r="C116" t="s">
        <v>630</v>
      </c>
      <c r="D116">
        <v>53</v>
      </c>
      <c r="E116">
        <v>8</v>
      </c>
      <c r="F116">
        <v>45</v>
      </c>
    </row>
    <row r="117" spans="1:6" x14ac:dyDescent="0.35">
      <c r="A117" t="s">
        <v>327</v>
      </c>
      <c r="B117" t="s">
        <v>512</v>
      </c>
      <c r="C117" t="s">
        <v>687</v>
      </c>
      <c r="D117">
        <v>3</v>
      </c>
      <c r="E117">
        <v>2</v>
      </c>
      <c r="F117">
        <v>1</v>
      </c>
    </row>
    <row r="118" spans="1:6" x14ac:dyDescent="0.35">
      <c r="A118" t="s">
        <v>327</v>
      </c>
      <c r="B118" t="s">
        <v>634</v>
      </c>
      <c r="C118" t="s">
        <v>631</v>
      </c>
      <c r="D118">
        <v>41</v>
      </c>
      <c r="E118">
        <v>6</v>
      </c>
      <c r="F118">
        <v>35</v>
      </c>
    </row>
    <row r="119" spans="1:6" x14ac:dyDescent="0.35">
      <c r="A119" t="s">
        <v>466</v>
      </c>
      <c r="B119" t="s">
        <v>512</v>
      </c>
      <c r="C119" t="s">
        <v>690</v>
      </c>
      <c r="D119">
        <v>94</v>
      </c>
      <c r="E119">
        <v>48</v>
      </c>
      <c r="F119">
        <v>46</v>
      </c>
    </row>
    <row r="120" spans="1:6" x14ac:dyDescent="0.35">
      <c r="A120" t="s">
        <v>466</v>
      </c>
      <c r="B120" t="s">
        <v>512</v>
      </c>
      <c r="C120" t="s">
        <v>691</v>
      </c>
      <c r="D120">
        <v>479</v>
      </c>
      <c r="E120">
        <v>216</v>
      </c>
      <c r="F120">
        <v>263</v>
      </c>
    </row>
    <row r="121" spans="1:6" x14ac:dyDescent="0.35">
      <c r="A121" t="s">
        <v>466</v>
      </c>
      <c r="B121" t="s">
        <v>634</v>
      </c>
      <c r="C121" t="s">
        <v>631</v>
      </c>
      <c r="D121">
        <v>41</v>
      </c>
      <c r="E121">
        <v>6</v>
      </c>
      <c r="F121">
        <v>35</v>
      </c>
    </row>
    <row r="122" spans="1:6" x14ac:dyDescent="0.35">
      <c r="A122" t="s">
        <v>364</v>
      </c>
      <c r="B122" t="s">
        <v>511</v>
      </c>
      <c r="C122" t="s">
        <v>631</v>
      </c>
      <c r="D122">
        <v>52</v>
      </c>
      <c r="E122">
        <v>46</v>
      </c>
      <c r="F122">
        <v>6</v>
      </c>
    </row>
    <row r="123" spans="1:6" x14ac:dyDescent="0.35">
      <c r="A123" t="s">
        <v>364</v>
      </c>
      <c r="B123" t="s">
        <v>512</v>
      </c>
      <c r="C123" t="s">
        <v>691</v>
      </c>
      <c r="D123">
        <v>314</v>
      </c>
      <c r="E123">
        <v>91</v>
      </c>
      <c r="F123">
        <v>223</v>
      </c>
    </row>
    <row r="124" spans="1:6" x14ac:dyDescent="0.35">
      <c r="A124" t="s">
        <v>364</v>
      </c>
      <c r="B124" t="s">
        <v>512</v>
      </c>
      <c r="C124" t="s">
        <v>692</v>
      </c>
      <c r="D124">
        <v>234</v>
      </c>
      <c r="E124">
        <v>139</v>
      </c>
      <c r="F124">
        <v>95</v>
      </c>
    </row>
    <row r="125" spans="1:6" x14ac:dyDescent="0.35">
      <c r="A125" t="s">
        <v>364</v>
      </c>
      <c r="B125" t="s">
        <v>633</v>
      </c>
      <c r="C125" t="s">
        <v>631</v>
      </c>
      <c r="D125">
        <v>660</v>
      </c>
      <c r="E125">
        <v>26</v>
      </c>
      <c r="F125">
        <v>634</v>
      </c>
    </row>
    <row r="126" spans="1:6" x14ac:dyDescent="0.35">
      <c r="A126" t="s">
        <v>365</v>
      </c>
      <c r="B126" t="s">
        <v>511</v>
      </c>
      <c r="C126" t="s">
        <v>629</v>
      </c>
      <c r="D126">
        <v>13</v>
      </c>
      <c r="E126">
        <v>11</v>
      </c>
      <c r="F126">
        <v>2</v>
      </c>
    </row>
    <row r="127" spans="1:6" x14ac:dyDescent="0.35">
      <c r="A127" t="s">
        <v>365</v>
      </c>
      <c r="B127" t="s">
        <v>511</v>
      </c>
      <c r="C127" t="s">
        <v>630</v>
      </c>
      <c r="D127">
        <v>50</v>
      </c>
      <c r="E127">
        <v>44</v>
      </c>
      <c r="F127">
        <v>6</v>
      </c>
    </row>
    <row r="128" spans="1:6" x14ac:dyDescent="0.35">
      <c r="A128" t="s">
        <v>365</v>
      </c>
      <c r="B128" t="s">
        <v>609</v>
      </c>
      <c r="C128" t="s">
        <v>630</v>
      </c>
      <c r="D128">
        <v>280</v>
      </c>
      <c r="E128">
        <v>12</v>
      </c>
      <c r="F128">
        <v>268</v>
      </c>
    </row>
    <row r="129" spans="1:6" x14ac:dyDescent="0.35">
      <c r="A129" t="s">
        <v>365</v>
      </c>
      <c r="B129" t="s">
        <v>512</v>
      </c>
      <c r="C129" t="s">
        <v>692</v>
      </c>
      <c r="D129">
        <v>195</v>
      </c>
      <c r="E129">
        <v>122</v>
      </c>
      <c r="F129">
        <v>73</v>
      </c>
    </row>
    <row r="130" spans="1:6" x14ac:dyDescent="0.35">
      <c r="A130" t="s">
        <v>365</v>
      </c>
      <c r="B130" t="s">
        <v>634</v>
      </c>
      <c r="C130" t="s">
        <v>632</v>
      </c>
      <c r="D130">
        <v>296</v>
      </c>
      <c r="E130">
        <v>48</v>
      </c>
      <c r="F130">
        <v>248</v>
      </c>
    </row>
    <row r="131" spans="1:6" x14ac:dyDescent="0.35">
      <c r="A131" t="s">
        <v>366</v>
      </c>
      <c r="B131" t="s">
        <v>511</v>
      </c>
      <c r="C131" t="s">
        <v>628</v>
      </c>
      <c r="D131">
        <v>6</v>
      </c>
      <c r="E131">
        <v>4</v>
      </c>
      <c r="F131">
        <v>2</v>
      </c>
    </row>
    <row r="132" spans="1:6" x14ac:dyDescent="0.35">
      <c r="A132" t="s">
        <v>366</v>
      </c>
      <c r="B132" t="s">
        <v>609</v>
      </c>
      <c r="C132" t="s">
        <v>632</v>
      </c>
      <c r="D132">
        <v>2065</v>
      </c>
      <c r="E132">
        <v>132</v>
      </c>
      <c r="F132">
        <v>1933</v>
      </c>
    </row>
    <row r="133" spans="1:6" x14ac:dyDescent="0.35">
      <c r="A133" t="s">
        <v>366</v>
      </c>
      <c r="B133" t="s">
        <v>512</v>
      </c>
      <c r="C133" t="s">
        <v>690</v>
      </c>
      <c r="D133">
        <v>74</v>
      </c>
      <c r="E133">
        <v>57</v>
      </c>
      <c r="F133">
        <v>17</v>
      </c>
    </row>
    <row r="134" spans="1:6" x14ac:dyDescent="0.35">
      <c r="A134" t="s">
        <v>366</v>
      </c>
      <c r="B134" t="s">
        <v>633</v>
      </c>
      <c r="C134" t="s">
        <v>630</v>
      </c>
      <c r="D134">
        <v>577</v>
      </c>
      <c r="E134">
        <v>22</v>
      </c>
      <c r="F134">
        <v>555</v>
      </c>
    </row>
    <row r="135" spans="1:6" x14ac:dyDescent="0.35">
      <c r="A135" t="s">
        <v>341</v>
      </c>
      <c r="B135" t="s">
        <v>511</v>
      </c>
      <c r="C135" t="s">
        <v>629</v>
      </c>
      <c r="D135">
        <v>8</v>
      </c>
      <c r="E135">
        <v>7</v>
      </c>
      <c r="F135">
        <v>1</v>
      </c>
    </row>
    <row r="136" spans="1:6" x14ac:dyDescent="0.35">
      <c r="A136" t="s">
        <v>341</v>
      </c>
      <c r="B136" t="s">
        <v>512</v>
      </c>
      <c r="C136" t="s">
        <v>690</v>
      </c>
      <c r="D136">
        <v>78</v>
      </c>
      <c r="E136">
        <v>58</v>
      </c>
      <c r="F136">
        <v>20</v>
      </c>
    </row>
    <row r="137" spans="1:6" x14ac:dyDescent="0.35">
      <c r="A137" t="s">
        <v>341</v>
      </c>
      <c r="B137" t="s">
        <v>634</v>
      </c>
      <c r="C137" t="s">
        <v>754</v>
      </c>
      <c r="D137">
        <v>36</v>
      </c>
      <c r="E137">
        <v>4</v>
      </c>
      <c r="F137">
        <v>32</v>
      </c>
    </row>
    <row r="138" spans="1:6" x14ac:dyDescent="0.35">
      <c r="A138" t="s">
        <v>342</v>
      </c>
      <c r="B138" t="s">
        <v>511</v>
      </c>
      <c r="C138" t="s">
        <v>628</v>
      </c>
      <c r="D138">
        <v>5</v>
      </c>
      <c r="E138">
        <v>4</v>
      </c>
      <c r="F138">
        <v>1</v>
      </c>
    </row>
    <row r="139" spans="1:6" x14ac:dyDescent="0.35">
      <c r="A139" t="s">
        <v>342</v>
      </c>
      <c r="B139" t="s">
        <v>511</v>
      </c>
      <c r="C139" t="s">
        <v>629</v>
      </c>
      <c r="D139">
        <v>8</v>
      </c>
      <c r="E139">
        <v>7</v>
      </c>
      <c r="F139">
        <v>1</v>
      </c>
    </row>
    <row r="140" spans="1:6" x14ac:dyDescent="0.35">
      <c r="A140" t="s">
        <v>342</v>
      </c>
      <c r="B140" t="s">
        <v>511</v>
      </c>
      <c r="C140" t="s">
        <v>630</v>
      </c>
      <c r="D140">
        <v>43</v>
      </c>
      <c r="E140">
        <v>36</v>
      </c>
      <c r="F140">
        <v>7</v>
      </c>
    </row>
    <row r="141" spans="1:6" x14ac:dyDescent="0.35">
      <c r="A141" t="s">
        <v>342</v>
      </c>
      <c r="B141" t="s">
        <v>634</v>
      </c>
      <c r="C141" t="s">
        <v>630</v>
      </c>
      <c r="D141">
        <v>37</v>
      </c>
      <c r="E141">
        <v>5</v>
      </c>
      <c r="F141">
        <v>32</v>
      </c>
    </row>
    <row r="142" spans="1:6" x14ac:dyDescent="0.35">
      <c r="A142" t="s">
        <v>342</v>
      </c>
      <c r="B142" t="s">
        <v>633</v>
      </c>
      <c r="C142" t="s">
        <v>626</v>
      </c>
      <c r="D142">
        <v>4</v>
      </c>
      <c r="F142">
        <v>4</v>
      </c>
    </row>
    <row r="143" spans="1:6" x14ac:dyDescent="0.35">
      <c r="A143" t="s">
        <v>342</v>
      </c>
      <c r="B143" t="s">
        <v>633</v>
      </c>
      <c r="C143" t="s">
        <v>628</v>
      </c>
      <c r="D143">
        <v>74</v>
      </c>
      <c r="E143">
        <v>2</v>
      </c>
      <c r="F143">
        <v>72</v>
      </c>
    </row>
    <row r="144" spans="1:6" x14ac:dyDescent="0.35">
      <c r="A144" t="s">
        <v>214</v>
      </c>
      <c r="B144" t="s">
        <v>511</v>
      </c>
      <c r="C144" t="s">
        <v>627</v>
      </c>
      <c r="D144">
        <v>1</v>
      </c>
      <c r="E144">
        <v>1</v>
      </c>
      <c r="F144">
        <v>0</v>
      </c>
    </row>
    <row r="145" spans="1:6" x14ac:dyDescent="0.35">
      <c r="A145" t="s">
        <v>214</v>
      </c>
      <c r="B145" t="s">
        <v>511</v>
      </c>
      <c r="C145" t="s">
        <v>631</v>
      </c>
      <c r="D145">
        <v>27</v>
      </c>
      <c r="E145">
        <v>21</v>
      </c>
      <c r="F145">
        <v>6</v>
      </c>
    </row>
    <row r="146" spans="1:6" x14ac:dyDescent="0.35">
      <c r="A146" t="s">
        <v>214</v>
      </c>
      <c r="B146" t="s">
        <v>511</v>
      </c>
      <c r="C146" t="s">
        <v>630</v>
      </c>
      <c r="D146">
        <v>42</v>
      </c>
      <c r="E146">
        <v>36</v>
      </c>
      <c r="F146">
        <v>6</v>
      </c>
    </row>
    <row r="147" spans="1:6" x14ac:dyDescent="0.35">
      <c r="A147" t="s">
        <v>214</v>
      </c>
      <c r="B147" t="s">
        <v>512</v>
      </c>
      <c r="C147" t="s">
        <v>690</v>
      </c>
      <c r="D147">
        <v>84</v>
      </c>
      <c r="E147">
        <v>58</v>
      </c>
      <c r="F147">
        <v>26</v>
      </c>
    </row>
    <row r="148" spans="1:6" x14ac:dyDescent="0.35">
      <c r="A148" t="s">
        <v>313</v>
      </c>
      <c r="B148" t="s">
        <v>609</v>
      </c>
      <c r="C148" t="s">
        <v>631</v>
      </c>
      <c r="D148">
        <v>520</v>
      </c>
      <c r="E148">
        <v>20</v>
      </c>
      <c r="F148">
        <v>500</v>
      </c>
    </row>
    <row r="149" spans="1:6" x14ac:dyDescent="0.35">
      <c r="A149" t="s">
        <v>313</v>
      </c>
      <c r="B149" t="s">
        <v>512</v>
      </c>
      <c r="C149" t="s">
        <v>688</v>
      </c>
      <c r="D149">
        <v>47</v>
      </c>
      <c r="E149">
        <v>14</v>
      </c>
      <c r="F149">
        <v>33</v>
      </c>
    </row>
    <row r="150" spans="1:6" x14ac:dyDescent="0.35">
      <c r="A150" t="s">
        <v>313</v>
      </c>
      <c r="B150" t="s">
        <v>512</v>
      </c>
      <c r="C150" t="s">
        <v>689</v>
      </c>
      <c r="D150">
        <v>32</v>
      </c>
      <c r="E150">
        <v>20</v>
      </c>
      <c r="F150">
        <v>12</v>
      </c>
    </row>
    <row r="151" spans="1:6" x14ac:dyDescent="0.35">
      <c r="A151" t="s">
        <v>313</v>
      </c>
      <c r="B151" t="s">
        <v>512</v>
      </c>
      <c r="C151" t="s">
        <v>692</v>
      </c>
      <c r="D151">
        <v>63</v>
      </c>
      <c r="E151">
        <v>26</v>
      </c>
      <c r="F151">
        <v>37</v>
      </c>
    </row>
    <row r="152" spans="1:6" x14ac:dyDescent="0.35">
      <c r="A152" t="s">
        <v>313</v>
      </c>
      <c r="B152" t="s">
        <v>634</v>
      </c>
      <c r="C152" t="s">
        <v>630</v>
      </c>
      <c r="D152">
        <v>37</v>
      </c>
      <c r="E152">
        <v>5</v>
      </c>
      <c r="F152">
        <v>32</v>
      </c>
    </row>
    <row r="153" spans="1:6" x14ac:dyDescent="0.35">
      <c r="A153" t="s">
        <v>319</v>
      </c>
      <c r="B153" t="s">
        <v>511</v>
      </c>
      <c r="C153" t="s">
        <v>631</v>
      </c>
      <c r="D153">
        <v>31</v>
      </c>
      <c r="E153">
        <v>24</v>
      </c>
      <c r="F153">
        <v>7</v>
      </c>
    </row>
    <row r="154" spans="1:6" x14ac:dyDescent="0.35">
      <c r="A154" t="s">
        <v>319</v>
      </c>
      <c r="B154" t="s">
        <v>510</v>
      </c>
      <c r="C154" t="s">
        <v>630</v>
      </c>
      <c r="D154">
        <v>54</v>
      </c>
      <c r="E154">
        <v>11</v>
      </c>
      <c r="F154">
        <v>43</v>
      </c>
    </row>
    <row r="155" spans="1:6" x14ac:dyDescent="0.35">
      <c r="A155" t="s">
        <v>319</v>
      </c>
      <c r="B155" t="s">
        <v>512</v>
      </c>
      <c r="C155" t="s">
        <v>688</v>
      </c>
      <c r="D155">
        <v>50</v>
      </c>
      <c r="E155">
        <v>17</v>
      </c>
      <c r="F155">
        <v>33</v>
      </c>
    </row>
    <row r="156" spans="1:6" x14ac:dyDescent="0.35">
      <c r="A156" t="s">
        <v>319</v>
      </c>
      <c r="B156" t="s">
        <v>512</v>
      </c>
      <c r="C156" t="s">
        <v>689</v>
      </c>
      <c r="D156">
        <v>30</v>
      </c>
      <c r="E156">
        <v>19</v>
      </c>
      <c r="F156">
        <v>11</v>
      </c>
    </row>
    <row r="157" spans="1:6" x14ac:dyDescent="0.35">
      <c r="A157" t="s">
        <v>319</v>
      </c>
      <c r="B157" t="s">
        <v>633</v>
      </c>
      <c r="C157" t="s">
        <v>632</v>
      </c>
      <c r="D157">
        <v>2020</v>
      </c>
      <c r="E157">
        <v>150</v>
      </c>
      <c r="F157">
        <v>1870</v>
      </c>
    </row>
    <row r="158" spans="1:6" x14ac:dyDescent="0.35">
      <c r="A158" t="s">
        <v>319</v>
      </c>
      <c r="B158" t="s">
        <v>633</v>
      </c>
      <c r="C158" t="s">
        <v>629</v>
      </c>
      <c r="D158">
        <v>152</v>
      </c>
      <c r="E158">
        <v>7</v>
      </c>
      <c r="F158">
        <v>145</v>
      </c>
    </row>
    <row r="159" spans="1:6" x14ac:dyDescent="0.35">
      <c r="A159" t="s">
        <v>321</v>
      </c>
      <c r="B159" t="s">
        <v>609</v>
      </c>
      <c r="C159" t="s">
        <v>632</v>
      </c>
      <c r="D159">
        <v>1967</v>
      </c>
      <c r="E159">
        <v>158</v>
      </c>
      <c r="F159">
        <v>1809</v>
      </c>
    </row>
    <row r="160" spans="1:6" x14ac:dyDescent="0.35">
      <c r="A160" t="s">
        <v>321</v>
      </c>
      <c r="B160" t="s">
        <v>512</v>
      </c>
      <c r="C160" t="s">
        <v>691</v>
      </c>
      <c r="D160">
        <v>469</v>
      </c>
      <c r="E160">
        <v>180</v>
      </c>
      <c r="F160">
        <v>289</v>
      </c>
    </row>
    <row r="161" spans="1:6" x14ac:dyDescent="0.35">
      <c r="A161" t="s">
        <v>326</v>
      </c>
      <c r="B161" t="s">
        <v>634</v>
      </c>
      <c r="C161" t="s">
        <v>632</v>
      </c>
      <c r="D161">
        <v>189</v>
      </c>
      <c r="E161">
        <v>31</v>
      </c>
      <c r="F161">
        <v>158</v>
      </c>
    </row>
    <row r="162" spans="1:6" x14ac:dyDescent="0.35">
      <c r="A162" t="s">
        <v>326</v>
      </c>
      <c r="B162" t="s">
        <v>633</v>
      </c>
      <c r="C162" t="s">
        <v>627</v>
      </c>
      <c r="D162">
        <v>31</v>
      </c>
      <c r="E162">
        <v>1</v>
      </c>
      <c r="F162">
        <v>30</v>
      </c>
    </row>
    <row r="163" spans="1:6" x14ac:dyDescent="0.35">
      <c r="A163" t="s">
        <v>327</v>
      </c>
      <c r="B163" t="s">
        <v>633</v>
      </c>
      <c r="C163" t="s">
        <v>632</v>
      </c>
      <c r="D163">
        <v>1912</v>
      </c>
      <c r="E163">
        <v>138</v>
      </c>
      <c r="F163">
        <v>1774</v>
      </c>
    </row>
    <row r="164" spans="1:6" x14ac:dyDescent="0.35">
      <c r="A164" t="s">
        <v>466</v>
      </c>
      <c r="B164" t="s">
        <v>609</v>
      </c>
      <c r="C164" t="s">
        <v>630</v>
      </c>
      <c r="D164">
        <v>248</v>
      </c>
      <c r="E164">
        <v>11</v>
      </c>
      <c r="F164">
        <v>237</v>
      </c>
    </row>
    <row r="165" spans="1:6" x14ac:dyDescent="0.35">
      <c r="A165" t="s">
        <v>466</v>
      </c>
      <c r="B165" t="s">
        <v>510</v>
      </c>
      <c r="C165" t="s">
        <v>630</v>
      </c>
      <c r="D165">
        <v>56</v>
      </c>
      <c r="E165">
        <v>7</v>
      </c>
      <c r="F165">
        <v>49</v>
      </c>
    </row>
    <row r="166" spans="1:6" x14ac:dyDescent="0.35">
      <c r="A166" t="s">
        <v>466</v>
      </c>
      <c r="B166" t="s">
        <v>512</v>
      </c>
      <c r="C166" t="s">
        <v>692</v>
      </c>
      <c r="D166">
        <v>58</v>
      </c>
      <c r="E166">
        <v>19</v>
      </c>
      <c r="F166">
        <v>39</v>
      </c>
    </row>
    <row r="167" spans="1:6" x14ac:dyDescent="0.35">
      <c r="A167" t="s">
        <v>466</v>
      </c>
      <c r="B167" t="s">
        <v>633</v>
      </c>
      <c r="C167" t="s">
        <v>629</v>
      </c>
      <c r="D167">
        <v>160</v>
      </c>
      <c r="E167">
        <v>5</v>
      </c>
      <c r="F167">
        <v>155</v>
      </c>
    </row>
    <row r="168" spans="1:6" x14ac:dyDescent="0.35">
      <c r="A168" t="s">
        <v>466</v>
      </c>
      <c r="B168" t="s">
        <v>633</v>
      </c>
      <c r="C168" t="s">
        <v>630</v>
      </c>
      <c r="D168">
        <v>605</v>
      </c>
      <c r="E168">
        <v>32</v>
      </c>
      <c r="F168">
        <v>573</v>
      </c>
    </row>
    <row r="169" spans="1:6" x14ac:dyDescent="0.35">
      <c r="A169" t="s">
        <v>364</v>
      </c>
      <c r="B169" t="s">
        <v>511</v>
      </c>
      <c r="C169" t="s">
        <v>632</v>
      </c>
      <c r="D169">
        <v>103</v>
      </c>
      <c r="E169">
        <v>94</v>
      </c>
      <c r="F169">
        <v>9</v>
      </c>
    </row>
    <row r="170" spans="1:6" x14ac:dyDescent="0.35">
      <c r="A170" t="s">
        <v>364</v>
      </c>
      <c r="B170" t="s">
        <v>512</v>
      </c>
      <c r="C170" t="s">
        <v>687</v>
      </c>
      <c r="D170">
        <v>0</v>
      </c>
      <c r="E170">
        <v>0</v>
      </c>
      <c r="F170">
        <v>0</v>
      </c>
    </row>
    <row r="171" spans="1:6" x14ac:dyDescent="0.35">
      <c r="A171" t="s">
        <v>364</v>
      </c>
      <c r="B171" t="s">
        <v>633</v>
      </c>
      <c r="C171" t="s">
        <v>629</v>
      </c>
      <c r="D171">
        <v>136</v>
      </c>
      <c r="E171">
        <v>2</v>
      </c>
      <c r="F171">
        <v>134</v>
      </c>
    </row>
    <row r="172" spans="1:6" x14ac:dyDescent="0.35">
      <c r="A172" t="s">
        <v>365</v>
      </c>
      <c r="B172" t="s">
        <v>609</v>
      </c>
      <c r="C172" t="s">
        <v>631</v>
      </c>
      <c r="D172">
        <v>546</v>
      </c>
      <c r="E172">
        <v>17</v>
      </c>
      <c r="F172">
        <v>529</v>
      </c>
    </row>
    <row r="173" spans="1:6" x14ac:dyDescent="0.35">
      <c r="A173" t="s">
        <v>341</v>
      </c>
      <c r="B173" t="s">
        <v>511</v>
      </c>
      <c r="C173" t="s">
        <v>632</v>
      </c>
      <c r="D173">
        <v>80</v>
      </c>
      <c r="E173">
        <v>67</v>
      </c>
      <c r="F173">
        <v>13</v>
      </c>
    </row>
    <row r="174" spans="1:6" x14ac:dyDescent="0.35">
      <c r="A174" t="s">
        <v>341</v>
      </c>
      <c r="B174" t="s">
        <v>512</v>
      </c>
      <c r="C174" t="s">
        <v>687</v>
      </c>
      <c r="D174">
        <v>3</v>
      </c>
      <c r="E174">
        <v>2</v>
      </c>
      <c r="F174">
        <v>1</v>
      </c>
    </row>
    <row r="175" spans="1:6" x14ac:dyDescent="0.35">
      <c r="A175" t="s">
        <v>341</v>
      </c>
      <c r="B175" t="s">
        <v>512</v>
      </c>
      <c r="C175" t="s">
        <v>689</v>
      </c>
      <c r="D175">
        <v>34</v>
      </c>
      <c r="E175">
        <v>19</v>
      </c>
      <c r="F175">
        <v>15</v>
      </c>
    </row>
    <row r="176" spans="1:6" x14ac:dyDescent="0.35">
      <c r="A176" t="s">
        <v>341</v>
      </c>
      <c r="B176" t="s">
        <v>633</v>
      </c>
      <c r="C176" t="s">
        <v>626</v>
      </c>
      <c r="D176">
        <v>4</v>
      </c>
      <c r="E176">
        <v>0</v>
      </c>
      <c r="F176">
        <v>4</v>
      </c>
    </row>
    <row r="177" spans="1:6" x14ac:dyDescent="0.35">
      <c r="A177" t="s">
        <v>342</v>
      </c>
      <c r="B177" t="s">
        <v>511</v>
      </c>
      <c r="C177" t="s">
        <v>632</v>
      </c>
      <c r="D177">
        <v>106</v>
      </c>
      <c r="E177">
        <v>88</v>
      </c>
      <c r="F177">
        <v>18</v>
      </c>
    </row>
    <row r="178" spans="1:6" x14ac:dyDescent="0.35">
      <c r="A178" t="s">
        <v>342</v>
      </c>
      <c r="B178" t="s">
        <v>633</v>
      </c>
      <c r="C178" t="s">
        <v>627</v>
      </c>
      <c r="D178">
        <v>34</v>
      </c>
      <c r="F178">
        <v>34</v>
      </c>
    </row>
    <row r="179" spans="1:6" x14ac:dyDescent="0.35">
      <c r="A179" t="s">
        <v>214</v>
      </c>
      <c r="B179" t="s">
        <v>512</v>
      </c>
      <c r="C179" t="s">
        <v>689</v>
      </c>
      <c r="D179">
        <v>34</v>
      </c>
      <c r="E179">
        <v>21</v>
      </c>
      <c r="F179">
        <v>13</v>
      </c>
    </row>
    <row r="180" spans="1:6" x14ac:dyDescent="0.35">
      <c r="A180" t="s">
        <v>214</v>
      </c>
      <c r="B180" t="s">
        <v>633</v>
      </c>
      <c r="C180" t="s">
        <v>627</v>
      </c>
      <c r="D180">
        <v>33</v>
      </c>
      <c r="E180">
        <v>0</v>
      </c>
      <c r="F180">
        <v>33</v>
      </c>
    </row>
    <row r="181" spans="1:6" x14ac:dyDescent="0.35">
      <c r="A181" t="s">
        <v>313</v>
      </c>
      <c r="B181" t="s">
        <v>609</v>
      </c>
      <c r="C181" t="s">
        <v>630</v>
      </c>
      <c r="D181">
        <v>262</v>
      </c>
      <c r="E181">
        <v>13</v>
      </c>
      <c r="F181">
        <v>249</v>
      </c>
    </row>
    <row r="182" spans="1:6" x14ac:dyDescent="0.35">
      <c r="A182" t="s">
        <v>313</v>
      </c>
      <c r="B182" t="s">
        <v>634</v>
      </c>
      <c r="C182" t="s">
        <v>631</v>
      </c>
      <c r="D182">
        <v>41</v>
      </c>
      <c r="E182">
        <v>1</v>
      </c>
      <c r="F182">
        <v>40</v>
      </c>
    </row>
    <row r="183" spans="1:6" x14ac:dyDescent="0.35">
      <c r="A183" t="s">
        <v>313</v>
      </c>
      <c r="B183" t="s">
        <v>633</v>
      </c>
      <c r="C183" t="s">
        <v>628</v>
      </c>
      <c r="D183">
        <v>80</v>
      </c>
      <c r="E183">
        <v>2</v>
      </c>
      <c r="F183">
        <v>78</v>
      </c>
    </row>
    <row r="184" spans="1:6" x14ac:dyDescent="0.35">
      <c r="A184" t="s">
        <v>313</v>
      </c>
      <c r="B184" t="s">
        <v>633</v>
      </c>
      <c r="C184" t="s">
        <v>629</v>
      </c>
      <c r="D184">
        <v>153</v>
      </c>
      <c r="E184">
        <v>5</v>
      </c>
      <c r="F184">
        <v>148</v>
      </c>
    </row>
    <row r="185" spans="1:6" x14ac:dyDescent="0.35">
      <c r="A185" t="s">
        <v>319</v>
      </c>
      <c r="B185" t="s">
        <v>633</v>
      </c>
      <c r="C185" t="s">
        <v>630</v>
      </c>
      <c r="D185">
        <v>603</v>
      </c>
      <c r="E185">
        <v>31</v>
      </c>
      <c r="F185">
        <v>572</v>
      </c>
    </row>
    <row r="186" spans="1:6" x14ac:dyDescent="0.35">
      <c r="A186" t="s">
        <v>321</v>
      </c>
      <c r="B186" t="s">
        <v>511</v>
      </c>
      <c r="C186" t="s">
        <v>632</v>
      </c>
      <c r="D186">
        <v>90</v>
      </c>
      <c r="E186">
        <v>76</v>
      </c>
      <c r="F186">
        <v>14</v>
      </c>
    </row>
    <row r="187" spans="1:6" x14ac:dyDescent="0.35">
      <c r="A187" t="s">
        <v>321</v>
      </c>
      <c r="B187" t="s">
        <v>633</v>
      </c>
      <c r="C187" t="s">
        <v>632</v>
      </c>
      <c r="D187">
        <v>1990</v>
      </c>
      <c r="E187">
        <v>148</v>
      </c>
      <c r="F187">
        <v>1842</v>
      </c>
    </row>
    <row r="188" spans="1:6" x14ac:dyDescent="0.35">
      <c r="A188" t="s">
        <v>321</v>
      </c>
      <c r="B188" t="s">
        <v>633</v>
      </c>
      <c r="C188" t="s">
        <v>630</v>
      </c>
      <c r="D188">
        <v>607</v>
      </c>
      <c r="E188">
        <v>30</v>
      </c>
      <c r="F188">
        <v>577</v>
      </c>
    </row>
    <row r="189" spans="1:6" x14ac:dyDescent="0.35">
      <c r="A189" t="s">
        <v>326</v>
      </c>
      <c r="B189" t="s">
        <v>512</v>
      </c>
      <c r="C189" t="s">
        <v>687</v>
      </c>
      <c r="D189">
        <v>4</v>
      </c>
      <c r="E189">
        <v>1</v>
      </c>
      <c r="F189">
        <v>3</v>
      </c>
    </row>
    <row r="190" spans="1:6" x14ac:dyDescent="0.35">
      <c r="A190" t="s">
        <v>326</v>
      </c>
      <c r="B190" t="s">
        <v>633</v>
      </c>
      <c r="C190" t="s">
        <v>626</v>
      </c>
      <c r="D190">
        <v>5</v>
      </c>
      <c r="E190">
        <v>0</v>
      </c>
      <c r="F190">
        <v>5</v>
      </c>
    </row>
    <row r="191" spans="1:6" x14ac:dyDescent="0.35">
      <c r="A191" t="s">
        <v>327</v>
      </c>
      <c r="B191" t="s">
        <v>511</v>
      </c>
      <c r="C191" t="s">
        <v>628</v>
      </c>
      <c r="D191">
        <v>4</v>
      </c>
      <c r="E191">
        <v>4</v>
      </c>
      <c r="F191">
        <v>0</v>
      </c>
    </row>
    <row r="192" spans="1:6" x14ac:dyDescent="0.35">
      <c r="A192" t="s">
        <v>327</v>
      </c>
      <c r="B192" t="s">
        <v>609</v>
      </c>
      <c r="C192" t="s">
        <v>632</v>
      </c>
      <c r="D192">
        <v>1932</v>
      </c>
      <c r="E192">
        <v>151</v>
      </c>
      <c r="F192">
        <v>1781</v>
      </c>
    </row>
    <row r="193" spans="1:6" x14ac:dyDescent="0.35">
      <c r="A193" t="s">
        <v>327</v>
      </c>
      <c r="B193" t="s">
        <v>510</v>
      </c>
      <c r="C193" t="s">
        <v>631</v>
      </c>
      <c r="D193">
        <v>2</v>
      </c>
      <c r="E193">
        <v>0</v>
      </c>
      <c r="F193">
        <v>2</v>
      </c>
    </row>
    <row r="194" spans="1:6" x14ac:dyDescent="0.35">
      <c r="A194" t="s">
        <v>327</v>
      </c>
      <c r="B194" t="s">
        <v>512</v>
      </c>
      <c r="C194" t="s">
        <v>689</v>
      </c>
      <c r="D194">
        <v>35</v>
      </c>
      <c r="E194">
        <v>24</v>
      </c>
      <c r="F194">
        <v>11</v>
      </c>
    </row>
    <row r="195" spans="1:6" x14ac:dyDescent="0.35">
      <c r="A195" t="s">
        <v>327</v>
      </c>
      <c r="B195" t="s">
        <v>633</v>
      </c>
      <c r="C195" t="s">
        <v>628</v>
      </c>
      <c r="D195">
        <v>71</v>
      </c>
      <c r="E195">
        <v>2</v>
      </c>
      <c r="F195">
        <v>69</v>
      </c>
    </row>
    <row r="196" spans="1:6" x14ac:dyDescent="0.35">
      <c r="A196" t="s">
        <v>466</v>
      </c>
      <c r="B196" t="s">
        <v>511</v>
      </c>
      <c r="C196" t="s">
        <v>632</v>
      </c>
      <c r="D196">
        <v>95</v>
      </c>
      <c r="E196">
        <v>76</v>
      </c>
      <c r="F196">
        <v>19</v>
      </c>
    </row>
    <row r="197" spans="1:6" x14ac:dyDescent="0.35">
      <c r="A197" t="s">
        <v>466</v>
      </c>
      <c r="B197" t="s">
        <v>511</v>
      </c>
      <c r="C197" t="s">
        <v>630</v>
      </c>
      <c r="D197">
        <v>37</v>
      </c>
      <c r="E197">
        <v>29</v>
      </c>
      <c r="F197">
        <v>8</v>
      </c>
    </row>
    <row r="198" spans="1:6" x14ac:dyDescent="0.35">
      <c r="A198" t="s">
        <v>466</v>
      </c>
      <c r="B198" t="s">
        <v>510</v>
      </c>
      <c r="C198" t="s">
        <v>631</v>
      </c>
      <c r="D198">
        <v>4</v>
      </c>
      <c r="E198">
        <v>0</v>
      </c>
      <c r="F198">
        <v>4</v>
      </c>
    </row>
    <row r="199" spans="1:6" x14ac:dyDescent="0.35">
      <c r="A199" t="s">
        <v>364</v>
      </c>
      <c r="B199" t="s">
        <v>609</v>
      </c>
      <c r="C199" t="s">
        <v>631</v>
      </c>
      <c r="D199">
        <v>535</v>
      </c>
      <c r="E199">
        <v>19</v>
      </c>
      <c r="F199">
        <v>516</v>
      </c>
    </row>
    <row r="200" spans="1:6" x14ac:dyDescent="0.35">
      <c r="A200" t="s">
        <v>364</v>
      </c>
      <c r="B200" t="s">
        <v>609</v>
      </c>
      <c r="C200" t="s">
        <v>632</v>
      </c>
      <c r="D200">
        <v>2127</v>
      </c>
      <c r="E200">
        <v>149</v>
      </c>
      <c r="F200">
        <v>1978</v>
      </c>
    </row>
    <row r="201" spans="1:6" x14ac:dyDescent="0.35">
      <c r="A201" t="s">
        <v>364</v>
      </c>
      <c r="B201" t="s">
        <v>512</v>
      </c>
      <c r="C201" t="s">
        <v>690</v>
      </c>
      <c r="D201">
        <v>45</v>
      </c>
      <c r="E201">
        <v>28</v>
      </c>
      <c r="F201">
        <v>17</v>
      </c>
    </row>
    <row r="202" spans="1:6" x14ac:dyDescent="0.35">
      <c r="A202" t="s">
        <v>364</v>
      </c>
      <c r="B202" t="s">
        <v>512</v>
      </c>
      <c r="C202" t="s">
        <v>689</v>
      </c>
      <c r="D202">
        <v>20</v>
      </c>
      <c r="E202">
        <v>7</v>
      </c>
      <c r="F202">
        <v>13</v>
      </c>
    </row>
    <row r="203" spans="1:6" x14ac:dyDescent="0.35">
      <c r="A203" t="s">
        <v>364</v>
      </c>
      <c r="B203" t="s">
        <v>634</v>
      </c>
      <c r="C203" t="s">
        <v>754</v>
      </c>
      <c r="D203">
        <v>9</v>
      </c>
      <c r="E203">
        <v>0</v>
      </c>
      <c r="F203">
        <v>9</v>
      </c>
    </row>
    <row r="204" spans="1:6" x14ac:dyDescent="0.35">
      <c r="A204" t="s">
        <v>365</v>
      </c>
      <c r="B204" t="s">
        <v>511</v>
      </c>
      <c r="C204" t="s">
        <v>628</v>
      </c>
      <c r="D204">
        <v>5</v>
      </c>
      <c r="E204">
        <v>4</v>
      </c>
      <c r="F204">
        <v>1</v>
      </c>
    </row>
    <row r="205" spans="1:6" x14ac:dyDescent="0.35">
      <c r="A205" t="s">
        <v>365</v>
      </c>
      <c r="B205" t="s">
        <v>633</v>
      </c>
      <c r="C205" t="s">
        <v>627</v>
      </c>
      <c r="D205">
        <v>33</v>
      </c>
      <c r="E205">
        <v>0</v>
      </c>
      <c r="F205">
        <v>33</v>
      </c>
    </row>
    <row r="206" spans="1:6" x14ac:dyDescent="0.35">
      <c r="A206" t="s">
        <v>366</v>
      </c>
      <c r="B206" t="s">
        <v>634</v>
      </c>
      <c r="C206" t="s">
        <v>631</v>
      </c>
      <c r="D206">
        <v>46</v>
      </c>
      <c r="E206">
        <v>6</v>
      </c>
      <c r="F206">
        <v>40</v>
      </c>
    </row>
    <row r="207" spans="1:6" x14ac:dyDescent="0.35">
      <c r="A207" t="s">
        <v>366</v>
      </c>
      <c r="B207" t="s">
        <v>634</v>
      </c>
      <c r="C207" t="s">
        <v>632</v>
      </c>
      <c r="D207">
        <v>260</v>
      </c>
      <c r="E207">
        <v>48</v>
      </c>
      <c r="F207">
        <v>212</v>
      </c>
    </row>
    <row r="208" spans="1:6" x14ac:dyDescent="0.35">
      <c r="A208" t="s">
        <v>366</v>
      </c>
      <c r="B208" t="s">
        <v>633</v>
      </c>
      <c r="C208" t="s">
        <v>632</v>
      </c>
      <c r="D208">
        <v>2258</v>
      </c>
      <c r="E208">
        <v>113</v>
      </c>
      <c r="F208">
        <v>2145</v>
      </c>
    </row>
    <row r="209" spans="1:6" x14ac:dyDescent="0.35">
      <c r="A209" t="s">
        <v>366</v>
      </c>
      <c r="B209" t="s">
        <v>633</v>
      </c>
      <c r="C209" t="s">
        <v>628</v>
      </c>
      <c r="D209">
        <v>90</v>
      </c>
      <c r="E209">
        <v>3</v>
      </c>
      <c r="F209">
        <v>87</v>
      </c>
    </row>
    <row r="210" spans="1:6" x14ac:dyDescent="0.35">
      <c r="A210" t="s">
        <v>341</v>
      </c>
      <c r="B210" t="s">
        <v>633</v>
      </c>
      <c r="C210" t="s">
        <v>627</v>
      </c>
      <c r="D210">
        <v>34</v>
      </c>
      <c r="E210">
        <v>0</v>
      </c>
      <c r="F210">
        <v>34</v>
      </c>
    </row>
    <row r="211" spans="1:6" x14ac:dyDescent="0.35">
      <c r="A211" t="s">
        <v>341</v>
      </c>
      <c r="B211" t="s">
        <v>633</v>
      </c>
      <c r="C211" t="s">
        <v>631</v>
      </c>
      <c r="D211">
        <v>635</v>
      </c>
      <c r="E211">
        <v>29</v>
      </c>
      <c r="F211">
        <v>606</v>
      </c>
    </row>
    <row r="212" spans="1:6" x14ac:dyDescent="0.35">
      <c r="A212" t="s">
        <v>341</v>
      </c>
      <c r="B212" t="s">
        <v>633</v>
      </c>
      <c r="C212" t="s">
        <v>632</v>
      </c>
      <c r="D212">
        <v>2161</v>
      </c>
      <c r="E212">
        <v>122</v>
      </c>
      <c r="F212">
        <v>2039</v>
      </c>
    </row>
    <row r="213" spans="1:6" x14ac:dyDescent="0.35">
      <c r="A213" t="s">
        <v>341</v>
      </c>
      <c r="B213" t="s">
        <v>633</v>
      </c>
      <c r="C213" t="s">
        <v>630</v>
      </c>
      <c r="D213">
        <v>590</v>
      </c>
      <c r="E213">
        <v>23</v>
      </c>
      <c r="F213">
        <v>567</v>
      </c>
    </row>
    <row r="214" spans="1:6" x14ac:dyDescent="0.35">
      <c r="A214" t="s">
        <v>342</v>
      </c>
      <c r="B214" t="s">
        <v>512</v>
      </c>
      <c r="C214" t="s">
        <v>691</v>
      </c>
      <c r="D214">
        <v>366</v>
      </c>
      <c r="E214">
        <v>139</v>
      </c>
      <c r="F214">
        <v>227</v>
      </c>
    </row>
    <row r="215" spans="1:6" x14ac:dyDescent="0.35">
      <c r="A215" t="s">
        <v>342</v>
      </c>
      <c r="B215" t="s">
        <v>512</v>
      </c>
      <c r="C215" t="s">
        <v>692</v>
      </c>
      <c r="D215">
        <v>153</v>
      </c>
      <c r="E215">
        <v>88</v>
      </c>
      <c r="F215">
        <v>65</v>
      </c>
    </row>
    <row r="216" spans="1:6" x14ac:dyDescent="0.35">
      <c r="A216" t="s">
        <v>214</v>
      </c>
      <c r="B216" t="s">
        <v>511</v>
      </c>
      <c r="C216" t="s">
        <v>628</v>
      </c>
      <c r="D216">
        <v>4</v>
      </c>
      <c r="E216">
        <v>3</v>
      </c>
      <c r="F216">
        <v>1</v>
      </c>
    </row>
    <row r="217" spans="1:6" x14ac:dyDescent="0.35">
      <c r="A217" t="s">
        <v>319</v>
      </c>
      <c r="B217" t="s">
        <v>609</v>
      </c>
      <c r="C217" t="s">
        <v>632</v>
      </c>
      <c r="D217">
        <v>2083</v>
      </c>
      <c r="E217">
        <v>167</v>
      </c>
      <c r="F217">
        <v>1916</v>
      </c>
    </row>
    <row r="218" spans="1:6" x14ac:dyDescent="0.35">
      <c r="A218" t="s">
        <v>321</v>
      </c>
      <c r="B218" t="s">
        <v>511</v>
      </c>
      <c r="C218" t="s">
        <v>629</v>
      </c>
      <c r="D218">
        <v>10</v>
      </c>
      <c r="E218">
        <v>9</v>
      </c>
      <c r="F218">
        <v>1</v>
      </c>
    </row>
    <row r="219" spans="1:6" x14ac:dyDescent="0.35">
      <c r="A219" t="s">
        <v>321</v>
      </c>
      <c r="B219" t="s">
        <v>510</v>
      </c>
      <c r="C219" t="s">
        <v>630</v>
      </c>
      <c r="D219">
        <v>53</v>
      </c>
      <c r="E219">
        <v>10</v>
      </c>
      <c r="F219">
        <v>43</v>
      </c>
    </row>
    <row r="220" spans="1:6" x14ac:dyDescent="0.35">
      <c r="A220" t="s">
        <v>321</v>
      </c>
      <c r="B220" t="s">
        <v>634</v>
      </c>
      <c r="C220" t="s">
        <v>632</v>
      </c>
      <c r="D220">
        <v>201</v>
      </c>
      <c r="E220">
        <v>38</v>
      </c>
      <c r="F220">
        <v>163</v>
      </c>
    </row>
    <row r="221" spans="1:6" x14ac:dyDescent="0.35">
      <c r="A221" t="s">
        <v>321</v>
      </c>
      <c r="B221" t="s">
        <v>633</v>
      </c>
      <c r="C221" t="s">
        <v>626</v>
      </c>
      <c r="D221">
        <v>5</v>
      </c>
      <c r="E221">
        <v>0</v>
      </c>
      <c r="F221">
        <v>5</v>
      </c>
    </row>
    <row r="222" spans="1:6" x14ac:dyDescent="0.35">
      <c r="A222" t="s">
        <v>326</v>
      </c>
      <c r="B222" t="s">
        <v>512</v>
      </c>
      <c r="C222" t="s">
        <v>689</v>
      </c>
      <c r="D222">
        <v>36</v>
      </c>
      <c r="E222">
        <v>24</v>
      </c>
      <c r="F222">
        <v>12</v>
      </c>
    </row>
    <row r="223" spans="1:6" x14ac:dyDescent="0.35">
      <c r="A223" t="s">
        <v>327</v>
      </c>
      <c r="B223" t="s">
        <v>512</v>
      </c>
      <c r="C223" t="s">
        <v>693</v>
      </c>
      <c r="D223">
        <v>142</v>
      </c>
      <c r="E223">
        <v>129</v>
      </c>
      <c r="F223">
        <v>13</v>
      </c>
    </row>
    <row r="224" spans="1:6" x14ac:dyDescent="0.35">
      <c r="A224" t="s">
        <v>327</v>
      </c>
      <c r="B224" t="s">
        <v>512</v>
      </c>
      <c r="C224" t="s">
        <v>688</v>
      </c>
      <c r="D224">
        <v>87</v>
      </c>
      <c r="E224">
        <v>41</v>
      </c>
      <c r="F224">
        <v>46</v>
      </c>
    </row>
    <row r="225" spans="1:6" x14ac:dyDescent="0.35">
      <c r="A225" t="s">
        <v>327</v>
      </c>
      <c r="B225" t="s">
        <v>633</v>
      </c>
      <c r="C225" t="s">
        <v>627</v>
      </c>
      <c r="D225">
        <v>31</v>
      </c>
      <c r="E225">
        <v>1</v>
      </c>
      <c r="F225">
        <v>30</v>
      </c>
    </row>
    <row r="226" spans="1:6" x14ac:dyDescent="0.35">
      <c r="A226" t="s">
        <v>327</v>
      </c>
      <c r="B226" t="s">
        <v>633</v>
      </c>
      <c r="C226" t="s">
        <v>631</v>
      </c>
      <c r="D226">
        <v>640</v>
      </c>
      <c r="E226">
        <v>39</v>
      </c>
      <c r="F226">
        <v>601</v>
      </c>
    </row>
    <row r="227" spans="1:6" x14ac:dyDescent="0.35">
      <c r="A227" t="s">
        <v>327</v>
      </c>
      <c r="B227" t="s">
        <v>633</v>
      </c>
      <c r="C227" t="s">
        <v>629</v>
      </c>
      <c r="D227">
        <v>156</v>
      </c>
      <c r="E227">
        <v>9</v>
      </c>
      <c r="F227">
        <v>147</v>
      </c>
    </row>
    <row r="228" spans="1:6" x14ac:dyDescent="0.35">
      <c r="A228" t="s">
        <v>466</v>
      </c>
      <c r="B228" t="s">
        <v>511</v>
      </c>
      <c r="C228" t="s">
        <v>631</v>
      </c>
      <c r="D228">
        <v>28</v>
      </c>
      <c r="E228">
        <v>24</v>
      </c>
      <c r="F228">
        <v>4</v>
      </c>
    </row>
    <row r="229" spans="1:6" x14ac:dyDescent="0.35">
      <c r="A229" t="s">
        <v>466</v>
      </c>
      <c r="B229" t="s">
        <v>511</v>
      </c>
      <c r="C229" t="s">
        <v>629</v>
      </c>
      <c r="D229">
        <v>8</v>
      </c>
      <c r="E229">
        <v>7</v>
      </c>
      <c r="F229">
        <v>1</v>
      </c>
    </row>
    <row r="230" spans="1:6" x14ac:dyDescent="0.35">
      <c r="A230" t="s">
        <v>466</v>
      </c>
      <c r="B230" t="s">
        <v>512</v>
      </c>
      <c r="C230" t="s">
        <v>687</v>
      </c>
      <c r="D230">
        <v>4</v>
      </c>
      <c r="E230">
        <v>3</v>
      </c>
      <c r="F230">
        <v>1</v>
      </c>
    </row>
    <row r="231" spans="1:6" x14ac:dyDescent="0.35">
      <c r="A231" t="s">
        <v>466</v>
      </c>
      <c r="B231" t="s">
        <v>633</v>
      </c>
      <c r="C231" t="s">
        <v>627</v>
      </c>
      <c r="D231">
        <v>30</v>
      </c>
      <c r="E231">
        <v>0</v>
      </c>
      <c r="F231">
        <v>30</v>
      </c>
    </row>
    <row r="232" spans="1:6" x14ac:dyDescent="0.35">
      <c r="A232" t="s">
        <v>364</v>
      </c>
      <c r="B232" t="s">
        <v>609</v>
      </c>
      <c r="C232" t="s">
        <v>630</v>
      </c>
      <c r="D232">
        <v>278</v>
      </c>
      <c r="E232">
        <v>10</v>
      </c>
      <c r="F232">
        <v>268</v>
      </c>
    </row>
    <row r="233" spans="1:6" x14ac:dyDescent="0.35">
      <c r="A233" t="s">
        <v>364</v>
      </c>
      <c r="B233" t="s">
        <v>633</v>
      </c>
      <c r="C233" t="s">
        <v>626</v>
      </c>
      <c r="D233">
        <v>9</v>
      </c>
      <c r="E233">
        <v>0</v>
      </c>
      <c r="F233">
        <v>9</v>
      </c>
    </row>
    <row r="234" spans="1:6" x14ac:dyDescent="0.35">
      <c r="A234" t="s">
        <v>364</v>
      </c>
      <c r="B234" t="s">
        <v>633</v>
      </c>
      <c r="C234" t="s">
        <v>632</v>
      </c>
      <c r="D234">
        <v>2374</v>
      </c>
      <c r="E234">
        <v>106</v>
      </c>
      <c r="F234">
        <v>2268</v>
      </c>
    </row>
    <row r="235" spans="1:6" x14ac:dyDescent="0.35">
      <c r="A235" t="s">
        <v>365</v>
      </c>
      <c r="B235" t="s">
        <v>511</v>
      </c>
      <c r="C235" t="s">
        <v>631</v>
      </c>
      <c r="D235">
        <v>52</v>
      </c>
      <c r="E235">
        <v>44</v>
      </c>
      <c r="F235">
        <v>8</v>
      </c>
    </row>
    <row r="236" spans="1:6" x14ac:dyDescent="0.35">
      <c r="A236" t="s">
        <v>365</v>
      </c>
      <c r="B236" t="s">
        <v>609</v>
      </c>
      <c r="C236" t="s">
        <v>632</v>
      </c>
      <c r="D236">
        <v>2124</v>
      </c>
      <c r="E236">
        <v>143</v>
      </c>
      <c r="F236">
        <v>1981</v>
      </c>
    </row>
    <row r="237" spans="1:6" x14ac:dyDescent="0.35">
      <c r="A237" t="s">
        <v>365</v>
      </c>
      <c r="B237" t="s">
        <v>633</v>
      </c>
      <c r="C237" t="s">
        <v>630</v>
      </c>
      <c r="D237">
        <v>664</v>
      </c>
      <c r="E237">
        <v>27</v>
      </c>
      <c r="F237">
        <v>637</v>
      </c>
    </row>
    <row r="238" spans="1:6" x14ac:dyDescent="0.35">
      <c r="A238" t="s">
        <v>366</v>
      </c>
      <c r="B238" t="s">
        <v>511</v>
      </c>
      <c r="C238" t="s">
        <v>631</v>
      </c>
      <c r="D238">
        <v>44</v>
      </c>
      <c r="E238">
        <v>39</v>
      </c>
      <c r="F238">
        <v>5</v>
      </c>
    </row>
    <row r="239" spans="1:6" x14ac:dyDescent="0.35">
      <c r="A239" t="s">
        <v>366</v>
      </c>
      <c r="B239" t="s">
        <v>511</v>
      </c>
      <c r="C239" t="s">
        <v>632</v>
      </c>
      <c r="D239">
        <v>95</v>
      </c>
      <c r="E239">
        <v>77</v>
      </c>
      <c r="F239">
        <v>18</v>
      </c>
    </row>
    <row r="240" spans="1:6" x14ac:dyDescent="0.35">
      <c r="A240" t="s">
        <v>366</v>
      </c>
      <c r="B240" t="s">
        <v>511</v>
      </c>
      <c r="C240" t="s">
        <v>629</v>
      </c>
      <c r="D240">
        <v>7</v>
      </c>
      <c r="E240">
        <v>7</v>
      </c>
      <c r="F240">
        <v>0</v>
      </c>
    </row>
    <row r="241" spans="1:6" x14ac:dyDescent="0.35">
      <c r="A241" t="s">
        <v>366</v>
      </c>
      <c r="B241" t="s">
        <v>511</v>
      </c>
      <c r="C241" t="s">
        <v>630</v>
      </c>
      <c r="D241">
        <v>51</v>
      </c>
      <c r="E241">
        <v>44</v>
      </c>
      <c r="F241">
        <v>7</v>
      </c>
    </row>
    <row r="242" spans="1:6" x14ac:dyDescent="0.35">
      <c r="A242" t="s">
        <v>366</v>
      </c>
      <c r="B242" t="s">
        <v>609</v>
      </c>
      <c r="C242" t="s">
        <v>630</v>
      </c>
      <c r="D242">
        <v>262</v>
      </c>
      <c r="E242">
        <v>14</v>
      </c>
      <c r="F242">
        <v>248</v>
      </c>
    </row>
    <row r="243" spans="1:6" x14ac:dyDescent="0.35">
      <c r="A243" t="s">
        <v>366</v>
      </c>
      <c r="B243" t="s">
        <v>634</v>
      </c>
      <c r="C243" t="s">
        <v>754</v>
      </c>
      <c r="D243">
        <v>36</v>
      </c>
      <c r="E243">
        <v>2</v>
      </c>
      <c r="F243">
        <v>34</v>
      </c>
    </row>
    <row r="244" spans="1:6" x14ac:dyDescent="0.35">
      <c r="A244" t="s">
        <v>366</v>
      </c>
      <c r="B244" t="s">
        <v>633</v>
      </c>
      <c r="C244" t="s">
        <v>629</v>
      </c>
      <c r="D244">
        <v>126</v>
      </c>
      <c r="E244">
        <v>2</v>
      </c>
      <c r="F244">
        <v>124</v>
      </c>
    </row>
    <row r="245" spans="1:6" x14ac:dyDescent="0.35">
      <c r="A245" t="s">
        <v>341</v>
      </c>
      <c r="B245" t="s">
        <v>609</v>
      </c>
      <c r="C245" t="s">
        <v>631</v>
      </c>
      <c r="D245">
        <v>549</v>
      </c>
      <c r="E245">
        <v>15</v>
      </c>
      <c r="F245">
        <v>534</v>
      </c>
    </row>
    <row r="246" spans="1:6" x14ac:dyDescent="0.35">
      <c r="A246" t="s">
        <v>341</v>
      </c>
      <c r="B246" t="s">
        <v>633</v>
      </c>
      <c r="C246" t="s">
        <v>628</v>
      </c>
      <c r="D246">
        <v>70</v>
      </c>
      <c r="E246">
        <v>2</v>
      </c>
      <c r="F246">
        <v>68</v>
      </c>
    </row>
    <row r="247" spans="1:6" x14ac:dyDescent="0.35">
      <c r="A247" t="s">
        <v>341</v>
      </c>
      <c r="B247" t="s">
        <v>633</v>
      </c>
      <c r="C247" t="s">
        <v>629</v>
      </c>
      <c r="D247">
        <v>151</v>
      </c>
      <c r="E247">
        <v>2</v>
      </c>
      <c r="F247">
        <v>149</v>
      </c>
    </row>
    <row r="248" spans="1:6" x14ac:dyDescent="0.35">
      <c r="A248" t="s">
        <v>342</v>
      </c>
      <c r="B248" t="s">
        <v>609</v>
      </c>
      <c r="C248" t="s">
        <v>632</v>
      </c>
      <c r="D248">
        <v>2077</v>
      </c>
      <c r="E248">
        <v>138</v>
      </c>
      <c r="F248">
        <v>1939</v>
      </c>
    </row>
    <row r="249" spans="1:6" x14ac:dyDescent="0.35">
      <c r="A249" t="s">
        <v>214</v>
      </c>
      <c r="B249" t="s">
        <v>609</v>
      </c>
      <c r="C249" t="s">
        <v>631</v>
      </c>
      <c r="D249">
        <v>533</v>
      </c>
      <c r="E249">
        <v>20</v>
      </c>
      <c r="F249">
        <v>513</v>
      </c>
    </row>
    <row r="250" spans="1:6" x14ac:dyDescent="0.35">
      <c r="A250" t="s">
        <v>214</v>
      </c>
      <c r="B250" t="s">
        <v>609</v>
      </c>
      <c r="C250" t="s">
        <v>632</v>
      </c>
      <c r="D250">
        <v>2141</v>
      </c>
      <c r="E250">
        <v>168</v>
      </c>
      <c r="F250">
        <v>1973</v>
      </c>
    </row>
    <row r="251" spans="1:6" x14ac:dyDescent="0.35">
      <c r="A251" t="s">
        <v>214</v>
      </c>
      <c r="B251" t="s">
        <v>512</v>
      </c>
      <c r="C251" t="s">
        <v>688</v>
      </c>
      <c r="D251">
        <v>49</v>
      </c>
      <c r="E251">
        <v>15</v>
      </c>
      <c r="F251">
        <v>34</v>
      </c>
    </row>
    <row r="252" spans="1:6" x14ac:dyDescent="0.35">
      <c r="A252" t="s">
        <v>214</v>
      </c>
      <c r="B252" t="s">
        <v>512</v>
      </c>
      <c r="C252" t="s">
        <v>692</v>
      </c>
      <c r="D252">
        <v>64</v>
      </c>
      <c r="E252">
        <v>26</v>
      </c>
      <c r="F252">
        <v>38</v>
      </c>
    </row>
    <row r="253" spans="1:6" x14ac:dyDescent="0.35">
      <c r="A253" t="s">
        <v>214</v>
      </c>
      <c r="B253" t="s">
        <v>633</v>
      </c>
      <c r="C253" t="s">
        <v>631</v>
      </c>
      <c r="D253">
        <v>687</v>
      </c>
      <c r="E253">
        <v>27</v>
      </c>
      <c r="F253">
        <v>660</v>
      </c>
    </row>
    <row r="254" spans="1:6" x14ac:dyDescent="0.35">
      <c r="A254" t="s">
        <v>214</v>
      </c>
      <c r="B254" t="s">
        <v>633</v>
      </c>
      <c r="C254" t="s">
        <v>632</v>
      </c>
      <c r="D254">
        <v>2075</v>
      </c>
      <c r="E254">
        <v>132</v>
      </c>
      <c r="F254">
        <v>1943</v>
      </c>
    </row>
    <row r="255" spans="1:6" x14ac:dyDescent="0.35">
      <c r="A255" t="s">
        <v>313</v>
      </c>
      <c r="B255" t="s">
        <v>511</v>
      </c>
      <c r="C255" t="s">
        <v>631</v>
      </c>
      <c r="D255">
        <v>26</v>
      </c>
      <c r="E255">
        <v>21</v>
      </c>
      <c r="F255">
        <v>5</v>
      </c>
    </row>
    <row r="256" spans="1:6" x14ac:dyDescent="0.35">
      <c r="A256" t="s">
        <v>313</v>
      </c>
      <c r="B256" t="s">
        <v>511</v>
      </c>
      <c r="C256" t="s">
        <v>628</v>
      </c>
      <c r="D256">
        <v>4</v>
      </c>
      <c r="E256">
        <v>3</v>
      </c>
      <c r="F256">
        <v>1</v>
      </c>
    </row>
    <row r="257" spans="1:6" x14ac:dyDescent="0.35">
      <c r="A257" t="s">
        <v>313</v>
      </c>
      <c r="B257" t="s">
        <v>609</v>
      </c>
      <c r="C257" t="s">
        <v>632</v>
      </c>
      <c r="D257">
        <v>2155</v>
      </c>
      <c r="E257">
        <v>175</v>
      </c>
      <c r="F257">
        <v>1980</v>
      </c>
    </row>
    <row r="258" spans="1:6" x14ac:dyDescent="0.35">
      <c r="A258" t="s">
        <v>313</v>
      </c>
      <c r="B258" t="s">
        <v>512</v>
      </c>
      <c r="C258" t="s">
        <v>693</v>
      </c>
      <c r="D258">
        <v>182</v>
      </c>
      <c r="E258">
        <v>172</v>
      </c>
      <c r="F258">
        <v>10</v>
      </c>
    </row>
    <row r="259" spans="1:6" x14ac:dyDescent="0.35">
      <c r="A259" t="s">
        <v>319</v>
      </c>
      <c r="B259" t="s">
        <v>634</v>
      </c>
      <c r="C259" t="s">
        <v>630</v>
      </c>
      <c r="D259">
        <v>37</v>
      </c>
      <c r="E259">
        <v>5</v>
      </c>
      <c r="F259">
        <v>32</v>
      </c>
    </row>
    <row r="260" spans="1:6" x14ac:dyDescent="0.35">
      <c r="A260" t="s">
        <v>321</v>
      </c>
      <c r="B260" t="s">
        <v>609</v>
      </c>
      <c r="C260" t="s">
        <v>630</v>
      </c>
      <c r="D260">
        <v>265</v>
      </c>
      <c r="E260">
        <v>15</v>
      </c>
      <c r="F260">
        <v>250</v>
      </c>
    </row>
    <row r="261" spans="1:6" x14ac:dyDescent="0.35">
      <c r="A261" t="s">
        <v>321</v>
      </c>
      <c r="B261" t="s">
        <v>512</v>
      </c>
      <c r="C261" t="s">
        <v>693</v>
      </c>
      <c r="D261">
        <v>193</v>
      </c>
      <c r="E261">
        <v>179</v>
      </c>
      <c r="F261">
        <v>14</v>
      </c>
    </row>
    <row r="262" spans="1:6" x14ac:dyDescent="0.35">
      <c r="A262" t="s">
        <v>321</v>
      </c>
      <c r="B262" t="s">
        <v>512</v>
      </c>
      <c r="C262" t="s">
        <v>687</v>
      </c>
      <c r="D262">
        <v>4</v>
      </c>
      <c r="E262">
        <v>1</v>
      </c>
      <c r="F262">
        <v>3</v>
      </c>
    </row>
    <row r="263" spans="1:6" x14ac:dyDescent="0.35">
      <c r="A263" t="s">
        <v>321</v>
      </c>
      <c r="B263" t="s">
        <v>512</v>
      </c>
      <c r="C263" t="s">
        <v>690</v>
      </c>
      <c r="D263">
        <v>104</v>
      </c>
      <c r="E263">
        <v>76</v>
      </c>
      <c r="F263">
        <v>28</v>
      </c>
    </row>
    <row r="264" spans="1:6" x14ac:dyDescent="0.35">
      <c r="A264" t="s">
        <v>321</v>
      </c>
      <c r="B264" t="s">
        <v>633</v>
      </c>
      <c r="C264" t="s">
        <v>631</v>
      </c>
      <c r="D264">
        <v>660</v>
      </c>
      <c r="E264">
        <v>39</v>
      </c>
      <c r="F264">
        <v>621</v>
      </c>
    </row>
    <row r="265" spans="1:6" x14ac:dyDescent="0.35">
      <c r="A265" t="s">
        <v>326</v>
      </c>
      <c r="B265" t="s">
        <v>511</v>
      </c>
      <c r="C265" t="s">
        <v>627</v>
      </c>
      <c r="D265">
        <v>1</v>
      </c>
      <c r="E265">
        <v>1</v>
      </c>
      <c r="F265">
        <v>0</v>
      </c>
    </row>
    <row r="266" spans="1:6" x14ac:dyDescent="0.35">
      <c r="A266" t="s">
        <v>326</v>
      </c>
      <c r="B266" t="s">
        <v>633</v>
      </c>
      <c r="C266" t="s">
        <v>632</v>
      </c>
      <c r="D266">
        <v>1972</v>
      </c>
      <c r="E266">
        <v>145</v>
      </c>
      <c r="F266">
        <v>1827</v>
      </c>
    </row>
    <row r="267" spans="1:6" x14ac:dyDescent="0.35">
      <c r="A267" t="s">
        <v>326</v>
      </c>
      <c r="B267" t="s">
        <v>633</v>
      </c>
      <c r="C267" t="s">
        <v>630</v>
      </c>
      <c r="D267">
        <v>601</v>
      </c>
      <c r="E267">
        <v>31</v>
      </c>
      <c r="F267">
        <v>570</v>
      </c>
    </row>
    <row r="268" spans="1:6" x14ac:dyDescent="0.35">
      <c r="A268" t="s">
        <v>327</v>
      </c>
      <c r="B268" t="s">
        <v>512</v>
      </c>
      <c r="C268" t="s">
        <v>690</v>
      </c>
      <c r="D268">
        <v>90</v>
      </c>
      <c r="E268">
        <v>49</v>
      </c>
      <c r="F268">
        <v>41</v>
      </c>
    </row>
    <row r="269" spans="1:6" x14ac:dyDescent="0.35">
      <c r="A269" t="s">
        <v>327</v>
      </c>
      <c r="B269" t="s">
        <v>633</v>
      </c>
      <c r="C269" t="s">
        <v>630</v>
      </c>
      <c r="D269">
        <v>607</v>
      </c>
      <c r="E269">
        <v>31</v>
      </c>
      <c r="F269">
        <v>576</v>
      </c>
    </row>
    <row r="270" spans="1:6" x14ac:dyDescent="0.35">
      <c r="A270" t="s">
        <v>466</v>
      </c>
      <c r="B270" t="s">
        <v>609</v>
      </c>
      <c r="C270" t="s">
        <v>632</v>
      </c>
      <c r="D270">
        <v>1943</v>
      </c>
      <c r="E270">
        <v>162</v>
      </c>
      <c r="F270">
        <v>1781</v>
      </c>
    </row>
    <row r="271" spans="1:6" x14ac:dyDescent="0.35">
      <c r="A271" t="s">
        <v>466</v>
      </c>
      <c r="B271" t="s">
        <v>512</v>
      </c>
      <c r="C271" t="s">
        <v>689</v>
      </c>
      <c r="D271">
        <v>35</v>
      </c>
      <c r="E271">
        <v>24</v>
      </c>
      <c r="F271">
        <v>11</v>
      </c>
    </row>
    <row r="272" spans="1:6" x14ac:dyDescent="0.35">
      <c r="A272" t="s">
        <v>466</v>
      </c>
      <c r="B272" t="s">
        <v>633</v>
      </c>
      <c r="C272" t="s">
        <v>631</v>
      </c>
      <c r="D272">
        <v>622</v>
      </c>
      <c r="E272">
        <v>35</v>
      </c>
      <c r="F272">
        <v>587</v>
      </c>
    </row>
    <row r="273" spans="1:6" x14ac:dyDescent="0.35">
      <c r="A273" t="s">
        <v>466</v>
      </c>
      <c r="B273" t="s">
        <v>633</v>
      </c>
      <c r="C273" t="s">
        <v>628</v>
      </c>
      <c r="D273">
        <v>72</v>
      </c>
      <c r="E273">
        <v>9</v>
      </c>
      <c r="F273">
        <v>63</v>
      </c>
    </row>
    <row r="274" spans="1:6" x14ac:dyDescent="0.35">
      <c r="A274" t="s">
        <v>364</v>
      </c>
      <c r="B274" t="s">
        <v>511</v>
      </c>
      <c r="C274" t="s">
        <v>629</v>
      </c>
      <c r="D274">
        <v>11</v>
      </c>
      <c r="E274">
        <v>9</v>
      </c>
      <c r="F274">
        <v>2</v>
      </c>
    </row>
    <row r="275" spans="1:6" x14ac:dyDescent="0.35">
      <c r="A275" t="s">
        <v>364</v>
      </c>
      <c r="B275" t="s">
        <v>511</v>
      </c>
      <c r="C275" t="s">
        <v>630</v>
      </c>
      <c r="D275">
        <v>52</v>
      </c>
      <c r="E275">
        <v>46</v>
      </c>
      <c r="F275">
        <v>6</v>
      </c>
    </row>
    <row r="276" spans="1:6" x14ac:dyDescent="0.35">
      <c r="A276" t="s">
        <v>364</v>
      </c>
      <c r="B276" t="s">
        <v>512</v>
      </c>
      <c r="C276" t="s">
        <v>688</v>
      </c>
      <c r="D276">
        <v>70</v>
      </c>
      <c r="E276">
        <v>32</v>
      </c>
      <c r="F276">
        <v>38</v>
      </c>
    </row>
    <row r="277" spans="1:6" x14ac:dyDescent="0.35">
      <c r="A277" t="s">
        <v>365</v>
      </c>
      <c r="B277" t="s">
        <v>512</v>
      </c>
      <c r="C277" t="s">
        <v>689</v>
      </c>
      <c r="D277">
        <v>37</v>
      </c>
      <c r="E277">
        <v>20</v>
      </c>
      <c r="F277">
        <v>17</v>
      </c>
    </row>
    <row r="278" spans="1:6" x14ac:dyDescent="0.35">
      <c r="A278" t="s">
        <v>365</v>
      </c>
      <c r="B278" t="s">
        <v>634</v>
      </c>
      <c r="C278" t="s">
        <v>754</v>
      </c>
      <c r="D278">
        <v>38</v>
      </c>
      <c r="E278">
        <v>4</v>
      </c>
      <c r="F278">
        <v>34</v>
      </c>
    </row>
    <row r="279" spans="1:6" x14ac:dyDescent="0.35">
      <c r="A279" t="s">
        <v>365</v>
      </c>
      <c r="B279" t="s">
        <v>633</v>
      </c>
      <c r="C279" t="s">
        <v>628</v>
      </c>
      <c r="D279">
        <v>103</v>
      </c>
      <c r="E279">
        <v>3</v>
      </c>
      <c r="F279">
        <v>100</v>
      </c>
    </row>
    <row r="280" spans="1:6" x14ac:dyDescent="0.35">
      <c r="A280" t="s">
        <v>341</v>
      </c>
      <c r="B280" t="s">
        <v>511</v>
      </c>
      <c r="C280" t="s">
        <v>631</v>
      </c>
      <c r="D280">
        <v>31</v>
      </c>
      <c r="E280">
        <v>26</v>
      </c>
      <c r="F280">
        <v>5</v>
      </c>
    </row>
    <row r="281" spans="1:6" x14ac:dyDescent="0.35">
      <c r="A281" t="s">
        <v>341</v>
      </c>
      <c r="B281" t="s">
        <v>609</v>
      </c>
      <c r="C281" t="s">
        <v>632</v>
      </c>
      <c r="D281">
        <v>2061</v>
      </c>
      <c r="E281">
        <v>127</v>
      </c>
      <c r="F281">
        <v>1934</v>
      </c>
    </row>
    <row r="282" spans="1:6" x14ac:dyDescent="0.35">
      <c r="A282" t="s">
        <v>341</v>
      </c>
      <c r="B282" t="s">
        <v>512</v>
      </c>
      <c r="C282" t="s">
        <v>688</v>
      </c>
      <c r="D282">
        <v>42</v>
      </c>
      <c r="E282">
        <v>17</v>
      </c>
      <c r="F282">
        <v>25</v>
      </c>
    </row>
    <row r="283" spans="1:6" x14ac:dyDescent="0.35">
      <c r="A283" t="s">
        <v>342</v>
      </c>
      <c r="B283" t="s">
        <v>609</v>
      </c>
      <c r="C283" t="s">
        <v>630</v>
      </c>
      <c r="D283">
        <v>261</v>
      </c>
      <c r="E283">
        <v>14</v>
      </c>
      <c r="F283">
        <v>247</v>
      </c>
    </row>
    <row r="284" spans="1:6" x14ac:dyDescent="0.35">
      <c r="A284" t="s">
        <v>342</v>
      </c>
      <c r="B284" t="s">
        <v>512</v>
      </c>
      <c r="C284" t="s">
        <v>693</v>
      </c>
      <c r="D284">
        <v>164</v>
      </c>
      <c r="E284">
        <v>155</v>
      </c>
      <c r="F284">
        <v>9</v>
      </c>
    </row>
    <row r="285" spans="1:6" x14ac:dyDescent="0.35">
      <c r="A285" t="s">
        <v>342</v>
      </c>
      <c r="B285" t="s">
        <v>512</v>
      </c>
      <c r="C285" t="s">
        <v>690</v>
      </c>
      <c r="D285">
        <v>79</v>
      </c>
      <c r="E285">
        <v>57</v>
      </c>
      <c r="F285">
        <v>22</v>
      </c>
    </row>
    <row r="286" spans="1:6" x14ac:dyDescent="0.35">
      <c r="A286" t="s">
        <v>342</v>
      </c>
      <c r="B286" t="s">
        <v>634</v>
      </c>
      <c r="C286" t="s">
        <v>632</v>
      </c>
      <c r="D286">
        <v>256</v>
      </c>
      <c r="E286">
        <v>47</v>
      </c>
      <c r="F286">
        <v>209</v>
      </c>
    </row>
    <row r="287" spans="1:6" x14ac:dyDescent="0.35">
      <c r="A287" t="s">
        <v>214</v>
      </c>
      <c r="B287" t="s">
        <v>512</v>
      </c>
      <c r="C287" t="s">
        <v>693</v>
      </c>
      <c r="D287">
        <v>170</v>
      </c>
      <c r="E287">
        <v>159</v>
      </c>
      <c r="F287">
        <v>11</v>
      </c>
    </row>
    <row r="288" spans="1:6" x14ac:dyDescent="0.35">
      <c r="A288" t="s">
        <v>214</v>
      </c>
      <c r="B288" t="s">
        <v>512</v>
      </c>
      <c r="C288" t="s">
        <v>691</v>
      </c>
      <c r="D288">
        <v>388</v>
      </c>
      <c r="E288">
        <v>146</v>
      </c>
      <c r="F288">
        <v>242</v>
      </c>
    </row>
    <row r="289" spans="1:6" x14ac:dyDescent="0.35">
      <c r="A289" t="s">
        <v>214</v>
      </c>
      <c r="B289" t="s">
        <v>634</v>
      </c>
      <c r="C289" t="s">
        <v>632</v>
      </c>
      <c r="D289">
        <v>240</v>
      </c>
      <c r="E289">
        <v>46</v>
      </c>
      <c r="F289">
        <v>194</v>
      </c>
    </row>
    <row r="290" spans="1:6" x14ac:dyDescent="0.35">
      <c r="A290" t="s">
        <v>214</v>
      </c>
      <c r="B290" t="s">
        <v>634</v>
      </c>
      <c r="C290" t="s">
        <v>630</v>
      </c>
      <c r="D290">
        <v>37</v>
      </c>
      <c r="E290">
        <v>5</v>
      </c>
      <c r="F290">
        <v>32</v>
      </c>
    </row>
    <row r="291" spans="1:6" x14ac:dyDescent="0.35">
      <c r="A291" t="s">
        <v>214</v>
      </c>
      <c r="B291" t="s">
        <v>633</v>
      </c>
      <c r="C291" t="s">
        <v>628</v>
      </c>
      <c r="D291">
        <v>80</v>
      </c>
      <c r="E291">
        <v>2</v>
      </c>
      <c r="F291">
        <v>78</v>
      </c>
    </row>
    <row r="292" spans="1:6" x14ac:dyDescent="0.35">
      <c r="A292" t="s">
        <v>214</v>
      </c>
      <c r="B292" t="s">
        <v>633</v>
      </c>
      <c r="C292" t="s">
        <v>629</v>
      </c>
      <c r="D292">
        <v>147</v>
      </c>
      <c r="E292">
        <v>2</v>
      </c>
      <c r="F292">
        <v>145</v>
      </c>
    </row>
    <row r="293" spans="1:6" x14ac:dyDescent="0.35">
      <c r="A293" t="s">
        <v>313</v>
      </c>
      <c r="B293" t="s">
        <v>511</v>
      </c>
      <c r="C293" t="s">
        <v>629</v>
      </c>
      <c r="D293">
        <v>8</v>
      </c>
      <c r="E293">
        <v>7</v>
      </c>
      <c r="F293">
        <v>1</v>
      </c>
    </row>
    <row r="294" spans="1:6" x14ac:dyDescent="0.35">
      <c r="A294" t="s">
        <v>313</v>
      </c>
      <c r="B294" t="s">
        <v>511</v>
      </c>
      <c r="C294" t="s">
        <v>630</v>
      </c>
      <c r="D294">
        <v>45</v>
      </c>
      <c r="E294">
        <v>38</v>
      </c>
      <c r="F294">
        <v>7</v>
      </c>
    </row>
    <row r="295" spans="1:6" x14ac:dyDescent="0.35">
      <c r="A295" t="s">
        <v>313</v>
      </c>
      <c r="B295" t="s">
        <v>512</v>
      </c>
      <c r="C295" t="s">
        <v>690</v>
      </c>
      <c r="D295">
        <v>90</v>
      </c>
      <c r="E295">
        <v>61</v>
      </c>
      <c r="F295">
        <v>29</v>
      </c>
    </row>
    <row r="296" spans="1:6" x14ac:dyDescent="0.35">
      <c r="A296" t="s">
        <v>313</v>
      </c>
      <c r="B296" t="s">
        <v>633</v>
      </c>
      <c r="C296" t="s">
        <v>626</v>
      </c>
      <c r="D296">
        <v>6</v>
      </c>
      <c r="E296">
        <v>0</v>
      </c>
      <c r="F296">
        <v>6</v>
      </c>
    </row>
    <row r="297" spans="1:6" x14ac:dyDescent="0.35">
      <c r="A297" t="s">
        <v>313</v>
      </c>
      <c r="B297" t="s">
        <v>633</v>
      </c>
      <c r="C297" t="s">
        <v>632</v>
      </c>
      <c r="D297">
        <v>2070</v>
      </c>
      <c r="E297">
        <v>154</v>
      </c>
      <c r="F297">
        <v>1916</v>
      </c>
    </row>
    <row r="298" spans="1:6" x14ac:dyDescent="0.35">
      <c r="A298" t="s">
        <v>313</v>
      </c>
      <c r="B298" t="s">
        <v>633</v>
      </c>
      <c r="C298" t="s">
        <v>630</v>
      </c>
      <c r="D298">
        <v>608</v>
      </c>
      <c r="E298">
        <v>30</v>
      </c>
      <c r="F298">
        <v>578</v>
      </c>
    </row>
    <row r="299" spans="1:6" x14ac:dyDescent="0.35">
      <c r="A299" t="s">
        <v>319</v>
      </c>
      <c r="B299" t="s">
        <v>511</v>
      </c>
      <c r="C299" t="s">
        <v>627</v>
      </c>
      <c r="D299">
        <v>1</v>
      </c>
      <c r="E299">
        <v>1</v>
      </c>
      <c r="F299">
        <v>0</v>
      </c>
    </row>
    <row r="300" spans="1:6" x14ac:dyDescent="0.35">
      <c r="A300" t="s">
        <v>319</v>
      </c>
      <c r="B300" t="s">
        <v>511</v>
      </c>
      <c r="C300" t="s">
        <v>628</v>
      </c>
      <c r="D300">
        <v>4</v>
      </c>
      <c r="E300">
        <v>3</v>
      </c>
      <c r="F300">
        <v>1</v>
      </c>
    </row>
    <row r="301" spans="1:6" x14ac:dyDescent="0.35">
      <c r="A301" t="s">
        <v>319</v>
      </c>
      <c r="B301" t="s">
        <v>512</v>
      </c>
      <c r="C301" t="s">
        <v>690</v>
      </c>
      <c r="D301">
        <v>91</v>
      </c>
      <c r="E301">
        <v>61</v>
      </c>
      <c r="F301">
        <v>30</v>
      </c>
    </row>
    <row r="302" spans="1:6" x14ac:dyDescent="0.35">
      <c r="A302" t="s">
        <v>319</v>
      </c>
      <c r="B302" t="s">
        <v>633</v>
      </c>
      <c r="C302" t="s">
        <v>631</v>
      </c>
      <c r="D302">
        <v>687</v>
      </c>
      <c r="E302">
        <v>29</v>
      </c>
      <c r="F302">
        <v>658</v>
      </c>
    </row>
    <row r="303" spans="1:6" x14ac:dyDescent="0.35">
      <c r="A303" t="s">
        <v>321</v>
      </c>
      <c r="B303" t="s">
        <v>511</v>
      </c>
      <c r="C303" t="s">
        <v>631</v>
      </c>
      <c r="D303">
        <v>27</v>
      </c>
      <c r="E303">
        <v>20</v>
      </c>
      <c r="F303">
        <v>7</v>
      </c>
    </row>
    <row r="304" spans="1:6" x14ac:dyDescent="0.35">
      <c r="A304" t="s">
        <v>321</v>
      </c>
      <c r="B304" t="s">
        <v>511</v>
      </c>
      <c r="C304" t="s">
        <v>628</v>
      </c>
      <c r="D304">
        <v>4</v>
      </c>
      <c r="E304">
        <v>3</v>
      </c>
      <c r="F304">
        <v>1</v>
      </c>
    </row>
    <row r="305" spans="1:6" x14ac:dyDescent="0.35">
      <c r="A305" t="s">
        <v>321</v>
      </c>
      <c r="B305" t="s">
        <v>633</v>
      </c>
      <c r="C305" t="s">
        <v>627</v>
      </c>
      <c r="D305">
        <v>35</v>
      </c>
      <c r="E305">
        <v>1</v>
      </c>
      <c r="F305">
        <v>34</v>
      </c>
    </row>
    <row r="306" spans="1:6" x14ac:dyDescent="0.35">
      <c r="A306" t="s">
        <v>321</v>
      </c>
      <c r="B306" t="s">
        <v>633</v>
      </c>
      <c r="C306" t="s">
        <v>629</v>
      </c>
      <c r="D306">
        <v>157</v>
      </c>
      <c r="E306">
        <v>5</v>
      </c>
      <c r="F306">
        <v>152</v>
      </c>
    </row>
    <row r="307" spans="1:6" x14ac:dyDescent="0.35">
      <c r="A307" t="s">
        <v>326</v>
      </c>
      <c r="B307" t="s">
        <v>511</v>
      </c>
      <c r="C307" t="s">
        <v>632</v>
      </c>
      <c r="D307">
        <v>91</v>
      </c>
      <c r="E307">
        <v>74</v>
      </c>
      <c r="F307">
        <v>17</v>
      </c>
    </row>
    <row r="308" spans="1:6" x14ac:dyDescent="0.35">
      <c r="A308" t="s">
        <v>326</v>
      </c>
      <c r="B308" t="s">
        <v>511</v>
      </c>
      <c r="C308" t="s">
        <v>630</v>
      </c>
      <c r="D308">
        <v>37</v>
      </c>
      <c r="E308">
        <v>32</v>
      </c>
      <c r="F308">
        <v>5</v>
      </c>
    </row>
    <row r="309" spans="1:6" x14ac:dyDescent="0.35">
      <c r="A309" t="s">
        <v>326</v>
      </c>
      <c r="B309" t="s">
        <v>609</v>
      </c>
      <c r="C309" t="s">
        <v>631</v>
      </c>
      <c r="D309">
        <v>521</v>
      </c>
      <c r="E309">
        <v>22</v>
      </c>
      <c r="F309">
        <v>499</v>
      </c>
    </row>
    <row r="310" spans="1:6" x14ac:dyDescent="0.35">
      <c r="A310" t="s">
        <v>326</v>
      </c>
      <c r="B310" t="s">
        <v>510</v>
      </c>
      <c r="C310" t="s">
        <v>630</v>
      </c>
      <c r="D310">
        <v>54</v>
      </c>
      <c r="E310">
        <v>9</v>
      </c>
      <c r="F310">
        <v>45</v>
      </c>
    </row>
    <row r="311" spans="1:6" x14ac:dyDescent="0.35">
      <c r="A311" t="s">
        <v>326</v>
      </c>
      <c r="B311" t="s">
        <v>512</v>
      </c>
      <c r="C311" t="s">
        <v>690</v>
      </c>
      <c r="D311">
        <v>98</v>
      </c>
      <c r="E311">
        <v>58</v>
      </c>
      <c r="F311">
        <v>40</v>
      </c>
    </row>
    <row r="312" spans="1:6" x14ac:dyDescent="0.35">
      <c r="A312" t="s">
        <v>326</v>
      </c>
      <c r="B312" t="s">
        <v>512</v>
      </c>
      <c r="C312" t="s">
        <v>691</v>
      </c>
      <c r="D312">
        <v>465</v>
      </c>
      <c r="E312">
        <v>203</v>
      </c>
      <c r="F312">
        <v>262</v>
      </c>
    </row>
    <row r="313" spans="1:6" x14ac:dyDescent="0.35">
      <c r="A313" t="s">
        <v>326</v>
      </c>
      <c r="B313" t="s">
        <v>634</v>
      </c>
      <c r="C313" t="s">
        <v>630</v>
      </c>
      <c r="D313">
        <v>37</v>
      </c>
      <c r="E313">
        <v>6</v>
      </c>
      <c r="F313">
        <v>31</v>
      </c>
    </row>
    <row r="314" spans="1:6" x14ac:dyDescent="0.35">
      <c r="A314" t="s">
        <v>327</v>
      </c>
      <c r="B314" t="s">
        <v>511</v>
      </c>
      <c r="C314" t="s">
        <v>627</v>
      </c>
      <c r="D314">
        <v>1</v>
      </c>
      <c r="E314">
        <v>1</v>
      </c>
      <c r="F314">
        <v>0</v>
      </c>
    </row>
    <row r="315" spans="1:6" x14ac:dyDescent="0.35">
      <c r="A315" t="s">
        <v>466</v>
      </c>
      <c r="B315" t="s">
        <v>511</v>
      </c>
      <c r="C315" t="s">
        <v>627</v>
      </c>
      <c r="D315">
        <v>1</v>
      </c>
      <c r="E315">
        <v>1</v>
      </c>
      <c r="F315">
        <v>0</v>
      </c>
    </row>
    <row r="316" spans="1:6" x14ac:dyDescent="0.35">
      <c r="A316" t="s">
        <v>466</v>
      </c>
      <c r="B316" t="s">
        <v>511</v>
      </c>
      <c r="C316" t="s">
        <v>628</v>
      </c>
      <c r="D316">
        <v>2</v>
      </c>
      <c r="E316">
        <v>2</v>
      </c>
      <c r="F316">
        <v>0</v>
      </c>
    </row>
    <row r="317" spans="1:6" x14ac:dyDescent="0.35">
      <c r="A317" t="s">
        <v>466</v>
      </c>
      <c r="B317" t="s">
        <v>512</v>
      </c>
      <c r="C317" t="s">
        <v>693</v>
      </c>
      <c r="D317">
        <v>152</v>
      </c>
      <c r="E317">
        <v>138</v>
      </c>
      <c r="F317">
        <v>14</v>
      </c>
    </row>
    <row r="318" spans="1:6" x14ac:dyDescent="0.35">
      <c r="A318" t="s">
        <v>466</v>
      </c>
      <c r="B318" t="s">
        <v>634</v>
      </c>
      <c r="C318" t="s">
        <v>630</v>
      </c>
      <c r="D318">
        <v>36</v>
      </c>
      <c r="E318">
        <v>6</v>
      </c>
      <c r="F318">
        <v>30</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
    <tabColor theme="9" tint="0.39997558519241921"/>
    <pageSetUpPr fitToPage="1"/>
  </sheetPr>
  <dimension ref="A1:I65"/>
  <sheetViews>
    <sheetView showGridLines="0" zoomScaleNormal="100" workbookViewId="0">
      <pane ySplit="2" topLeftCell="A3" activePane="bottomLeft" state="frozen"/>
      <selection pane="bottomLeft" sqref="A1:C1"/>
    </sheetView>
  </sheetViews>
  <sheetFormatPr defaultRowHeight="14.5" x14ac:dyDescent="0.35"/>
  <cols>
    <col min="1" max="1" width="36.81640625" customWidth="1"/>
    <col min="2" max="6" width="14" customWidth="1"/>
  </cols>
  <sheetData>
    <row r="1" spans="1:6" ht="27.65" customHeight="1" x14ac:dyDescent="0.35">
      <c r="A1" s="1011" t="s">
        <v>513</v>
      </c>
      <c r="B1" s="1011"/>
      <c r="C1" s="1011"/>
    </row>
    <row r="2" spans="1:6" x14ac:dyDescent="0.35">
      <c r="A2" s="499" t="s">
        <v>201</v>
      </c>
    </row>
    <row r="3" spans="1:6" x14ac:dyDescent="0.35">
      <c r="A3" s="25"/>
      <c r="B3" s="25"/>
      <c r="C3" s="25"/>
      <c r="D3" s="25"/>
      <c r="E3" s="25"/>
      <c r="F3" s="25"/>
    </row>
    <row r="4" spans="1:6" ht="15.75" customHeight="1" x14ac:dyDescent="0.35">
      <c r="A4" s="1043" t="s">
        <v>763</v>
      </c>
      <c r="B4" s="1043"/>
      <c r="C4" s="1043"/>
      <c r="D4" s="1043"/>
      <c r="E4" s="1043"/>
      <c r="F4" s="1043"/>
    </row>
    <row r="5" spans="1:6" ht="15" customHeight="1" x14ac:dyDescent="0.35">
      <c r="A5" t="s">
        <v>202</v>
      </c>
      <c r="B5" t="s">
        <v>88</v>
      </c>
      <c r="C5" s="425"/>
      <c r="E5" s="425"/>
      <c r="F5" s="425"/>
    </row>
    <row r="6" spans="1:6" ht="15" customHeight="1" x14ac:dyDescent="0.35">
      <c r="A6" t="s">
        <v>203</v>
      </c>
      <c r="B6" t="s">
        <v>204</v>
      </c>
      <c r="C6" s="425"/>
      <c r="E6" s="425"/>
      <c r="F6" s="425"/>
    </row>
    <row r="7" spans="1:6" ht="15" customHeight="1" x14ac:dyDescent="0.35">
      <c r="A7" t="s">
        <v>205</v>
      </c>
      <c r="B7" t="s">
        <v>206</v>
      </c>
      <c r="C7" s="425"/>
      <c r="D7" s="425"/>
      <c r="E7" s="425"/>
      <c r="F7" s="425"/>
    </row>
    <row r="8" spans="1:6" ht="15.5" x14ac:dyDescent="0.35">
      <c r="A8" s="25"/>
      <c r="B8" s="105"/>
      <c r="C8" s="105"/>
      <c r="D8" s="375" t="s">
        <v>346</v>
      </c>
      <c r="E8" s="105"/>
      <c r="F8" s="106" t="s">
        <v>92</v>
      </c>
    </row>
    <row r="9" spans="1:6" x14ac:dyDescent="0.35">
      <c r="A9" s="475" t="s">
        <v>515</v>
      </c>
      <c r="B9" s="478" t="s">
        <v>745</v>
      </c>
      <c r="C9" s="478" t="s">
        <v>746</v>
      </c>
      <c r="D9" s="478" t="s">
        <v>340</v>
      </c>
      <c r="E9" s="479" t="s">
        <v>745</v>
      </c>
      <c r="F9" s="478" t="s">
        <v>746</v>
      </c>
    </row>
    <row r="10" spans="1:6" x14ac:dyDescent="0.35">
      <c r="A10" s="112" t="s">
        <v>643</v>
      </c>
      <c r="B10" s="933">
        <f>GETPIVOTDATA("Sum of Female",sexandrolepivot!$A$3,"Type","WT","PostConv","Brigade Manager")</f>
        <v>0</v>
      </c>
      <c r="C10" s="933">
        <f>GETPIVOTDATA("Sum of Male",sexandrolepivot!$A$3,"Type","WT","PostConv","Brigade Manager")</f>
        <v>5</v>
      </c>
      <c r="D10" s="476">
        <f>GETPIVOTDATA("Sum of Total",sexandrolepivot!$A$3,"Type","WT","PostConv","Brigade Manager")</f>
        <v>5</v>
      </c>
      <c r="E10" s="115">
        <f t="shared" ref="E10:E17" si="0">B10/(B10+C10)</f>
        <v>0</v>
      </c>
      <c r="F10" s="115">
        <f t="shared" ref="F10:F17" si="1">C10/(B10+C10)</f>
        <v>1</v>
      </c>
    </row>
    <row r="11" spans="1:6" x14ac:dyDescent="0.35">
      <c r="A11" s="112" t="s">
        <v>644</v>
      </c>
      <c r="B11" s="933">
        <f>GETPIVOTDATA("Sum of Female",sexandrolepivot!$A$3,"Type","WT","PostConv","Area Manager")</f>
        <v>0</v>
      </c>
      <c r="C11" s="933">
        <f>GETPIVOTDATA("Sum of Male",sexandrolepivot!$A$3,"Type","WT","PostConv","Area Manager")</f>
        <v>30</v>
      </c>
      <c r="D11" s="476">
        <f>GETPIVOTDATA("Sum of Total",sexandrolepivot!$A$3,"Type","WT","PostConv","Area Manager")</f>
        <v>30</v>
      </c>
      <c r="E11" s="115">
        <f t="shared" si="0"/>
        <v>0</v>
      </c>
      <c r="F11" s="115">
        <f t="shared" si="1"/>
        <v>1</v>
      </c>
    </row>
    <row r="12" spans="1:6" x14ac:dyDescent="0.35">
      <c r="A12" s="112" t="s">
        <v>645</v>
      </c>
      <c r="B12" s="114">
        <f>GETPIVOTDATA("Sum of Female",sexandrolepivot!$A$3,"Type","WT","PostConv","Group Manager")</f>
        <v>9</v>
      </c>
      <c r="C12" s="114">
        <f>GETPIVOTDATA("Sum of Male",sexandrolepivot!$A$3,"Type","WT","PostConv","Group Manager")</f>
        <v>63</v>
      </c>
      <c r="D12" s="476">
        <f>GETPIVOTDATA("Sum of Total",sexandrolepivot!$A$3,"Type","WT","PostConv","Group Manager")</f>
        <v>72</v>
      </c>
      <c r="E12" s="115">
        <f t="shared" si="0"/>
        <v>0.125</v>
      </c>
      <c r="F12" s="115">
        <f t="shared" si="1"/>
        <v>0.875</v>
      </c>
    </row>
    <row r="13" spans="1:6" x14ac:dyDescent="0.35">
      <c r="A13" s="112" t="s">
        <v>646</v>
      </c>
      <c r="B13" s="114">
        <f>GETPIVOTDATA("Sum of Female",sexandrolepivot!$A$3,"Type","WT","PostConv","Station Manager")</f>
        <v>5</v>
      </c>
      <c r="C13" s="114">
        <f>GETPIVOTDATA("Sum of Male",sexandrolepivot!$A$3,"Type","WT","PostConv","Station Manager")</f>
        <v>155</v>
      </c>
      <c r="D13" s="476">
        <f>GETPIVOTDATA("Sum of Total",sexandrolepivot!$A$3,"Type","WT","PostConv","Station Manager")</f>
        <v>160</v>
      </c>
      <c r="E13" s="115">
        <f t="shared" si="0"/>
        <v>3.125E-2</v>
      </c>
      <c r="F13" s="115">
        <f t="shared" si="1"/>
        <v>0.96875</v>
      </c>
    </row>
    <row r="14" spans="1:6" x14ac:dyDescent="0.35">
      <c r="A14" s="112" t="s">
        <v>647</v>
      </c>
      <c r="B14" s="114">
        <f>GETPIVOTDATA("Sum of Female",sexandrolepivot!$A$3,"Type","WT","PostConv","Watch Manager")</f>
        <v>32</v>
      </c>
      <c r="C14" s="114">
        <f>GETPIVOTDATA("Sum of Male",sexandrolepivot!$A$3,"Type","WT","PostConv","Watch Manager")</f>
        <v>573</v>
      </c>
      <c r="D14" s="476">
        <f>GETPIVOTDATA("Sum of Total",sexandrolepivot!$A$3,"Type","WT","PostConv","Watch Manager")</f>
        <v>605</v>
      </c>
      <c r="E14" s="115">
        <f t="shared" si="0"/>
        <v>5.2892561983471073E-2</v>
      </c>
      <c r="F14" s="115">
        <f t="shared" si="1"/>
        <v>0.94710743801652897</v>
      </c>
    </row>
    <row r="15" spans="1:6" x14ac:dyDescent="0.35">
      <c r="A15" s="112" t="s">
        <v>648</v>
      </c>
      <c r="B15" s="114">
        <f>GETPIVOTDATA("Sum of Female",sexandrolepivot!$A$3,"Type","WT","PostConv","Crew Manager")</f>
        <v>35</v>
      </c>
      <c r="C15" s="114">
        <f>GETPIVOTDATA("Sum of Male",sexandrolepivot!$A$3,"Type","WT","PostConv","Crew Manager")</f>
        <v>587</v>
      </c>
      <c r="D15" s="476">
        <f>GETPIVOTDATA("Sum of Total",sexandrolepivot!$A$3,"Type","WT","PostConv","Crew Manager")</f>
        <v>622</v>
      </c>
      <c r="E15" s="115">
        <f t="shared" si="0"/>
        <v>5.6270096463022508E-2</v>
      </c>
      <c r="F15" s="115">
        <f t="shared" si="1"/>
        <v>0.9437299035369775</v>
      </c>
    </row>
    <row r="16" spans="1:6" x14ac:dyDescent="0.35">
      <c r="A16" s="112" t="s">
        <v>632</v>
      </c>
      <c r="B16" s="114">
        <f>GETPIVOTDATA("Sum of Female",sexandrolepivot!$A$3,"Type","WT","PostConv","Firefighter")</f>
        <v>139</v>
      </c>
      <c r="C16" s="114">
        <f>GETPIVOTDATA("Sum of Male",sexandrolepivot!$A$3,"Type","WT","PostConv","Firefighter")</f>
        <v>1797</v>
      </c>
      <c r="D16" s="476">
        <f>GETPIVOTDATA("Sum of Total",sexandrolepivot!$A$3,"Type","WT","PostConv","Firefighter")</f>
        <v>1936</v>
      </c>
      <c r="E16" s="115">
        <f t="shared" si="0"/>
        <v>7.1797520661157022E-2</v>
      </c>
      <c r="F16" s="115">
        <f t="shared" si="1"/>
        <v>0.92820247933884292</v>
      </c>
    </row>
    <row r="17" spans="1:6" ht="15" thickBot="1" x14ac:dyDescent="0.4">
      <c r="A17" s="119" t="s">
        <v>764</v>
      </c>
      <c r="B17" s="632">
        <f>SUM(B10:B16)</f>
        <v>220</v>
      </c>
      <c r="C17" s="632">
        <f>SUM(C10:C16)</f>
        <v>3210</v>
      </c>
      <c r="D17" s="120">
        <f>SUM(D10:D16)</f>
        <v>3430</v>
      </c>
      <c r="E17" s="121">
        <f t="shared" si="0"/>
        <v>6.4139941690962099E-2</v>
      </c>
      <c r="F17" s="121">
        <f t="shared" si="1"/>
        <v>0.93586005830903785</v>
      </c>
    </row>
    <row r="18" spans="1:6" x14ac:dyDescent="0.35">
      <c r="A18" s="113"/>
      <c r="B18" s="122"/>
      <c r="C18" s="122"/>
      <c r="D18" s="117"/>
      <c r="E18" s="124"/>
      <c r="F18" s="124"/>
    </row>
    <row r="19" spans="1:6" x14ac:dyDescent="0.35">
      <c r="A19" s="108" t="s">
        <v>361</v>
      </c>
      <c r="B19" s="125"/>
      <c r="C19" s="132"/>
      <c r="D19" s="117"/>
      <c r="E19" s="303"/>
      <c r="F19" s="303"/>
    </row>
    <row r="20" spans="1:6" x14ac:dyDescent="0.35">
      <c r="A20" s="112" t="s">
        <v>647</v>
      </c>
      <c r="B20" s="25">
        <f>GETPIVOTDATA("Sum of Female",sexandrolepivot!$A$3,"Type","RDS","PostConv","Watch Manager")</f>
        <v>11</v>
      </c>
      <c r="C20" s="301">
        <f>GETPIVOTDATA("Sum of Male",sexandrolepivot!$A$3,"Type","RDS","PostConv","Watch Manager")</f>
        <v>237</v>
      </c>
      <c r="D20" s="477">
        <f>GETPIVOTDATA("Sum of Total",sexandrolepivot!$A$3,"Type","RDS","PostConv","Watch manager")</f>
        <v>248</v>
      </c>
      <c r="E20" s="302">
        <f>B20/(B20+C20)</f>
        <v>4.4354838709677422E-2</v>
      </c>
      <c r="F20" s="302">
        <f>C20/(B20+C20)</f>
        <v>0.95564516129032262</v>
      </c>
    </row>
    <row r="21" spans="1:6" x14ac:dyDescent="0.35">
      <c r="A21" s="112" t="s">
        <v>648</v>
      </c>
      <c r="B21" s="25">
        <f>GETPIVOTDATA("Sum of Female",sexandrolepivot!$A$3,"Type","RDS","PostConv","Crew Manager")</f>
        <v>30</v>
      </c>
      <c r="C21" s="25">
        <f>GETPIVOTDATA("Sum of Male",sexandrolepivot!$A$3,"Type","RDS","PostConv","Crew Manager")</f>
        <v>484</v>
      </c>
      <c r="D21" s="476">
        <f>GETPIVOTDATA("Sum of Total",sexandrolepivot!$A$3,"Type","RDS","PostConv","Crew manager")</f>
        <v>514</v>
      </c>
      <c r="E21" s="115">
        <f>B21/(B21+C21)</f>
        <v>5.8365758754863814E-2</v>
      </c>
      <c r="F21" s="115">
        <f>C21/(B21+C21)</f>
        <v>0.94163424124513617</v>
      </c>
    </row>
    <row r="22" spans="1:6" x14ac:dyDescent="0.35">
      <c r="A22" s="112" t="s">
        <v>632</v>
      </c>
      <c r="B22" s="25">
        <f>GETPIVOTDATA("Sum of Female",sexandrolepivot!$A$3,"Type","RDS","PostConv","Firefighter")</f>
        <v>162</v>
      </c>
      <c r="C22" s="25">
        <f>GETPIVOTDATA("Sum of Male",sexandrolepivot!$A$3,"Type","RDS","PostConv","Firefighter")</f>
        <v>1781</v>
      </c>
      <c r="D22" s="476">
        <f>GETPIVOTDATA("Sum of Total",sexandrolepivot!$A$3,"Type","RDS","PostConv","Firefighter")</f>
        <v>1943</v>
      </c>
      <c r="E22" s="115">
        <f>B22/(B22+C22)</f>
        <v>8.3376222336592892E-2</v>
      </c>
      <c r="F22" s="115">
        <f>C22/(B22+C22)</f>
        <v>0.91662377766340708</v>
      </c>
    </row>
    <row r="23" spans="1:6" ht="15" thickBot="1" x14ac:dyDescent="0.4">
      <c r="A23" s="119" t="s">
        <v>765</v>
      </c>
      <c r="B23" s="120">
        <f>SUM(B20:B22)</f>
        <v>203</v>
      </c>
      <c r="C23" s="120">
        <f>SUM(C20:C22)</f>
        <v>2502</v>
      </c>
      <c r="D23" s="120">
        <f>SUM(D20:D22)</f>
        <v>2705</v>
      </c>
      <c r="E23" s="121">
        <f>B23/(B23+C23)</f>
        <v>7.5046210720887241E-2</v>
      </c>
      <c r="F23" s="121">
        <f>C23/(B23+C23)</f>
        <v>0.92495378927911276</v>
      </c>
    </row>
    <row r="24" spans="1:6" x14ac:dyDescent="0.35">
      <c r="A24" s="612"/>
      <c r="B24" s="134"/>
      <c r="C24" s="134"/>
      <c r="D24" s="134"/>
      <c r="E24" s="613"/>
      <c r="F24" s="613"/>
    </row>
    <row r="25" spans="1:6" x14ac:dyDescent="0.35">
      <c r="A25" s="614" t="s">
        <v>516</v>
      </c>
      <c r="B25" s="615"/>
      <c r="C25" s="615"/>
      <c r="D25" s="615"/>
      <c r="E25" s="616"/>
      <c r="F25" s="616"/>
    </row>
    <row r="26" spans="1:6" x14ac:dyDescent="0.35">
      <c r="A26" s="614" t="s">
        <v>648</v>
      </c>
      <c r="B26" s="931">
        <f>IFERROR(GETPIVOTDATA("Sum of Female",sexandrolepivot!$A$3,"Type","RDS Fulltime","PostConv","Crew Manager"), "-")</f>
        <v>0</v>
      </c>
      <c r="C26" s="932">
        <f>IFERROR(GETPIVOTDATA("Sum of Male",sexandrolepivot!$A$3,"Type","RDS Fulltime","PostConv","Crew Manager"), "-")</f>
        <v>4</v>
      </c>
      <c r="D26" s="860">
        <f>IFERROR(GETPIVOTDATA("Sum of Total",sexandrolepivot!$A$3,"Type","RDS Fulltime","PostConv", "Crew Manager"), "-")</f>
        <v>4</v>
      </c>
      <c r="E26" s="619">
        <f>IFERROR(B26/(B26+C26), "-")</f>
        <v>0</v>
      </c>
      <c r="F26" s="619">
        <f>IFERROR(C26/(B26+C26), "-")</f>
        <v>1</v>
      </c>
    </row>
    <row r="27" spans="1:6" x14ac:dyDescent="0.35">
      <c r="A27" s="617" t="s">
        <v>647</v>
      </c>
      <c r="B27" s="618">
        <f>IFERROR(GETPIVOTDATA("Sum of Female",sexandrolepivot!$A$3,"Type","RDS Fulltime","PostConv","Watch Manager"),"-")</f>
        <v>7</v>
      </c>
      <c r="C27" s="618">
        <f>IFERROR(GETPIVOTDATA("Sum of Male",sexandrolepivot!$A$3,"Type","RDS Fulltime","PostConv","Watch Manager"),"-")</f>
        <v>49</v>
      </c>
      <c r="D27" s="859">
        <f>IFERROR(GETPIVOTDATA("Sum of Total",sexandrolepivot!$A$3,"Type","RDS Fulltime","PostConv","Watch manager"), "-")</f>
        <v>56</v>
      </c>
      <c r="E27" s="619">
        <f>IFERROR(B27/(B27+C27), "-")</f>
        <v>0.125</v>
      </c>
      <c r="F27" s="619">
        <f>IFERROR(C27/(B27+C27), "-")</f>
        <v>0.875</v>
      </c>
    </row>
    <row r="28" spans="1:6" ht="15" thickBot="1" x14ac:dyDescent="0.4">
      <c r="A28" s="119" t="s">
        <v>766</v>
      </c>
      <c r="B28" s="120">
        <f t="shared" ref="B28:C28" si="2">SUM(B26:B27)</f>
        <v>7</v>
      </c>
      <c r="C28" s="120">
        <f t="shared" si="2"/>
        <v>53</v>
      </c>
      <c r="D28" s="120">
        <f>SUM(D26:D27)</f>
        <v>60</v>
      </c>
      <c r="E28" s="121">
        <f>IFERROR(B28/(B28+C28), "-")</f>
        <v>0.11666666666666667</v>
      </c>
      <c r="F28" s="620">
        <f>IFERROR(C28/(B28+C28), "-")</f>
        <v>0.8833333333333333</v>
      </c>
    </row>
    <row r="29" spans="1:6" x14ac:dyDescent="0.35">
      <c r="A29" s="113"/>
      <c r="B29" s="122"/>
      <c r="C29" s="122"/>
      <c r="D29" s="117"/>
      <c r="E29" s="124"/>
      <c r="F29" s="124"/>
    </row>
    <row r="30" spans="1:6" x14ac:dyDescent="0.35">
      <c r="A30" s="108" t="s">
        <v>767</v>
      </c>
      <c r="B30" s="125"/>
      <c r="C30" s="125"/>
      <c r="D30" s="125"/>
      <c r="E30" s="125"/>
      <c r="F30" s="125"/>
    </row>
    <row r="31" spans="1:6" x14ac:dyDescent="0.35">
      <c r="A31" s="112" t="s">
        <v>644</v>
      </c>
      <c r="B31" s="930">
        <f>IFERROR(GETPIVOTDATA("Sum of Female",sexandrolepivot!$A$3,"Type","Control","PostConv","Area Manager"), "-")</f>
        <v>1</v>
      </c>
      <c r="C31" s="930" t="str">
        <f>IFERROR("-",GETPIVOTDATA("Sum of Male",sexandrolepivot!$A$3,"Type","Control","PostConv","Area Manager"))</f>
        <v>-</v>
      </c>
      <c r="D31" s="861">
        <f>IFERROR(GETPIVOTDATA("Sum of Total",sexandrolepivot!$A$3,"Type","Control","PostConv","Area Manager"), "-")</f>
        <v>1</v>
      </c>
      <c r="E31" s="115">
        <f>IFERROR(B31/(B31+C31),0)</f>
        <v>0</v>
      </c>
      <c r="F31" s="115">
        <f>IFERROR(C31/(B31+C31),0)</f>
        <v>0</v>
      </c>
    </row>
    <row r="32" spans="1:6" x14ac:dyDescent="0.35">
      <c r="A32" s="112" t="s">
        <v>645</v>
      </c>
      <c r="B32" s="930">
        <f>GETPIVOTDATA("Sum of Female",sexandrolepivot!$A$3,"Type","Control","PostConv","Group Manager")</f>
        <v>2</v>
      </c>
      <c r="C32" s="930">
        <f>GETPIVOTDATA("Sum of Male",sexandrolepivot!$A$3,"Type","Control","PostConv","Group Manager")</f>
        <v>0</v>
      </c>
      <c r="D32" s="476">
        <f>GETPIVOTDATA("Sum of Total",sexandrolepivot!$A$3,"Type","Control","PostConv","Group Manager")</f>
        <v>2</v>
      </c>
      <c r="E32" s="115">
        <f t="shared" ref="E32:E37" si="3">B32/(B32+C32)</f>
        <v>1</v>
      </c>
      <c r="F32" s="115">
        <f t="shared" ref="F32:F37" si="4">C32/(B32+C32)</f>
        <v>0</v>
      </c>
    </row>
    <row r="33" spans="1:6" x14ac:dyDescent="0.35">
      <c r="A33" s="112" t="s">
        <v>646</v>
      </c>
      <c r="B33" s="930">
        <f>GETPIVOTDATA("Sum of Female",sexandrolepivot!$A$3,"Type","Control","PostConv","Station Manager")</f>
        <v>7</v>
      </c>
      <c r="C33" s="930">
        <f>GETPIVOTDATA("Sum of Male",sexandrolepivot!$A$3,"Type","Control","PostConv","Station Manager")</f>
        <v>1</v>
      </c>
      <c r="D33" s="476">
        <f>GETPIVOTDATA("Sum of Total",sexandrolepivot!$A$3,"Type","Control","PostConv","Station Manager")</f>
        <v>8</v>
      </c>
      <c r="E33" s="115">
        <f t="shared" si="3"/>
        <v>0.875</v>
      </c>
      <c r="F33" s="115">
        <f t="shared" si="4"/>
        <v>0.125</v>
      </c>
    </row>
    <row r="34" spans="1:6" x14ac:dyDescent="0.35">
      <c r="A34" s="112" t="s">
        <v>648</v>
      </c>
      <c r="B34" s="116">
        <f>GETPIVOTDATA("Sum of Female",sexandrolepivot!$A$3,"Type","Control","PostConv","Crew Manager")</f>
        <v>24</v>
      </c>
      <c r="C34" s="116">
        <f>GETPIVOTDATA("Sum of Male",sexandrolepivot!$A$3,"Type","Control","PostConv","Crew Manager")</f>
        <v>4</v>
      </c>
      <c r="D34" s="476">
        <f>GETPIVOTDATA("Sum of Total",sexandrolepivot!$A$3,"Type","Control","PostConv","Crew Manager")</f>
        <v>28</v>
      </c>
      <c r="E34" s="115">
        <f t="shared" si="3"/>
        <v>0.8571428571428571</v>
      </c>
      <c r="F34" s="115">
        <f t="shared" si="4"/>
        <v>0.14285714285714285</v>
      </c>
    </row>
    <row r="35" spans="1:6" x14ac:dyDescent="0.35">
      <c r="A35" s="112" t="s">
        <v>647</v>
      </c>
      <c r="B35" s="116">
        <f>GETPIVOTDATA("Sum of Female",sexandrolepivot!$A$3,"Type","Control","PostConv","Watch Manager")</f>
        <v>29</v>
      </c>
      <c r="C35" s="116">
        <f>GETPIVOTDATA("Sum of Male",sexandrolepivot!$A$3,"Type","Control","PostConv","Watch Manager")</f>
        <v>8</v>
      </c>
      <c r="D35" s="476">
        <f>GETPIVOTDATA("Sum of Total",sexandrolepivot!$A$3,"Type","Control","PostConv","Watch Manager")</f>
        <v>37</v>
      </c>
      <c r="E35" s="115">
        <f t="shared" si="3"/>
        <v>0.78378378378378377</v>
      </c>
      <c r="F35" s="115">
        <f t="shared" si="4"/>
        <v>0.21621621621621623</v>
      </c>
    </row>
    <row r="36" spans="1:6" x14ac:dyDescent="0.35">
      <c r="A36" s="112" t="s">
        <v>679</v>
      </c>
      <c r="B36" s="116">
        <f>GETPIVOTDATA("Sum of Female",sexandrolepivot!$A$3,"Type","Control","PostConv","Firefighter")</f>
        <v>76</v>
      </c>
      <c r="C36" s="116">
        <f>GETPIVOTDATA("Sum of Male",sexandrolepivot!$A$3,"Type","Control","PostConv","Firefighter")</f>
        <v>19</v>
      </c>
      <c r="D36" s="476">
        <f>GETPIVOTDATA("Sum of Total",sexandrolepivot!$A$3,"Type","Control","PostConv","Firefighter")</f>
        <v>95</v>
      </c>
      <c r="E36" s="115">
        <f t="shared" si="3"/>
        <v>0.8</v>
      </c>
      <c r="F36" s="115">
        <f t="shared" si="4"/>
        <v>0.2</v>
      </c>
    </row>
    <row r="37" spans="1:6" ht="15" thickBot="1" x14ac:dyDescent="0.4">
      <c r="A37" s="129" t="s">
        <v>768</v>
      </c>
      <c r="B37" s="120">
        <f t="shared" ref="B37:C37" si="5">SUM(B31:B36)</f>
        <v>139</v>
      </c>
      <c r="C37" s="120">
        <f t="shared" si="5"/>
        <v>32</v>
      </c>
      <c r="D37" s="120">
        <f>SUM(D31:D36)</f>
        <v>171</v>
      </c>
      <c r="E37" s="121">
        <f t="shared" si="3"/>
        <v>0.8128654970760234</v>
      </c>
      <c r="F37" s="121">
        <f t="shared" si="4"/>
        <v>0.1871345029239766</v>
      </c>
    </row>
    <row r="38" spans="1:6" x14ac:dyDescent="0.35">
      <c r="A38" s="113"/>
      <c r="B38" s="122"/>
      <c r="C38" s="122"/>
      <c r="D38" s="117"/>
      <c r="E38" s="124"/>
      <c r="F38" s="124"/>
    </row>
    <row r="39" spans="1:6" x14ac:dyDescent="0.35">
      <c r="A39" s="130" t="s">
        <v>743</v>
      </c>
      <c r="B39" s="109"/>
      <c r="C39" s="117"/>
      <c r="D39" s="117"/>
      <c r="E39" s="303"/>
      <c r="F39" s="303"/>
    </row>
    <row r="40" spans="1:6" x14ac:dyDescent="0.35">
      <c r="A40" s="112" t="s">
        <v>687</v>
      </c>
      <c r="B40" s="100">
        <f>GETPIVOTDATA("Sum of Female",sexandrolepivot!$A$3,"Type","Support","PostConv","Director")</f>
        <v>3</v>
      </c>
      <c r="C40" s="934">
        <f>GETPIVOTDATA("Sum of Male",sexandrolepivot!$A$3,"Type","Support","PostConv","Director")</f>
        <v>1</v>
      </c>
      <c r="D40" s="304">
        <f>GETPIVOTDATA("Sum of Total",sexandrolepivot!$A$3,"Type","Support","PostConv","Director")</f>
        <v>4</v>
      </c>
      <c r="E40" s="302">
        <f>IFERROR(B40/(B40+C40), "-")</f>
        <v>0.75</v>
      </c>
      <c r="F40" s="302">
        <f>IFERROR(C40/(B40+C40), "-")</f>
        <v>0.25</v>
      </c>
    </row>
    <row r="41" spans="1:6" x14ac:dyDescent="0.35">
      <c r="A41" s="112" t="s">
        <v>688</v>
      </c>
      <c r="B41" s="123">
        <f>GETPIVOTDATA("Sum of Female",sexandrolepivot!$A$3,"Type","Support","PostConv","Service Manager")</f>
        <v>44</v>
      </c>
      <c r="C41" s="123">
        <f>GETPIVOTDATA("Sum of Male",sexandrolepivot!$A$3,"Type","Support","PostConv","Service Manager")</f>
        <v>51</v>
      </c>
      <c r="D41" s="117">
        <f>GETPIVOTDATA("Sum of Total",sexandrolepivot!$A$3,"Type","Support","PostConv","Service Manager")</f>
        <v>95</v>
      </c>
      <c r="E41" s="115">
        <f t="shared" ref="E41:E46" si="6">B41/(B41+C41)</f>
        <v>0.4631578947368421</v>
      </c>
      <c r="F41" s="115">
        <f t="shared" ref="F41:F46" si="7">C41/(B41+C41)</f>
        <v>0.5368421052631579</v>
      </c>
    </row>
    <row r="42" spans="1:6" x14ac:dyDescent="0.35">
      <c r="A42" s="112" t="s">
        <v>689</v>
      </c>
      <c r="B42" s="123">
        <f>GETPIVOTDATA("Sum of Female",sexandrolepivot!$A$3,"Type","Support","PostConv","Team Leader")</f>
        <v>24</v>
      </c>
      <c r="C42" s="123">
        <f>GETPIVOTDATA("Sum of Male",sexandrolepivot!$A$3,"Type","Support","PostConv","Team Leader")</f>
        <v>11</v>
      </c>
      <c r="D42" s="117">
        <f>GETPIVOTDATA("Sum of Total",sexandrolepivot!$A$3,"Type","Support","PostConv","Team Leader")</f>
        <v>35</v>
      </c>
      <c r="E42" s="115">
        <f t="shared" si="6"/>
        <v>0.68571428571428572</v>
      </c>
      <c r="F42" s="115">
        <f t="shared" si="7"/>
        <v>0.31428571428571428</v>
      </c>
    </row>
    <row r="43" spans="1:6" x14ac:dyDescent="0.35">
      <c r="A43" s="112" t="s">
        <v>701</v>
      </c>
      <c r="B43" s="123">
        <f>GETPIVOTDATA("Sum of Female",sexandrolepivot!$A$3,"Type","Support","PostConv","Tech Support")</f>
        <v>19</v>
      </c>
      <c r="C43" s="123">
        <f>GETPIVOTDATA("Sum of Male",sexandrolepivot!$A$3,"Type","Support","PostConv","Tech Support")</f>
        <v>39</v>
      </c>
      <c r="D43" s="117">
        <f>GETPIVOTDATA("Sum of Total",sexandrolepivot!$A$3,"Type","Support","PostConv","Tech Support")</f>
        <v>58</v>
      </c>
      <c r="E43" s="115">
        <f t="shared" si="6"/>
        <v>0.32758620689655171</v>
      </c>
      <c r="F43" s="115">
        <f t="shared" si="7"/>
        <v>0.67241379310344829</v>
      </c>
    </row>
    <row r="44" spans="1:6" x14ac:dyDescent="0.35">
      <c r="A44" s="112" t="s">
        <v>690</v>
      </c>
      <c r="B44" s="123">
        <f>GETPIVOTDATA("Sum of Female",sexandrolepivot!$A$3,"Type","Support","PostConv","Professional")</f>
        <v>48</v>
      </c>
      <c r="C44" s="123">
        <f>GETPIVOTDATA("Sum of Male",sexandrolepivot!$A$3,"Type","Support","PostConv","Professional")</f>
        <v>46</v>
      </c>
      <c r="D44" s="117">
        <f>GETPIVOTDATA("Sum of Total",sexandrolepivot!$A$3,"Type","Support","PostConv","Professional")</f>
        <v>94</v>
      </c>
      <c r="E44" s="115">
        <f t="shared" si="6"/>
        <v>0.51063829787234039</v>
      </c>
      <c r="F44" s="115">
        <f t="shared" si="7"/>
        <v>0.48936170212765956</v>
      </c>
    </row>
    <row r="45" spans="1:6" x14ac:dyDescent="0.35">
      <c r="A45" s="112" t="s">
        <v>769</v>
      </c>
      <c r="B45" s="123">
        <f>GETPIVOTDATA("Sum of Female",sexandrolepivot!$A$3,"Type","Support","PostConv","Specialist Technical")</f>
        <v>216</v>
      </c>
      <c r="C45" s="123">
        <f>GETPIVOTDATA("Sum of Male",sexandrolepivot!$A$3,"Type","Support","PostConv","Specialist Technical")</f>
        <v>263</v>
      </c>
      <c r="D45" s="117">
        <f>GETPIVOTDATA("Sum of Total",sexandrolepivot!$A$3,"Type","Support","PostConv","Specialist Technical")</f>
        <v>479</v>
      </c>
      <c r="E45" s="115">
        <f t="shared" si="6"/>
        <v>0.45093945720250522</v>
      </c>
      <c r="F45" s="115">
        <f t="shared" si="7"/>
        <v>0.54906054279749483</v>
      </c>
    </row>
    <row r="46" spans="1:6" x14ac:dyDescent="0.35">
      <c r="A46" s="112" t="s">
        <v>693</v>
      </c>
      <c r="B46" s="123">
        <f>GETPIVOTDATA("Sum of Female",sexandrolepivot!$A$3,"Type","Support","PostConv","Administration")</f>
        <v>138</v>
      </c>
      <c r="C46" s="123">
        <f>GETPIVOTDATA("Sum of Male",sexandrolepivot!$A$3,"Type","Support","PostConv","Administration")</f>
        <v>14</v>
      </c>
      <c r="D46" s="117">
        <f>GETPIVOTDATA("Sum of Total",sexandrolepivot!$A$3,"Type","Support","PostConv","Administration")</f>
        <v>152</v>
      </c>
      <c r="E46" s="115">
        <f t="shared" si="6"/>
        <v>0.90789473684210531</v>
      </c>
      <c r="F46" s="115">
        <f t="shared" si="7"/>
        <v>9.2105263157894732E-2</v>
      </c>
    </row>
    <row r="47" spans="1:6" ht="15" thickBot="1" x14ac:dyDescent="0.4">
      <c r="A47" s="129" t="s">
        <v>770</v>
      </c>
      <c r="B47" s="120">
        <f t="shared" ref="B47:C47" si="8">SUM(B40:B46)</f>
        <v>492</v>
      </c>
      <c r="C47" s="120">
        <f t="shared" si="8"/>
        <v>425</v>
      </c>
      <c r="D47" s="120">
        <f>SUM(D40:D46)</f>
        <v>917</v>
      </c>
      <c r="E47" s="121">
        <f>B47/(B47+C47)</f>
        <v>0.53653217011995635</v>
      </c>
      <c r="F47" s="121">
        <f>C47/(B47+C47)</f>
        <v>0.46346782988004365</v>
      </c>
    </row>
    <row r="48" spans="1:6" x14ac:dyDescent="0.35">
      <c r="A48" s="25"/>
      <c r="B48" s="132"/>
      <c r="C48" s="132"/>
      <c r="D48" s="117"/>
      <c r="E48" s="124"/>
      <c r="F48" s="124"/>
    </row>
    <row r="49" spans="1:9" x14ac:dyDescent="0.35">
      <c r="A49" s="130" t="s">
        <v>339</v>
      </c>
      <c r="B49" s="125"/>
      <c r="C49" s="132"/>
      <c r="D49" s="117"/>
      <c r="E49" s="303"/>
      <c r="F49" s="303"/>
    </row>
    <row r="50" spans="1:9" x14ac:dyDescent="0.35">
      <c r="A50" s="118" t="s">
        <v>771</v>
      </c>
      <c r="B50" s="122">
        <f>GETPIVOTDATA("Sum of Female",sexandrolepivot!$A$3,"Type","Vol","PostConv","Crew Manager")</f>
        <v>6</v>
      </c>
      <c r="C50" s="305">
        <f>GETPIVOTDATA("Sum of Male",sexandrolepivot!$A$3,"Type","Vol","PostConv","Crew Manager")</f>
        <v>35</v>
      </c>
      <c r="D50" s="306">
        <f>GETPIVOTDATA("Sum of Total",sexandrolepivot!$A$3,"Type","Vol","PostConv","Crew Manager")</f>
        <v>41</v>
      </c>
      <c r="E50" s="302">
        <f>B50/(B50+C50)</f>
        <v>0.14634146341463414</v>
      </c>
      <c r="F50" s="302">
        <f>C50/(B50+C50)</f>
        <v>0.85365853658536583</v>
      </c>
    </row>
    <row r="51" spans="1:9" x14ac:dyDescent="0.35">
      <c r="A51" s="118" t="s">
        <v>772</v>
      </c>
      <c r="B51" s="935">
        <f>GETPIVOTDATA("Sum of Female",sexandrolepivot!$A$3,"Type","Vol","PostConv","Watch Manager")</f>
        <v>6</v>
      </c>
      <c r="C51" s="935">
        <f>GETPIVOTDATA("Sum of Male",sexandrolepivot!$A$3,"Type","Vol","PostConv","Watch Manager")</f>
        <v>30</v>
      </c>
      <c r="D51" s="858">
        <f>GETPIVOTDATA("Sum of Total",sexandrolepivot!$A$3,"Type","Vol","PostConv","Watch Manager")</f>
        <v>36</v>
      </c>
      <c r="E51" s="115">
        <f>B51/(B51+C51)</f>
        <v>0.16666666666666666</v>
      </c>
      <c r="F51" s="115">
        <f>C51/(B51+C51)</f>
        <v>0.83333333333333337</v>
      </c>
    </row>
    <row r="52" spans="1:9" x14ac:dyDescent="0.35">
      <c r="A52" s="118" t="s">
        <v>773</v>
      </c>
      <c r="B52" s="122">
        <f>GETPIVOTDATA("Sum of Female",sexandrolepivot!$A$3,"Type","Vol","PostConv","Firefighter")</f>
        <v>30</v>
      </c>
      <c r="C52" s="122">
        <f>GETPIVOTDATA("Sum of Male",sexandrolepivot!$A$3,"Type","Vol","PostConv","Firefighter")</f>
        <v>166</v>
      </c>
      <c r="D52" s="858">
        <f>GETPIVOTDATA("Sum of Total",sexandrolepivot!$A$3,"Type","Vol","PostConv","Firefighter")</f>
        <v>196</v>
      </c>
      <c r="E52" s="115">
        <f>B52/(B52+C52)</f>
        <v>0.15306122448979592</v>
      </c>
      <c r="F52" s="115">
        <f>C52/(B52+C52)</f>
        <v>0.84693877551020413</v>
      </c>
    </row>
    <row r="53" spans="1:9" ht="15" thickBot="1" x14ac:dyDescent="0.4">
      <c r="A53" s="129" t="s">
        <v>774</v>
      </c>
      <c r="B53" s="120">
        <f t="shared" ref="B53:C53" si="9">SUM(B50:B52)</f>
        <v>42</v>
      </c>
      <c r="C53" s="120">
        <f t="shared" si="9"/>
        <v>231</v>
      </c>
      <c r="D53" s="120">
        <f>SUM(D50:D52)</f>
        <v>273</v>
      </c>
      <c r="E53" s="121">
        <f>B53/(B53+C53)</f>
        <v>0.15384615384615385</v>
      </c>
      <c r="F53" s="121">
        <f>C53/(B53+C53)</f>
        <v>0.84615384615384615</v>
      </c>
    </row>
    <row r="54" spans="1:9" x14ac:dyDescent="0.35">
      <c r="A54" s="133"/>
      <c r="B54" s="134"/>
      <c r="C54" s="134"/>
      <c r="D54" s="135"/>
      <c r="E54" s="136"/>
      <c r="F54" s="136"/>
    </row>
    <row r="55" spans="1:9" ht="15" thickBot="1" x14ac:dyDescent="0.4">
      <c r="A55" s="137" t="s">
        <v>753</v>
      </c>
      <c r="B55" s="138">
        <f>B53+B47+B37+B23+B17</f>
        <v>1096</v>
      </c>
      <c r="C55" s="138">
        <f>C53+C47+C37+C23+C17</f>
        <v>6400</v>
      </c>
      <c r="D55" s="138">
        <f>D53+D47+D37+D23+D17+D28</f>
        <v>7556</v>
      </c>
      <c r="E55" s="121">
        <f>B55/(B55+C55)</f>
        <v>0.14621131270010673</v>
      </c>
      <c r="F55" s="121">
        <f>C55/(B55+C55)</f>
        <v>0.85378868729989332</v>
      </c>
    </row>
    <row r="56" spans="1:9" x14ac:dyDescent="0.35">
      <c r="A56" s="139"/>
      <c r="B56" s="140"/>
      <c r="C56" s="140"/>
      <c r="D56" s="140"/>
      <c r="E56" s="136"/>
      <c r="F56" s="136"/>
    </row>
    <row r="57" spans="1:9" ht="15" thickBot="1" x14ac:dyDescent="0.4">
      <c r="A57" s="141" t="s">
        <v>623</v>
      </c>
      <c r="B57" s="138">
        <f>B55-B53</f>
        <v>1054</v>
      </c>
      <c r="C57" s="138">
        <f>C55-C53</f>
        <v>6169</v>
      </c>
      <c r="D57" s="120">
        <f>SUM(B57:C57)</f>
        <v>7223</v>
      </c>
      <c r="E57" s="121">
        <f>B57/(B57+C57)</f>
        <v>0.14592274678111589</v>
      </c>
      <c r="F57" s="121">
        <f>C57/(B57+C57)</f>
        <v>0.85407725321888417</v>
      </c>
    </row>
    <row r="58" spans="1:9" x14ac:dyDescent="0.35">
      <c r="A58" s="25"/>
      <c r="B58" s="25"/>
      <c r="C58" s="25"/>
      <c r="D58" s="142"/>
      <c r="E58" s="143" t="s">
        <v>775</v>
      </c>
      <c r="F58" s="25"/>
    </row>
    <row r="59" spans="1:9" x14ac:dyDescent="0.35">
      <c r="A59" s="334" t="s">
        <v>329</v>
      </c>
      <c r="B59" s="339"/>
      <c r="C59" s="339"/>
      <c r="D59" s="340"/>
      <c r="E59" s="341"/>
      <c r="F59" s="339"/>
      <c r="G59" s="339"/>
    </row>
    <row r="60" spans="1:9" ht="29.25" customHeight="1" x14ac:dyDescent="0.35">
      <c r="A60" s="1010" t="s">
        <v>749</v>
      </c>
      <c r="B60" s="1010"/>
      <c r="C60" s="1010"/>
      <c r="D60" s="1010"/>
      <c r="E60" s="1010"/>
      <c r="F60" s="1010"/>
      <c r="G60" s="1010"/>
    </row>
    <row r="61" spans="1:9" ht="46.5" customHeight="1" x14ac:dyDescent="0.35">
      <c r="A61" s="1020" t="s">
        <v>659</v>
      </c>
      <c r="B61" s="1020"/>
      <c r="C61" s="1020"/>
      <c r="D61" s="1020"/>
      <c r="E61" s="1020"/>
      <c r="F61" s="1020"/>
      <c r="G61" s="1020"/>
      <c r="H61" s="593"/>
      <c r="I61" s="593"/>
    </row>
    <row r="62" spans="1:9" ht="45" customHeight="1" x14ac:dyDescent="0.35">
      <c r="A62" s="1028" t="s">
        <v>709</v>
      </c>
      <c r="B62" s="1028"/>
      <c r="C62" s="1028"/>
      <c r="D62" s="1028"/>
      <c r="E62" s="1028"/>
      <c r="F62" s="1028"/>
      <c r="G62" s="1028"/>
    </row>
    <row r="63" spans="1:9" ht="30" customHeight="1" x14ac:dyDescent="0.35">
      <c r="A63" s="1044" t="s">
        <v>704</v>
      </c>
      <c r="B63" s="1044"/>
      <c r="C63" s="1044"/>
      <c r="D63" s="1044"/>
      <c r="E63" s="1044"/>
      <c r="F63" s="1044"/>
      <c r="G63" s="339"/>
    </row>
    <row r="64" spans="1:9" ht="45" customHeight="1" x14ac:dyDescent="0.35">
      <c r="A64" s="1045" t="s">
        <v>705</v>
      </c>
      <c r="B64" s="1045"/>
      <c r="C64" s="1045"/>
      <c r="D64" s="1045"/>
      <c r="E64" s="1045"/>
      <c r="F64" s="1045"/>
      <c r="G64" s="339"/>
    </row>
    <row r="65" spans="1:1" x14ac:dyDescent="0.35">
      <c r="A65" s="563" t="s">
        <v>702</v>
      </c>
    </row>
  </sheetData>
  <sheetProtection algorithmName="SHA-512" hashValue="mxn2uu25eWC6s4ClZ7u+Mx3wWRrdN1dwHoM3kBvfwFbk/astk2j/JltFPc+GtfN7iI+AYur7Rdq2Mg7rnDO35Q==" saltValue="J1S6wBPZfGYHZN1I7myfrg==" spinCount="100000" sheet="1" scenarios="1" formatCells="0" sort="0" autoFilter="0" pivotTables="0"/>
  <mergeCells count="7">
    <mergeCell ref="A1:C1"/>
    <mergeCell ref="A61:G61"/>
    <mergeCell ref="A4:F4"/>
    <mergeCell ref="A63:F63"/>
    <mergeCell ref="A64:F64"/>
    <mergeCell ref="A62:G62"/>
    <mergeCell ref="A60:G60"/>
  </mergeCells>
  <hyperlinks>
    <hyperlink ref="A2" location="'Table of Contents'!A1" display="Back to Table of Contents" xr:uid="{00000000-0004-0000-5A00-000000000000}"/>
  </hyperlinks>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A8765BA9-456A-4dab-B4F3-ACF838C121DE}">
      <x14:slicerList>
        <x14:slicer r:id="rId3"/>
      </x14:slicerList>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9" tint="0.39997558519241921"/>
  </sheetPr>
  <dimension ref="A1:D39"/>
  <sheetViews>
    <sheetView topLeftCell="A4" workbookViewId="0">
      <selection activeCell="B18" sqref="B18"/>
    </sheetView>
  </sheetViews>
  <sheetFormatPr defaultRowHeight="14.5" x14ac:dyDescent="0.35"/>
  <cols>
    <col min="1" max="1" width="21.90625" bestFit="1" customWidth="1"/>
    <col min="2" max="2" width="13.6328125" bestFit="1" customWidth="1"/>
    <col min="3" max="3" width="11.54296875" bestFit="1" customWidth="1"/>
    <col min="4" max="4" width="11.453125" bestFit="1" customWidth="1"/>
  </cols>
  <sheetData>
    <row r="1" spans="1:4" x14ac:dyDescent="0.35">
      <c r="A1" s="387" t="s">
        <v>207</v>
      </c>
      <c r="B1" t="s">
        <v>466</v>
      </c>
    </row>
    <row r="3" spans="1:4" x14ac:dyDescent="0.35">
      <c r="A3" s="387" t="s">
        <v>350</v>
      </c>
      <c r="B3" t="s">
        <v>750</v>
      </c>
      <c r="C3" t="s">
        <v>751</v>
      </c>
      <c r="D3" t="s">
        <v>356</v>
      </c>
    </row>
    <row r="4" spans="1:4" x14ac:dyDescent="0.35">
      <c r="A4" s="388" t="s">
        <v>511</v>
      </c>
    </row>
    <row r="5" spans="1:4" x14ac:dyDescent="0.35">
      <c r="A5" s="389" t="s">
        <v>627</v>
      </c>
      <c r="B5">
        <v>1</v>
      </c>
    </row>
    <row r="6" spans="1:4" x14ac:dyDescent="0.35">
      <c r="A6" s="389" t="s">
        <v>631</v>
      </c>
      <c r="B6">
        <v>24</v>
      </c>
      <c r="C6">
        <v>4</v>
      </c>
      <c r="D6">
        <v>28</v>
      </c>
    </row>
    <row r="7" spans="1:4" x14ac:dyDescent="0.35">
      <c r="A7" s="389" t="s">
        <v>632</v>
      </c>
      <c r="B7">
        <v>72.69</v>
      </c>
      <c r="C7">
        <v>19</v>
      </c>
      <c r="D7">
        <v>91.69</v>
      </c>
    </row>
    <row r="8" spans="1:4" x14ac:dyDescent="0.35">
      <c r="A8" s="389" t="s">
        <v>628</v>
      </c>
      <c r="B8">
        <v>2</v>
      </c>
    </row>
    <row r="9" spans="1:4" x14ac:dyDescent="0.35">
      <c r="A9" s="389" t="s">
        <v>629</v>
      </c>
      <c r="B9">
        <v>7</v>
      </c>
      <c r="C9">
        <v>1</v>
      </c>
      <c r="D9">
        <v>8</v>
      </c>
    </row>
    <row r="10" spans="1:4" x14ac:dyDescent="0.35">
      <c r="A10" s="389" t="s">
        <v>630</v>
      </c>
      <c r="B10">
        <v>29</v>
      </c>
      <c r="C10">
        <v>8</v>
      </c>
      <c r="D10">
        <v>37</v>
      </c>
    </row>
    <row r="11" spans="1:4" x14ac:dyDescent="0.35">
      <c r="A11" s="388" t="s">
        <v>755</v>
      </c>
      <c r="B11">
        <v>135.69</v>
      </c>
      <c r="C11">
        <v>32</v>
      </c>
      <c r="D11">
        <v>164.69</v>
      </c>
    </row>
    <row r="12" spans="1:4" x14ac:dyDescent="0.35">
      <c r="A12" s="388" t="s">
        <v>609</v>
      </c>
    </row>
    <row r="13" spans="1:4" x14ac:dyDescent="0.35">
      <c r="A13" s="389" t="s">
        <v>631</v>
      </c>
      <c r="B13">
        <v>24.7</v>
      </c>
      <c r="C13">
        <v>406.72000000000008</v>
      </c>
      <c r="D13">
        <v>431.42000000000007</v>
      </c>
    </row>
    <row r="14" spans="1:4" x14ac:dyDescent="0.35">
      <c r="A14" s="389" t="s">
        <v>632</v>
      </c>
      <c r="B14">
        <v>141.16</v>
      </c>
      <c r="C14">
        <v>1509.6400000000008</v>
      </c>
      <c r="D14">
        <v>1650.8000000000009</v>
      </c>
    </row>
    <row r="15" spans="1:4" x14ac:dyDescent="0.35">
      <c r="A15" s="389" t="s">
        <v>630</v>
      </c>
      <c r="B15">
        <v>9.35</v>
      </c>
      <c r="C15">
        <v>202.35000000000002</v>
      </c>
      <c r="D15">
        <v>211.70000000000002</v>
      </c>
    </row>
    <row r="16" spans="1:4" x14ac:dyDescent="0.35">
      <c r="A16" s="388" t="s">
        <v>756</v>
      </c>
      <c r="B16">
        <v>175.20999999999998</v>
      </c>
      <c r="C16">
        <v>2118.7100000000009</v>
      </c>
      <c r="D16">
        <v>2293.920000000001</v>
      </c>
    </row>
    <row r="17" spans="1:4" x14ac:dyDescent="0.35">
      <c r="A17" s="388" t="s">
        <v>510</v>
      </c>
    </row>
    <row r="18" spans="1:4" x14ac:dyDescent="0.35">
      <c r="A18" s="389" t="s">
        <v>631</v>
      </c>
      <c r="C18">
        <v>4</v>
      </c>
    </row>
    <row r="19" spans="1:4" x14ac:dyDescent="0.35">
      <c r="A19" s="389" t="s">
        <v>630</v>
      </c>
      <c r="B19">
        <v>7</v>
      </c>
      <c r="C19">
        <v>46</v>
      </c>
      <c r="D19">
        <v>53</v>
      </c>
    </row>
    <row r="20" spans="1:4" x14ac:dyDescent="0.35">
      <c r="A20" s="388" t="s">
        <v>757</v>
      </c>
      <c r="B20">
        <v>7</v>
      </c>
      <c r="C20">
        <v>50</v>
      </c>
      <c r="D20">
        <v>53</v>
      </c>
    </row>
    <row r="21" spans="1:4" x14ac:dyDescent="0.35">
      <c r="A21" s="388" t="s">
        <v>512</v>
      </c>
    </row>
    <row r="22" spans="1:4" x14ac:dyDescent="0.35">
      <c r="A22" s="389" t="s">
        <v>693</v>
      </c>
      <c r="B22">
        <v>116.24999999999999</v>
      </c>
      <c r="C22">
        <v>12.87</v>
      </c>
      <c r="D22">
        <v>129.11999999999998</v>
      </c>
    </row>
    <row r="23" spans="1:4" x14ac:dyDescent="0.35">
      <c r="A23" s="389" t="s">
        <v>687</v>
      </c>
      <c r="B23">
        <v>3</v>
      </c>
      <c r="C23">
        <v>1</v>
      </c>
      <c r="D23">
        <v>4</v>
      </c>
    </row>
    <row r="24" spans="1:4" x14ac:dyDescent="0.35">
      <c r="A24" s="389" t="s">
        <v>690</v>
      </c>
      <c r="B24">
        <v>44.239999999999995</v>
      </c>
      <c r="C24">
        <v>45</v>
      </c>
      <c r="D24">
        <v>89.24</v>
      </c>
    </row>
    <row r="25" spans="1:4" x14ac:dyDescent="0.35">
      <c r="A25" s="389" t="s">
        <v>688</v>
      </c>
      <c r="B25">
        <v>43.489999999999995</v>
      </c>
      <c r="C25">
        <v>50.6</v>
      </c>
      <c r="D25">
        <v>94.09</v>
      </c>
    </row>
    <row r="26" spans="1:4" x14ac:dyDescent="0.35">
      <c r="A26" s="389" t="s">
        <v>691</v>
      </c>
      <c r="B26">
        <v>203.35</v>
      </c>
      <c r="C26">
        <v>244.26</v>
      </c>
      <c r="D26">
        <v>447.61</v>
      </c>
    </row>
    <row r="27" spans="1:4" x14ac:dyDescent="0.35">
      <c r="A27" s="389" t="s">
        <v>689</v>
      </c>
      <c r="B27">
        <v>24</v>
      </c>
      <c r="C27">
        <v>11</v>
      </c>
      <c r="D27">
        <v>35</v>
      </c>
    </row>
    <row r="28" spans="1:4" x14ac:dyDescent="0.35">
      <c r="A28" s="389" t="s">
        <v>692</v>
      </c>
      <c r="B28">
        <v>15.82</v>
      </c>
      <c r="C28">
        <v>38.71</v>
      </c>
      <c r="D28">
        <v>54.53</v>
      </c>
    </row>
    <row r="29" spans="1:4" x14ac:dyDescent="0.35">
      <c r="A29" s="388" t="s">
        <v>758</v>
      </c>
      <c r="B29">
        <v>450.14999999999992</v>
      </c>
      <c r="C29">
        <v>403.44</v>
      </c>
      <c r="D29">
        <v>853.58999999999992</v>
      </c>
    </row>
    <row r="30" spans="1:4" x14ac:dyDescent="0.35">
      <c r="A30" s="388" t="s">
        <v>633</v>
      </c>
    </row>
    <row r="31" spans="1:4" x14ac:dyDescent="0.35">
      <c r="A31" s="389" t="s">
        <v>627</v>
      </c>
      <c r="C31">
        <v>30</v>
      </c>
    </row>
    <row r="32" spans="1:4" x14ac:dyDescent="0.35">
      <c r="A32" s="389" t="s">
        <v>626</v>
      </c>
      <c r="C32">
        <v>5</v>
      </c>
    </row>
    <row r="33" spans="1:4" x14ac:dyDescent="0.35">
      <c r="A33" s="389" t="s">
        <v>631</v>
      </c>
      <c r="B33">
        <v>35</v>
      </c>
      <c r="C33">
        <v>587</v>
      </c>
      <c r="D33">
        <v>622</v>
      </c>
    </row>
    <row r="34" spans="1:4" x14ac:dyDescent="0.35">
      <c r="A34" s="389" t="s">
        <v>632</v>
      </c>
      <c r="B34">
        <v>138.32999999999998</v>
      </c>
      <c r="C34">
        <v>1794.98</v>
      </c>
      <c r="D34">
        <v>1933.31</v>
      </c>
    </row>
    <row r="35" spans="1:4" x14ac:dyDescent="0.35">
      <c r="A35" s="389" t="s">
        <v>628</v>
      </c>
      <c r="B35">
        <v>9</v>
      </c>
      <c r="C35">
        <v>63</v>
      </c>
      <c r="D35">
        <v>72</v>
      </c>
    </row>
    <row r="36" spans="1:4" x14ac:dyDescent="0.35">
      <c r="A36" s="389" t="s">
        <v>629</v>
      </c>
      <c r="B36">
        <v>5</v>
      </c>
      <c r="C36">
        <v>155</v>
      </c>
      <c r="D36">
        <v>160</v>
      </c>
    </row>
    <row r="37" spans="1:4" x14ac:dyDescent="0.35">
      <c r="A37" s="389" t="s">
        <v>630</v>
      </c>
      <c r="B37">
        <v>32</v>
      </c>
      <c r="C37">
        <v>572.77</v>
      </c>
      <c r="D37">
        <v>604.77</v>
      </c>
    </row>
    <row r="38" spans="1:4" x14ac:dyDescent="0.35">
      <c r="A38" s="388" t="s">
        <v>760</v>
      </c>
      <c r="B38">
        <v>219.32999999999998</v>
      </c>
      <c r="C38">
        <v>3207.75</v>
      </c>
      <c r="D38">
        <v>3392.08</v>
      </c>
    </row>
    <row r="39" spans="1:4" x14ac:dyDescent="0.35">
      <c r="A39" s="388" t="s">
        <v>357</v>
      </c>
      <c r="B39">
        <v>987.38000000000011</v>
      </c>
      <c r="C39">
        <v>5811.9000000000015</v>
      </c>
      <c r="D39">
        <v>6757.2800000000007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9" tint="0.39997558519241921"/>
  </sheetPr>
  <dimension ref="A1:F282"/>
  <sheetViews>
    <sheetView workbookViewId="0">
      <selection activeCell="C10" sqref="C10"/>
    </sheetView>
  </sheetViews>
  <sheetFormatPr defaultRowHeight="14.5" x14ac:dyDescent="0.35"/>
  <cols>
    <col min="1" max="1" width="7.453125" bestFit="1" customWidth="1"/>
    <col min="2" max="2" width="11.7265625" bestFit="1" customWidth="1"/>
    <col min="3" max="3" width="17.54296875" bestFit="1" customWidth="1"/>
    <col min="4" max="6" width="11.81640625" bestFit="1" customWidth="1"/>
  </cols>
  <sheetData>
    <row r="1" spans="1:6" x14ac:dyDescent="0.35">
      <c r="A1" t="s">
        <v>207</v>
      </c>
      <c r="B1" t="s">
        <v>625</v>
      </c>
      <c r="C1" t="s">
        <v>761</v>
      </c>
      <c r="D1" t="s">
        <v>340</v>
      </c>
      <c r="E1" t="s">
        <v>745</v>
      </c>
      <c r="F1" t="s">
        <v>746</v>
      </c>
    </row>
    <row r="2" spans="1:6" x14ac:dyDescent="0.35">
      <c r="A2" t="s">
        <v>364</v>
      </c>
      <c r="B2" t="s">
        <v>609</v>
      </c>
      <c r="C2" t="s">
        <v>632</v>
      </c>
      <c r="D2">
        <v>1913.5500000000002</v>
      </c>
      <c r="E2">
        <v>132.88999999999999</v>
      </c>
      <c r="F2">
        <v>1780.66</v>
      </c>
    </row>
    <row r="3" spans="1:6" x14ac:dyDescent="0.35">
      <c r="A3" t="s">
        <v>364</v>
      </c>
      <c r="B3" t="s">
        <v>512</v>
      </c>
      <c r="C3" t="s">
        <v>692</v>
      </c>
      <c r="D3">
        <v>199.5</v>
      </c>
      <c r="E3">
        <v>119.8</v>
      </c>
      <c r="F3">
        <v>79.7</v>
      </c>
    </row>
    <row r="4" spans="1:6" x14ac:dyDescent="0.35">
      <c r="A4" t="s">
        <v>365</v>
      </c>
      <c r="B4" t="s">
        <v>511</v>
      </c>
      <c r="C4" t="s">
        <v>632</v>
      </c>
      <c r="D4">
        <v>102.69</v>
      </c>
      <c r="E4">
        <v>81.69</v>
      </c>
      <c r="F4">
        <v>21</v>
      </c>
    </row>
    <row r="5" spans="1:6" x14ac:dyDescent="0.35">
      <c r="A5" t="s">
        <v>365</v>
      </c>
      <c r="B5" t="s">
        <v>609</v>
      </c>
      <c r="C5" t="s">
        <v>631</v>
      </c>
      <c r="D5">
        <v>498</v>
      </c>
      <c r="E5">
        <v>16.5</v>
      </c>
      <c r="F5">
        <v>481.5</v>
      </c>
    </row>
    <row r="6" spans="1:6" x14ac:dyDescent="0.35">
      <c r="A6" t="s">
        <v>365</v>
      </c>
      <c r="B6" t="s">
        <v>512</v>
      </c>
      <c r="C6" t="s">
        <v>693</v>
      </c>
      <c r="D6">
        <v>151.38999999999999</v>
      </c>
      <c r="E6">
        <v>135.17999999999998</v>
      </c>
      <c r="F6">
        <v>16.21</v>
      </c>
    </row>
    <row r="7" spans="1:6" x14ac:dyDescent="0.35">
      <c r="A7" t="s">
        <v>365</v>
      </c>
      <c r="B7" t="s">
        <v>633</v>
      </c>
      <c r="C7" t="s">
        <v>631</v>
      </c>
      <c r="D7">
        <v>634</v>
      </c>
      <c r="E7">
        <v>24</v>
      </c>
      <c r="F7">
        <v>610</v>
      </c>
    </row>
    <row r="8" spans="1:6" x14ac:dyDescent="0.35">
      <c r="A8" t="s">
        <v>366</v>
      </c>
      <c r="B8" t="s">
        <v>512</v>
      </c>
      <c r="C8" t="s">
        <v>687</v>
      </c>
      <c r="D8">
        <v>3</v>
      </c>
      <c r="E8">
        <v>2</v>
      </c>
      <c r="F8">
        <v>1</v>
      </c>
    </row>
    <row r="9" spans="1:6" x14ac:dyDescent="0.35">
      <c r="A9" t="s">
        <v>366</v>
      </c>
      <c r="B9" t="s">
        <v>512</v>
      </c>
      <c r="C9" t="s">
        <v>689</v>
      </c>
      <c r="D9">
        <v>33.309428571428569</v>
      </c>
      <c r="E9">
        <v>17.309428571428572</v>
      </c>
      <c r="F9">
        <v>16</v>
      </c>
    </row>
    <row r="10" spans="1:6" x14ac:dyDescent="0.35">
      <c r="A10" t="s">
        <v>341</v>
      </c>
      <c r="B10" t="s">
        <v>511</v>
      </c>
      <c r="C10" t="s">
        <v>632</v>
      </c>
      <c r="D10">
        <v>76.33</v>
      </c>
      <c r="E10">
        <v>63.83</v>
      </c>
      <c r="F10">
        <v>12.5</v>
      </c>
    </row>
    <row r="11" spans="1:6" x14ac:dyDescent="0.35">
      <c r="A11" t="s">
        <v>341</v>
      </c>
      <c r="B11" t="s">
        <v>609</v>
      </c>
      <c r="C11" t="s">
        <v>632</v>
      </c>
      <c r="D11">
        <v>1807.55</v>
      </c>
      <c r="E11">
        <v>112.65</v>
      </c>
      <c r="F11">
        <v>1694.9</v>
      </c>
    </row>
    <row r="12" spans="1:6" x14ac:dyDescent="0.35">
      <c r="A12" t="s">
        <v>341</v>
      </c>
      <c r="B12" t="s">
        <v>512</v>
      </c>
      <c r="C12" t="s">
        <v>689</v>
      </c>
      <c r="D12">
        <v>33.86</v>
      </c>
      <c r="E12">
        <v>18.86</v>
      </c>
      <c r="F12">
        <v>15</v>
      </c>
    </row>
    <row r="13" spans="1:6" x14ac:dyDescent="0.35">
      <c r="A13" t="s">
        <v>341</v>
      </c>
      <c r="B13" t="s">
        <v>633</v>
      </c>
      <c r="C13" t="s">
        <v>632</v>
      </c>
      <c r="D13">
        <v>2158.58</v>
      </c>
      <c r="E13">
        <v>122.58</v>
      </c>
      <c r="F13">
        <v>2036</v>
      </c>
    </row>
    <row r="14" spans="1:6" x14ac:dyDescent="0.35">
      <c r="A14" t="s">
        <v>342</v>
      </c>
      <c r="B14" t="s">
        <v>512</v>
      </c>
      <c r="C14" t="s">
        <v>693</v>
      </c>
      <c r="D14">
        <v>135.37</v>
      </c>
      <c r="E14">
        <v>126.82</v>
      </c>
      <c r="F14">
        <v>8.5500000000000007</v>
      </c>
    </row>
    <row r="15" spans="1:6" x14ac:dyDescent="0.35">
      <c r="A15" t="s">
        <v>342</v>
      </c>
      <c r="B15" t="s">
        <v>512</v>
      </c>
      <c r="C15" t="s">
        <v>687</v>
      </c>
      <c r="D15">
        <v>2</v>
      </c>
      <c r="E15">
        <v>1</v>
      </c>
      <c r="F15">
        <v>1</v>
      </c>
    </row>
    <row r="16" spans="1:6" x14ac:dyDescent="0.35">
      <c r="A16" t="s">
        <v>214</v>
      </c>
      <c r="B16" t="s">
        <v>512</v>
      </c>
      <c r="C16" t="s">
        <v>687</v>
      </c>
      <c r="D16">
        <v>3</v>
      </c>
      <c r="E16">
        <v>2</v>
      </c>
      <c r="F16">
        <v>1</v>
      </c>
    </row>
    <row r="17" spans="1:6" x14ac:dyDescent="0.35">
      <c r="A17" t="s">
        <v>214</v>
      </c>
      <c r="B17" t="s">
        <v>633</v>
      </c>
      <c r="C17" t="s">
        <v>630</v>
      </c>
      <c r="D17">
        <v>611</v>
      </c>
      <c r="E17">
        <v>33</v>
      </c>
      <c r="F17">
        <v>578</v>
      </c>
    </row>
    <row r="18" spans="1:6" x14ac:dyDescent="0.35">
      <c r="A18" t="s">
        <v>313</v>
      </c>
      <c r="B18" t="s">
        <v>609</v>
      </c>
      <c r="C18" t="s">
        <v>631</v>
      </c>
      <c r="D18">
        <v>459.93</v>
      </c>
      <c r="E18">
        <v>17</v>
      </c>
      <c r="F18">
        <v>442.93</v>
      </c>
    </row>
    <row r="19" spans="1:6" x14ac:dyDescent="0.35">
      <c r="A19" t="s">
        <v>313</v>
      </c>
      <c r="B19" t="s">
        <v>633</v>
      </c>
      <c r="C19" t="s">
        <v>627</v>
      </c>
      <c r="F19">
        <v>31</v>
      </c>
    </row>
    <row r="20" spans="1:6" x14ac:dyDescent="0.35">
      <c r="A20" t="s">
        <v>319</v>
      </c>
      <c r="B20" t="s">
        <v>511</v>
      </c>
      <c r="C20" t="s">
        <v>629</v>
      </c>
      <c r="D20">
        <v>10</v>
      </c>
      <c r="E20">
        <v>9</v>
      </c>
      <c r="F20">
        <v>1</v>
      </c>
    </row>
    <row r="21" spans="1:6" x14ac:dyDescent="0.35">
      <c r="A21" t="s">
        <v>319</v>
      </c>
      <c r="B21" t="s">
        <v>511</v>
      </c>
      <c r="C21" t="s">
        <v>630</v>
      </c>
      <c r="D21">
        <v>41</v>
      </c>
      <c r="E21">
        <v>35</v>
      </c>
      <c r="F21">
        <v>6</v>
      </c>
    </row>
    <row r="22" spans="1:6" x14ac:dyDescent="0.35">
      <c r="A22" t="s">
        <v>319</v>
      </c>
      <c r="B22" t="s">
        <v>609</v>
      </c>
      <c r="C22" t="s">
        <v>630</v>
      </c>
      <c r="D22">
        <v>236</v>
      </c>
      <c r="E22">
        <v>11.25</v>
      </c>
      <c r="F22">
        <v>224.75</v>
      </c>
    </row>
    <row r="23" spans="1:6" x14ac:dyDescent="0.35">
      <c r="A23" t="s">
        <v>319</v>
      </c>
      <c r="B23" t="s">
        <v>633</v>
      </c>
      <c r="C23" t="s">
        <v>626</v>
      </c>
      <c r="F23">
        <v>5</v>
      </c>
    </row>
    <row r="24" spans="1:6" x14ac:dyDescent="0.35">
      <c r="A24" t="s">
        <v>321</v>
      </c>
      <c r="B24" t="s">
        <v>511</v>
      </c>
      <c r="C24" t="s">
        <v>630</v>
      </c>
      <c r="D24">
        <v>42</v>
      </c>
      <c r="E24">
        <v>37</v>
      </c>
      <c r="F24">
        <v>5</v>
      </c>
    </row>
    <row r="25" spans="1:6" x14ac:dyDescent="0.35">
      <c r="A25" t="s">
        <v>321</v>
      </c>
      <c r="B25" t="s">
        <v>512</v>
      </c>
      <c r="C25" t="s">
        <v>690</v>
      </c>
      <c r="D25">
        <v>100.35</v>
      </c>
      <c r="E25">
        <v>72.849999999999994</v>
      </c>
      <c r="F25">
        <v>27.5</v>
      </c>
    </row>
    <row r="26" spans="1:6" x14ac:dyDescent="0.35">
      <c r="A26" t="s">
        <v>321</v>
      </c>
      <c r="B26" t="s">
        <v>633</v>
      </c>
      <c r="C26" t="s">
        <v>626</v>
      </c>
      <c r="F26">
        <v>5</v>
      </c>
    </row>
    <row r="27" spans="1:6" x14ac:dyDescent="0.35">
      <c r="A27" t="s">
        <v>326</v>
      </c>
      <c r="B27" t="s">
        <v>511</v>
      </c>
      <c r="C27" t="s">
        <v>628</v>
      </c>
      <c r="D27">
        <v>4</v>
      </c>
      <c r="E27">
        <v>3</v>
      </c>
      <c r="F27">
        <v>1</v>
      </c>
    </row>
    <row r="28" spans="1:6" x14ac:dyDescent="0.35">
      <c r="A28" t="s">
        <v>326</v>
      </c>
      <c r="B28" t="s">
        <v>512</v>
      </c>
      <c r="C28" t="s">
        <v>693</v>
      </c>
      <c r="D28">
        <v>140.28</v>
      </c>
      <c r="E28">
        <v>124.76</v>
      </c>
      <c r="F28">
        <v>15.52</v>
      </c>
    </row>
    <row r="29" spans="1:6" x14ac:dyDescent="0.35">
      <c r="A29" t="s">
        <v>326</v>
      </c>
      <c r="B29" t="s">
        <v>512</v>
      </c>
      <c r="C29" t="s">
        <v>690</v>
      </c>
      <c r="D29">
        <v>94.669999999999987</v>
      </c>
      <c r="E29">
        <v>54.669999999999995</v>
      </c>
      <c r="F29">
        <v>40</v>
      </c>
    </row>
    <row r="30" spans="1:6" x14ac:dyDescent="0.35">
      <c r="A30" t="s">
        <v>327</v>
      </c>
      <c r="B30" t="s">
        <v>511</v>
      </c>
      <c r="C30" t="s">
        <v>627</v>
      </c>
      <c r="E30">
        <v>1</v>
      </c>
    </row>
    <row r="31" spans="1:6" x14ac:dyDescent="0.35">
      <c r="A31" t="s">
        <v>327</v>
      </c>
      <c r="B31" t="s">
        <v>511</v>
      </c>
      <c r="C31" t="s">
        <v>629</v>
      </c>
      <c r="D31">
        <v>9</v>
      </c>
      <c r="E31">
        <v>8</v>
      </c>
      <c r="F31">
        <v>1</v>
      </c>
    </row>
    <row r="32" spans="1:6" x14ac:dyDescent="0.35">
      <c r="A32" t="s">
        <v>327</v>
      </c>
      <c r="B32" t="s">
        <v>511</v>
      </c>
      <c r="C32" t="s">
        <v>630</v>
      </c>
      <c r="D32">
        <v>39.57</v>
      </c>
      <c r="E32">
        <v>34.57</v>
      </c>
      <c r="F32">
        <v>5</v>
      </c>
    </row>
    <row r="33" spans="1:6" x14ac:dyDescent="0.35">
      <c r="A33" t="s">
        <v>466</v>
      </c>
      <c r="B33" t="s">
        <v>512</v>
      </c>
      <c r="C33" t="s">
        <v>691</v>
      </c>
      <c r="D33">
        <v>447.61</v>
      </c>
      <c r="E33">
        <v>203.35</v>
      </c>
      <c r="F33">
        <v>244.26</v>
      </c>
    </row>
    <row r="34" spans="1:6" x14ac:dyDescent="0.35">
      <c r="A34" t="s">
        <v>466</v>
      </c>
      <c r="B34" t="s">
        <v>633</v>
      </c>
      <c r="C34" t="s">
        <v>630</v>
      </c>
      <c r="D34">
        <v>604.77</v>
      </c>
      <c r="E34">
        <v>32</v>
      </c>
      <c r="F34">
        <v>572.77</v>
      </c>
    </row>
    <row r="35" spans="1:6" x14ac:dyDescent="0.35">
      <c r="A35" t="s">
        <v>364</v>
      </c>
      <c r="B35" t="s">
        <v>511</v>
      </c>
      <c r="C35" t="s">
        <v>628</v>
      </c>
      <c r="D35">
        <v>5</v>
      </c>
      <c r="E35">
        <v>4</v>
      </c>
      <c r="F35">
        <v>1</v>
      </c>
    </row>
    <row r="36" spans="1:6" x14ac:dyDescent="0.35">
      <c r="A36" t="s">
        <v>364</v>
      </c>
      <c r="B36" t="s">
        <v>511</v>
      </c>
      <c r="C36" t="s">
        <v>630</v>
      </c>
      <c r="D36">
        <v>51.56</v>
      </c>
      <c r="E36">
        <v>45.56</v>
      </c>
      <c r="F36">
        <v>6</v>
      </c>
    </row>
    <row r="37" spans="1:6" x14ac:dyDescent="0.35">
      <c r="A37" t="s">
        <v>365</v>
      </c>
      <c r="B37" t="s">
        <v>512</v>
      </c>
      <c r="C37" t="s">
        <v>688</v>
      </c>
      <c r="D37">
        <v>45.99</v>
      </c>
      <c r="E37">
        <v>22.990000000000002</v>
      </c>
      <c r="F37">
        <v>23</v>
      </c>
    </row>
    <row r="38" spans="1:6" x14ac:dyDescent="0.35">
      <c r="A38" t="s">
        <v>365</v>
      </c>
      <c r="B38" t="s">
        <v>633</v>
      </c>
      <c r="C38" t="s">
        <v>627</v>
      </c>
      <c r="D38">
        <v>33</v>
      </c>
      <c r="F38">
        <v>33</v>
      </c>
    </row>
    <row r="39" spans="1:6" x14ac:dyDescent="0.35">
      <c r="A39" t="s">
        <v>366</v>
      </c>
      <c r="B39" t="s">
        <v>512</v>
      </c>
      <c r="C39" t="s">
        <v>690</v>
      </c>
      <c r="D39">
        <v>70.714285714285694</v>
      </c>
      <c r="E39">
        <v>53.714285714285701</v>
      </c>
      <c r="F39">
        <v>17</v>
      </c>
    </row>
    <row r="40" spans="1:6" x14ac:dyDescent="0.35">
      <c r="A40" t="s">
        <v>366</v>
      </c>
      <c r="B40" t="s">
        <v>633</v>
      </c>
      <c r="C40" t="s">
        <v>627</v>
      </c>
      <c r="D40">
        <v>35</v>
      </c>
      <c r="E40">
        <v>0</v>
      </c>
      <c r="F40">
        <v>35</v>
      </c>
    </row>
    <row r="41" spans="1:6" x14ac:dyDescent="0.35">
      <c r="A41" t="s">
        <v>366</v>
      </c>
      <c r="B41" t="s">
        <v>633</v>
      </c>
      <c r="C41" t="s">
        <v>632</v>
      </c>
      <c r="D41">
        <v>2250.7857142857101</v>
      </c>
      <c r="E41">
        <v>112.88571428571429</v>
      </c>
      <c r="F41">
        <v>2137.9</v>
      </c>
    </row>
    <row r="42" spans="1:6" x14ac:dyDescent="0.35">
      <c r="A42" t="s">
        <v>341</v>
      </c>
      <c r="B42" t="s">
        <v>511</v>
      </c>
      <c r="C42" t="s">
        <v>631</v>
      </c>
      <c r="D42">
        <v>30.79</v>
      </c>
      <c r="E42">
        <v>26</v>
      </c>
      <c r="F42">
        <v>4.79</v>
      </c>
    </row>
    <row r="43" spans="1:6" x14ac:dyDescent="0.35">
      <c r="A43" t="s">
        <v>341</v>
      </c>
      <c r="B43" t="s">
        <v>633</v>
      </c>
      <c r="C43" t="s">
        <v>631</v>
      </c>
      <c r="D43">
        <v>636</v>
      </c>
      <c r="E43">
        <v>29</v>
      </c>
      <c r="F43">
        <v>607</v>
      </c>
    </row>
    <row r="44" spans="1:6" x14ac:dyDescent="0.35">
      <c r="A44" t="s">
        <v>342</v>
      </c>
      <c r="B44" t="s">
        <v>511</v>
      </c>
      <c r="C44" t="s">
        <v>632</v>
      </c>
      <c r="D44">
        <v>100.83</v>
      </c>
      <c r="E44">
        <v>83.33</v>
      </c>
      <c r="F44">
        <v>17.5</v>
      </c>
    </row>
    <row r="45" spans="1:6" x14ac:dyDescent="0.35">
      <c r="A45" t="s">
        <v>342</v>
      </c>
      <c r="B45" t="s">
        <v>512</v>
      </c>
      <c r="C45" t="s">
        <v>688</v>
      </c>
      <c r="D45">
        <v>49.71</v>
      </c>
      <c r="E45">
        <v>16.71</v>
      </c>
      <c r="F45">
        <v>33</v>
      </c>
    </row>
    <row r="46" spans="1:6" x14ac:dyDescent="0.35">
      <c r="A46" t="s">
        <v>214</v>
      </c>
      <c r="B46" t="s">
        <v>633</v>
      </c>
      <c r="C46" t="s">
        <v>626</v>
      </c>
      <c r="F46">
        <v>4</v>
      </c>
    </row>
    <row r="47" spans="1:6" x14ac:dyDescent="0.35">
      <c r="A47" t="s">
        <v>313</v>
      </c>
      <c r="B47" t="s">
        <v>511</v>
      </c>
      <c r="C47" t="s">
        <v>632</v>
      </c>
      <c r="D47">
        <v>99.83</v>
      </c>
      <c r="E47">
        <v>81.83</v>
      </c>
      <c r="F47">
        <v>18</v>
      </c>
    </row>
    <row r="48" spans="1:6" x14ac:dyDescent="0.35">
      <c r="A48" t="s">
        <v>313</v>
      </c>
      <c r="B48" t="s">
        <v>510</v>
      </c>
      <c r="C48" t="s">
        <v>630</v>
      </c>
      <c r="D48">
        <v>36</v>
      </c>
      <c r="E48">
        <v>7</v>
      </c>
      <c r="F48">
        <v>29</v>
      </c>
    </row>
    <row r="49" spans="1:6" x14ac:dyDescent="0.35">
      <c r="A49" t="s">
        <v>313</v>
      </c>
      <c r="B49" t="s">
        <v>512</v>
      </c>
      <c r="C49" t="s">
        <v>687</v>
      </c>
      <c r="D49">
        <v>3</v>
      </c>
      <c r="E49">
        <v>2</v>
      </c>
      <c r="F49">
        <v>1</v>
      </c>
    </row>
    <row r="50" spans="1:6" x14ac:dyDescent="0.35">
      <c r="A50" t="s">
        <v>313</v>
      </c>
      <c r="B50" t="s">
        <v>512</v>
      </c>
      <c r="C50" t="s">
        <v>690</v>
      </c>
      <c r="D50">
        <v>88.61</v>
      </c>
      <c r="E50">
        <v>59.61</v>
      </c>
      <c r="F50">
        <v>29</v>
      </c>
    </row>
    <row r="51" spans="1:6" x14ac:dyDescent="0.35">
      <c r="A51" t="s">
        <v>319</v>
      </c>
      <c r="B51" t="s">
        <v>511</v>
      </c>
      <c r="C51" t="s">
        <v>631</v>
      </c>
      <c r="D51">
        <v>30</v>
      </c>
      <c r="E51">
        <v>23</v>
      </c>
      <c r="F51">
        <v>7</v>
      </c>
    </row>
    <row r="52" spans="1:6" x14ac:dyDescent="0.35">
      <c r="A52" t="s">
        <v>319</v>
      </c>
      <c r="B52" t="s">
        <v>512</v>
      </c>
      <c r="C52" t="s">
        <v>693</v>
      </c>
      <c r="D52">
        <v>160.44999999999999</v>
      </c>
      <c r="E52">
        <v>151.58999999999997</v>
      </c>
      <c r="F52">
        <v>8.86</v>
      </c>
    </row>
    <row r="53" spans="1:6" x14ac:dyDescent="0.35">
      <c r="A53" t="s">
        <v>319</v>
      </c>
      <c r="B53" t="s">
        <v>512</v>
      </c>
      <c r="C53" t="s">
        <v>691</v>
      </c>
      <c r="D53">
        <v>398.88</v>
      </c>
      <c r="E53">
        <v>154.14000000000001</v>
      </c>
      <c r="F53">
        <v>244.73999999999998</v>
      </c>
    </row>
    <row r="54" spans="1:6" x14ac:dyDescent="0.35">
      <c r="A54" t="s">
        <v>321</v>
      </c>
      <c r="B54" t="s">
        <v>633</v>
      </c>
      <c r="C54" t="s">
        <v>628</v>
      </c>
      <c r="D54">
        <v>76</v>
      </c>
      <c r="E54">
        <v>2</v>
      </c>
      <c r="F54">
        <v>74</v>
      </c>
    </row>
    <row r="55" spans="1:6" x14ac:dyDescent="0.35">
      <c r="A55" t="s">
        <v>326</v>
      </c>
      <c r="B55" t="s">
        <v>511</v>
      </c>
      <c r="C55" t="s">
        <v>629</v>
      </c>
      <c r="D55">
        <v>10</v>
      </c>
      <c r="E55">
        <v>9</v>
      </c>
      <c r="F55">
        <v>1</v>
      </c>
    </row>
    <row r="56" spans="1:6" x14ac:dyDescent="0.35">
      <c r="A56" t="s">
        <v>326</v>
      </c>
      <c r="B56" t="s">
        <v>511</v>
      </c>
      <c r="C56" t="s">
        <v>630</v>
      </c>
      <c r="D56">
        <v>36.86</v>
      </c>
      <c r="E56">
        <v>31.86</v>
      </c>
      <c r="F56">
        <v>5</v>
      </c>
    </row>
    <row r="57" spans="1:6" x14ac:dyDescent="0.35">
      <c r="A57" t="s">
        <v>326</v>
      </c>
      <c r="B57" t="s">
        <v>512</v>
      </c>
      <c r="C57" t="s">
        <v>691</v>
      </c>
      <c r="D57">
        <v>441.38</v>
      </c>
      <c r="E57">
        <v>188.98</v>
      </c>
      <c r="F57">
        <v>252.4</v>
      </c>
    </row>
    <row r="58" spans="1:6" x14ac:dyDescent="0.35">
      <c r="A58" t="s">
        <v>326</v>
      </c>
      <c r="B58" t="s">
        <v>633</v>
      </c>
      <c r="C58" t="s">
        <v>626</v>
      </c>
      <c r="F58">
        <v>5</v>
      </c>
    </row>
    <row r="59" spans="1:6" x14ac:dyDescent="0.35">
      <c r="A59" t="s">
        <v>326</v>
      </c>
      <c r="B59" t="s">
        <v>633</v>
      </c>
      <c r="C59" t="s">
        <v>631</v>
      </c>
      <c r="D59">
        <v>655</v>
      </c>
      <c r="E59">
        <v>39</v>
      </c>
      <c r="F59">
        <v>616</v>
      </c>
    </row>
    <row r="60" spans="1:6" x14ac:dyDescent="0.35">
      <c r="A60" t="s">
        <v>326</v>
      </c>
      <c r="B60" t="s">
        <v>633</v>
      </c>
      <c r="C60" t="s">
        <v>628</v>
      </c>
      <c r="D60">
        <v>78</v>
      </c>
      <c r="E60">
        <v>2</v>
      </c>
      <c r="F60">
        <v>76</v>
      </c>
    </row>
    <row r="61" spans="1:6" x14ac:dyDescent="0.35">
      <c r="A61" t="s">
        <v>326</v>
      </c>
      <c r="B61" t="s">
        <v>633</v>
      </c>
      <c r="C61" t="s">
        <v>629</v>
      </c>
      <c r="D61">
        <v>148</v>
      </c>
      <c r="E61">
        <v>9</v>
      </c>
      <c r="F61">
        <v>139</v>
      </c>
    </row>
    <row r="62" spans="1:6" x14ac:dyDescent="0.35">
      <c r="A62" t="s">
        <v>327</v>
      </c>
      <c r="B62" t="s">
        <v>633</v>
      </c>
      <c r="C62" t="s">
        <v>630</v>
      </c>
      <c r="D62">
        <v>606.77</v>
      </c>
      <c r="E62">
        <v>31</v>
      </c>
      <c r="F62">
        <v>575.77</v>
      </c>
    </row>
    <row r="63" spans="1:6" x14ac:dyDescent="0.35">
      <c r="A63" t="s">
        <v>466</v>
      </c>
      <c r="B63" t="s">
        <v>609</v>
      </c>
      <c r="C63" t="s">
        <v>630</v>
      </c>
      <c r="D63">
        <v>211.70000000000002</v>
      </c>
      <c r="E63">
        <v>9.35</v>
      </c>
      <c r="F63">
        <v>202.35000000000002</v>
      </c>
    </row>
    <row r="64" spans="1:6" x14ac:dyDescent="0.35">
      <c r="A64" t="s">
        <v>466</v>
      </c>
      <c r="B64" t="s">
        <v>512</v>
      </c>
      <c r="C64" t="s">
        <v>688</v>
      </c>
      <c r="D64">
        <v>94.09</v>
      </c>
      <c r="E64">
        <v>43.489999999999995</v>
      </c>
      <c r="F64">
        <v>50.6</v>
      </c>
    </row>
    <row r="65" spans="1:6" x14ac:dyDescent="0.35">
      <c r="A65" t="s">
        <v>364</v>
      </c>
      <c r="B65" t="s">
        <v>511</v>
      </c>
      <c r="C65" t="s">
        <v>632</v>
      </c>
      <c r="D65">
        <v>94.39</v>
      </c>
      <c r="E65">
        <v>85.39</v>
      </c>
      <c r="F65">
        <v>9</v>
      </c>
    </row>
    <row r="66" spans="1:6" x14ac:dyDescent="0.35">
      <c r="A66" t="s">
        <v>364</v>
      </c>
      <c r="B66" t="s">
        <v>609</v>
      </c>
      <c r="C66" t="s">
        <v>631</v>
      </c>
      <c r="D66">
        <v>489.46</v>
      </c>
      <c r="E66">
        <v>17.760000000000002</v>
      </c>
      <c r="F66">
        <v>471.7</v>
      </c>
    </row>
    <row r="67" spans="1:6" x14ac:dyDescent="0.35">
      <c r="A67" t="s">
        <v>364</v>
      </c>
      <c r="B67" t="s">
        <v>633</v>
      </c>
      <c r="C67" t="s">
        <v>628</v>
      </c>
      <c r="D67">
        <v>115</v>
      </c>
      <c r="E67">
        <v>3</v>
      </c>
      <c r="F67">
        <v>112</v>
      </c>
    </row>
    <row r="68" spans="1:6" x14ac:dyDescent="0.35">
      <c r="A68" t="s">
        <v>364</v>
      </c>
      <c r="B68" t="s">
        <v>633</v>
      </c>
      <c r="C68" t="s">
        <v>630</v>
      </c>
      <c r="D68">
        <v>679</v>
      </c>
      <c r="E68">
        <v>22</v>
      </c>
      <c r="F68">
        <v>657</v>
      </c>
    </row>
    <row r="69" spans="1:6" x14ac:dyDescent="0.35">
      <c r="A69" t="s">
        <v>365</v>
      </c>
      <c r="B69" t="s">
        <v>512</v>
      </c>
      <c r="C69" t="s">
        <v>687</v>
      </c>
      <c r="D69">
        <v>2</v>
      </c>
      <c r="E69">
        <v>2</v>
      </c>
      <c r="F69">
        <v>0</v>
      </c>
    </row>
    <row r="70" spans="1:6" x14ac:dyDescent="0.35">
      <c r="A70" t="s">
        <v>365</v>
      </c>
      <c r="B70" t="s">
        <v>633</v>
      </c>
      <c r="C70" t="s">
        <v>632</v>
      </c>
      <c r="D70">
        <v>2285</v>
      </c>
      <c r="E70">
        <v>109</v>
      </c>
      <c r="F70">
        <v>2176</v>
      </c>
    </row>
    <row r="71" spans="1:6" x14ac:dyDescent="0.35">
      <c r="A71" t="s">
        <v>365</v>
      </c>
      <c r="B71" t="s">
        <v>633</v>
      </c>
      <c r="C71" t="s">
        <v>629</v>
      </c>
      <c r="D71">
        <v>130</v>
      </c>
      <c r="E71">
        <v>1</v>
      </c>
      <c r="F71">
        <v>129</v>
      </c>
    </row>
    <row r="72" spans="1:6" x14ac:dyDescent="0.35">
      <c r="A72" t="s">
        <v>366</v>
      </c>
      <c r="B72" t="s">
        <v>511</v>
      </c>
      <c r="C72" t="s">
        <v>629</v>
      </c>
      <c r="D72">
        <v>6.8333333333333339</v>
      </c>
      <c r="E72">
        <v>6.8333333333333339</v>
      </c>
    </row>
    <row r="73" spans="1:6" x14ac:dyDescent="0.35">
      <c r="A73" t="s">
        <v>366</v>
      </c>
      <c r="B73" t="s">
        <v>609</v>
      </c>
      <c r="C73" t="s">
        <v>632</v>
      </c>
      <c r="D73">
        <v>1792.8328571428574</v>
      </c>
      <c r="E73">
        <v>116.4</v>
      </c>
      <c r="F73">
        <v>1676.4328571428573</v>
      </c>
    </row>
    <row r="74" spans="1:6" x14ac:dyDescent="0.35">
      <c r="A74" t="s">
        <v>366</v>
      </c>
      <c r="B74" t="s">
        <v>512</v>
      </c>
      <c r="C74" t="s">
        <v>688</v>
      </c>
      <c r="D74">
        <v>40</v>
      </c>
      <c r="E74">
        <v>15</v>
      </c>
      <c r="F74">
        <v>25</v>
      </c>
    </row>
    <row r="75" spans="1:6" x14ac:dyDescent="0.35">
      <c r="A75" t="s">
        <v>366</v>
      </c>
      <c r="B75" t="s">
        <v>512</v>
      </c>
      <c r="C75" t="s">
        <v>691</v>
      </c>
      <c r="D75">
        <v>303.60857142857139</v>
      </c>
      <c r="E75">
        <v>95.918571428571425</v>
      </c>
      <c r="F75">
        <v>207.69</v>
      </c>
    </row>
    <row r="76" spans="1:6" x14ac:dyDescent="0.35">
      <c r="A76" t="s">
        <v>366</v>
      </c>
      <c r="B76" t="s">
        <v>512</v>
      </c>
      <c r="C76" t="s">
        <v>692</v>
      </c>
      <c r="D76">
        <v>122.20028571428573</v>
      </c>
      <c r="E76">
        <v>57.195428571428593</v>
      </c>
      <c r="F76">
        <v>65.004857142857134</v>
      </c>
    </row>
    <row r="77" spans="1:6" x14ac:dyDescent="0.35">
      <c r="A77" t="s">
        <v>366</v>
      </c>
      <c r="B77" t="s">
        <v>633</v>
      </c>
      <c r="C77" t="s">
        <v>626</v>
      </c>
      <c r="D77">
        <v>4</v>
      </c>
      <c r="E77">
        <v>0</v>
      </c>
      <c r="F77">
        <v>4</v>
      </c>
    </row>
    <row r="78" spans="1:6" x14ac:dyDescent="0.35">
      <c r="A78" t="s">
        <v>341</v>
      </c>
      <c r="B78" t="s">
        <v>511</v>
      </c>
      <c r="C78" t="s">
        <v>628</v>
      </c>
      <c r="D78">
        <v>5</v>
      </c>
      <c r="E78">
        <v>4</v>
      </c>
      <c r="F78">
        <v>1</v>
      </c>
    </row>
    <row r="79" spans="1:6" x14ac:dyDescent="0.35">
      <c r="A79" t="s">
        <v>341</v>
      </c>
      <c r="B79" t="s">
        <v>511</v>
      </c>
      <c r="C79" t="s">
        <v>630</v>
      </c>
      <c r="D79">
        <v>40.85</v>
      </c>
      <c r="E79">
        <v>34.85</v>
      </c>
      <c r="F79">
        <v>6</v>
      </c>
    </row>
    <row r="80" spans="1:6" x14ac:dyDescent="0.35">
      <c r="A80" t="s">
        <v>341</v>
      </c>
      <c r="B80" t="s">
        <v>609</v>
      </c>
      <c r="C80" t="s">
        <v>631</v>
      </c>
      <c r="D80">
        <v>502.68</v>
      </c>
      <c r="E80">
        <v>15.5</v>
      </c>
      <c r="F80">
        <v>487.18</v>
      </c>
    </row>
    <row r="81" spans="1:6" x14ac:dyDescent="0.35">
      <c r="A81" t="s">
        <v>341</v>
      </c>
      <c r="B81" t="s">
        <v>512</v>
      </c>
      <c r="C81" t="s">
        <v>690</v>
      </c>
      <c r="D81">
        <v>75.62</v>
      </c>
      <c r="E81">
        <v>55</v>
      </c>
      <c r="F81">
        <v>20.62</v>
      </c>
    </row>
    <row r="82" spans="1:6" x14ac:dyDescent="0.35">
      <c r="A82" t="s">
        <v>342</v>
      </c>
      <c r="B82" t="s">
        <v>512</v>
      </c>
      <c r="C82" t="s">
        <v>692</v>
      </c>
      <c r="D82">
        <v>110.41</v>
      </c>
      <c r="E82">
        <v>52.13</v>
      </c>
      <c r="F82">
        <v>58.28</v>
      </c>
    </row>
    <row r="83" spans="1:6" x14ac:dyDescent="0.35">
      <c r="A83" t="s">
        <v>342</v>
      </c>
      <c r="B83" t="s">
        <v>633</v>
      </c>
      <c r="C83" t="s">
        <v>631</v>
      </c>
      <c r="D83">
        <v>689</v>
      </c>
      <c r="E83">
        <v>26</v>
      </c>
      <c r="F83">
        <v>663</v>
      </c>
    </row>
    <row r="84" spans="1:6" x14ac:dyDescent="0.35">
      <c r="A84" t="s">
        <v>342</v>
      </c>
      <c r="B84" t="s">
        <v>633</v>
      </c>
      <c r="C84" t="s">
        <v>629</v>
      </c>
      <c r="D84">
        <v>153</v>
      </c>
      <c r="E84">
        <v>2</v>
      </c>
      <c r="F84">
        <v>151</v>
      </c>
    </row>
    <row r="85" spans="1:6" x14ac:dyDescent="0.35">
      <c r="A85" t="s">
        <v>214</v>
      </c>
      <c r="B85" t="s">
        <v>511</v>
      </c>
      <c r="C85" t="s">
        <v>629</v>
      </c>
      <c r="D85">
        <v>9</v>
      </c>
      <c r="E85">
        <v>8</v>
      </c>
      <c r="F85">
        <v>1</v>
      </c>
    </row>
    <row r="86" spans="1:6" x14ac:dyDescent="0.35">
      <c r="A86" t="s">
        <v>214</v>
      </c>
      <c r="B86" t="s">
        <v>510</v>
      </c>
      <c r="C86" t="s">
        <v>762</v>
      </c>
      <c r="D86">
        <v>18</v>
      </c>
      <c r="E86">
        <v>1</v>
      </c>
      <c r="F86">
        <v>17</v>
      </c>
    </row>
    <row r="87" spans="1:6" x14ac:dyDescent="0.35">
      <c r="A87" t="s">
        <v>313</v>
      </c>
      <c r="B87" t="s">
        <v>633</v>
      </c>
      <c r="C87" t="s">
        <v>631</v>
      </c>
      <c r="D87">
        <v>688</v>
      </c>
      <c r="E87">
        <v>31</v>
      </c>
      <c r="F87">
        <v>657</v>
      </c>
    </row>
    <row r="88" spans="1:6" x14ac:dyDescent="0.35">
      <c r="A88" t="s">
        <v>313</v>
      </c>
      <c r="B88" t="s">
        <v>633</v>
      </c>
      <c r="C88" t="s">
        <v>632</v>
      </c>
      <c r="D88">
        <v>2067.9299999999998</v>
      </c>
      <c r="E88">
        <v>152.93</v>
      </c>
      <c r="F88">
        <v>1915</v>
      </c>
    </row>
    <row r="89" spans="1:6" x14ac:dyDescent="0.35">
      <c r="A89" t="s">
        <v>319</v>
      </c>
      <c r="B89" t="s">
        <v>609</v>
      </c>
      <c r="C89" t="s">
        <v>631</v>
      </c>
      <c r="D89">
        <v>461.93</v>
      </c>
      <c r="E89">
        <v>14</v>
      </c>
      <c r="F89">
        <v>447.93</v>
      </c>
    </row>
    <row r="90" spans="1:6" x14ac:dyDescent="0.35">
      <c r="A90" t="s">
        <v>319</v>
      </c>
      <c r="B90" t="s">
        <v>609</v>
      </c>
      <c r="C90" t="s">
        <v>632</v>
      </c>
      <c r="D90">
        <v>1784.5500000000002</v>
      </c>
      <c r="E90">
        <v>143.4</v>
      </c>
      <c r="F90">
        <v>1641.15</v>
      </c>
    </row>
    <row r="91" spans="1:6" x14ac:dyDescent="0.35">
      <c r="A91" t="s">
        <v>319</v>
      </c>
      <c r="B91" t="s">
        <v>512</v>
      </c>
      <c r="C91" t="s">
        <v>687</v>
      </c>
      <c r="D91">
        <v>3</v>
      </c>
      <c r="E91">
        <v>2</v>
      </c>
      <c r="F91">
        <v>1</v>
      </c>
    </row>
    <row r="92" spans="1:6" x14ac:dyDescent="0.35">
      <c r="A92" t="s">
        <v>319</v>
      </c>
      <c r="B92" t="s">
        <v>633</v>
      </c>
      <c r="C92" t="s">
        <v>628</v>
      </c>
      <c r="D92">
        <v>79</v>
      </c>
      <c r="E92">
        <v>2</v>
      </c>
      <c r="F92">
        <v>77</v>
      </c>
    </row>
    <row r="93" spans="1:6" x14ac:dyDescent="0.35">
      <c r="A93" t="s">
        <v>321</v>
      </c>
      <c r="B93" t="s">
        <v>511</v>
      </c>
      <c r="C93" t="s">
        <v>632</v>
      </c>
      <c r="D93">
        <v>86.460000000000008</v>
      </c>
      <c r="E93">
        <v>72.460000000000008</v>
      </c>
      <c r="F93">
        <v>14</v>
      </c>
    </row>
    <row r="94" spans="1:6" x14ac:dyDescent="0.35">
      <c r="A94" t="s">
        <v>321</v>
      </c>
      <c r="B94" t="s">
        <v>512</v>
      </c>
      <c r="C94" t="s">
        <v>688</v>
      </c>
      <c r="D94">
        <v>57</v>
      </c>
      <c r="E94">
        <v>25</v>
      </c>
      <c r="F94">
        <v>32</v>
      </c>
    </row>
    <row r="95" spans="1:6" x14ac:dyDescent="0.35">
      <c r="A95" t="s">
        <v>326</v>
      </c>
      <c r="B95" t="s">
        <v>633</v>
      </c>
      <c r="C95" t="s">
        <v>632</v>
      </c>
      <c r="D95">
        <v>1969.43</v>
      </c>
      <c r="E95">
        <v>143.93</v>
      </c>
      <c r="F95">
        <v>1825.5</v>
      </c>
    </row>
    <row r="96" spans="1:6" x14ac:dyDescent="0.35">
      <c r="A96" t="s">
        <v>327</v>
      </c>
      <c r="B96" t="s">
        <v>510</v>
      </c>
      <c r="C96" t="s">
        <v>630</v>
      </c>
      <c r="D96">
        <v>53</v>
      </c>
      <c r="E96">
        <v>8</v>
      </c>
      <c r="F96">
        <v>45</v>
      </c>
    </row>
    <row r="97" spans="1:6" x14ac:dyDescent="0.35">
      <c r="A97" t="s">
        <v>327</v>
      </c>
      <c r="B97" t="s">
        <v>512</v>
      </c>
      <c r="C97" t="s">
        <v>687</v>
      </c>
      <c r="D97">
        <v>3</v>
      </c>
      <c r="E97">
        <v>2</v>
      </c>
      <c r="F97">
        <v>1</v>
      </c>
    </row>
    <row r="98" spans="1:6" x14ac:dyDescent="0.35">
      <c r="A98" t="s">
        <v>466</v>
      </c>
      <c r="B98" t="s">
        <v>511</v>
      </c>
      <c r="C98" t="s">
        <v>627</v>
      </c>
      <c r="E98">
        <v>1</v>
      </c>
    </row>
    <row r="99" spans="1:6" x14ac:dyDescent="0.35">
      <c r="A99" t="s">
        <v>364</v>
      </c>
      <c r="B99" t="s">
        <v>511</v>
      </c>
      <c r="C99" t="s">
        <v>631</v>
      </c>
      <c r="D99">
        <v>51.01</v>
      </c>
      <c r="E99">
        <v>45.01</v>
      </c>
      <c r="F99">
        <v>6</v>
      </c>
    </row>
    <row r="100" spans="1:6" x14ac:dyDescent="0.35">
      <c r="A100" t="s">
        <v>364</v>
      </c>
      <c r="B100" t="s">
        <v>609</v>
      </c>
      <c r="C100" t="s">
        <v>630</v>
      </c>
      <c r="D100">
        <v>262.12</v>
      </c>
      <c r="E100">
        <v>10</v>
      </c>
      <c r="F100">
        <v>252.12000000000003</v>
      </c>
    </row>
    <row r="101" spans="1:6" x14ac:dyDescent="0.35">
      <c r="A101" t="s">
        <v>364</v>
      </c>
      <c r="B101" t="s">
        <v>512</v>
      </c>
      <c r="C101" t="s">
        <v>691</v>
      </c>
      <c r="D101">
        <v>256.39999999999998</v>
      </c>
      <c r="E101">
        <v>39.199999999999996</v>
      </c>
      <c r="F101">
        <v>217.2</v>
      </c>
    </row>
    <row r="102" spans="1:6" x14ac:dyDescent="0.35">
      <c r="A102" t="s">
        <v>365</v>
      </c>
      <c r="B102" t="s">
        <v>633</v>
      </c>
      <c r="C102" t="s">
        <v>630</v>
      </c>
      <c r="D102">
        <v>664</v>
      </c>
      <c r="E102">
        <v>27</v>
      </c>
      <c r="F102">
        <v>637</v>
      </c>
    </row>
    <row r="103" spans="1:6" x14ac:dyDescent="0.35">
      <c r="A103" t="s">
        <v>366</v>
      </c>
      <c r="B103" t="s">
        <v>633</v>
      </c>
      <c r="C103" t="s">
        <v>631</v>
      </c>
      <c r="D103">
        <v>598.34523809523807</v>
      </c>
      <c r="E103">
        <v>27</v>
      </c>
      <c r="F103">
        <v>571.34523809523807</v>
      </c>
    </row>
    <row r="104" spans="1:6" x14ac:dyDescent="0.35">
      <c r="A104" t="s">
        <v>366</v>
      </c>
      <c r="B104" t="s">
        <v>633</v>
      </c>
      <c r="C104" t="s">
        <v>629</v>
      </c>
      <c r="D104">
        <v>126</v>
      </c>
      <c r="E104">
        <v>2</v>
      </c>
      <c r="F104">
        <v>124</v>
      </c>
    </row>
    <row r="105" spans="1:6" x14ac:dyDescent="0.35">
      <c r="A105" t="s">
        <v>366</v>
      </c>
      <c r="B105" t="s">
        <v>633</v>
      </c>
      <c r="C105" t="s">
        <v>630</v>
      </c>
      <c r="D105">
        <v>585.31904761904764</v>
      </c>
      <c r="E105">
        <v>22</v>
      </c>
      <c r="F105">
        <v>563.31904761904764</v>
      </c>
    </row>
    <row r="106" spans="1:6" x14ac:dyDescent="0.35">
      <c r="A106" t="s">
        <v>341</v>
      </c>
      <c r="B106" t="s">
        <v>512</v>
      </c>
      <c r="C106" t="s">
        <v>693</v>
      </c>
      <c r="D106">
        <v>140.91</v>
      </c>
      <c r="E106">
        <v>130.36000000000001</v>
      </c>
      <c r="F106">
        <v>10.55</v>
      </c>
    </row>
    <row r="107" spans="1:6" x14ac:dyDescent="0.35">
      <c r="A107" t="s">
        <v>341</v>
      </c>
      <c r="B107" t="s">
        <v>633</v>
      </c>
      <c r="C107" t="s">
        <v>626</v>
      </c>
      <c r="F107">
        <v>4</v>
      </c>
    </row>
    <row r="108" spans="1:6" x14ac:dyDescent="0.35">
      <c r="A108" t="s">
        <v>341</v>
      </c>
      <c r="B108" t="s">
        <v>633</v>
      </c>
      <c r="C108" t="s">
        <v>628</v>
      </c>
      <c r="D108">
        <v>70</v>
      </c>
      <c r="E108">
        <v>2</v>
      </c>
      <c r="F108">
        <v>68</v>
      </c>
    </row>
    <row r="109" spans="1:6" x14ac:dyDescent="0.35">
      <c r="A109" t="s">
        <v>341</v>
      </c>
      <c r="B109" t="s">
        <v>633</v>
      </c>
      <c r="C109" t="s">
        <v>629</v>
      </c>
      <c r="D109">
        <v>151</v>
      </c>
      <c r="E109">
        <v>2</v>
      </c>
      <c r="F109">
        <v>149</v>
      </c>
    </row>
    <row r="110" spans="1:6" x14ac:dyDescent="0.35">
      <c r="A110" t="s">
        <v>342</v>
      </c>
      <c r="B110" t="s">
        <v>511</v>
      </c>
      <c r="C110" t="s">
        <v>631</v>
      </c>
      <c r="D110">
        <v>26.79</v>
      </c>
      <c r="E110">
        <v>22.79</v>
      </c>
      <c r="F110">
        <v>4</v>
      </c>
    </row>
    <row r="111" spans="1:6" x14ac:dyDescent="0.35">
      <c r="A111" t="s">
        <v>342</v>
      </c>
      <c r="B111" t="s">
        <v>609</v>
      </c>
      <c r="C111" t="s">
        <v>630</v>
      </c>
      <c r="D111">
        <v>246.25</v>
      </c>
      <c r="E111">
        <v>13.75</v>
      </c>
      <c r="F111">
        <v>232.5</v>
      </c>
    </row>
    <row r="112" spans="1:6" x14ac:dyDescent="0.35">
      <c r="A112" t="s">
        <v>342</v>
      </c>
      <c r="B112" t="s">
        <v>512</v>
      </c>
      <c r="C112" t="s">
        <v>690</v>
      </c>
      <c r="D112">
        <v>75.81</v>
      </c>
      <c r="E112">
        <v>53.98</v>
      </c>
      <c r="F112">
        <v>21.83</v>
      </c>
    </row>
    <row r="113" spans="1:6" x14ac:dyDescent="0.35">
      <c r="A113" t="s">
        <v>214</v>
      </c>
      <c r="B113" t="s">
        <v>511</v>
      </c>
      <c r="C113" t="s">
        <v>627</v>
      </c>
      <c r="E113">
        <v>1</v>
      </c>
    </row>
    <row r="114" spans="1:6" x14ac:dyDescent="0.35">
      <c r="A114" t="s">
        <v>214</v>
      </c>
      <c r="B114" t="s">
        <v>609</v>
      </c>
      <c r="C114" t="s">
        <v>632</v>
      </c>
      <c r="D114">
        <v>1863.8</v>
      </c>
      <c r="E114">
        <v>148.4</v>
      </c>
      <c r="F114">
        <v>1715.3999999999999</v>
      </c>
    </row>
    <row r="115" spans="1:6" x14ac:dyDescent="0.35">
      <c r="A115" t="s">
        <v>214</v>
      </c>
      <c r="B115" t="s">
        <v>512</v>
      </c>
      <c r="C115" t="s">
        <v>693</v>
      </c>
      <c r="D115">
        <v>144.99</v>
      </c>
      <c r="E115">
        <v>134.44</v>
      </c>
      <c r="F115">
        <v>10.55</v>
      </c>
    </row>
    <row r="116" spans="1:6" x14ac:dyDescent="0.35">
      <c r="A116" t="s">
        <v>214</v>
      </c>
      <c r="B116" t="s">
        <v>512</v>
      </c>
      <c r="C116" t="s">
        <v>690</v>
      </c>
      <c r="D116">
        <v>80.399999999999991</v>
      </c>
      <c r="E116">
        <v>55.399999999999991</v>
      </c>
      <c r="F116">
        <v>25</v>
      </c>
    </row>
    <row r="117" spans="1:6" x14ac:dyDescent="0.35">
      <c r="A117" t="s">
        <v>214</v>
      </c>
      <c r="B117" t="s">
        <v>512</v>
      </c>
      <c r="C117" t="s">
        <v>688</v>
      </c>
      <c r="D117">
        <v>49</v>
      </c>
      <c r="E117">
        <v>15</v>
      </c>
      <c r="F117">
        <v>34</v>
      </c>
    </row>
    <row r="118" spans="1:6" x14ac:dyDescent="0.35">
      <c r="A118" t="s">
        <v>214</v>
      </c>
      <c r="B118" t="s">
        <v>633</v>
      </c>
      <c r="C118" t="s">
        <v>631</v>
      </c>
      <c r="D118">
        <v>687</v>
      </c>
      <c r="E118">
        <v>27</v>
      </c>
      <c r="F118">
        <v>660</v>
      </c>
    </row>
    <row r="119" spans="1:6" x14ac:dyDescent="0.35">
      <c r="A119" t="s">
        <v>313</v>
      </c>
      <c r="B119" t="s">
        <v>511</v>
      </c>
      <c r="C119" t="s">
        <v>631</v>
      </c>
      <c r="D119">
        <v>26</v>
      </c>
      <c r="E119">
        <v>21</v>
      </c>
      <c r="F119">
        <v>5</v>
      </c>
    </row>
    <row r="120" spans="1:6" x14ac:dyDescent="0.35">
      <c r="A120" t="s">
        <v>313</v>
      </c>
      <c r="B120" t="s">
        <v>511</v>
      </c>
      <c r="C120" t="s">
        <v>628</v>
      </c>
      <c r="D120">
        <v>4</v>
      </c>
      <c r="E120">
        <v>3</v>
      </c>
      <c r="F120">
        <v>1</v>
      </c>
    </row>
    <row r="121" spans="1:6" x14ac:dyDescent="0.35">
      <c r="A121" t="s">
        <v>313</v>
      </c>
      <c r="B121" t="s">
        <v>609</v>
      </c>
      <c r="C121" t="s">
        <v>632</v>
      </c>
      <c r="D121">
        <v>1855.3000000000002</v>
      </c>
      <c r="E121">
        <v>153.15</v>
      </c>
      <c r="F121">
        <v>1702.15</v>
      </c>
    </row>
    <row r="122" spans="1:6" x14ac:dyDescent="0.35">
      <c r="A122" t="s">
        <v>313</v>
      </c>
      <c r="B122" t="s">
        <v>512</v>
      </c>
      <c r="C122" t="s">
        <v>691</v>
      </c>
      <c r="D122">
        <v>382.5</v>
      </c>
      <c r="E122">
        <v>142.84</v>
      </c>
      <c r="F122">
        <v>239.66</v>
      </c>
    </row>
    <row r="123" spans="1:6" x14ac:dyDescent="0.35">
      <c r="A123" t="s">
        <v>313</v>
      </c>
      <c r="B123" t="s">
        <v>512</v>
      </c>
      <c r="C123" t="s">
        <v>692</v>
      </c>
      <c r="D123">
        <v>56.95</v>
      </c>
      <c r="E123">
        <v>20.599999999999998</v>
      </c>
      <c r="F123">
        <v>36.35</v>
      </c>
    </row>
    <row r="124" spans="1:6" x14ac:dyDescent="0.35">
      <c r="A124" t="s">
        <v>321</v>
      </c>
      <c r="B124" t="s">
        <v>512</v>
      </c>
      <c r="C124" t="s">
        <v>693</v>
      </c>
      <c r="D124">
        <v>163.91</v>
      </c>
      <c r="E124">
        <v>150.60999999999999</v>
      </c>
      <c r="F124">
        <v>13.299999999999999</v>
      </c>
    </row>
    <row r="125" spans="1:6" x14ac:dyDescent="0.35">
      <c r="A125" t="s">
        <v>321</v>
      </c>
      <c r="B125" t="s">
        <v>512</v>
      </c>
      <c r="C125" t="s">
        <v>687</v>
      </c>
      <c r="D125">
        <v>4</v>
      </c>
      <c r="E125">
        <v>1</v>
      </c>
      <c r="F125">
        <v>3</v>
      </c>
    </row>
    <row r="126" spans="1:6" x14ac:dyDescent="0.35">
      <c r="A126" t="s">
        <v>321</v>
      </c>
      <c r="B126" t="s">
        <v>633</v>
      </c>
      <c r="C126" t="s">
        <v>631</v>
      </c>
      <c r="D126">
        <v>660</v>
      </c>
      <c r="E126">
        <v>39</v>
      </c>
      <c r="F126">
        <v>621</v>
      </c>
    </row>
    <row r="127" spans="1:6" x14ac:dyDescent="0.35">
      <c r="A127" t="s">
        <v>326</v>
      </c>
      <c r="B127" t="s">
        <v>511</v>
      </c>
      <c r="C127" t="s">
        <v>627</v>
      </c>
      <c r="E127">
        <v>1</v>
      </c>
    </row>
    <row r="128" spans="1:6" x14ac:dyDescent="0.35">
      <c r="A128" t="s">
        <v>326</v>
      </c>
      <c r="B128" t="s">
        <v>609</v>
      </c>
      <c r="C128" t="s">
        <v>632</v>
      </c>
      <c r="D128">
        <v>1648.1899999999998</v>
      </c>
      <c r="E128">
        <v>127.25</v>
      </c>
      <c r="F128">
        <v>1520.9399999999998</v>
      </c>
    </row>
    <row r="129" spans="1:6" x14ac:dyDescent="0.35">
      <c r="A129" t="s">
        <v>326</v>
      </c>
      <c r="B129" t="s">
        <v>510</v>
      </c>
      <c r="C129" t="s">
        <v>631</v>
      </c>
      <c r="F129">
        <v>1</v>
      </c>
    </row>
    <row r="130" spans="1:6" x14ac:dyDescent="0.35">
      <c r="A130" t="s">
        <v>326</v>
      </c>
      <c r="B130" t="s">
        <v>633</v>
      </c>
      <c r="C130" t="s">
        <v>630</v>
      </c>
      <c r="D130">
        <v>601</v>
      </c>
      <c r="E130">
        <v>31</v>
      </c>
      <c r="F130">
        <v>570</v>
      </c>
    </row>
    <row r="131" spans="1:6" x14ac:dyDescent="0.35">
      <c r="A131" t="s">
        <v>327</v>
      </c>
      <c r="B131" t="s">
        <v>512</v>
      </c>
      <c r="C131" t="s">
        <v>693</v>
      </c>
      <c r="D131">
        <v>123.35999999999999</v>
      </c>
      <c r="E131">
        <v>110.35999999999999</v>
      </c>
      <c r="F131">
        <v>13</v>
      </c>
    </row>
    <row r="132" spans="1:6" x14ac:dyDescent="0.35">
      <c r="A132" t="s">
        <v>327</v>
      </c>
      <c r="B132" t="s">
        <v>633</v>
      </c>
      <c r="C132" t="s">
        <v>632</v>
      </c>
      <c r="D132">
        <v>1909.31</v>
      </c>
      <c r="E132">
        <v>137.32999999999998</v>
      </c>
      <c r="F132">
        <v>1771.98</v>
      </c>
    </row>
    <row r="133" spans="1:6" x14ac:dyDescent="0.35">
      <c r="A133" t="s">
        <v>466</v>
      </c>
      <c r="B133" t="s">
        <v>511</v>
      </c>
      <c r="C133" t="s">
        <v>632</v>
      </c>
      <c r="D133">
        <v>91.69</v>
      </c>
      <c r="E133">
        <v>72.69</v>
      </c>
      <c r="F133">
        <v>19</v>
      </c>
    </row>
    <row r="134" spans="1:6" x14ac:dyDescent="0.35">
      <c r="A134" t="s">
        <v>466</v>
      </c>
      <c r="B134" t="s">
        <v>609</v>
      </c>
      <c r="C134" t="s">
        <v>631</v>
      </c>
      <c r="D134">
        <v>431.42000000000007</v>
      </c>
      <c r="E134">
        <v>24.7</v>
      </c>
      <c r="F134">
        <v>406.72000000000008</v>
      </c>
    </row>
    <row r="135" spans="1:6" x14ac:dyDescent="0.35">
      <c r="A135" t="s">
        <v>466</v>
      </c>
      <c r="B135" t="s">
        <v>512</v>
      </c>
      <c r="C135" t="s">
        <v>693</v>
      </c>
      <c r="D135">
        <v>129.11999999999998</v>
      </c>
      <c r="E135">
        <v>116.24999999999999</v>
      </c>
      <c r="F135">
        <v>12.87</v>
      </c>
    </row>
    <row r="136" spans="1:6" x14ac:dyDescent="0.35">
      <c r="A136" t="s">
        <v>466</v>
      </c>
      <c r="B136" t="s">
        <v>512</v>
      </c>
      <c r="C136" t="s">
        <v>689</v>
      </c>
      <c r="D136">
        <v>35</v>
      </c>
      <c r="E136">
        <v>24</v>
      </c>
      <c r="F136">
        <v>11</v>
      </c>
    </row>
    <row r="137" spans="1:6" x14ac:dyDescent="0.35">
      <c r="A137" t="s">
        <v>466</v>
      </c>
      <c r="B137" t="s">
        <v>633</v>
      </c>
      <c r="C137" t="s">
        <v>631</v>
      </c>
      <c r="D137">
        <v>622</v>
      </c>
      <c r="E137">
        <v>35</v>
      </c>
      <c r="F137">
        <v>587</v>
      </c>
    </row>
    <row r="138" spans="1:6" x14ac:dyDescent="0.35">
      <c r="A138" t="s">
        <v>466</v>
      </c>
      <c r="B138" t="s">
        <v>633</v>
      </c>
      <c r="C138" t="s">
        <v>628</v>
      </c>
      <c r="D138">
        <v>72</v>
      </c>
      <c r="E138">
        <v>9</v>
      </c>
      <c r="F138">
        <v>63</v>
      </c>
    </row>
    <row r="139" spans="1:6" x14ac:dyDescent="0.35">
      <c r="A139" t="s">
        <v>364</v>
      </c>
      <c r="B139" t="s">
        <v>511</v>
      </c>
      <c r="C139" t="s">
        <v>629</v>
      </c>
      <c r="D139">
        <v>11</v>
      </c>
      <c r="E139">
        <v>9</v>
      </c>
      <c r="F139">
        <v>2</v>
      </c>
    </row>
    <row r="140" spans="1:6" x14ac:dyDescent="0.35">
      <c r="A140" t="s">
        <v>365</v>
      </c>
      <c r="B140" t="s">
        <v>512</v>
      </c>
      <c r="C140" t="s">
        <v>690</v>
      </c>
      <c r="D140">
        <v>55.470000000000006</v>
      </c>
      <c r="E140">
        <v>36.870000000000005</v>
      </c>
      <c r="F140">
        <v>18.600000000000001</v>
      </c>
    </row>
    <row r="141" spans="1:6" x14ac:dyDescent="0.35">
      <c r="A141" t="s">
        <v>365</v>
      </c>
      <c r="B141" t="s">
        <v>512</v>
      </c>
      <c r="C141" t="s">
        <v>692</v>
      </c>
      <c r="D141">
        <v>128.98000000000002</v>
      </c>
      <c r="E141">
        <v>65.05000000000004</v>
      </c>
      <c r="F141">
        <v>63.929999999999993</v>
      </c>
    </row>
    <row r="142" spans="1:6" x14ac:dyDescent="0.35">
      <c r="A142" t="s">
        <v>365</v>
      </c>
      <c r="B142" t="s">
        <v>633</v>
      </c>
      <c r="C142" t="s">
        <v>628</v>
      </c>
      <c r="D142">
        <v>103</v>
      </c>
      <c r="E142">
        <v>3</v>
      </c>
      <c r="F142">
        <v>100</v>
      </c>
    </row>
    <row r="143" spans="1:6" x14ac:dyDescent="0.35">
      <c r="A143" t="s">
        <v>366</v>
      </c>
      <c r="B143" t="s">
        <v>511</v>
      </c>
      <c r="C143" t="s">
        <v>632</v>
      </c>
      <c r="D143">
        <v>89.021904761904764</v>
      </c>
      <c r="E143">
        <v>71.021904761904764</v>
      </c>
      <c r="F143">
        <v>18</v>
      </c>
    </row>
    <row r="144" spans="1:6" x14ac:dyDescent="0.35">
      <c r="A144" t="s">
        <v>341</v>
      </c>
      <c r="B144" t="s">
        <v>512</v>
      </c>
      <c r="C144" t="s">
        <v>688</v>
      </c>
      <c r="D144">
        <v>42</v>
      </c>
      <c r="E144">
        <v>17</v>
      </c>
      <c r="F144">
        <v>25</v>
      </c>
    </row>
    <row r="145" spans="1:6" x14ac:dyDescent="0.35">
      <c r="A145" t="s">
        <v>341</v>
      </c>
      <c r="B145" t="s">
        <v>633</v>
      </c>
      <c r="C145" t="s">
        <v>630</v>
      </c>
      <c r="D145">
        <v>587</v>
      </c>
      <c r="E145">
        <v>21</v>
      </c>
      <c r="F145">
        <v>566</v>
      </c>
    </row>
    <row r="146" spans="1:6" x14ac:dyDescent="0.35">
      <c r="A146" t="s">
        <v>342</v>
      </c>
      <c r="B146" t="s">
        <v>512</v>
      </c>
      <c r="C146" t="s">
        <v>691</v>
      </c>
      <c r="D146">
        <v>354.57</v>
      </c>
      <c r="E146">
        <v>133.04</v>
      </c>
      <c r="F146">
        <v>221.53</v>
      </c>
    </row>
    <row r="147" spans="1:6" x14ac:dyDescent="0.35">
      <c r="A147" t="s">
        <v>214</v>
      </c>
      <c r="B147" t="s">
        <v>512</v>
      </c>
      <c r="C147" t="s">
        <v>691</v>
      </c>
      <c r="D147">
        <v>375.56000000000006</v>
      </c>
      <c r="E147">
        <v>139.56</v>
      </c>
      <c r="F147">
        <v>236.00000000000003</v>
      </c>
    </row>
    <row r="148" spans="1:6" x14ac:dyDescent="0.35">
      <c r="A148" t="s">
        <v>214</v>
      </c>
      <c r="B148" t="s">
        <v>633</v>
      </c>
      <c r="C148" t="s">
        <v>628</v>
      </c>
      <c r="D148">
        <v>80</v>
      </c>
      <c r="E148">
        <v>2</v>
      </c>
      <c r="F148">
        <v>78</v>
      </c>
    </row>
    <row r="149" spans="1:6" x14ac:dyDescent="0.35">
      <c r="A149" t="s">
        <v>214</v>
      </c>
      <c r="B149" t="s">
        <v>633</v>
      </c>
      <c r="C149" t="s">
        <v>629</v>
      </c>
      <c r="D149">
        <v>147</v>
      </c>
      <c r="E149">
        <v>2</v>
      </c>
      <c r="F149">
        <v>145</v>
      </c>
    </row>
    <row r="150" spans="1:6" x14ac:dyDescent="0.35">
      <c r="A150" t="s">
        <v>313</v>
      </c>
      <c r="B150" t="s">
        <v>511</v>
      </c>
      <c r="C150" t="s">
        <v>629</v>
      </c>
      <c r="D150">
        <v>8</v>
      </c>
      <c r="E150">
        <v>7</v>
      </c>
      <c r="F150">
        <v>1</v>
      </c>
    </row>
    <row r="151" spans="1:6" x14ac:dyDescent="0.35">
      <c r="A151" t="s">
        <v>313</v>
      </c>
      <c r="B151" t="s">
        <v>511</v>
      </c>
      <c r="C151" t="s">
        <v>630</v>
      </c>
      <c r="D151">
        <v>45</v>
      </c>
      <c r="E151">
        <v>38</v>
      </c>
      <c r="F151">
        <v>7</v>
      </c>
    </row>
    <row r="152" spans="1:6" x14ac:dyDescent="0.35">
      <c r="A152" t="s">
        <v>313</v>
      </c>
      <c r="B152" t="s">
        <v>609</v>
      </c>
      <c r="C152" t="s">
        <v>630</v>
      </c>
      <c r="D152">
        <v>236.5</v>
      </c>
      <c r="E152">
        <v>11.75</v>
      </c>
      <c r="F152">
        <v>224.75</v>
      </c>
    </row>
    <row r="153" spans="1:6" x14ac:dyDescent="0.35">
      <c r="A153" t="s">
        <v>313</v>
      </c>
      <c r="B153" t="s">
        <v>633</v>
      </c>
      <c r="C153" t="s">
        <v>630</v>
      </c>
      <c r="D153">
        <v>608</v>
      </c>
      <c r="E153">
        <v>30</v>
      </c>
      <c r="F153">
        <v>578</v>
      </c>
    </row>
    <row r="154" spans="1:6" x14ac:dyDescent="0.35">
      <c r="A154" t="s">
        <v>319</v>
      </c>
      <c r="B154" t="s">
        <v>511</v>
      </c>
      <c r="C154" t="s">
        <v>627</v>
      </c>
      <c r="E154">
        <v>1</v>
      </c>
    </row>
    <row r="155" spans="1:6" x14ac:dyDescent="0.35">
      <c r="A155" t="s">
        <v>319</v>
      </c>
      <c r="B155" t="s">
        <v>511</v>
      </c>
      <c r="C155" t="s">
        <v>632</v>
      </c>
      <c r="D155">
        <v>90.06</v>
      </c>
      <c r="E155">
        <v>74.06</v>
      </c>
      <c r="F155">
        <v>16</v>
      </c>
    </row>
    <row r="156" spans="1:6" x14ac:dyDescent="0.35">
      <c r="A156" t="s">
        <v>319</v>
      </c>
      <c r="B156" t="s">
        <v>511</v>
      </c>
      <c r="C156" t="s">
        <v>628</v>
      </c>
      <c r="D156">
        <v>4</v>
      </c>
      <c r="E156">
        <v>3</v>
      </c>
      <c r="F156">
        <v>1</v>
      </c>
    </row>
    <row r="157" spans="1:6" x14ac:dyDescent="0.35">
      <c r="A157" t="s">
        <v>319</v>
      </c>
      <c r="B157" t="s">
        <v>633</v>
      </c>
      <c r="C157" t="s">
        <v>631</v>
      </c>
      <c r="D157">
        <v>687</v>
      </c>
      <c r="E157">
        <v>29</v>
      </c>
      <c r="F157">
        <v>658</v>
      </c>
    </row>
    <row r="158" spans="1:6" x14ac:dyDescent="0.35">
      <c r="A158" t="s">
        <v>321</v>
      </c>
      <c r="B158" t="s">
        <v>511</v>
      </c>
      <c r="C158" t="s">
        <v>627</v>
      </c>
      <c r="E158">
        <v>1</v>
      </c>
    </row>
    <row r="159" spans="1:6" x14ac:dyDescent="0.35">
      <c r="A159" t="s">
        <v>321</v>
      </c>
      <c r="B159" t="s">
        <v>511</v>
      </c>
      <c r="C159" t="s">
        <v>631</v>
      </c>
      <c r="D159">
        <v>27</v>
      </c>
      <c r="E159">
        <v>20</v>
      </c>
      <c r="F159">
        <v>7</v>
      </c>
    </row>
    <row r="160" spans="1:6" x14ac:dyDescent="0.35">
      <c r="A160" t="s">
        <v>321</v>
      </c>
      <c r="B160" t="s">
        <v>511</v>
      </c>
      <c r="C160" t="s">
        <v>628</v>
      </c>
      <c r="D160">
        <v>4</v>
      </c>
      <c r="E160">
        <v>3</v>
      </c>
      <c r="F160">
        <v>1</v>
      </c>
    </row>
    <row r="161" spans="1:6" x14ac:dyDescent="0.35">
      <c r="A161" t="s">
        <v>321</v>
      </c>
      <c r="B161" t="s">
        <v>633</v>
      </c>
      <c r="C161" t="s">
        <v>627</v>
      </c>
      <c r="D161">
        <v>35</v>
      </c>
      <c r="E161">
        <v>1</v>
      </c>
      <c r="F161">
        <v>34</v>
      </c>
    </row>
    <row r="162" spans="1:6" x14ac:dyDescent="0.35">
      <c r="A162" t="s">
        <v>321</v>
      </c>
      <c r="B162" t="s">
        <v>633</v>
      </c>
      <c r="C162" t="s">
        <v>629</v>
      </c>
      <c r="D162">
        <v>157</v>
      </c>
      <c r="E162">
        <v>5</v>
      </c>
      <c r="F162">
        <v>152</v>
      </c>
    </row>
    <row r="163" spans="1:6" x14ac:dyDescent="0.35">
      <c r="A163" t="s">
        <v>326</v>
      </c>
      <c r="B163" t="s">
        <v>609</v>
      </c>
      <c r="C163" t="s">
        <v>630</v>
      </c>
      <c r="D163">
        <v>231.79999999999998</v>
      </c>
      <c r="E163">
        <v>12.75</v>
      </c>
      <c r="F163">
        <v>219.04999999999998</v>
      </c>
    </row>
    <row r="164" spans="1:6" x14ac:dyDescent="0.35">
      <c r="A164" t="s">
        <v>326</v>
      </c>
      <c r="B164" t="s">
        <v>510</v>
      </c>
      <c r="C164" t="s">
        <v>630</v>
      </c>
      <c r="D164">
        <v>54</v>
      </c>
      <c r="E164">
        <v>9</v>
      </c>
      <c r="F164">
        <v>45</v>
      </c>
    </row>
    <row r="165" spans="1:6" x14ac:dyDescent="0.35">
      <c r="A165" t="s">
        <v>326</v>
      </c>
      <c r="B165" t="s">
        <v>512</v>
      </c>
      <c r="C165" t="s">
        <v>688</v>
      </c>
      <c r="D165">
        <v>80.14</v>
      </c>
      <c r="E165">
        <v>36.14</v>
      </c>
      <c r="F165">
        <v>44</v>
      </c>
    </row>
    <row r="166" spans="1:6" x14ac:dyDescent="0.35">
      <c r="A166" t="s">
        <v>326</v>
      </c>
      <c r="B166" t="s">
        <v>512</v>
      </c>
      <c r="C166" t="s">
        <v>692</v>
      </c>
      <c r="D166">
        <v>53.88</v>
      </c>
      <c r="E166">
        <v>14.530000000000001</v>
      </c>
      <c r="F166">
        <v>39.35</v>
      </c>
    </row>
    <row r="167" spans="1:6" x14ac:dyDescent="0.35">
      <c r="A167" t="s">
        <v>327</v>
      </c>
      <c r="B167" t="s">
        <v>511</v>
      </c>
      <c r="C167" t="s">
        <v>631</v>
      </c>
      <c r="D167">
        <v>25.79</v>
      </c>
      <c r="E167">
        <v>20.79</v>
      </c>
      <c r="F167">
        <v>5</v>
      </c>
    </row>
    <row r="168" spans="1:6" x14ac:dyDescent="0.35">
      <c r="A168" t="s">
        <v>327</v>
      </c>
      <c r="B168" t="s">
        <v>609</v>
      </c>
      <c r="C168" t="s">
        <v>632</v>
      </c>
      <c r="D168">
        <v>1615.3400000000001</v>
      </c>
      <c r="E168">
        <v>128.5</v>
      </c>
      <c r="F168">
        <v>1486.8400000000001</v>
      </c>
    </row>
    <row r="169" spans="1:6" x14ac:dyDescent="0.35">
      <c r="A169" t="s">
        <v>466</v>
      </c>
      <c r="B169" t="s">
        <v>511</v>
      </c>
      <c r="C169" t="s">
        <v>628</v>
      </c>
      <c r="E169">
        <v>2</v>
      </c>
    </row>
    <row r="170" spans="1:6" x14ac:dyDescent="0.35">
      <c r="A170" t="s">
        <v>364</v>
      </c>
      <c r="B170" t="s">
        <v>512</v>
      </c>
      <c r="C170" t="s">
        <v>687</v>
      </c>
    </row>
    <row r="171" spans="1:6" x14ac:dyDescent="0.35">
      <c r="A171" t="s">
        <v>364</v>
      </c>
      <c r="B171" t="s">
        <v>512</v>
      </c>
      <c r="C171" t="s">
        <v>688</v>
      </c>
      <c r="D171">
        <v>69.7</v>
      </c>
      <c r="E171">
        <v>31.7</v>
      </c>
      <c r="F171">
        <v>38</v>
      </c>
    </row>
    <row r="172" spans="1:6" x14ac:dyDescent="0.35">
      <c r="A172" t="s">
        <v>364</v>
      </c>
      <c r="B172" t="s">
        <v>512</v>
      </c>
      <c r="C172" t="s">
        <v>689</v>
      </c>
      <c r="D172">
        <v>19.8</v>
      </c>
      <c r="E172">
        <v>6.8</v>
      </c>
      <c r="F172">
        <v>13</v>
      </c>
    </row>
    <row r="173" spans="1:6" x14ac:dyDescent="0.35">
      <c r="A173" t="s">
        <v>364</v>
      </c>
      <c r="B173" t="s">
        <v>633</v>
      </c>
      <c r="C173" t="s">
        <v>632</v>
      </c>
      <c r="D173">
        <v>2373.7600000000002</v>
      </c>
      <c r="E173">
        <v>106</v>
      </c>
      <c r="F173">
        <v>2267.7600000000002</v>
      </c>
    </row>
    <row r="174" spans="1:6" x14ac:dyDescent="0.35">
      <c r="A174" t="s">
        <v>364</v>
      </c>
      <c r="B174" t="s">
        <v>633</v>
      </c>
      <c r="C174" t="s">
        <v>629</v>
      </c>
      <c r="D174">
        <v>136</v>
      </c>
      <c r="E174">
        <v>2</v>
      </c>
      <c r="F174">
        <v>134</v>
      </c>
    </row>
    <row r="175" spans="1:6" x14ac:dyDescent="0.35">
      <c r="A175" t="s">
        <v>365</v>
      </c>
      <c r="B175" t="s">
        <v>609</v>
      </c>
      <c r="C175" t="s">
        <v>632</v>
      </c>
      <c r="D175">
        <v>1906.75</v>
      </c>
      <c r="E175">
        <v>128.25</v>
      </c>
      <c r="F175">
        <v>1778.5</v>
      </c>
    </row>
    <row r="176" spans="1:6" x14ac:dyDescent="0.35">
      <c r="A176" t="s">
        <v>365</v>
      </c>
      <c r="B176" t="s">
        <v>512</v>
      </c>
      <c r="C176" t="s">
        <v>689</v>
      </c>
      <c r="D176">
        <v>36.9</v>
      </c>
      <c r="E176">
        <v>19.899999999999999</v>
      </c>
      <c r="F176">
        <v>17</v>
      </c>
    </row>
    <row r="177" spans="1:6" x14ac:dyDescent="0.35">
      <c r="A177" t="s">
        <v>365</v>
      </c>
      <c r="B177" t="s">
        <v>633</v>
      </c>
      <c r="C177" t="s">
        <v>626</v>
      </c>
      <c r="D177">
        <v>7</v>
      </c>
      <c r="F177">
        <v>7</v>
      </c>
    </row>
    <row r="178" spans="1:6" x14ac:dyDescent="0.35">
      <c r="A178" t="s">
        <v>366</v>
      </c>
      <c r="B178" t="s">
        <v>511</v>
      </c>
      <c r="C178" t="s">
        <v>630</v>
      </c>
      <c r="D178">
        <v>50.314285714285717</v>
      </c>
      <c r="E178">
        <v>43.314285714285717</v>
      </c>
      <c r="F178">
        <v>7</v>
      </c>
    </row>
    <row r="179" spans="1:6" x14ac:dyDescent="0.35">
      <c r="A179" t="s">
        <v>366</v>
      </c>
      <c r="B179" t="s">
        <v>609</v>
      </c>
      <c r="C179" t="s">
        <v>631</v>
      </c>
      <c r="D179">
        <v>486.17999999999995</v>
      </c>
      <c r="E179">
        <v>16.75</v>
      </c>
      <c r="F179">
        <v>469.42999999999995</v>
      </c>
    </row>
    <row r="180" spans="1:6" x14ac:dyDescent="0.35">
      <c r="A180" t="s">
        <v>366</v>
      </c>
      <c r="B180" t="s">
        <v>609</v>
      </c>
      <c r="C180" t="s">
        <v>630</v>
      </c>
      <c r="D180">
        <v>247.75</v>
      </c>
      <c r="E180">
        <v>14</v>
      </c>
      <c r="F180">
        <v>233.75</v>
      </c>
    </row>
    <row r="181" spans="1:6" x14ac:dyDescent="0.35">
      <c r="A181" t="s">
        <v>341</v>
      </c>
      <c r="B181" t="s">
        <v>512</v>
      </c>
      <c r="C181" t="s">
        <v>687</v>
      </c>
      <c r="D181">
        <v>3</v>
      </c>
      <c r="E181">
        <v>2</v>
      </c>
      <c r="F181">
        <v>1</v>
      </c>
    </row>
    <row r="182" spans="1:6" x14ac:dyDescent="0.35">
      <c r="A182" t="s">
        <v>341</v>
      </c>
      <c r="B182" t="s">
        <v>512</v>
      </c>
      <c r="C182" t="s">
        <v>691</v>
      </c>
      <c r="D182">
        <v>332.41</v>
      </c>
      <c r="E182">
        <v>106.79</v>
      </c>
      <c r="F182">
        <v>225.62</v>
      </c>
    </row>
    <row r="183" spans="1:6" x14ac:dyDescent="0.35">
      <c r="A183" t="s">
        <v>341</v>
      </c>
      <c r="B183" t="s">
        <v>512</v>
      </c>
      <c r="C183" t="s">
        <v>692</v>
      </c>
      <c r="D183">
        <v>115.06</v>
      </c>
      <c r="E183">
        <v>56.58</v>
      </c>
      <c r="F183">
        <v>58.48</v>
      </c>
    </row>
    <row r="184" spans="1:6" x14ac:dyDescent="0.35">
      <c r="A184" t="s">
        <v>342</v>
      </c>
      <c r="B184" t="s">
        <v>609</v>
      </c>
      <c r="C184" t="s">
        <v>632</v>
      </c>
      <c r="D184">
        <v>1821.55</v>
      </c>
      <c r="E184">
        <v>121.65</v>
      </c>
      <c r="F184">
        <v>1699.9</v>
      </c>
    </row>
    <row r="185" spans="1:6" x14ac:dyDescent="0.35">
      <c r="A185" t="s">
        <v>342</v>
      </c>
      <c r="B185" t="s">
        <v>633</v>
      </c>
      <c r="C185" t="s">
        <v>627</v>
      </c>
      <c r="D185">
        <v>34</v>
      </c>
      <c r="F185">
        <v>34</v>
      </c>
    </row>
    <row r="186" spans="1:6" x14ac:dyDescent="0.35">
      <c r="A186" t="s">
        <v>342</v>
      </c>
      <c r="B186" t="s">
        <v>633</v>
      </c>
      <c r="C186" t="s">
        <v>632</v>
      </c>
      <c r="D186">
        <v>1988.43</v>
      </c>
      <c r="E186">
        <v>113.43</v>
      </c>
      <c r="F186">
        <v>1875</v>
      </c>
    </row>
    <row r="187" spans="1:6" x14ac:dyDescent="0.35">
      <c r="A187" t="s">
        <v>214</v>
      </c>
      <c r="B187" t="s">
        <v>512</v>
      </c>
      <c r="C187" t="s">
        <v>689</v>
      </c>
      <c r="D187">
        <v>34</v>
      </c>
      <c r="E187">
        <v>21</v>
      </c>
      <c r="F187">
        <v>13</v>
      </c>
    </row>
    <row r="188" spans="1:6" x14ac:dyDescent="0.35">
      <c r="A188" t="s">
        <v>214</v>
      </c>
      <c r="B188" t="s">
        <v>633</v>
      </c>
      <c r="C188" t="s">
        <v>627</v>
      </c>
      <c r="F188">
        <v>33</v>
      </c>
    </row>
    <row r="189" spans="1:6" x14ac:dyDescent="0.35">
      <c r="A189" t="s">
        <v>313</v>
      </c>
      <c r="B189" t="s">
        <v>633</v>
      </c>
      <c r="C189" t="s">
        <v>628</v>
      </c>
      <c r="D189">
        <v>80</v>
      </c>
      <c r="E189">
        <v>2</v>
      </c>
      <c r="F189">
        <v>78</v>
      </c>
    </row>
    <row r="190" spans="1:6" x14ac:dyDescent="0.35">
      <c r="A190" t="s">
        <v>313</v>
      </c>
      <c r="B190" t="s">
        <v>633</v>
      </c>
      <c r="C190" t="s">
        <v>629</v>
      </c>
      <c r="D190">
        <v>153</v>
      </c>
      <c r="E190">
        <v>5</v>
      </c>
      <c r="F190">
        <v>148</v>
      </c>
    </row>
    <row r="191" spans="1:6" x14ac:dyDescent="0.35">
      <c r="A191" t="s">
        <v>319</v>
      </c>
      <c r="B191" t="s">
        <v>512</v>
      </c>
      <c r="C191" t="s">
        <v>690</v>
      </c>
      <c r="D191">
        <v>88.429999999999993</v>
      </c>
      <c r="E191">
        <v>59.429999999999993</v>
      </c>
      <c r="F191">
        <v>29</v>
      </c>
    </row>
    <row r="192" spans="1:6" x14ac:dyDescent="0.35">
      <c r="A192" t="s">
        <v>319</v>
      </c>
      <c r="B192" t="s">
        <v>633</v>
      </c>
      <c r="C192" t="s">
        <v>627</v>
      </c>
      <c r="F192">
        <v>35</v>
      </c>
    </row>
    <row r="193" spans="1:6" x14ac:dyDescent="0.35">
      <c r="A193" t="s">
        <v>319</v>
      </c>
      <c r="B193" t="s">
        <v>633</v>
      </c>
      <c r="C193" t="s">
        <v>630</v>
      </c>
      <c r="D193">
        <v>603</v>
      </c>
      <c r="E193">
        <v>31</v>
      </c>
      <c r="F193">
        <v>572</v>
      </c>
    </row>
    <row r="194" spans="1:6" x14ac:dyDescent="0.35">
      <c r="A194" t="s">
        <v>321</v>
      </c>
      <c r="B194" t="s">
        <v>609</v>
      </c>
      <c r="C194" t="s">
        <v>632</v>
      </c>
      <c r="D194">
        <v>1678.3400000000001</v>
      </c>
      <c r="E194">
        <v>135.9</v>
      </c>
      <c r="F194">
        <v>1542.44</v>
      </c>
    </row>
    <row r="195" spans="1:6" x14ac:dyDescent="0.35">
      <c r="A195" t="s">
        <v>321</v>
      </c>
      <c r="B195" t="s">
        <v>512</v>
      </c>
      <c r="C195" t="s">
        <v>689</v>
      </c>
      <c r="D195">
        <v>32</v>
      </c>
      <c r="E195">
        <v>19</v>
      </c>
      <c r="F195">
        <v>13</v>
      </c>
    </row>
    <row r="196" spans="1:6" x14ac:dyDescent="0.35">
      <c r="A196" t="s">
        <v>321</v>
      </c>
      <c r="B196" t="s">
        <v>512</v>
      </c>
      <c r="C196" t="s">
        <v>692</v>
      </c>
      <c r="D196">
        <v>55.650000000000006</v>
      </c>
      <c r="E196">
        <v>16.3</v>
      </c>
      <c r="F196">
        <v>39.35</v>
      </c>
    </row>
    <row r="197" spans="1:6" x14ac:dyDescent="0.35">
      <c r="A197" t="s">
        <v>321</v>
      </c>
      <c r="B197" t="s">
        <v>633</v>
      </c>
      <c r="C197" t="s">
        <v>630</v>
      </c>
      <c r="D197">
        <v>607</v>
      </c>
      <c r="E197">
        <v>30</v>
      </c>
      <c r="F197">
        <v>577</v>
      </c>
    </row>
    <row r="198" spans="1:6" x14ac:dyDescent="0.35">
      <c r="A198" t="s">
        <v>326</v>
      </c>
      <c r="B198" t="s">
        <v>609</v>
      </c>
      <c r="C198" t="s">
        <v>631</v>
      </c>
      <c r="D198">
        <v>453.13</v>
      </c>
      <c r="E198">
        <v>18</v>
      </c>
      <c r="F198">
        <v>435.13</v>
      </c>
    </row>
    <row r="199" spans="1:6" x14ac:dyDescent="0.35">
      <c r="A199" t="s">
        <v>326</v>
      </c>
      <c r="B199" t="s">
        <v>512</v>
      </c>
      <c r="C199" t="s">
        <v>687</v>
      </c>
      <c r="D199">
        <v>4</v>
      </c>
      <c r="E199">
        <v>1</v>
      </c>
      <c r="F199">
        <v>3</v>
      </c>
    </row>
    <row r="200" spans="1:6" x14ac:dyDescent="0.35">
      <c r="A200" t="s">
        <v>327</v>
      </c>
      <c r="B200" t="s">
        <v>511</v>
      </c>
      <c r="C200" t="s">
        <v>632</v>
      </c>
      <c r="D200">
        <v>86.850000000000009</v>
      </c>
      <c r="E200">
        <v>68.850000000000009</v>
      </c>
      <c r="F200">
        <v>18</v>
      </c>
    </row>
    <row r="201" spans="1:6" x14ac:dyDescent="0.35">
      <c r="A201" t="s">
        <v>327</v>
      </c>
      <c r="B201" t="s">
        <v>510</v>
      </c>
      <c r="C201" t="s">
        <v>631</v>
      </c>
      <c r="F201">
        <v>2</v>
      </c>
    </row>
    <row r="202" spans="1:6" x14ac:dyDescent="0.35">
      <c r="A202" t="s">
        <v>327</v>
      </c>
      <c r="B202" t="s">
        <v>512</v>
      </c>
      <c r="C202" t="s">
        <v>690</v>
      </c>
      <c r="D202">
        <v>88.1</v>
      </c>
      <c r="E202">
        <v>47.099999999999994</v>
      </c>
      <c r="F202">
        <v>41</v>
      </c>
    </row>
    <row r="203" spans="1:6" x14ac:dyDescent="0.35">
      <c r="A203" t="s">
        <v>327</v>
      </c>
      <c r="B203" t="s">
        <v>512</v>
      </c>
      <c r="C203" t="s">
        <v>691</v>
      </c>
      <c r="D203">
        <v>438.38</v>
      </c>
      <c r="E203">
        <v>204.51</v>
      </c>
      <c r="F203">
        <v>233.87</v>
      </c>
    </row>
    <row r="204" spans="1:6" x14ac:dyDescent="0.35">
      <c r="A204" t="s">
        <v>327</v>
      </c>
      <c r="B204" t="s">
        <v>512</v>
      </c>
      <c r="C204" t="s">
        <v>689</v>
      </c>
      <c r="D204">
        <v>35</v>
      </c>
      <c r="E204">
        <v>24</v>
      </c>
      <c r="F204">
        <v>11</v>
      </c>
    </row>
    <row r="205" spans="1:6" x14ac:dyDescent="0.35">
      <c r="A205" t="s">
        <v>327</v>
      </c>
      <c r="B205" t="s">
        <v>512</v>
      </c>
      <c r="C205" t="s">
        <v>692</v>
      </c>
      <c r="D205">
        <v>55.88</v>
      </c>
      <c r="E205">
        <v>15.530000000000001</v>
      </c>
      <c r="F205">
        <v>40.35</v>
      </c>
    </row>
    <row r="206" spans="1:6" x14ac:dyDescent="0.35">
      <c r="A206" t="s">
        <v>327</v>
      </c>
      <c r="B206" t="s">
        <v>633</v>
      </c>
      <c r="C206" t="s">
        <v>626</v>
      </c>
      <c r="F206">
        <v>5</v>
      </c>
    </row>
    <row r="207" spans="1:6" x14ac:dyDescent="0.35">
      <c r="A207" t="s">
        <v>327</v>
      </c>
      <c r="B207" t="s">
        <v>633</v>
      </c>
      <c r="C207" t="s">
        <v>628</v>
      </c>
      <c r="D207">
        <v>71</v>
      </c>
      <c r="E207">
        <v>2</v>
      </c>
      <c r="F207">
        <v>69</v>
      </c>
    </row>
    <row r="208" spans="1:6" x14ac:dyDescent="0.35">
      <c r="A208" t="s">
        <v>466</v>
      </c>
      <c r="B208" t="s">
        <v>511</v>
      </c>
      <c r="C208" t="s">
        <v>630</v>
      </c>
      <c r="D208">
        <v>37</v>
      </c>
      <c r="E208">
        <v>29</v>
      </c>
      <c r="F208">
        <v>8</v>
      </c>
    </row>
    <row r="209" spans="1:6" x14ac:dyDescent="0.35">
      <c r="A209" t="s">
        <v>466</v>
      </c>
      <c r="B209" t="s">
        <v>609</v>
      </c>
      <c r="C209" t="s">
        <v>632</v>
      </c>
      <c r="D209">
        <v>1650.8000000000009</v>
      </c>
      <c r="E209">
        <v>141.16</v>
      </c>
      <c r="F209">
        <v>1509.6400000000008</v>
      </c>
    </row>
    <row r="210" spans="1:6" x14ac:dyDescent="0.35">
      <c r="A210" t="s">
        <v>466</v>
      </c>
      <c r="B210" t="s">
        <v>512</v>
      </c>
      <c r="C210" t="s">
        <v>690</v>
      </c>
      <c r="D210">
        <v>89.24</v>
      </c>
      <c r="E210">
        <v>44.239999999999995</v>
      </c>
      <c r="F210">
        <v>45</v>
      </c>
    </row>
    <row r="211" spans="1:6" x14ac:dyDescent="0.35">
      <c r="A211" t="s">
        <v>466</v>
      </c>
      <c r="B211" t="s">
        <v>633</v>
      </c>
      <c r="C211" t="s">
        <v>627</v>
      </c>
      <c r="F211">
        <v>30</v>
      </c>
    </row>
    <row r="212" spans="1:6" x14ac:dyDescent="0.35">
      <c r="A212" t="s">
        <v>466</v>
      </c>
      <c r="B212" t="s">
        <v>633</v>
      </c>
      <c r="C212" t="s">
        <v>626</v>
      </c>
      <c r="F212">
        <v>5</v>
      </c>
    </row>
    <row r="213" spans="1:6" x14ac:dyDescent="0.35">
      <c r="A213" t="s">
        <v>364</v>
      </c>
      <c r="B213" t="s">
        <v>512</v>
      </c>
      <c r="C213" t="s">
        <v>693</v>
      </c>
      <c r="D213">
        <v>223.6</v>
      </c>
      <c r="E213">
        <v>197.5</v>
      </c>
      <c r="F213">
        <v>26.1</v>
      </c>
    </row>
    <row r="214" spans="1:6" x14ac:dyDescent="0.35">
      <c r="A214" t="s">
        <v>364</v>
      </c>
      <c r="B214" t="s">
        <v>512</v>
      </c>
      <c r="C214" t="s">
        <v>690</v>
      </c>
      <c r="D214">
        <v>42.3</v>
      </c>
      <c r="E214">
        <v>25.7</v>
      </c>
      <c r="F214">
        <v>16.600000000000001</v>
      </c>
    </row>
    <row r="215" spans="1:6" x14ac:dyDescent="0.35">
      <c r="A215" t="s">
        <v>364</v>
      </c>
      <c r="B215" t="s">
        <v>633</v>
      </c>
      <c r="C215" t="s">
        <v>627</v>
      </c>
      <c r="D215">
        <v>28</v>
      </c>
      <c r="F215">
        <v>28</v>
      </c>
    </row>
    <row r="216" spans="1:6" x14ac:dyDescent="0.35">
      <c r="A216" t="s">
        <v>365</v>
      </c>
      <c r="B216" t="s">
        <v>511</v>
      </c>
      <c r="C216" t="s">
        <v>628</v>
      </c>
      <c r="D216">
        <v>5</v>
      </c>
      <c r="E216">
        <v>4</v>
      </c>
      <c r="F216">
        <v>1</v>
      </c>
    </row>
    <row r="217" spans="1:6" x14ac:dyDescent="0.35">
      <c r="A217" t="s">
        <v>365</v>
      </c>
      <c r="B217" t="s">
        <v>511</v>
      </c>
      <c r="C217" t="s">
        <v>629</v>
      </c>
      <c r="D217">
        <v>12.85</v>
      </c>
      <c r="E217">
        <v>10.85</v>
      </c>
      <c r="F217">
        <v>2</v>
      </c>
    </row>
    <row r="218" spans="1:6" x14ac:dyDescent="0.35">
      <c r="A218" t="s">
        <v>365</v>
      </c>
      <c r="B218" t="s">
        <v>511</v>
      </c>
      <c r="C218" t="s">
        <v>630</v>
      </c>
      <c r="D218">
        <v>49.46</v>
      </c>
      <c r="E218">
        <v>43.46</v>
      </c>
      <c r="F218">
        <v>6</v>
      </c>
    </row>
    <row r="219" spans="1:6" x14ac:dyDescent="0.35">
      <c r="A219" t="s">
        <v>365</v>
      </c>
      <c r="B219" t="s">
        <v>609</v>
      </c>
      <c r="C219" t="s">
        <v>630</v>
      </c>
      <c r="D219">
        <v>263.75</v>
      </c>
      <c r="E219">
        <v>12</v>
      </c>
      <c r="F219">
        <v>251.75</v>
      </c>
    </row>
    <row r="220" spans="1:6" x14ac:dyDescent="0.35">
      <c r="A220" t="s">
        <v>366</v>
      </c>
      <c r="B220" t="s">
        <v>512</v>
      </c>
      <c r="C220" t="s">
        <v>693</v>
      </c>
      <c r="D220">
        <v>145.72971428571435</v>
      </c>
      <c r="E220">
        <v>128.96057142857148</v>
      </c>
      <c r="F220">
        <v>16.769142857142857</v>
      </c>
    </row>
    <row r="221" spans="1:6" x14ac:dyDescent="0.35">
      <c r="A221" t="s">
        <v>366</v>
      </c>
      <c r="B221" t="s">
        <v>633</v>
      </c>
      <c r="C221" t="s">
        <v>628</v>
      </c>
      <c r="D221">
        <v>90</v>
      </c>
      <c r="E221">
        <v>3</v>
      </c>
      <c r="F221">
        <v>87</v>
      </c>
    </row>
    <row r="222" spans="1:6" x14ac:dyDescent="0.35">
      <c r="A222" t="s">
        <v>342</v>
      </c>
      <c r="B222" t="s">
        <v>512</v>
      </c>
      <c r="C222" t="s">
        <v>689</v>
      </c>
      <c r="D222">
        <v>30.86</v>
      </c>
      <c r="E222">
        <v>18.36</v>
      </c>
      <c r="F222">
        <v>12.5</v>
      </c>
    </row>
    <row r="223" spans="1:6" x14ac:dyDescent="0.35">
      <c r="A223" t="s">
        <v>214</v>
      </c>
      <c r="B223" t="s">
        <v>511</v>
      </c>
      <c r="C223" t="s">
        <v>632</v>
      </c>
      <c r="D223">
        <v>119.33000000000001</v>
      </c>
      <c r="E223">
        <v>98.330000000000013</v>
      </c>
      <c r="F223">
        <v>21</v>
      </c>
    </row>
    <row r="224" spans="1:6" x14ac:dyDescent="0.35">
      <c r="A224" t="s">
        <v>214</v>
      </c>
      <c r="B224" t="s">
        <v>511</v>
      </c>
      <c r="C224" t="s">
        <v>628</v>
      </c>
      <c r="D224">
        <v>4</v>
      </c>
      <c r="E224">
        <v>3</v>
      </c>
      <c r="F224">
        <v>1</v>
      </c>
    </row>
    <row r="225" spans="1:6" x14ac:dyDescent="0.35">
      <c r="A225" t="s">
        <v>214</v>
      </c>
      <c r="B225" t="s">
        <v>512</v>
      </c>
      <c r="C225" t="s">
        <v>692</v>
      </c>
      <c r="D225">
        <v>58.61</v>
      </c>
      <c r="E225">
        <v>21.26</v>
      </c>
      <c r="F225">
        <v>37.35</v>
      </c>
    </row>
    <row r="226" spans="1:6" x14ac:dyDescent="0.35">
      <c r="A226" t="s">
        <v>313</v>
      </c>
      <c r="B226" t="s">
        <v>511</v>
      </c>
      <c r="C226" t="s">
        <v>627</v>
      </c>
      <c r="E226">
        <v>1</v>
      </c>
    </row>
    <row r="227" spans="1:6" x14ac:dyDescent="0.35">
      <c r="A227" t="s">
        <v>319</v>
      </c>
      <c r="B227" t="s">
        <v>512</v>
      </c>
      <c r="C227" t="s">
        <v>688</v>
      </c>
      <c r="D227">
        <v>49.8</v>
      </c>
      <c r="E227">
        <v>16.8</v>
      </c>
      <c r="F227">
        <v>33</v>
      </c>
    </row>
    <row r="228" spans="1:6" x14ac:dyDescent="0.35">
      <c r="A228" t="s">
        <v>319</v>
      </c>
      <c r="B228" t="s">
        <v>512</v>
      </c>
      <c r="C228" t="s">
        <v>692</v>
      </c>
      <c r="D228">
        <v>55.730000000000004</v>
      </c>
      <c r="E228">
        <v>18.38</v>
      </c>
      <c r="F228">
        <v>37.35</v>
      </c>
    </row>
    <row r="229" spans="1:6" x14ac:dyDescent="0.35">
      <c r="A229" t="s">
        <v>319</v>
      </c>
      <c r="B229" t="s">
        <v>633</v>
      </c>
      <c r="C229" t="s">
        <v>632</v>
      </c>
      <c r="D229">
        <v>2017.43</v>
      </c>
      <c r="E229">
        <v>148.43</v>
      </c>
      <c r="F229">
        <v>1869</v>
      </c>
    </row>
    <row r="230" spans="1:6" x14ac:dyDescent="0.35">
      <c r="A230" t="s">
        <v>321</v>
      </c>
      <c r="B230" t="s">
        <v>511</v>
      </c>
      <c r="C230" t="s">
        <v>629</v>
      </c>
      <c r="D230">
        <v>10</v>
      </c>
      <c r="E230">
        <v>9</v>
      </c>
      <c r="F230">
        <v>1</v>
      </c>
    </row>
    <row r="231" spans="1:6" x14ac:dyDescent="0.35">
      <c r="A231" t="s">
        <v>321</v>
      </c>
      <c r="B231" t="s">
        <v>510</v>
      </c>
      <c r="C231" t="s">
        <v>630</v>
      </c>
      <c r="D231">
        <v>53</v>
      </c>
      <c r="E231">
        <v>10</v>
      </c>
      <c r="F231">
        <v>43</v>
      </c>
    </row>
    <row r="232" spans="1:6" x14ac:dyDescent="0.35">
      <c r="A232" t="s">
        <v>321</v>
      </c>
      <c r="B232" t="s">
        <v>512</v>
      </c>
      <c r="C232" t="s">
        <v>691</v>
      </c>
      <c r="D232">
        <v>449.55000000000007</v>
      </c>
      <c r="E232">
        <v>168.88000000000002</v>
      </c>
      <c r="F232">
        <v>280.67</v>
      </c>
    </row>
    <row r="233" spans="1:6" x14ac:dyDescent="0.35">
      <c r="A233" t="s">
        <v>321</v>
      </c>
      <c r="B233" t="s">
        <v>633</v>
      </c>
      <c r="C233" t="s">
        <v>632</v>
      </c>
      <c r="D233">
        <v>1988.43</v>
      </c>
      <c r="E233">
        <v>146.93</v>
      </c>
      <c r="F233">
        <v>1841.5</v>
      </c>
    </row>
    <row r="234" spans="1:6" x14ac:dyDescent="0.35">
      <c r="A234" t="s">
        <v>326</v>
      </c>
      <c r="B234" t="s">
        <v>511</v>
      </c>
      <c r="C234" t="s">
        <v>631</v>
      </c>
      <c r="D234">
        <v>28.29</v>
      </c>
      <c r="E234">
        <v>24.29</v>
      </c>
      <c r="F234">
        <v>4</v>
      </c>
    </row>
    <row r="235" spans="1:6" x14ac:dyDescent="0.35">
      <c r="A235" t="s">
        <v>326</v>
      </c>
      <c r="B235" t="s">
        <v>511</v>
      </c>
      <c r="C235" t="s">
        <v>632</v>
      </c>
      <c r="D235">
        <v>87.91</v>
      </c>
      <c r="E235">
        <v>70.91</v>
      </c>
      <c r="F235">
        <v>17</v>
      </c>
    </row>
    <row r="236" spans="1:6" x14ac:dyDescent="0.35">
      <c r="A236" t="s">
        <v>326</v>
      </c>
      <c r="B236" t="s">
        <v>512</v>
      </c>
      <c r="C236" t="s">
        <v>689</v>
      </c>
      <c r="D236">
        <v>36</v>
      </c>
      <c r="E236">
        <v>24</v>
      </c>
      <c r="F236">
        <v>12</v>
      </c>
    </row>
    <row r="237" spans="1:6" x14ac:dyDescent="0.35">
      <c r="A237" t="s">
        <v>327</v>
      </c>
      <c r="B237" t="s">
        <v>512</v>
      </c>
      <c r="C237" t="s">
        <v>688</v>
      </c>
      <c r="D237">
        <v>85.68</v>
      </c>
      <c r="E237">
        <v>40.08</v>
      </c>
      <c r="F237">
        <v>45.6</v>
      </c>
    </row>
    <row r="238" spans="1:6" x14ac:dyDescent="0.35">
      <c r="A238" t="s">
        <v>327</v>
      </c>
      <c r="B238" t="s">
        <v>633</v>
      </c>
      <c r="C238" t="s">
        <v>627</v>
      </c>
      <c r="D238">
        <v>31</v>
      </c>
      <c r="E238">
        <v>1</v>
      </c>
      <c r="F238">
        <v>30</v>
      </c>
    </row>
    <row r="239" spans="1:6" x14ac:dyDescent="0.35">
      <c r="A239" t="s">
        <v>327</v>
      </c>
      <c r="B239" t="s">
        <v>633</v>
      </c>
      <c r="C239" t="s">
        <v>631</v>
      </c>
      <c r="D239">
        <v>640</v>
      </c>
      <c r="E239">
        <v>39</v>
      </c>
      <c r="F239">
        <v>601</v>
      </c>
    </row>
    <row r="240" spans="1:6" x14ac:dyDescent="0.35">
      <c r="A240" t="s">
        <v>327</v>
      </c>
      <c r="B240" t="s">
        <v>633</v>
      </c>
      <c r="C240" t="s">
        <v>629</v>
      </c>
      <c r="D240">
        <v>156</v>
      </c>
      <c r="E240">
        <v>9</v>
      </c>
      <c r="F240">
        <v>147</v>
      </c>
    </row>
    <row r="241" spans="1:6" x14ac:dyDescent="0.35">
      <c r="A241" t="s">
        <v>466</v>
      </c>
      <c r="B241" t="s">
        <v>511</v>
      </c>
      <c r="C241" t="s">
        <v>631</v>
      </c>
      <c r="D241">
        <v>28</v>
      </c>
      <c r="E241">
        <v>24</v>
      </c>
      <c r="F241">
        <v>4</v>
      </c>
    </row>
    <row r="242" spans="1:6" x14ac:dyDescent="0.35">
      <c r="A242" t="s">
        <v>466</v>
      </c>
      <c r="B242" t="s">
        <v>511</v>
      </c>
      <c r="C242" t="s">
        <v>629</v>
      </c>
      <c r="D242">
        <v>8</v>
      </c>
      <c r="E242">
        <v>7</v>
      </c>
      <c r="F242">
        <v>1</v>
      </c>
    </row>
    <row r="243" spans="1:6" x14ac:dyDescent="0.35">
      <c r="A243" t="s">
        <v>466</v>
      </c>
      <c r="B243" t="s">
        <v>512</v>
      </c>
      <c r="C243" t="s">
        <v>687</v>
      </c>
      <c r="D243">
        <v>4</v>
      </c>
      <c r="E243">
        <v>3</v>
      </c>
      <c r="F243">
        <v>1</v>
      </c>
    </row>
    <row r="244" spans="1:6" x14ac:dyDescent="0.35">
      <c r="A244" t="s">
        <v>364</v>
      </c>
      <c r="B244" t="s">
        <v>633</v>
      </c>
      <c r="C244" t="s">
        <v>626</v>
      </c>
      <c r="D244">
        <v>9</v>
      </c>
      <c r="F244">
        <v>9</v>
      </c>
    </row>
    <row r="245" spans="1:6" x14ac:dyDescent="0.35">
      <c r="A245" t="s">
        <v>364</v>
      </c>
      <c r="B245" t="s">
        <v>633</v>
      </c>
      <c r="C245" t="s">
        <v>631</v>
      </c>
      <c r="D245">
        <v>660</v>
      </c>
      <c r="E245">
        <v>26</v>
      </c>
      <c r="F245">
        <v>634</v>
      </c>
    </row>
    <row r="246" spans="1:6" x14ac:dyDescent="0.35">
      <c r="A246" t="s">
        <v>365</v>
      </c>
      <c r="B246" t="s">
        <v>511</v>
      </c>
      <c r="C246" t="s">
        <v>631</v>
      </c>
      <c r="D246">
        <v>50.79</v>
      </c>
      <c r="E246">
        <v>42.79</v>
      </c>
      <c r="F246">
        <v>8</v>
      </c>
    </row>
    <row r="247" spans="1:6" x14ac:dyDescent="0.35">
      <c r="A247" t="s">
        <v>365</v>
      </c>
      <c r="B247" t="s">
        <v>512</v>
      </c>
      <c r="C247" t="s">
        <v>691</v>
      </c>
      <c r="D247">
        <v>325.23</v>
      </c>
      <c r="E247">
        <v>94.63</v>
      </c>
      <c r="F247">
        <v>230.60000000000002</v>
      </c>
    </row>
    <row r="248" spans="1:6" x14ac:dyDescent="0.35">
      <c r="A248" t="s">
        <v>366</v>
      </c>
      <c r="B248" t="s">
        <v>511</v>
      </c>
      <c r="C248" t="s">
        <v>631</v>
      </c>
      <c r="D248">
        <v>43</v>
      </c>
      <c r="E248">
        <v>38</v>
      </c>
      <c r="F248">
        <v>5</v>
      </c>
    </row>
    <row r="249" spans="1:6" x14ac:dyDescent="0.35">
      <c r="A249" t="s">
        <v>366</v>
      </c>
      <c r="B249" t="s">
        <v>511</v>
      </c>
      <c r="C249" t="s">
        <v>628</v>
      </c>
      <c r="D249">
        <v>6</v>
      </c>
      <c r="E249">
        <v>4</v>
      </c>
      <c r="F249">
        <v>2</v>
      </c>
    </row>
    <row r="250" spans="1:6" x14ac:dyDescent="0.35">
      <c r="A250" t="s">
        <v>341</v>
      </c>
      <c r="B250" t="s">
        <v>511</v>
      </c>
      <c r="C250" t="s">
        <v>629</v>
      </c>
      <c r="D250">
        <v>8</v>
      </c>
      <c r="E250">
        <v>7</v>
      </c>
      <c r="F250">
        <v>1</v>
      </c>
    </row>
    <row r="251" spans="1:6" x14ac:dyDescent="0.35">
      <c r="A251" t="s">
        <v>341</v>
      </c>
      <c r="B251" t="s">
        <v>609</v>
      </c>
      <c r="C251" t="s">
        <v>630</v>
      </c>
      <c r="D251">
        <v>247.25</v>
      </c>
      <c r="E251">
        <v>15.75</v>
      </c>
      <c r="F251">
        <v>231.5</v>
      </c>
    </row>
    <row r="252" spans="1:6" x14ac:dyDescent="0.35">
      <c r="A252" t="s">
        <v>341</v>
      </c>
      <c r="B252" t="s">
        <v>633</v>
      </c>
      <c r="C252" t="s">
        <v>627</v>
      </c>
      <c r="F252">
        <v>34</v>
      </c>
    </row>
    <row r="253" spans="1:6" x14ac:dyDescent="0.35">
      <c r="A253" t="s">
        <v>342</v>
      </c>
      <c r="B253" t="s">
        <v>511</v>
      </c>
      <c r="C253" t="s">
        <v>628</v>
      </c>
      <c r="D253">
        <v>5</v>
      </c>
      <c r="E253">
        <v>4</v>
      </c>
      <c r="F253">
        <v>1</v>
      </c>
    </row>
    <row r="254" spans="1:6" x14ac:dyDescent="0.35">
      <c r="A254" t="s">
        <v>342</v>
      </c>
      <c r="B254" t="s">
        <v>511</v>
      </c>
      <c r="C254" t="s">
        <v>629</v>
      </c>
      <c r="D254">
        <v>8</v>
      </c>
      <c r="E254">
        <v>7</v>
      </c>
      <c r="F254">
        <v>1</v>
      </c>
    </row>
    <row r="255" spans="1:6" x14ac:dyDescent="0.35">
      <c r="A255" t="s">
        <v>342</v>
      </c>
      <c r="B255" t="s">
        <v>511</v>
      </c>
      <c r="C255" t="s">
        <v>630</v>
      </c>
      <c r="D255">
        <v>43</v>
      </c>
      <c r="E255">
        <v>36</v>
      </c>
      <c r="F255">
        <v>7</v>
      </c>
    </row>
    <row r="256" spans="1:6" x14ac:dyDescent="0.35">
      <c r="A256" t="s">
        <v>342</v>
      </c>
      <c r="B256" t="s">
        <v>609</v>
      </c>
      <c r="C256" t="s">
        <v>631</v>
      </c>
      <c r="D256">
        <v>477.18</v>
      </c>
      <c r="E256">
        <v>18.25</v>
      </c>
      <c r="F256">
        <v>458.93</v>
      </c>
    </row>
    <row r="257" spans="1:6" x14ac:dyDescent="0.35">
      <c r="A257" t="s">
        <v>342</v>
      </c>
      <c r="B257" t="s">
        <v>633</v>
      </c>
      <c r="C257" t="s">
        <v>626</v>
      </c>
      <c r="D257">
        <v>4</v>
      </c>
      <c r="F257">
        <v>4</v>
      </c>
    </row>
    <row r="258" spans="1:6" x14ac:dyDescent="0.35">
      <c r="A258" t="s">
        <v>342</v>
      </c>
      <c r="B258" t="s">
        <v>633</v>
      </c>
      <c r="C258" t="s">
        <v>628</v>
      </c>
      <c r="D258">
        <v>74</v>
      </c>
      <c r="E258">
        <v>2</v>
      </c>
      <c r="F258">
        <v>72</v>
      </c>
    </row>
    <row r="259" spans="1:6" x14ac:dyDescent="0.35">
      <c r="A259" t="s">
        <v>342</v>
      </c>
      <c r="B259" t="s">
        <v>633</v>
      </c>
      <c r="C259" t="s">
        <v>630</v>
      </c>
      <c r="D259">
        <v>602</v>
      </c>
      <c r="E259">
        <v>31</v>
      </c>
      <c r="F259">
        <v>571</v>
      </c>
    </row>
    <row r="260" spans="1:6" x14ac:dyDescent="0.35">
      <c r="A260" t="s">
        <v>214</v>
      </c>
      <c r="B260" t="s">
        <v>511</v>
      </c>
      <c r="C260" t="s">
        <v>631</v>
      </c>
      <c r="D260">
        <v>27</v>
      </c>
      <c r="E260">
        <v>21</v>
      </c>
      <c r="F260">
        <v>6</v>
      </c>
    </row>
    <row r="261" spans="1:6" x14ac:dyDescent="0.35">
      <c r="A261" t="s">
        <v>214</v>
      </c>
      <c r="B261" t="s">
        <v>511</v>
      </c>
      <c r="C261" t="s">
        <v>630</v>
      </c>
      <c r="D261">
        <v>42</v>
      </c>
      <c r="E261">
        <v>36</v>
      </c>
      <c r="F261">
        <v>6</v>
      </c>
    </row>
    <row r="262" spans="1:6" x14ac:dyDescent="0.35">
      <c r="A262" t="s">
        <v>214</v>
      </c>
      <c r="B262" t="s">
        <v>609</v>
      </c>
      <c r="C262" t="s">
        <v>631</v>
      </c>
      <c r="D262">
        <v>478.93</v>
      </c>
      <c r="E262">
        <v>19</v>
      </c>
      <c r="F262">
        <v>459.93</v>
      </c>
    </row>
    <row r="263" spans="1:6" x14ac:dyDescent="0.35">
      <c r="A263" t="s">
        <v>214</v>
      </c>
      <c r="B263" t="s">
        <v>609</v>
      </c>
      <c r="C263" t="s">
        <v>630</v>
      </c>
      <c r="D263">
        <v>241.25</v>
      </c>
      <c r="E263">
        <v>12.5</v>
      </c>
      <c r="F263">
        <v>228.75</v>
      </c>
    </row>
    <row r="264" spans="1:6" x14ac:dyDescent="0.35">
      <c r="A264" t="s">
        <v>214</v>
      </c>
      <c r="B264" t="s">
        <v>633</v>
      </c>
      <c r="C264" t="s">
        <v>632</v>
      </c>
      <c r="D264">
        <v>2073.9299999999998</v>
      </c>
      <c r="E264">
        <v>130.93</v>
      </c>
      <c r="F264">
        <v>1943</v>
      </c>
    </row>
    <row r="265" spans="1:6" x14ac:dyDescent="0.35">
      <c r="A265" t="s">
        <v>313</v>
      </c>
      <c r="B265" t="s">
        <v>512</v>
      </c>
      <c r="C265" t="s">
        <v>693</v>
      </c>
      <c r="D265">
        <v>154.34</v>
      </c>
      <c r="E265">
        <v>144.79</v>
      </c>
      <c r="F265">
        <v>9.5500000000000007</v>
      </c>
    </row>
    <row r="266" spans="1:6" x14ac:dyDescent="0.35">
      <c r="A266" t="s">
        <v>313</v>
      </c>
      <c r="B266" t="s">
        <v>512</v>
      </c>
      <c r="C266" t="s">
        <v>688</v>
      </c>
      <c r="D266">
        <v>47</v>
      </c>
      <c r="E266">
        <v>14</v>
      </c>
      <c r="F266">
        <v>33</v>
      </c>
    </row>
    <row r="267" spans="1:6" x14ac:dyDescent="0.35">
      <c r="A267" t="s">
        <v>313</v>
      </c>
      <c r="B267" t="s">
        <v>512</v>
      </c>
      <c r="C267" t="s">
        <v>689</v>
      </c>
      <c r="D267">
        <v>32</v>
      </c>
      <c r="E267">
        <v>20</v>
      </c>
      <c r="F267">
        <v>12</v>
      </c>
    </row>
    <row r="268" spans="1:6" x14ac:dyDescent="0.35">
      <c r="A268" t="s">
        <v>313</v>
      </c>
      <c r="B268" t="s">
        <v>633</v>
      </c>
      <c r="C268" t="s">
        <v>626</v>
      </c>
      <c r="F268">
        <v>6</v>
      </c>
    </row>
    <row r="269" spans="1:6" x14ac:dyDescent="0.35">
      <c r="A269" t="s">
        <v>319</v>
      </c>
      <c r="B269" t="s">
        <v>510</v>
      </c>
      <c r="C269" t="s">
        <v>630</v>
      </c>
      <c r="D269">
        <v>54</v>
      </c>
      <c r="E269">
        <v>11</v>
      </c>
      <c r="F269">
        <v>43</v>
      </c>
    </row>
    <row r="270" spans="1:6" x14ac:dyDescent="0.35">
      <c r="A270" t="s">
        <v>319</v>
      </c>
      <c r="B270" t="s">
        <v>512</v>
      </c>
      <c r="C270" t="s">
        <v>689</v>
      </c>
      <c r="D270">
        <v>30</v>
      </c>
      <c r="E270">
        <v>19</v>
      </c>
      <c r="F270">
        <v>11</v>
      </c>
    </row>
    <row r="271" spans="1:6" x14ac:dyDescent="0.35">
      <c r="A271" t="s">
        <v>319</v>
      </c>
      <c r="B271" t="s">
        <v>633</v>
      </c>
      <c r="C271" t="s">
        <v>629</v>
      </c>
      <c r="D271">
        <v>152</v>
      </c>
      <c r="E271">
        <v>7</v>
      </c>
      <c r="F271">
        <v>145</v>
      </c>
    </row>
    <row r="272" spans="1:6" x14ac:dyDescent="0.35">
      <c r="A272" t="s">
        <v>321</v>
      </c>
      <c r="B272" t="s">
        <v>609</v>
      </c>
      <c r="C272" t="s">
        <v>631</v>
      </c>
      <c r="D272">
        <v>461.28999999999996</v>
      </c>
      <c r="E272">
        <v>14.5</v>
      </c>
      <c r="F272">
        <v>446.78999999999996</v>
      </c>
    </row>
    <row r="273" spans="1:6" x14ac:dyDescent="0.35">
      <c r="A273" t="s">
        <v>321</v>
      </c>
      <c r="B273" t="s">
        <v>609</v>
      </c>
      <c r="C273" t="s">
        <v>630</v>
      </c>
      <c r="D273">
        <v>235.85</v>
      </c>
      <c r="E273">
        <v>12.25</v>
      </c>
      <c r="F273">
        <v>223.6</v>
      </c>
    </row>
    <row r="274" spans="1:6" x14ac:dyDescent="0.35">
      <c r="A274" t="s">
        <v>326</v>
      </c>
      <c r="B274" t="s">
        <v>633</v>
      </c>
      <c r="C274" t="s">
        <v>627</v>
      </c>
      <c r="D274">
        <v>31</v>
      </c>
      <c r="E274">
        <v>1</v>
      </c>
      <c r="F274">
        <v>30</v>
      </c>
    </row>
    <row r="275" spans="1:6" x14ac:dyDescent="0.35">
      <c r="A275" t="s">
        <v>327</v>
      </c>
      <c r="B275" t="s">
        <v>511</v>
      </c>
      <c r="C275" t="s">
        <v>628</v>
      </c>
      <c r="E275">
        <v>4</v>
      </c>
    </row>
    <row r="276" spans="1:6" x14ac:dyDescent="0.35">
      <c r="A276" t="s">
        <v>327</v>
      </c>
      <c r="B276" t="s">
        <v>609</v>
      </c>
      <c r="C276" t="s">
        <v>631</v>
      </c>
      <c r="D276">
        <v>452.13</v>
      </c>
      <c r="E276">
        <v>23.25</v>
      </c>
      <c r="F276">
        <v>428.88</v>
      </c>
    </row>
    <row r="277" spans="1:6" x14ac:dyDescent="0.35">
      <c r="A277" t="s">
        <v>327</v>
      </c>
      <c r="B277" t="s">
        <v>609</v>
      </c>
      <c r="C277" t="s">
        <v>630</v>
      </c>
      <c r="D277">
        <v>222.29999999999998</v>
      </c>
      <c r="E277">
        <v>9.75</v>
      </c>
      <c r="F277">
        <v>212.54999999999998</v>
      </c>
    </row>
    <row r="278" spans="1:6" x14ac:dyDescent="0.35">
      <c r="A278" t="s">
        <v>466</v>
      </c>
      <c r="B278" t="s">
        <v>510</v>
      </c>
      <c r="C278" t="s">
        <v>631</v>
      </c>
      <c r="F278">
        <v>4</v>
      </c>
    </row>
    <row r="279" spans="1:6" x14ac:dyDescent="0.35">
      <c r="A279" t="s">
        <v>466</v>
      </c>
      <c r="B279" t="s">
        <v>510</v>
      </c>
      <c r="C279" t="s">
        <v>630</v>
      </c>
      <c r="D279">
        <v>53</v>
      </c>
      <c r="E279">
        <v>7</v>
      </c>
      <c r="F279">
        <v>46</v>
      </c>
    </row>
    <row r="280" spans="1:6" x14ac:dyDescent="0.35">
      <c r="A280" t="s">
        <v>466</v>
      </c>
      <c r="B280" t="s">
        <v>512</v>
      </c>
      <c r="C280" t="s">
        <v>692</v>
      </c>
      <c r="D280">
        <v>54.53</v>
      </c>
      <c r="E280">
        <v>15.82</v>
      </c>
      <c r="F280">
        <v>38.71</v>
      </c>
    </row>
    <row r="281" spans="1:6" x14ac:dyDescent="0.35">
      <c r="A281" t="s">
        <v>466</v>
      </c>
      <c r="B281" t="s">
        <v>633</v>
      </c>
      <c r="C281" t="s">
        <v>632</v>
      </c>
      <c r="D281">
        <v>1933.31</v>
      </c>
      <c r="E281">
        <v>138.32999999999998</v>
      </c>
      <c r="F281">
        <v>1794.98</v>
      </c>
    </row>
    <row r="282" spans="1:6" x14ac:dyDescent="0.35">
      <c r="A282" t="s">
        <v>466</v>
      </c>
      <c r="B282" t="s">
        <v>633</v>
      </c>
      <c r="C282" t="s">
        <v>629</v>
      </c>
      <c r="D282">
        <v>160</v>
      </c>
      <c r="E282">
        <v>5</v>
      </c>
      <c r="F282">
        <v>155</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
    <tabColor theme="9" tint="0.39997558519241921"/>
    <pageSetUpPr fitToPage="1"/>
  </sheetPr>
  <dimension ref="A1:Q64"/>
  <sheetViews>
    <sheetView showGridLines="0" zoomScaleNormal="100" workbookViewId="0">
      <pane ySplit="2" topLeftCell="A3" activePane="bottomLeft" state="frozen"/>
      <selection pane="bottomLeft"/>
    </sheetView>
  </sheetViews>
  <sheetFormatPr defaultRowHeight="14.5" x14ac:dyDescent="0.35"/>
  <cols>
    <col min="1" max="1" width="28.453125" customWidth="1"/>
    <col min="2" max="6" width="13.453125" customWidth="1"/>
  </cols>
  <sheetData>
    <row r="1" spans="1:6" ht="30" customHeight="1" x14ac:dyDescent="0.35">
      <c r="A1" s="514" t="s">
        <v>513</v>
      </c>
      <c r="B1" s="514"/>
      <c r="C1" s="514"/>
    </row>
    <row r="2" spans="1:6" x14ac:dyDescent="0.35">
      <c r="A2" s="499" t="s">
        <v>201</v>
      </c>
    </row>
    <row r="3" spans="1:6" x14ac:dyDescent="0.35">
      <c r="A3" s="25"/>
      <c r="B3" s="25"/>
      <c r="C3" s="25"/>
    </row>
    <row r="4" spans="1:6" ht="15.75" customHeight="1" x14ac:dyDescent="0.35">
      <c r="A4" s="1042" t="s">
        <v>776</v>
      </c>
      <c r="B4" s="1042"/>
      <c r="C4" s="1042"/>
      <c r="D4" s="1042"/>
      <c r="E4" s="1042"/>
      <c r="F4" s="1042"/>
    </row>
    <row r="5" spans="1:6" ht="15" customHeight="1" x14ac:dyDescent="0.35">
      <c r="A5" t="s">
        <v>202</v>
      </c>
      <c r="B5" t="s">
        <v>89</v>
      </c>
      <c r="C5" s="421"/>
      <c r="D5" s="297"/>
      <c r="E5" s="297"/>
      <c r="F5" s="297"/>
    </row>
    <row r="6" spans="1:6" ht="15" customHeight="1" x14ac:dyDescent="0.35">
      <c r="A6" t="s">
        <v>203</v>
      </c>
      <c r="B6" t="s">
        <v>204</v>
      </c>
      <c r="C6" s="421"/>
      <c r="D6" s="297"/>
      <c r="E6" s="297"/>
      <c r="F6" s="297"/>
    </row>
    <row r="7" spans="1:6" ht="15" customHeight="1" x14ac:dyDescent="0.35">
      <c r="A7" t="s">
        <v>205</v>
      </c>
      <c r="B7" t="s">
        <v>206</v>
      </c>
      <c r="C7" s="421"/>
      <c r="D7" s="297"/>
      <c r="E7" s="297"/>
      <c r="F7" s="297"/>
    </row>
    <row r="8" spans="1:6" ht="15.5" x14ac:dyDescent="0.35">
      <c r="A8" s="171"/>
      <c r="B8" s="169"/>
      <c r="C8" s="169"/>
      <c r="D8" s="175" t="s">
        <v>346</v>
      </c>
      <c r="E8" s="297"/>
      <c r="F8" s="106" t="s">
        <v>92</v>
      </c>
    </row>
    <row r="9" spans="1:6" x14ac:dyDescent="0.35">
      <c r="A9" s="307" t="s">
        <v>515</v>
      </c>
      <c r="B9" s="107" t="s">
        <v>745</v>
      </c>
      <c r="C9" s="107" t="s">
        <v>746</v>
      </c>
      <c r="D9" s="478" t="s">
        <v>340</v>
      </c>
      <c r="E9" s="310" t="s">
        <v>745</v>
      </c>
      <c r="F9" s="107" t="s">
        <v>746</v>
      </c>
    </row>
    <row r="10" spans="1:6" x14ac:dyDescent="0.35">
      <c r="A10" s="308" t="s">
        <v>643</v>
      </c>
      <c r="B10" s="309">
        <f>GETPIVOTDATA("Sum of Female",FTESexRolePivot!$A$3,"Type","WT","PostConv","Brigade Manager")</f>
        <v>0</v>
      </c>
      <c r="C10" s="309">
        <f>GETPIVOTDATA("Sum of Male",FTESexRolePivot!$A$3,"Type","WT","PostConv","Brigade Manager")</f>
        <v>5</v>
      </c>
      <c r="D10" s="734">
        <f>SUM(B10:C10)</f>
        <v>5</v>
      </c>
      <c r="E10" s="302">
        <f t="shared" ref="E10:E17" si="0">B10/(B10+C10)</f>
        <v>0</v>
      </c>
      <c r="F10" s="302">
        <f t="shared" ref="F10:F17" si="1">C10/(B10+C10)</f>
        <v>1</v>
      </c>
    </row>
    <row r="11" spans="1:6" x14ac:dyDescent="0.35">
      <c r="A11" s="112" t="s">
        <v>644</v>
      </c>
      <c r="B11" s="114">
        <f>GETPIVOTDATA("Sum of Female",FTESexRolePivot!$A$3,"Type","WT","PostConv","Area Manager")</f>
        <v>0</v>
      </c>
      <c r="C11" s="114">
        <f>GETPIVOTDATA("Sum of Male",FTESexRolePivot!$A$3,"Type","WT","PostConv","Area Manager")</f>
        <v>30</v>
      </c>
      <c r="D11" s="734">
        <f>SUM(B11:C11)</f>
        <v>30</v>
      </c>
      <c r="E11" s="115">
        <f t="shared" si="0"/>
        <v>0</v>
      </c>
      <c r="F11" s="115">
        <f t="shared" si="1"/>
        <v>1</v>
      </c>
    </row>
    <row r="12" spans="1:6" x14ac:dyDescent="0.35">
      <c r="A12" s="112" t="s">
        <v>645</v>
      </c>
      <c r="B12" s="114">
        <f>GETPIVOTDATA("Sum of Female",FTESexRolePivot!$A$3,"Type","WT","PostConv","Group Manager")</f>
        <v>9</v>
      </c>
      <c r="C12" s="114">
        <f>GETPIVOTDATA("Sum of Male",FTESexRolePivot!$A$3,"Type","WT","PostConv","Group Manager")</f>
        <v>63</v>
      </c>
      <c r="D12" s="734">
        <f t="shared" ref="D12:D16" si="2">SUM(B12:C12)</f>
        <v>72</v>
      </c>
      <c r="E12" s="115">
        <f t="shared" si="0"/>
        <v>0.125</v>
      </c>
      <c r="F12" s="115">
        <f t="shared" si="1"/>
        <v>0.875</v>
      </c>
    </row>
    <row r="13" spans="1:6" x14ac:dyDescent="0.35">
      <c r="A13" s="112" t="s">
        <v>646</v>
      </c>
      <c r="B13" s="114">
        <f>GETPIVOTDATA("Sum of Female",FTESexRolePivot!$A$3,"Type","WT","PostConv","Station Manager")</f>
        <v>5</v>
      </c>
      <c r="C13" s="114">
        <f>GETPIVOTDATA("Sum of Male",FTESexRolePivot!$A$3,"Type","WT","PostConv","Station Manager")</f>
        <v>155</v>
      </c>
      <c r="D13" s="734">
        <f t="shared" si="2"/>
        <v>160</v>
      </c>
      <c r="E13" s="115">
        <f t="shared" si="0"/>
        <v>3.125E-2</v>
      </c>
      <c r="F13" s="115">
        <f t="shared" si="1"/>
        <v>0.96875</v>
      </c>
    </row>
    <row r="14" spans="1:6" x14ac:dyDescent="0.35">
      <c r="A14" s="112" t="s">
        <v>647</v>
      </c>
      <c r="B14" s="114">
        <f>GETPIVOTDATA("Sum of Female",FTESexRolePivot!$A$3,"Type","WT","PostConv","Watch Manager")</f>
        <v>32</v>
      </c>
      <c r="C14" s="114">
        <f>GETPIVOTDATA("Sum of Male",FTESexRolePivot!$A$3,"Type","WT","PostConv","Watch Manager")</f>
        <v>572.77</v>
      </c>
      <c r="D14" s="734">
        <f t="shared" si="2"/>
        <v>604.77</v>
      </c>
      <c r="E14" s="115">
        <f t="shared" si="0"/>
        <v>5.2912677546835991E-2</v>
      </c>
      <c r="F14" s="115">
        <f t="shared" si="1"/>
        <v>0.94708732245316396</v>
      </c>
    </row>
    <row r="15" spans="1:6" x14ac:dyDescent="0.35">
      <c r="A15" s="112" t="s">
        <v>648</v>
      </c>
      <c r="B15" s="114">
        <f>GETPIVOTDATA("Sum of Female",FTESexRolePivot!$A$3,"Type","WT","PostConv","Crew Manager")</f>
        <v>35</v>
      </c>
      <c r="C15" s="114">
        <f>GETPIVOTDATA("Sum of Male",FTESexRolePivot!$A$3,"Type","WT","PostConv","Crew Manager")</f>
        <v>587</v>
      </c>
      <c r="D15" s="734">
        <f t="shared" si="2"/>
        <v>622</v>
      </c>
      <c r="E15" s="115">
        <f t="shared" si="0"/>
        <v>5.6270096463022508E-2</v>
      </c>
      <c r="F15" s="115">
        <f t="shared" si="1"/>
        <v>0.9437299035369775</v>
      </c>
    </row>
    <row r="16" spans="1:6" x14ac:dyDescent="0.35">
      <c r="A16" s="112" t="s">
        <v>632</v>
      </c>
      <c r="B16" s="114">
        <f>GETPIVOTDATA("Sum of Female",FTESexRolePivot!$A$3,"Type","WT","PostConv","Firefighter")</f>
        <v>138.32999999999998</v>
      </c>
      <c r="C16" s="114">
        <f>GETPIVOTDATA("Sum of Male",FTESexRolePivot!$A$3,"Type","WT","PostConv","Firefighter")</f>
        <v>1794.98</v>
      </c>
      <c r="D16" s="734">
        <f t="shared" si="2"/>
        <v>1933.31</v>
      </c>
      <c r="E16" s="115">
        <f t="shared" si="0"/>
        <v>7.155086354490485E-2</v>
      </c>
      <c r="F16" s="115">
        <f t="shared" si="1"/>
        <v>0.92844913645509519</v>
      </c>
    </row>
    <row r="17" spans="1:6" ht="15" thickBot="1" x14ac:dyDescent="0.4">
      <c r="A17" s="119" t="s">
        <v>764</v>
      </c>
      <c r="B17" s="735">
        <f>GETPIVOTDATA("Sum of Female",FTESexRolePivot!$A$3,"Type","WT")</f>
        <v>219.32999999999998</v>
      </c>
      <c r="C17" s="735">
        <f>GETPIVOTDATA("Sum of Male",FTESexRolePivot!$A$3,"Type","WT")</f>
        <v>3207.75</v>
      </c>
      <c r="D17" s="735">
        <f t="shared" ref="D17" si="3">SUM(D10:D16)</f>
        <v>3427.08</v>
      </c>
      <c r="E17" s="121">
        <f t="shared" si="0"/>
        <v>6.3999089603977724E-2</v>
      </c>
      <c r="F17" s="121">
        <f t="shared" si="1"/>
        <v>0.93600091039602229</v>
      </c>
    </row>
    <row r="18" spans="1:6" x14ac:dyDescent="0.35">
      <c r="A18" s="113"/>
      <c r="B18" s="736"/>
      <c r="C18" s="736"/>
      <c r="D18" s="737"/>
      <c r="E18" s="124"/>
      <c r="F18" s="124"/>
    </row>
    <row r="19" spans="1:6" x14ac:dyDescent="0.35">
      <c r="A19" s="307" t="s">
        <v>361</v>
      </c>
      <c r="B19" s="738"/>
      <c r="C19" s="738"/>
      <c r="D19" s="737"/>
      <c r="E19" s="303"/>
      <c r="F19" s="303"/>
    </row>
    <row r="20" spans="1:6" x14ac:dyDescent="0.35">
      <c r="A20" s="308" t="s">
        <v>647</v>
      </c>
      <c r="B20" s="739">
        <f>GETPIVOTDATA("Sum of Female",FTESexRolePivot!$A$3,"Type","RDS","PostConv","Watch Manager")</f>
        <v>9.35</v>
      </c>
      <c r="C20" s="739">
        <f>GETPIVOTDATA("Sum of Male",FTESexRolePivot!$A$3,"Type","RDS","PostConv","Watch Manager")</f>
        <v>202.35000000000002</v>
      </c>
      <c r="D20" s="740">
        <f>SUM(B20:C20)</f>
        <v>211.70000000000002</v>
      </c>
      <c r="E20" s="302">
        <f>B20/(B20+C20)</f>
        <v>4.4166273027869622E-2</v>
      </c>
      <c r="F20" s="302">
        <f>C20/(B20+C20)</f>
        <v>0.95583372697213043</v>
      </c>
    </row>
    <row r="21" spans="1:6" x14ac:dyDescent="0.35">
      <c r="A21" s="112" t="s">
        <v>648</v>
      </c>
      <c r="B21" s="741">
        <f>GETPIVOTDATA("Sum of Female",FTESexRolePivot!$A$3,"Type","RDS","PostConv","Crew Manager")</f>
        <v>24.7</v>
      </c>
      <c r="C21" s="741">
        <f>GETPIVOTDATA("Sum of Male",FTESexRolePivot!$A$3,"Type","RDS","PostConv","Crew Manager")</f>
        <v>406.72000000000008</v>
      </c>
      <c r="D21" s="742">
        <f t="shared" ref="D21:D22" si="4">SUM(B21:C21)</f>
        <v>431.42000000000007</v>
      </c>
      <c r="E21" s="115">
        <f>B21/(B21+C21)</f>
        <v>5.7252793101849692E-2</v>
      </c>
      <c r="F21" s="115">
        <f>C21/(B21+C21)</f>
        <v>0.94274720689815028</v>
      </c>
    </row>
    <row r="22" spans="1:6" x14ac:dyDescent="0.35">
      <c r="A22" s="112" t="s">
        <v>632</v>
      </c>
      <c r="B22" s="741">
        <f>GETPIVOTDATA("Sum of Female",FTESexRolePivot!$A$3,"Type","RDS","PostConv","Firefighter")</f>
        <v>141.16</v>
      </c>
      <c r="C22" s="741">
        <f>GETPIVOTDATA("Sum of Male",FTESexRolePivot!$A$3,"Type","RDS","PostConv","Firefighter")</f>
        <v>1509.6400000000008</v>
      </c>
      <c r="D22" s="743">
        <f t="shared" si="4"/>
        <v>1650.8000000000009</v>
      </c>
      <c r="E22" s="115">
        <f>B22/(B22+C22)</f>
        <v>8.551005573055484E-2</v>
      </c>
      <c r="F22" s="115">
        <f>C22/(B22+C22)</f>
        <v>0.91448994426944508</v>
      </c>
    </row>
    <row r="23" spans="1:6" ht="15" thickBot="1" x14ac:dyDescent="0.4">
      <c r="A23" s="119" t="s">
        <v>765</v>
      </c>
      <c r="B23" s="735">
        <f>SUM(B20:B22)</f>
        <v>175.20999999999998</v>
      </c>
      <c r="C23" s="735">
        <f t="shared" ref="C23:D23" si="5">SUM(C20:C22)</f>
        <v>2118.7100000000009</v>
      </c>
      <c r="D23" s="735">
        <f t="shared" si="5"/>
        <v>2293.920000000001</v>
      </c>
      <c r="E23" s="121">
        <f>B23/(B23+C23)</f>
        <v>7.6380170189021365E-2</v>
      </c>
      <c r="F23" s="121">
        <f>C23/(B23+C23)</f>
        <v>0.92361982981097857</v>
      </c>
    </row>
    <row r="24" spans="1:6" x14ac:dyDescent="0.35">
      <c r="A24" s="612"/>
      <c r="B24" s="744"/>
      <c r="C24" s="744"/>
      <c r="D24" s="744"/>
      <c r="E24" s="613"/>
      <c r="F24" s="613"/>
    </row>
    <row r="25" spans="1:6" x14ac:dyDescent="0.35">
      <c r="A25" s="108" t="s">
        <v>516</v>
      </c>
      <c r="B25" s="745"/>
      <c r="C25" s="745"/>
      <c r="D25" s="745"/>
      <c r="E25" s="616"/>
      <c r="F25" s="616"/>
    </row>
    <row r="26" spans="1:6" x14ac:dyDescent="0.35">
      <c r="A26" s="118" t="s">
        <v>648</v>
      </c>
      <c r="B26" s="936">
        <f>IFERROR( GETPIVOTDATA("Sum of Female",FTESexRolePivot!$A$3,"Type","RDS Fulltime","PostConv","Crew Manager"), "-")</f>
        <v>0</v>
      </c>
      <c r="C26" s="937">
        <f>IFERROR(GETPIVOTDATA("Sum of Male",FTESexRolePivot!$A$3,"Type","RDS Fulltime","PostConv","Crew Manager"), "-")</f>
        <v>4</v>
      </c>
      <c r="D26" s="744">
        <f>SUM(B26:C26)</f>
        <v>4</v>
      </c>
      <c r="E26" s="613"/>
      <c r="F26" s="613"/>
    </row>
    <row r="27" spans="1:6" x14ac:dyDescent="0.35">
      <c r="A27" s="112" t="s">
        <v>647</v>
      </c>
      <c r="B27" s="746">
        <f>IFERROR(GETPIVOTDATA("Sum of Female",FTESexRolePivot!$A$3,"Type","RDS Fulltime","PostConv","Watch Manager"), "-")</f>
        <v>7</v>
      </c>
      <c r="C27" s="855">
        <f>IFERROR(GETPIVOTDATA("Sum of Male",FTESexRolePivot!$A$3,"Type","RDS Fulltime","PostConv","Watch Manager"), "-")</f>
        <v>46</v>
      </c>
      <c r="D27" s="744">
        <f>SUM(B27:C27)</f>
        <v>53</v>
      </c>
      <c r="E27" s="115">
        <f>IFERROR(B27/(B27+C27), "-")</f>
        <v>0.13207547169811321</v>
      </c>
      <c r="F27" s="115">
        <f>IFERROR(C27/(C27+B27), "-")</f>
        <v>0.86792452830188682</v>
      </c>
    </row>
    <row r="28" spans="1:6" ht="15" thickBot="1" x14ac:dyDescent="0.4">
      <c r="A28" s="119" t="s">
        <v>777</v>
      </c>
      <c r="B28" s="735">
        <f>B27</f>
        <v>7</v>
      </c>
      <c r="C28" s="735">
        <f t="shared" ref="C28" si="6">C27</f>
        <v>46</v>
      </c>
      <c r="D28" s="735">
        <f>D27+D26</f>
        <v>57</v>
      </c>
      <c r="E28" s="620">
        <f>IFERROR(B28/(B28+C28), "-")</f>
        <v>0.13207547169811321</v>
      </c>
      <c r="F28" s="620">
        <f>IFERROR(C28/(C28+B28), "-")</f>
        <v>0.86792452830188682</v>
      </c>
    </row>
    <row r="29" spans="1:6" x14ac:dyDescent="0.35">
      <c r="A29" s="612"/>
      <c r="B29" s="744"/>
      <c r="C29" s="744"/>
      <c r="D29" s="744"/>
      <c r="E29" s="733"/>
      <c r="F29" s="733"/>
    </row>
    <row r="30" spans="1:6" x14ac:dyDescent="0.35">
      <c r="A30" s="108" t="s">
        <v>767</v>
      </c>
      <c r="B30" s="738"/>
      <c r="C30" s="738"/>
      <c r="D30" s="742"/>
      <c r="E30" s="127"/>
      <c r="F30" s="303"/>
    </row>
    <row r="31" spans="1:6" x14ac:dyDescent="0.35">
      <c r="A31" s="112" t="s">
        <v>644</v>
      </c>
      <c r="B31" s="938">
        <f>IFERROR(GETPIVOTDATA("Sum of Female",FTESexRolePivot!$A$3,"Type","Control","PostConv","Area Manager"), "-")</f>
        <v>1</v>
      </c>
      <c r="C31" s="938">
        <f>IFERROR(GETPIVOTDATA("Sum of Male",FTESexRolePivot!$A$3,"Type","Control","PostConv","Area Manager"), "-")</f>
        <v>0</v>
      </c>
      <c r="D31" s="397">
        <f>SUM(B31:C31)</f>
        <v>1</v>
      </c>
      <c r="E31" s="115">
        <f>IFERROR(B31/(B31+C31),0)</f>
        <v>1</v>
      </c>
      <c r="F31" s="302">
        <f>IFERROR(C31/(B31+C31),0)</f>
        <v>0</v>
      </c>
    </row>
    <row r="32" spans="1:6" x14ac:dyDescent="0.35">
      <c r="A32" s="112" t="s">
        <v>645</v>
      </c>
      <c r="B32" s="114">
        <f>GETPIVOTDATA("Sum of Female",FTESexRolePivot!$A$3,"Type","Control","PostConv","Group Manager")</f>
        <v>2</v>
      </c>
      <c r="C32" s="114">
        <f>GETPIVOTDATA("Sum of Male",FTESexRolePivot!$A$3,"Type","Control","PostConv","Group Manager")</f>
        <v>0</v>
      </c>
      <c r="D32" s="633">
        <f t="shared" ref="D32:D36" si="7">SUM(B32:C32)</f>
        <v>2</v>
      </c>
      <c r="E32" s="115">
        <f t="shared" ref="E32:E37" si="8">B32/(B32+C32)</f>
        <v>1</v>
      </c>
      <c r="F32" s="115">
        <f t="shared" ref="F32:F37" si="9">C32/(B32+C32)</f>
        <v>0</v>
      </c>
    </row>
    <row r="33" spans="1:6" x14ac:dyDescent="0.35">
      <c r="A33" s="112" t="s">
        <v>646</v>
      </c>
      <c r="B33" s="114">
        <f>GETPIVOTDATA("Sum of Female",FTESexRolePivot!$A$3,"Type","Control","PostConv","Station Manager")</f>
        <v>7</v>
      </c>
      <c r="C33" s="114">
        <f>GETPIVOTDATA("Sum of Male",FTESexRolePivot!$A$3,"Type","Control","PostConv","Station Manager")</f>
        <v>1</v>
      </c>
      <c r="D33" s="633">
        <f t="shared" si="7"/>
        <v>8</v>
      </c>
      <c r="E33" s="115">
        <f t="shared" si="8"/>
        <v>0.875</v>
      </c>
      <c r="F33" s="115">
        <f t="shared" si="9"/>
        <v>0.125</v>
      </c>
    </row>
    <row r="34" spans="1:6" x14ac:dyDescent="0.35">
      <c r="A34" s="112" t="s">
        <v>647</v>
      </c>
      <c r="B34" s="114">
        <f>GETPIVOTDATA("Sum of Female",FTESexRolePivot!$A$3,"Type","Control","PostConv","Watch Manager")</f>
        <v>29</v>
      </c>
      <c r="C34" s="114">
        <f>GETPIVOTDATA("Sum of Male",FTESexRolePivot!$A$3,"Type","Control","PostConv","Watch Manager")</f>
        <v>8</v>
      </c>
      <c r="D34" s="633">
        <f t="shared" si="7"/>
        <v>37</v>
      </c>
      <c r="E34" s="115">
        <f t="shared" si="8"/>
        <v>0.78378378378378377</v>
      </c>
      <c r="F34" s="115">
        <f t="shared" si="9"/>
        <v>0.21621621621621623</v>
      </c>
    </row>
    <row r="35" spans="1:6" x14ac:dyDescent="0.35">
      <c r="A35" s="112" t="s">
        <v>648</v>
      </c>
      <c r="B35" s="114">
        <f>GETPIVOTDATA("Sum of Female",FTESexRolePivot!$A$3,"Type","Control","PostConv","Crew Manager")</f>
        <v>24</v>
      </c>
      <c r="C35" s="114">
        <f>GETPIVOTDATA("Sum of Male",FTESexRolePivot!$A$3,"Type","Control","PostConv","Crew Manager")</f>
        <v>4</v>
      </c>
      <c r="D35" s="633">
        <f t="shared" si="7"/>
        <v>28</v>
      </c>
      <c r="E35" s="115">
        <f t="shared" si="8"/>
        <v>0.8571428571428571</v>
      </c>
      <c r="F35" s="115">
        <f t="shared" si="9"/>
        <v>0.14285714285714285</v>
      </c>
    </row>
    <row r="36" spans="1:6" x14ac:dyDescent="0.35">
      <c r="A36" s="112" t="s">
        <v>679</v>
      </c>
      <c r="B36" s="114">
        <f>GETPIVOTDATA("Sum of Female",FTESexRolePivot!$A$3,"Type","Control","PostConv","Firefighter")</f>
        <v>72.69</v>
      </c>
      <c r="C36" s="114">
        <f>GETPIVOTDATA("Sum of Male",FTESexRolePivot!$A$3,"Type","Control","PostConv","Firefighter")</f>
        <v>19</v>
      </c>
      <c r="D36" s="633">
        <f t="shared" si="7"/>
        <v>91.69</v>
      </c>
      <c r="E36" s="115">
        <f t="shared" si="8"/>
        <v>0.79278001963136657</v>
      </c>
      <c r="F36" s="115">
        <f t="shared" si="9"/>
        <v>0.20721998036863346</v>
      </c>
    </row>
    <row r="37" spans="1:6" ht="15" thickBot="1" x14ac:dyDescent="0.4">
      <c r="A37" s="129" t="s">
        <v>768</v>
      </c>
      <c r="B37" s="735">
        <f>GETPIVOTDATA("Sum of Female",FTESexRolePivot!$A$3,"Type","Control")</f>
        <v>135.69</v>
      </c>
      <c r="C37" s="735">
        <f>GETPIVOTDATA("Sum of Male",FTESexRolePivot!$A$3,"Type","Control")</f>
        <v>32</v>
      </c>
      <c r="D37" s="632">
        <f>SUM(B37:C37)</f>
        <v>167.69</v>
      </c>
      <c r="E37" s="121">
        <f t="shared" si="8"/>
        <v>0.80917168584888788</v>
      </c>
      <c r="F37" s="121">
        <f t="shared" si="9"/>
        <v>0.19082831415111218</v>
      </c>
    </row>
    <row r="38" spans="1:6" x14ac:dyDescent="0.35">
      <c r="A38" s="113"/>
      <c r="B38" s="736"/>
      <c r="C38" s="741"/>
      <c r="D38" s="742"/>
      <c r="E38" s="124"/>
      <c r="F38" s="124"/>
    </row>
    <row r="39" spans="1:6" x14ac:dyDescent="0.35">
      <c r="A39" s="139" t="s">
        <v>743</v>
      </c>
      <c r="B39" s="747"/>
      <c r="C39" s="741"/>
      <c r="D39" s="742"/>
      <c r="E39" s="124"/>
      <c r="F39" s="124"/>
    </row>
    <row r="40" spans="1:6" x14ac:dyDescent="0.35">
      <c r="A40" s="308" t="s">
        <v>687</v>
      </c>
      <c r="B40" s="739">
        <f>GETPIVOTDATA("Sum of Female",FTESexRolePivot!$A$3,"Type","Support","PostConv","Director")</f>
        <v>3</v>
      </c>
      <c r="C40" s="739">
        <f>GETPIVOTDATA("Sum of Male",FTESexRolePivot!$A$3,"Type","Support","PostConv","Director")</f>
        <v>1</v>
      </c>
      <c r="D40" s="740">
        <f>SUM(B40:C40)</f>
        <v>4</v>
      </c>
      <c r="E40" s="302">
        <f>IFERROR(B40/(B40+C40),0)</f>
        <v>0.75</v>
      </c>
      <c r="F40" s="302">
        <f>IFERROR(C40/(B40+C40),0)</f>
        <v>0.25</v>
      </c>
    </row>
    <row r="41" spans="1:6" x14ac:dyDescent="0.35">
      <c r="A41" s="112" t="s">
        <v>688</v>
      </c>
      <c r="B41" s="741">
        <f>GETPIVOTDATA("Sum of Female",FTESexRolePivot!$A$3,"Type","Support","PostConv","Service Manager")</f>
        <v>43.489999999999995</v>
      </c>
      <c r="C41" s="741">
        <f>GETPIVOTDATA("Sum of Male",FTESexRolePivot!$A$3,"Type","Support","PostConv","Service Manager")</f>
        <v>50.6</v>
      </c>
      <c r="D41" s="742">
        <f t="shared" ref="D41:D46" si="10">SUM(B41:C41)</f>
        <v>94.09</v>
      </c>
      <c r="E41" s="115">
        <f t="shared" ref="E41:E46" si="11">B41/(B41+C41)</f>
        <v>0.46221702625146127</v>
      </c>
      <c r="F41" s="115">
        <f t="shared" ref="F41:F46" si="12">C41/(B41+C41)</f>
        <v>0.53778297374853867</v>
      </c>
    </row>
    <row r="42" spans="1:6" x14ac:dyDescent="0.35">
      <c r="A42" s="112" t="s">
        <v>689</v>
      </c>
      <c r="B42" s="741">
        <f>GETPIVOTDATA("Sum of Female",FTESexRolePivot!$A$3,"Type","Support","PostConv","Team Leader")</f>
        <v>24</v>
      </c>
      <c r="C42" s="741">
        <f>GETPIVOTDATA("Sum of Male",FTESexRolePivot!$A$3,"Type","Support","PostConv","Team Leader")</f>
        <v>11</v>
      </c>
      <c r="D42" s="742">
        <f t="shared" si="10"/>
        <v>35</v>
      </c>
      <c r="E42" s="115">
        <f t="shared" si="11"/>
        <v>0.68571428571428572</v>
      </c>
      <c r="F42" s="115">
        <f t="shared" si="12"/>
        <v>0.31428571428571428</v>
      </c>
    </row>
    <row r="43" spans="1:6" x14ac:dyDescent="0.35">
      <c r="A43" s="112" t="s">
        <v>690</v>
      </c>
      <c r="B43" s="741">
        <f>GETPIVOTDATA("Sum of Female",FTESexRolePivot!$A$3,"Type","Support","PostConv","Professional")</f>
        <v>44.239999999999995</v>
      </c>
      <c r="C43" s="741">
        <f>GETPIVOTDATA("Sum of Male",FTESexRolePivot!$A$3,"Type","Support","PostConv","Professional")</f>
        <v>45</v>
      </c>
      <c r="D43" s="742">
        <f t="shared" si="10"/>
        <v>89.24</v>
      </c>
      <c r="E43" s="115">
        <f t="shared" si="11"/>
        <v>0.49574181981174359</v>
      </c>
      <c r="F43" s="115">
        <f t="shared" si="12"/>
        <v>0.50425818018825641</v>
      </c>
    </row>
    <row r="44" spans="1:6" x14ac:dyDescent="0.35">
      <c r="A44" s="112" t="s">
        <v>769</v>
      </c>
      <c r="B44" s="741">
        <f>GETPIVOTDATA("Sum of Female",FTESexRolePivot!$A$3,"Type","Support","PostConv","Specialist Technical")</f>
        <v>203.35</v>
      </c>
      <c r="C44" s="741">
        <f>GETPIVOTDATA("Sum of Male",FTESexRolePivot!$A$3,"Type","Support","PostConv","Specialist Technical")</f>
        <v>244.26</v>
      </c>
      <c r="D44" s="742">
        <f t="shared" si="10"/>
        <v>447.61</v>
      </c>
      <c r="E44" s="115">
        <f t="shared" si="11"/>
        <v>0.45430173588615086</v>
      </c>
      <c r="F44" s="115">
        <f t="shared" si="12"/>
        <v>0.54569826411384903</v>
      </c>
    </row>
    <row r="45" spans="1:6" x14ac:dyDescent="0.35">
      <c r="A45" s="112" t="s">
        <v>701</v>
      </c>
      <c r="B45" s="736">
        <f>GETPIVOTDATA("Sum of Female",FTESexRolePivot!$A$3,"Type","Support","PostConv","Tech Support")</f>
        <v>15.82</v>
      </c>
      <c r="C45" s="736">
        <f>GETPIVOTDATA("Sum of Male",FTESexRolePivot!$A$3,"Type","Support","PostConv","Tech Support")</f>
        <v>38.71</v>
      </c>
      <c r="D45" s="742">
        <f t="shared" si="10"/>
        <v>54.53</v>
      </c>
      <c r="E45" s="115">
        <f t="shared" si="11"/>
        <v>0.29011553273427471</v>
      </c>
      <c r="F45" s="115">
        <f t="shared" si="12"/>
        <v>0.70988446726572529</v>
      </c>
    </row>
    <row r="46" spans="1:6" x14ac:dyDescent="0.35">
      <c r="A46" s="112" t="s">
        <v>693</v>
      </c>
      <c r="B46" s="736">
        <f>GETPIVOTDATA("Sum of Female",FTESexRolePivot!$A$3,"Type","Support","PostConv","Administration")</f>
        <v>116.24999999999999</v>
      </c>
      <c r="C46" s="736">
        <f>GETPIVOTDATA("Sum of Male",FTESexRolePivot!$A$3,"Type","Support","PostConv","Administration")</f>
        <v>12.87</v>
      </c>
      <c r="D46" s="742">
        <f t="shared" si="10"/>
        <v>129.11999999999998</v>
      </c>
      <c r="E46" s="115">
        <f t="shared" si="11"/>
        <v>0.90032527881040902</v>
      </c>
      <c r="F46" s="115">
        <f t="shared" si="12"/>
        <v>9.9674721189591087E-2</v>
      </c>
    </row>
    <row r="47" spans="1:6" ht="15" thickBot="1" x14ac:dyDescent="0.4">
      <c r="A47" s="129" t="s">
        <v>770</v>
      </c>
      <c r="B47" s="735">
        <f>GETPIVOTDATA("Sum of Female",FTESexRolePivot!$A$3,"Type","Support")</f>
        <v>450.14999999999992</v>
      </c>
      <c r="C47" s="735">
        <f>GETPIVOTDATA("Sum of Male",FTESexRolePivot!$A$3,"Type","Support")</f>
        <v>403.44</v>
      </c>
      <c r="D47" s="735">
        <f t="shared" ref="D47" si="13">SUM(D40:D46)</f>
        <v>853.59</v>
      </c>
      <c r="E47" s="121">
        <f>B47/(B47+C47)</f>
        <v>0.52736091097599547</v>
      </c>
      <c r="F47" s="121">
        <f>C47/(B47+C47)</f>
        <v>0.47263908902400453</v>
      </c>
    </row>
    <row r="48" spans="1:6" ht="15" thickBot="1" x14ac:dyDescent="0.4">
      <c r="A48" s="126"/>
      <c r="B48" s="738"/>
      <c r="C48" s="741"/>
      <c r="D48" s="742"/>
      <c r="E48" s="121"/>
      <c r="F48" s="121"/>
    </row>
    <row r="49" spans="1:17" ht="15" thickBot="1" x14ac:dyDescent="0.4">
      <c r="A49" s="137" t="s">
        <v>753</v>
      </c>
      <c r="B49" s="630">
        <f t="shared" ref="B49:C49" si="14">B47+B37+B23+B17+B28</f>
        <v>987.37999999999988</v>
      </c>
      <c r="C49" s="630">
        <f t="shared" si="14"/>
        <v>5807.9000000000015</v>
      </c>
      <c r="D49" s="630">
        <f>D47+D37+D23+D17+D28</f>
        <v>6799.2800000000007</v>
      </c>
      <c r="E49" s="121">
        <f t="shared" ref="E49" si="15">B49/(B49+C49)</f>
        <v>0.14530379910761582</v>
      </c>
      <c r="F49" s="121">
        <f t="shared" ref="F49" si="16">C49/(B49+C49)</f>
        <v>0.85469620089238418</v>
      </c>
    </row>
    <row r="50" spans="1:17" x14ac:dyDescent="0.35">
      <c r="A50" s="25"/>
      <c r="B50" s="25"/>
      <c r="C50" s="25"/>
      <c r="D50" s="25"/>
      <c r="E50" s="25"/>
      <c r="F50" s="25"/>
    </row>
    <row r="51" spans="1:17" x14ac:dyDescent="0.35">
      <c r="A51" s="335" t="s">
        <v>329</v>
      </c>
      <c r="B51" s="339"/>
      <c r="C51" s="339"/>
      <c r="D51" s="339"/>
      <c r="E51" s="339"/>
      <c r="F51" s="339"/>
    </row>
    <row r="52" spans="1:17" ht="60" customHeight="1" x14ac:dyDescent="0.35">
      <c r="A52" s="1020" t="s">
        <v>659</v>
      </c>
      <c r="B52" s="1020"/>
      <c r="C52" s="1020"/>
      <c r="D52" s="1020"/>
      <c r="E52" s="1020"/>
      <c r="F52" s="1020"/>
      <c r="G52" s="1020"/>
    </row>
    <row r="53" spans="1:17" ht="45.75" customHeight="1" x14ac:dyDescent="0.35">
      <c r="A53" s="1028" t="s">
        <v>709</v>
      </c>
      <c r="B53" s="1028"/>
      <c r="C53" s="1028"/>
      <c r="D53" s="1028"/>
      <c r="E53" s="1028"/>
      <c r="F53" s="1028"/>
      <c r="G53" s="1028"/>
      <c r="H53" s="1028"/>
      <c r="I53" s="1028"/>
    </row>
    <row r="54" spans="1:17" x14ac:dyDescent="0.35">
      <c r="A54" s="451" t="s">
        <v>704</v>
      </c>
      <c r="H54" s="345"/>
    </row>
    <row r="55" spans="1:17" x14ac:dyDescent="0.35">
      <c r="A55" s="1045" t="s">
        <v>705</v>
      </c>
      <c r="B55" s="1045"/>
      <c r="C55" s="1045"/>
      <c r="D55" s="1045"/>
      <c r="E55" s="1045"/>
      <c r="F55" s="1045"/>
      <c r="H55" s="345"/>
    </row>
    <row r="56" spans="1:17" x14ac:dyDescent="0.35">
      <c r="A56" s="563" t="s">
        <v>702</v>
      </c>
      <c r="H56" s="345"/>
    </row>
    <row r="57" spans="1:17" ht="15" customHeight="1" x14ac:dyDescent="0.35">
      <c r="A57" s="458" t="s">
        <v>522</v>
      </c>
      <c r="H57" s="377"/>
    </row>
    <row r="58" spans="1:17" ht="15" customHeight="1" x14ac:dyDescent="0.35">
      <c r="A58" s="370" t="s">
        <v>711</v>
      </c>
      <c r="H58" s="451"/>
    </row>
    <row r="59" spans="1:17" ht="16" customHeight="1" x14ac:dyDescent="0.35">
      <c r="A59" s="1014" t="s">
        <v>523</v>
      </c>
      <c r="B59" s="1014"/>
      <c r="C59" s="485"/>
      <c r="D59" s="485"/>
      <c r="E59" s="485"/>
      <c r="F59" s="485"/>
      <c r="H59" s="458"/>
    </row>
    <row r="60" spans="1:17" x14ac:dyDescent="0.35">
      <c r="H60" s="370"/>
    </row>
    <row r="61" spans="1:17" ht="15" customHeight="1" x14ac:dyDescent="0.35">
      <c r="A61" s="593"/>
      <c r="B61" s="593"/>
      <c r="C61" s="593"/>
      <c r="D61" s="593"/>
      <c r="E61" s="593"/>
      <c r="F61" s="593"/>
      <c r="G61" s="593"/>
      <c r="H61" s="593"/>
      <c r="I61" s="593"/>
      <c r="J61" s="485"/>
      <c r="K61" s="485"/>
      <c r="L61" s="485"/>
      <c r="M61" s="485"/>
      <c r="N61" s="485"/>
      <c r="O61" s="485"/>
      <c r="P61" s="485"/>
      <c r="Q61" s="485"/>
    </row>
    <row r="62" spans="1:17" x14ac:dyDescent="0.35">
      <c r="A62" s="1028"/>
      <c r="B62" s="1028"/>
      <c r="C62" s="1028"/>
      <c r="D62" s="1028"/>
      <c r="E62" s="1028"/>
      <c r="F62" s="1028"/>
      <c r="G62" s="1028"/>
      <c r="H62" s="339"/>
    </row>
    <row r="63" spans="1:17" x14ac:dyDescent="0.35">
      <c r="A63" s="1044"/>
      <c r="B63" s="1044"/>
      <c r="C63" s="1044"/>
      <c r="D63" s="1044"/>
      <c r="E63" s="1044"/>
      <c r="F63" s="1044"/>
      <c r="G63" s="339"/>
    </row>
    <row r="64" spans="1:17" x14ac:dyDescent="0.35">
      <c r="G64" s="339"/>
    </row>
  </sheetData>
  <sheetProtection algorithmName="SHA-512" hashValue="cTHM9n2DzX1x0xw++I1QlylsfeFHuBeA9/d2bn4H723je5yrLBbHBo08RkyopzYa5+TtqSC2NE6p9nmbRVMzuQ==" saltValue="DWvyPv283Bs5/jA9WgQoMw==" spinCount="100000" sheet="1" scenarios="1" formatCells="0" sort="0" autoFilter="0" pivotTables="0"/>
  <mergeCells count="7">
    <mergeCell ref="A4:F4"/>
    <mergeCell ref="A62:G62"/>
    <mergeCell ref="A63:F63"/>
    <mergeCell ref="A55:F55"/>
    <mergeCell ref="A53:I53"/>
    <mergeCell ref="A52:G52"/>
    <mergeCell ref="A59:B59"/>
  </mergeCells>
  <hyperlinks>
    <hyperlink ref="A2" location="'Table of Contents'!A1" display="Back to Table of Contents" xr:uid="{00000000-0004-0000-5D00-000000000000}"/>
  </hyperlinks>
  <pageMargins left="0.70866141732283472" right="0.70866141732283472" top="0.74803149606299213" bottom="0.74803149606299213" header="0.31496062992125984" footer="0.31496062992125984"/>
  <pageSetup paperSize="9" scale="79" orientation="portrait" r:id="rId1"/>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G17"/>
  <sheetViews>
    <sheetView workbookViewId="0">
      <selection activeCell="B7" sqref="B7"/>
    </sheetView>
  </sheetViews>
  <sheetFormatPr defaultRowHeight="14.5" x14ac:dyDescent="0.35"/>
  <cols>
    <col min="1" max="1" width="12.36328125" bestFit="1" customWidth="1"/>
    <col min="2" max="2" width="27.1796875" bestFit="1" customWidth="1"/>
    <col min="3" max="3" width="25.81640625" bestFit="1" customWidth="1"/>
    <col min="4" max="4" width="22.6328125" bestFit="1" customWidth="1"/>
    <col min="5" max="5" width="13.453125" bestFit="1" customWidth="1"/>
    <col min="6" max="6" width="18.36328125" bestFit="1" customWidth="1"/>
    <col min="7" max="7" width="15.54296875" bestFit="1" customWidth="1"/>
    <col min="8" max="8" width="32" bestFit="1" customWidth="1"/>
    <col min="9" max="9" width="30.54296875" bestFit="1" customWidth="1"/>
    <col min="10" max="10" width="27.453125" bestFit="1" customWidth="1"/>
    <col min="11" max="11" width="18.26953125" bestFit="1" customWidth="1"/>
    <col min="12" max="12" width="23.1796875" bestFit="1" customWidth="1"/>
    <col min="13" max="13" width="20.453125" bestFit="1" customWidth="1"/>
    <col min="14" max="14" width="25.81640625" bestFit="1" customWidth="1"/>
    <col min="15" max="25" width="5.453125" bestFit="1" customWidth="1"/>
    <col min="26" max="26" width="22.54296875" bestFit="1" customWidth="1"/>
    <col min="27" max="37" width="5.453125" bestFit="1" customWidth="1"/>
    <col min="38" max="38" width="13.453125" bestFit="1" customWidth="1"/>
    <col min="39" max="49" width="5.453125" bestFit="1" customWidth="1"/>
    <col min="50" max="50" width="18.453125" bestFit="1" customWidth="1"/>
    <col min="51" max="61" width="5.453125" bestFit="1" customWidth="1"/>
    <col min="62" max="62" width="15.54296875" bestFit="1" customWidth="1"/>
    <col min="63" max="73" width="5.453125" bestFit="1" customWidth="1"/>
    <col min="74" max="74" width="32" bestFit="1" customWidth="1"/>
    <col min="75" max="75" width="30.54296875" bestFit="1" customWidth="1"/>
    <col min="76" max="76" width="27.453125" bestFit="1" customWidth="1"/>
    <col min="77" max="77" width="18.26953125" bestFit="1" customWidth="1"/>
    <col min="78" max="78" width="23.1796875" bestFit="1" customWidth="1"/>
    <col min="79" max="79" width="20.453125" bestFit="1" customWidth="1"/>
    <col min="80" max="80" width="14.81640625" bestFit="1" customWidth="1"/>
    <col min="81" max="81" width="19.81640625" bestFit="1" customWidth="1"/>
    <col min="82" max="82" width="17.1796875" bestFit="1" customWidth="1"/>
    <col min="83" max="83" width="27.26953125" bestFit="1" customWidth="1"/>
    <col min="84" max="84" width="24.1796875" bestFit="1" customWidth="1"/>
    <col min="85" max="85" width="14.81640625" bestFit="1" customWidth="1"/>
    <col min="86" max="86" width="19.81640625" bestFit="1" customWidth="1"/>
    <col min="87" max="87" width="17.1796875" bestFit="1" customWidth="1"/>
    <col min="88" max="88" width="27.26953125" bestFit="1" customWidth="1"/>
    <col min="89" max="89" width="24.1796875" bestFit="1" customWidth="1"/>
    <col min="90" max="90" width="14.81640625" bestFit="1" customWidth="1"/>
    <col min="91" max="91" width="19.81640625" bestFit="1" customWidth="1"/>
    <col min="92" max="92" width="17.1796875" bestFit="1" customWidth="1"/>
    <col min="93" max="93" width="27.26953125" bestFit="1" customWidth="1"/>
    <col min="94" max="94" width="24.1796875" bestFit="1" customWidth="1"/>
    <col min="95" max="95" width="14.81640625" bestFit="1" customWidth="1"/>
    <col min="96" max="96" width="19.81640625" bestFit="1" customWidth="1"/>
    <col min="97" max="97" width="17.1796875" bestFit="1" customWidth="1"/>
    <col min="98" max="98" width="27.26953125" bestFit="1" customWidth="1"/>
    <col min="99" max="99" width="24.1796875" bestFit="1" customWidth="1"/>
    <col min="100" max="100" width="14.81640625" bestFit="1" customWidth="1"/>
    <col min="101" max="101" width="19.81640625" bestFit="1" customWidth="1"/>
    <col min="102" max="102" width="17.1796875" bestFit="1" customWidth="1"/>
    <col min="103" max="103" width="27.26953125" bestFit="1" customWidth="1"/>
    <col min="104" max="104" width="24.1796875" bestFit="1" customWidth="1"/>
    <col min="105" max="105" width="14.81640625" bestFit="1" customWidth="1"/>
    <col min="106" max="106" width="19.81640625" bestFit="1" customWidth="1"/>
    <col min="107" max="107" width="17.1796875" bestFit="1" customWidth="1"/>
    <col min="108" max="108" width="27.26953125" bestFit="1" customWidth="1"/>
    <col min="109" max="109" width="24.1796875" bestFit="1" customWidth="1"/>
    <col min="110" max="110" width="14.81640625" bestFit="1" customWidth="1"/>
    <col min="111" max="111" width="19.81640625" bestFit="1" customWidth="1"/>
    <col min="112" max="112" width="17.1796875" bestFit="1" customWidth="1"/>
    <col min="113" max="113" width="27.26953125" bestFit="1" customWidth="1"/>
    <col min="114" max="114" width="24.1796875" bestFit="1" customWidth="1"/>
    <col min="115" max="115" width="14.81640625" bestFit="1" customWidth="1"/>
    <col min="116" max="116" width="19.81640625" bestFit="1" customWidth="1"/>
    <col min="117" max="117" width="17.1796875" bestFit="1" customWidth="1"/>
    <col min="118" max="118" width="27.26953125" bestFit="1" customWidth="1"/>
    <col min="119" max="119" width="24.1796875" bestFit="1" customWidth="1"/>
    <col min="120" max="120" width="14.81640625" bestFit="1" customWidth="1"/>
    <col min="121" max="121" width="19.81640625" bestFit="1" customWidth="1"/>
    <col min="122" max="122" width="17.1796875" bestFit="1" customWidth="1"/>
    <col min="123" max="123" width="27.26953125" bestFit="1" customWidth="1"/>
    <col min="124" max="124" width="24.1796875" bestFit="1" customWidth="1"/>
    <col min="125" max="125" width="14.81640625" bestFit="1" customWidth="1"/>
    <col min="126" max="126" width="19.81640625" bestFit="1" customWidth="1"/>
    <col min="127" max="127" width="17.1796875" bestFit="1" customWidth="1"/>
    <col min="128" max="128" width="27.26953125" bestFit="1" customWidth="1"/>
    <col min="129" max="129" width="24.1796875" bestFit="1" customWidth="1"/>
    <col min="130" max="130" width="14.81640625" bestFit="1" customWidth="1"/>
    <col min="131" max="131" width="19.81640625" bestFit="1" customWidth="1"/>
    <col min="132" max="132" width="17.1796875" bestFit="1" customWidth="1"/>
    <col min="133" max="133" width="27.26953125" bestFit="1" customWidth="1"/>
    <col min="134" max="134" width="24.1796875" bestFit="1" customWidth="1"/>
    <col min="135" max="135" width="14.81640625" bestFit="1" customWidth="1"/>
    <col min="136" max="136" width="19.81640625" bestFit="1" customWidth="1"/>
    <col min="137" max="137" width="17.1796875" bestFit="1" customWidth="1"/>
    <col min="138" max="138" width="27.26953125" bestFit="1" customWidth="1"/>
    <col min="139" max="139" width="24.1796875" bestFit="1" customWidth="1"/>
    <col min="140" max="140" width="14.81640625" bestFit="1" customWidth="1"/>
    <col min="141" max="141" width="19.81640625" bestFit="1" customWidth="1"/>
    <col min="142" max="142" width="17.1796875" bestFit="1" customWidth="1"/>
    <col min="143" max="143" width="27.26953125" bestFit="1" customWidth="1"/>
    <col min="144" max="144" width="24.1796875" bestFit="1" customWidth="1"/>
    <col min="145" max="145" width="14.81640625" bestFit="1" customWidth="1"/>
    <col min="146" max="146" width="19.81640625" bestFit="1" customWidth="1"/>
    <col min="147" max="147" width="17.1796875" bestFit="1" customWidth="1"/>
    <col min="148" max="148" width="27.26953125" bestFit="1" customWidth="1"/>
    <col min="149" max="149" width="24.1796875" bestFit="1" customWidth="1"/>
    <col min="150" max="150" width="14.81640625" bestFit="1" customWidth="1"/>
    <col min="151" max="151" width="19.81640625" bestFit="1" customWidth="1"/>
    <col min="152" max="152" width="17.1796875" bestFit="1" customWidth="1"/>
    <col min="153" max="153" width="27.26953125" bestFit="1" customWidth="1"/>
    <col min="154" max="154" width="24.1796875" bestFit="1" customWidth="1"/>
    <col min="155" max="155" width="14.81640625" bestFit="1" customWidth="1"/>
    <col min="156" max="156" width="19.81640625" bestFit="1" customWidth="1"/>
    <col min="157" max="157" width="17.1796875" bestFit="1" customWidth="1"/>
    <col min="158" max="158" width="27.26953125" bestFit="1" customWidth="1"/>
    <col min="159" max="159" width="24.1796875" bestFit="1" customWidth="1"/>
    <col min="160" max="160" width="14.81640625" bestFit="1" customWidth="1"/>
    <col min="161" max="161" width="19.81640625" bestFit="1" customWidth="1"/>
    <col min="162" max="162" width="17.1796875" bestFit="1" customWidth="1"/>
    <col min="163" max="163" width="27.26953125" bestFit="1" customWidth="1"/>
    <col min="164" max="164" width="24.1796875" bestFit="1" customWidth="1"/>
    <col min="165" max="165" width="14.81640625" bestFit="1" customWidth="1"/>
    <col min="166" max="166" width="19.81640625" bestFit="1" customWidth="1"/>
    <col min="167" max="167" width="17.1796875" bestFit="1" customWidth="1"/>
    <col min="168" max="168" width="27.26953125" bestFit="1" customWidth="1"/>
    <col min="169" max="169" width="24.1796875" bestFit="1" customWidth="1"/>
    <col min="170" max="170" width="14.81640625" bestFit="1" customWidth="1"/>
    <col min="171" max="171" width="19.81640625" bestFit="1" customWidth="1"/>
    <col min="172" max="172" width="17.1796875" bestFit="1" customWidth="1"/>
    <col min="173" max="173" width="27.26953125" bestFit="1" customWidth="1"/>
    <col min="174" max="174" width="24.1796875" bestFit="1" customWidth="1"/>
    <col min="175" max="175" width="14.81640625" bestFit="1" customWidth="1"/>
    <col min="176" max="176" width="19.81640625" bestFit="1" customWidth="1"/>
    <col min="177" max="177" width="17.1796875" bestFit="1" customWidth="1"/>
    <col min="178" max="178" width="27.26953125" bestFit="1" customWidth="1"/>
    <col min="179" max="179" width="24.1796875" bestFit="1" customWidth="1"/>
    <col min="180" max="180" width="14.81640625" bestFit="1" customWidth="1"/>
    <col min="181" max="181" width="19.81640625" bestFit="1" customWidth="1"/>
    <col min="182" max="182" width="17.1796875" bestFit="1" customWidth="1"/>
    <col min="183" max="183" width="27.26953125" bestFit="1" customWidth="1"/>
    <col min="184" max="184" width="24.1796875" bestFit="1" customWidth="1"/>
    <col min="185" max="185" width="14.81640625" bestFit="1" customWidth="1"/>
    <col min="186" max="186" width="19.81640625" bestFit="1" customWidth="1"/>
    <col min="187" max="187" width="17.1796875" bestFit="1" customWidth="1"/>
    <col min="188" max="188" width="27.26953125" bestFit="1" customWidth="1"/>
    <col min="189" max="189" width="24.1796875" bestFit="1" customWidth="1"/>
    <col min="190" max="190" width="14.81640625" bestFit="1" customWidth="1"/>
    <col min="191" max="191" width="19.81640625" bestFit="1" customWidth="1"/>
    <col min="192" max="192" width="17.1796875" bestFit="1" customWidth="1"/>
    <col min="193" max="193" width="27.26953125" bestFit="1" customWidth="1"/>
    <col min="194" max="194" width="24.1796875" bestFit="1" customWidth="1"/>
    <col min="195" max="195" width="14.81640625" bestFit="1" customWidth="1"/>
    <col min="196" max="196" width="19.81640625" bestFit="1" customWidth="1"/>
    <col min="197" max="197" width="17.1796875" bestFit="1" customWidth="1"/>
    <col min="198" max="198" width="27.26953125" bestFit="1" customWidth="1"/>
    <col min="199" max="199" width="24.1796875" bestFit="1" customWidth="1"/>
    <col min="200" max="200" width="14.81640625" bestFit="1" customWidth="1"/>
    <col min="201" max="201" width="19.81640625" bestFit="1" customWidth="1"/>
    <col min="202" max="202" width="17.1796875" bestFit="1" customWidth="1"/>
    <col min="203" max="203" width="27.26953125" bestFit="1" customWidth="1"/>
    <col min="204" max="204" width="24.1796875" bestFit="1" customWidth="1"/>
    <col min="205" max="205" width="14.81640625" bestFit="1" customWidth="1"/>
    <col min="206" max="206" width="19.81640625" bestFit="1" customWidth="1"/>
    <col min="207" max="207" width="17.1796875" bestFit="1" customWidth="1"/>
    <col min="208" max="208" width="27.26953125" bestFit="1" customWidth="1"/>
    <col min="209" max="209" width="24.1796875" bestFit="1" customWidth="1"/>
    <col min="210" max="210" width="14.81640625" bestFit="1" customWidth="1"/>
    <col min="211" max="211" width="19.81640625" bestFit="1" customWidth="1"/>
    <col min="212" max="212" width="17.1796875" bestFit="1" customWidth="1"/>
    <col min="213" max="213" width="27.26953125" bestFit="1" customWidth="1"/>
    <col min="214" max="214" width="24.1796875" bestFit="1" customWidth="1"/>
    <col min="215" max="215" width="14.81640625" bestFit="1" customWidth="1"/>
    <col min="216" max="216" width="19.81640625" bestFit="1" customWidth="1"/>
    <col min="217" max="217" width="17.1796875" bestFit="1" customWidth="1"/>
    <col min="218" max="218" width="27.26953125" bestFit="1" customWidth="1"/>
    <col min="219" max="219" width="24.1796875" bestFit="1" customWidth="1"/>
    <col min="220" max="220" width="14.81640625" bestFit="1" customWidth="1"/>
    <col min="221" max="221" width="19.81640625" bestFit="1" customWidth="1"/>
    <col min="222" max="222" width="17.1796875" bestFit="1" customWidth="1"/>
    <col min="223" max="223" width="27.26953125" bestFit="1" customWidth="1"/>
    <col min="224" max="224" width="24.1796875" bestFit="1" customWidth="1"/>
    <col min="225" max="225" width="14.81640625" bestFit="1" customWidth="1"/>
    <col min="226" max="226" width="19.81640625" bestFit="1" customWidth="1"/>
    <col min="227" max="227" width="17.1796875" bestFit="1" customWidth="1"/>
    <col min="228" max="228" width="27.26953125" bestFit="1" customWidth="1"/>
    <col min="229" max="229" width="24.1796875" bestFit="1" customWidth="1"/>
    <col min="230" max="230" width="14.81640625" bestFit="1" customWidth="1"/>
    <col min="231" max="231" width="19.81640625" bestFit="1" customWidth="1"/>
    <col min="232" max="232" width="17.1796875" bestFit="1" customWidth="1"/>
    <col min="233" max="233" width="27.26953125" bestFit="1" customWidth="1"/>
    <col min="234" max="234" width="24.1796875" bestFit="1" customWidth="1"/>
    <col min="235" max="235" width="14.81640625" bestFit="1" customWidth="1"/>
    <col min="236" max="236" width="19.81640625" bestFit="1" customWidth="1"/>
    <col min="237" max="237" width="17.1796875" bestFit="1" customWidth="1"/>
    <col min="238" max="238" width="27.26953125" bestFit="1" customWidth="1"/>
    <col min="239" max="239" width="24.1796875" bestFit="1" customWidth="1"/>
    <col min="240" max="240" width="14.81640625" bestFit="1" customWidth="1"/>
    <col min="241" max="241" width="19.81640625" bestFit="1" customWidth="1"/>
    <col min="242" max="242" width="17.1796875" bestFit="1" customWidth="1"/>
    <col min="243" max="243" width="27.26953125" bestFit="1" customWidth="1"/>
    <col min="244" max="244" width="24.1796875" bestFit="1" customWidth="1"/>
    <col min="245" max="245" width="14.81640625" bestFit="1" customWidth="1"/>
    <col min="246" max="246" width="19.81640625" bestFit="1" customWidth="1"/>
    <col min="247" max="247" width="17.1796875" bestFit="1" customWidth="1"/>
    <col min="248" max="248" width="27.26953125" bestFit="1" customWidth="1"/>
    <col min="249" max="249" width="24.1796875" bestFit="1" customWidth="1"/>
    <col min="250" max="250" width="14.81640625" bestFit="1" customWidth="1"/>
    <col min="251" max="251" width="19.81640625" bestFit="1" customWidth="1"/>
    <col min="252" max="252" width="17.1796875" bestFit="1" customWidth="1"/>
    <col min="253" max="253" width="27.26953125" bestFit="1" customWidth="1"/>
    <col min="254" max="254" width="24.1796875" bestFit="1" customWidth="1"/>
    <col min="255" max="255" width="14.81640625" bestFit="1" customWidth="1"/>
    <col min="256" max="256" width="19.81640625" bestFit="1" customWidth="1"/>
    <col min="257" max="257" width="17.1796875" bestFit="1" customWidth="1"/>
    <col min="258" max="258" width="27.26953125" bestFit="1" customWidth="1"/>
    <col min="259" max="259" width="24.1796875" bestFit="1" customWidth="1"/>
    <col min="260" max="260" width="14.81640625" bestFit="1" customWidth="1"/>
    <col min="261" max="261" width="19.81640625" bestFit="1" customWidth="1"/>
    <col min="262" max="262" width="17.1796875" bestFit="1" customWidth="1"/>
    <col min="263" max="263" width="27.26953125" bestFit="1" customWidth="1"/>
    <col min="264" max="264" width="24.1796875" bestFit="1" customWidth="1"/>
    <col min="265" max="265" width="14.81640625" bestFit="1" customWidth="1"/>
    <col min="266" max="266" width="19.81640625" bestFit="1" customWidth="1"/>
    <col min="267" max="267" width="17.1796875" bestFit="1" customWidth="1"/>
    <col min="268" max="268" width="27.26953125" bestFit="1" customWidth="1"/>
    <col min="269" max="269" width="24.1796875" bestFit="1" customWidth="1"/>
    <col min="270" max="270" width="14.81640625" bestFit="1" customWidth="1"/>
    <col min="271" max="271" width="19.81640625" bestFit="1" customWidth="1"/>
    <col min="272" max="272" width="17.1796875" bestFit="1" customWidth="1"/>
    <col min="273" max="273" width="27.26953125" bestFit="1" customWidth="1"/>
    <col min="274" max="274" width="24.1796875" bestFit="1" customWidth="1"/>
    <col min="275" max="275" width="14.81640625" bestFit="1" customWidth="1"/>
    <col min="276" max="276" width="19.81640625" bestFit="1" customWidth="1"/>
    <col min="277" max="277" width="17.1796875" bestFit="1" customWidth="1"/>
    <col min="278" max="278" width="27.26953125" bestFit="1" customWidth="1"/>
    <col min="279" max="279" width="24.1796875" bestFit="1" customWidth="1"/>
    <col min="280" max="280" width="14.81640625" bestFit="1" customWidth="1"/>
    <col min="281" max="281" width="19.81640625" bestFit="1" customWidth="1"/>
    <col min="282" max="282" width="17.1796875" bestFit="1" customWidth="1"/>
    <col min="283" max="283" width="27.26953125" bestFit="1" customWidth="1"/>
    <col min="284" max="284" width="24.1796875" bestFit="1" customWidth="1"/>
    <col min="285" max="285" width="14.81640625" bestFit="1" customWidth="1"/>
    <col min="286" max="286" width="19.81640625" bestFit="1" customWidth="1"/>
    <col min="287" max="287" width="17.1796875" bestFit="1" customWidth="1"/>
    <col min="288" max="288" width="27.26953125" bestFit="1" customWidth="1"/>
    <col min="289" max="289" width="24.1796875" bestFit="1" customWidth="1"/>
    <col min="290" max="290" width="14.81640625" bestFit="1" customWidth="1"/>
    <col min="291" max="291" width="19.81640625" bestFit="1" customWidth="1"/>
    <col min="292" max="292" width="17.1796875" bestFit="1" customWidth="1"/>
    <col min="293" max="293" width="27.26953125" bestFit="1" customWidth="1"/>
    <col min="294" max="294" width="24.1796875" bestFit="1" customWidth="1"/>
    <col min="295" max="295" width="14.81640625" bestFit="1" customWidth="1"/>
    <col min="296" max="296" width="19.81640625" bestFit="1" customWidth="1"/>
    <col min="297" max="297" width="17.1796875" bestFit="1" customWidth="1"/>
    <col min="298" max="298" width="27.26953125" bestFit="1" customWidth="1"/>
    <col min="299" max="299" width="24.1796875" bestFit="1" customWidth="1"/>
    <col min="300" max="300" width="14.81640625" bestFit="1" customWidth="1"/>
    <col min="301" max="301" width="19.81640625" bestFit="1" customWidth="1"/>
    <col min="302" max="302" width="17.1796875" bestFit="1" customWidth="1"/>
    <col min="303" max="303" width="27.26953125" bestFit="1" customWidth="1"/>
    <col min="304" max="304" width="24.1796875" bestFit="1" customWidth="1"/>
    <col min="305" max="305" width="14.81640625" bestFit="1" customWidth="1"/>
    <col min="306" max="306" width="19.81640625" bestFit="1" customWidth="1"/>
    <col min="307" max="307" width="17.1796875" bestFit="1" customWidth="1"/>
    <col min="308" max="308" width="27.26953125" bestFit="1" customWidth="1"/>
    <col min="309" max="309" width="24.1796875" bestFit="1" customWidth="1"/>
    <col min="310" max="310" width="14.81640625" bestFit="1" customWidth="1"/>
    <col min="311" max="311" width="19.81640625" bestFit="1" customWidth="1"/>
    <col min="312" max="312" width="17.1796875" bestFit="1" customWidth="1"/>
    <col min="313" max="313" width="27.26953125" bestFit="1" customWidth="1"/>
    <col min="314" max="314" width="24.1796875" bestFit="1" customWidth="1"/>
    <col min="315" max="315" width="14.81640625" bestFit="1" customWidth="1"/>
    <col min="316" max="316" width="19.81640625" bestFit="1" customWidth="1"/>
    <col min="317" max="317" width="17.1796875" bestFit="1" customWidth="1"/>
    <col min="318" max="318" width="27.26953125" bestFit="1" customWidth="1"/>
    <col min="319" max="319" width="24.1796875" bestFit="1" customWidth="1"/>
    <col min="320" max="320" width="14.81640625" bestFit="1" customWidth="1"/>
    <col min="321" max="321" width="19.81640625" bestFit="1" customWidth="1"/>
    <col min="322" max="322" width="21.81640625" bestFit="1" customWidth="1"/>
    <col min="323" max="323" width="32.1796875" bestFit="1" customWidth="1"/>
    <col min="324" max="324" width="28.81640625" bestFit="1" customWidth="1"/>
    <col min="325" max="325" width="19.7265625" bestFit="1" customWidth="1"/>
    <col min="326" max="326" width="24.54296875" bestFit="1" customWidth="1"/>
    <col min="327" max="327" width="24.1796875" bestFit="1" customWidth="1"/>
    <col min="328" max="328" width="14.81640625" bestFit="1" customWidth="1"/>
    <col min="329" max="329" width="19.81640625" bestFit="1" customWidth="1"/>
    <col min="330" max="330" width="20.54296875" bestFit="1" customWidth="1"/>
    <col min="331" max="331" width="27.54296875" bestFit="1" customWidth="1"/>
    <col min="332" max="332" width="18.453125" bestFit="1" customWidth="1"/>
    <col min="333" max="333" width="23.453125" bestFit="1" customWidth="1"/>
    <col min="334" max="334" width="17.1796875" bestFit="1" customWidth="1"/>
    <col min="335" max="335" width="24.1796875" bestFit="1" customWidth="1"/>
    <col min="336" max="336" width="14.81640625" bestFit="1" customWidth="1"/>
    <col min="337" max="337" width="19.81640625" bestFit="1" customWidth="1"/>
    <col min="338" max="338" width="20.54296875" bestFit="1" customWidth="1"/>
    <col min="339" max="339" width="27.54296875" bestFit="1" customWidth="1"/>
    <col min="340" max="340" width="18.453125" bestFit="1" customWidth="1"/>
    <col min="341" max="341" width="23.453125" bestFit="1" customWidth="1"/>
    <col min="342" max="342" width="17.1796875" bestFit="1" customWidth="1"/>
    <col min="343" max="343" width="24.1796875" bestFit="1" customWidth="1"/>
    <col min="344" max="344" width="14.81640625" bestFit="1" customWidth="1"/>
    <col min="345" max="345" width="19.81640625" bestFit="1" customWidth="1"/>
    <col min="346" max="346" width="20.54296875" bestFit="1" customWidth="1"/>
    <col min="347" max="347" width="27.54296875" bestFit="1" customWidth="1"/>
    <col min="348" max="348" width="18.453125" bestFit="1" customWidth="1"/>
    <col min="349" max="349" width="23.453125" bestFit="1" customWidth="1"/>
    <col min="350" max="350" width="17.1796875" bestFit="1" customWidth="1"/>
    <col min="351" max="351" width="24.1796875" bestFit="1" customWidth="1"/>
    <col min="352" max="352" width="14.81640625" bestFit="1" customWidth="1"/>
    <col min="353" max="353" width="19.81640625" bestFit="1" customWidth="1"/>
    <col min="354" max="354" width="20.54296875" bestFit="1" customWidth="1"/>
    <col min="355" max="355" width="27.54296875" bestFit="1" customWidth="1"/>
    <col min="356" max="356" width="18.453125" bestFit="1" customWidth="1"/>
    <col min="357" max="357" width="23.453125" bestFit="1" customWidth="1"/>
    <col min="358" max="358" width="17.1796875" bestFit="1" customWidth="1"/>
    <col min="359" max="359" width="24.1796875" bestFit="1" customWidth="1"/>
    <col min="360" max="360" width="14.81640625" bestFit="1" customWidth="1"/>
    <col min="361" max="361" width="19.81640625" bestFit="1" customWidth="1"/>
    <col min="362" max="362" width="20.54296875" bestFit="1" customWidth="1"/>
    <col min="363" max="363" width="27.54296875" bestFit="1" customWidth="1"/>
    <col min="364" max="364" width="18.453125" bestFit="1" customWidth="1"/>
    <col min="365" max="365" width="23.453125" bestFit="1" customWidth="1"/>
    <col min="366" max="366" width="17.1796875" bestFit="1" customWidth="1"/>
    <col min="367" max="367" width="24.1796875" bestFit="1" customWidth="1"/>
    <col min="368" max="368" width="14.81640625" bestFit="1" customWidth="1"/>
    <col min="369" max="369" width="19.81640625" bestFit="1" customWidth="1"/>
    <col min="370" max="370" width="17.1796875" bestFit="1" customWidth="1"/>
    <col min="371" max="371" width="24.1796875" bestFit="1" customWidth="1"/>
    <col min="372" max="372" width="14.81640625" bestFit="1" customWidth="1"/>
    <col min="373" max="373" width="19.81640625" bestFit="1" customWidth="1"/>
    <col min="374" max="374" width="20.54296875" bestFit="1" customWidth="1"/>
    <col min="375" max="375" width="27.54296875" bestFit="1" customWidth="1"/>
    <col min="376" max="376" width="18.453125" bestFit="1" customWidth="1"/>
    <col min="377" max="377" width="23.453125" bestFit="1" customWidth="1"/>
    <col min="378" max="378" width="17.1796875" bestFit="1" customWidth="1"/>
    <col min="379" max="379" width="24.1796875" bestFit="1" customWidth="1"/>
    <col min="380" max="380" width="14.81640625" bestFit="1" customWidth="1"/>
    <col min="381" max="381" width="19.81640625" bestFit="1" customWidth="1"/>
    <col min="382" max="382" width="20.54296875" bestFit="1" customWidth="1"/>
    <col min="383" max="383" width="27.54296875" bestFit="1" customWidth="1"/>
    <col min="384" max="384" width="18.453125" bestFit="1" customWidth="1"/>
    <col min="385" max="385" width="23.453125" bestFit="1" customWidth="1"/>
    <col min="386" max="386" width="17.1796875" bestFit="1" customWidth="1"/>
    <col min="387" max="387" width="24.1796875" bestFit="1" customWidth="1"/>
    <col min="388" max="388" width="14.81640625" bestFit="1" customWidth="1"/>
    <col min="389" max="389" width="19.81640625" bestFit="1" customWidth="1"/>
    <col min="390" max="390" width="20.54296875" bestFit="1" customWidth="1"/>
    <col min="391" max="391" width="27.54296875" bestFit="1" customWidth="1"/>
    <col min="392" max="392" width="18.453125" bestFit="1" customWidth="1"/>
    <col min="393" max="393" width="23.453125" bestFit="1" customWidth="1"/>
    <col min="394" max="394" width="17.1796875" bestFit="1" customWidth="1"/>
    <col min="395" max="395" width="24.1796875" bestFit="1" customWidth="1"/>
    <col min="396" max="396" width="14.81640625" bestFit="1" customWidth="1"/>
    <col min="397" max="397" width="19.81640625" bestFit="1" customWidth="1"/>
    <col min="398" max="398" width="20.54296875" bestFit="1" customWidth="1"/>
    <col min="399" max="399" width="27.54296875" bestFit="1" customWidth="1"/>
    <col min="400" max="400" width="18.453125" bestFit="1" customWidth="1"/>
    <col min="401" max="401" width="23.453125" bestFit="1" customWidth="1"/>
    <col min="402" max="402" width="17.1796875" bestFit="1" customWidth="1"/>
    <col min="403" max="403" width="24.1796875" bestFit="1" customWidth="1"/>
    <col min="404" max="404" width="14.81640625" bestFit="1" customWidth="1"/>
    <col min="405" max="405" width="19.81640625" bestFit="1" customWidth="1"/>
    <col min="406" max="406" width="20.54296875" bestFit="1" customWidth="1"/>
    <col min="407" max="407" width="27.54296875" bestFit="1" customWidth="1"/>
    <col min="408" max="408" width="18.453125" bestFit="1" customWidth="1"/>
    <col min="409" max="409" width="23.453125" bestFit="1" customWidth="1"/>
    <col min="410" max="410" width="17.1796875" bestFit="1" customWidth="1"/>
    <col min="411" max="411" width="24.1796875" bestFit="1" customWidth="1"/>
    <col min="412" max="412" width="14.81640625" bestFit="1" customWidth="1"/>
    <col min="413" max="413" width="19.81640625" bestFit="1" customWidth="1"/>
    <col min="414" max="414" width="20.54296875" bestFit="1" customWidth="1"/>
    <col min="415" max="415" width="27.54296875" bestFit="1" customWidth="1"/>
    <col min="416" max="416" width="18.453125" bestFit="1" customWidth="1"/>
    <col min="417" max="417" width="23.453125" bestFit="1" customWidth="1"/>
    <col min="418" max="418" width="17.1796875" bestFit="1" customWidth="1"/>
    <col min="419" max="419" width="24.1796875" bestFit="1" customWidth="1"/>
    <col min="420" max="420" width="14.81640625" bestFit="1" customWidth="1"/>
    <col min="421" max="421" width="19.81640625" bestFit="1" customWidth="1"/>
    <col min="422" max="422" width="20.54296875" bestFit="1" customWidth="1"/>
    <col min="423" max="423" width="27.54296875" bestFit="1" customWidth="1"/>
    <col min="424" max="424" width="18.453125" bestFit="1" customWidth="1"/>
    <col min="425" max="425" width="23.453125" bestFit="1" customWidth="1"/>
    <col min="426" max="426" width="17.1796875" bestFit="1" customWidth="1"/>
    <col min="427" max="427" width="24.1796875" bestFit="1" customWidth="1"/>
    <col min="428" max="428" width="14.81640625" bestFit="1" customWidth="1"/>
    <col min="429" max="429" width="19.81640625" bestFit="1" customWidth="1"/>
    <col min="430" max="430" width="20.54296875" bestFit="1" customWidth="1"/>
    <col min="431" max="431" width="27.54296875" bestFit="1" customWidth="1"/>
    <col min="432" max="432" width="18.453125" bestFit="1" customWidth="1"/>
    <col min="433" max="433" width="23.453125" bestFit="1" customWidth="1"/>
    <col min="434" max="434" width="17.1796875" bestFit="1" customWidth="1"/>
    <col min="435" max="435" width="24.1796875" bestFit="1" customWidth="1"/>
    <col min="436" max="436" width="14.81640625" bestFit="1" customWidth="1"/>
    <col min="437" max="437" width="19.81640625" bestFit="1" customWidth="1"/>
    <col min="438" max="438" width="20.54296875" bestFit="1" customWidth="1"/>
    <col min="439" max="439" width="27.54296875" bestFit="1" customWidth="1"/>
    <col min="440" max="440" width="18.453125" bestFit="1" customWidth="1"/>
    <col min="441" max="441" width="23.453125" bestFit="1" customWidth="1"/>
    <col min="442" max="442" width="17.1796875" bestFit="1" customWidth="1"/>
    <col min="443" max="443" width="24.1796875" bestFit="1" customWidth="1"/>
    <col min="444" max="444" width="14.81640625" bestFit="1" customWidth="1"/>
    <col min="445" max="445" width="19.81640625" bestFit="1" customWidth="1"/>
    <col min="446" max="446" width="20.54296875" bestFit="1" customWidth="1"/>
    <col min="447" max="447" width="27.54296875" bestFit="1" customWidth="1"/>
    <col min="448" max="448" width="18.453125" bestFit="1" customWidth="1"/>
    <col min="449" max="449" width="23.453125" bestFit="1" customWidth="1"/>
    <col min="450" max="450" width="17.1796875" bestFit="1" customWidth="1"/>
    <col min="451" max="451" width="24.1796875" bestFit="1" customWidth="1"/>
    <col min="452" max="452" width="14.81640625" bestFit="1" customWidth="1"/>
    <col min="453" max="453" width="19.81640625" bestFit="1" customWidth="1"/>
    <col min="454" max="454" width="20.54296875" bestFit="1" customWidth="1"/>
    <col min="455" max="455" width="27.54296875" bestFit="1" customWidth="1"/>
    <col min="456" max="456" width="18.453125" bestFit="1" customWidth="1"/>
    <col min="457" max="457" width="23.453125" bestFit="1" customWidth="1"/>
    <col min="458" max="458" width="17.1796875" bestFit="1" customWidth="1"/>
    <col min="459" max="459" width="24.1796875" bestFit="1" customWidth="1"/>
    <col min="460" max="460" width="14.81640625" bestFit="1" customWidth="1"/>
    <col min="461" max="461" width="19.81640625" bestFit="1" customWidth="1"/>
    <col min="462" max="462" width="20.54296875" bestFit="1" customWidth="1"/>
    <col min="463" max="463" width="27.54296875" bestFit="1" customWidth="1"/>
    <col min="464" max="464" width="18.453125" bestFit="1" customWidth="1"/>
    <col min="465" max="465" width="23.453125" bestFit="1" customWidth="1"/>
    <col min="466" max="466" width="17.1796875" bestFit="1" customWidth="1"/>
    <col min="467" max="467" width="24.1796875" bestFit="1" customWidth="1"/>
    <col min="468" max="468" width="14.81640625" bestFit="1" customWidth="1"/>
    <col min="469" max="469" width="19.81640625" bestFit="1" customWidth="1"/>
    <col min="470" max="470" width="17.1796875" bestFit="1" customWidth="1"/>
    <col min="471" max="471" width="24.1796875" bestFit="1" customWidth="1"/>
    <col min="472" max="472" width="14.81640625" bestFit="1" customWidth="1"/>
    <col min="473" max="473" width="19.81640625" bestFit="1" customWidth="1"/>
    <col min="474" max="474" width="20.54296875" bestFit="1" customWidth="1"/>
    <col min="475" max="475" width="27.54296875" bestFit="1" customWidth="1"/>
    <col min="476" max="476" width="18.453125" bestFit="1" customWidth="1"/>
    <col min="477" max="477" width="23.453125" bestFit="1" customWidth="1"/>
    <col min="478" max="478" width="17.1796875" bestFit="1" customWidth="1"/>
    <col min="479" max="479" width="24.1796875" bestFit="1" customWidth="1"/>
    <col min="480" max="480" width="14.81640625" bestFit="1" customWidth="1"/>
    <col min="481" max="481" width="19.81640625" bestFit="1" customWidth="1"/>
    <col min="482" max="482" width="20.54296875" bestFit="1" customWidth="1"/>
    <col min="483" max="483" width="27.54296875" bestFit="1" customWidth="1"/>
    <col min="484" max="484" width="18.453125" bestFit="1" customWidth="1"/>
    <col min="485" max="485" width="23.453125" bestFit="1" customWidth="1"/>
    <col min="486" max="486" width="17.1796875" bestFit="1" customWidth="1"/>
    <col min="487" max="487" width="24.1796875" bestFit="1" customWidth="1"/>
    <col min="488" max="488" width="14.81640625" bestFit="1" customWidth="1"/>
    <col min="489" max="489" width="19.81640625" bestFit="1" customWidth="1"/>
    <col min="490" max="490" width="20.54296875" bestFit="1" customWidth="1"/>
    <col min="491" max="491" width="27.54296875" bestFit="1" customWidth="1"/>
    <col min="492" max="492" width="18.453125" bestFit="1" customWidth="1"/>
    <col min="493" max="493" width="23.453125" bestFit="1" customWidth="1"/>
    <col min="494" max="494" width="17.1796875" bestFit="1" customWidth="1"/>
    <col min="495" max="495" width="24.1796875" bestFit="1" customWidth="1"/>
    <col min="496" max="496" width="14.81640625" bestFit="1" customWidth="1"/>
    <col min="497" max="497" width="19.81640625" bestFit="1" customWidth="1"/>
    <col min="498" max="498" width="20.54296875" bestFit="1" customWidth="1"/>
    <col min="499" max="499" width="27.54296875" bestFit="1" customWidth="1"/>
    <col min="500" max="500" width="18.453125" bestFit="1" customWidth="1"/>
    <col min="501" max="501" width="23.453125" bestFit="1" customWidth="1"/>
    <col min="502" max="502" width="17.1796875" bestFit="1" customWidth="1"/>
    <col min="503" max="503" width="24.1796875" bestFit="1" customWidth="1"/>
    <col min="504" max="504" width="14.81640625" bestFit="1" customWidth="1"/>
    <col min="505" max="505" width="19.81640625" bestFit="1" customWidth="1"/>
    <col min="506" max="506" width="20.54296875" bestFit="1" customWidth="1"/>
    <col min="507" max="507" width="27.54296875" bestFit="1" customWidth="1"/>
    <col min="508" max="508" width="18.453125" bestFit="1" customWidth="1"/>
    <col min="509" max="509" width="23.453125" bestFit="1" customWidth="1"/>
    <col min="510" max="510" width="17.1796875" bestFit="1" customWidth="1"/>
    <col min="511" max="511" width="24.1796875" bestFit="1" customWidth="1"/>
    <col min="512" max="512" width="14.81640625" bestFit="1" customWidth="1"/>
    <col min="513" max="513" width="19.81640625" bestFit="1" customWidth="1"/>
    <col min="514" max="514" width="20.54296875" bestFit="1" customWidth="1"/>
    <col min="515" max="515" width="27.54296875" bestFit="1" customWidth="1"/>
    <col min="516" max="516" width="18.453125" bestFit="1" customWidth="1"/>
    <col min="517" max="517" width="23.453125" bestFit="1" customWidth="1"/>
    <col min="518" max="518" width="17.1796875" bestFit="1" customWidth="1"/>
    <col min="519" max="519" width="24.1796875" bestFit="1" customWidth="1"/>
    <col min="520" max="520" width="14.81640625" bestFit="1" customWidth="1"/>
    <col min="521" max="521" width="19.81640625" bestFit="1" customWidth="1"/>
    <col min="522" max="522" width="20.54296875" bestFit="1" customWidth="1"/>
    <col min="523" max="523" width="27.54296875" bestFit="1" customWidth="1"/>
    <col min="524" max="524" width="18.453125" bestFit="1" customWidth="1"/>
    <col min="525" max="525" width="23.453125" bestFit="1" customWidth="1"/>
    <col min="526" max="526" width="17.1796875" bestFit="1" customWidth="1"/>
    <col min="527" max="527" width="24.1796875" bestFit="1" customWidth="1"/>
    <col min="528" max="528" width="14.81640625" bestFit="1" customWidth="1"/>
    <col min="529" max="529" width="19.81640625" bestFit="1" customWidth="1"/>
    <col min="530" max="530" width="21.54296875" bestFit="1" customWidth="1"/>
    <col min="531" max="531" width="28.54296875" bestFit="1" customWidth="1"/>
    <col min="532" max="532" width="19.453125" bestFit="1" customWidth="1"/>
    <col min="533" max="533" width="24.453125" bestFit="1" customWidth="1"/>
    <col min="534" max="534" width="17.1796875" bestFit="1" customWidth="1"/>
    <col min="535" max="535" width="24.1796875" bestFit="1" customWidth="1"/>
    <col min="536" max="536" width="14.81640625" bestFit="1" customWidth="1"/>
    <col min="537" max="537" width="19.81640625" bestFit="1" customWidth="1"/>
    <col min="538" max="538" width="21.54296875" bestFit="1" customWidth="1"/>
    <col min="539" max="539" width="28.54296875" bestFit="1" customWidth="1"/>
    <col min="540" max="540" width="19.453125" bestFit="1" customWidth="1"/>
    <col min="541" max="541" width="24.453125" bestFit="1" customWidth="1"/>
    <col min="542" max="542" width="17.1796875" bestFit="1" customWidth="1"/>
    <col min="543" max="543" width="24.1796875" bestFit="1" customWidth="1"/>
    <col min="544" max="544" width="14.81640625" bestFit="1" customWidth="1"/>
    <col min="545" max="545" width="19.81640625" bestFit="1" customWidth="1"/>
    <col min="546" max="546" width="21.54296875" bestFit="1" customWidth="1"/>
    <col min="547" max="547" width="28.54296875" bestFit="1" customWidth="1"/>
    <col min="548" max="548" width="19.453125" bestFit="1" customWidth="1"/>
    <col min="549" max="549" width="24.453125" bestFit="1" customWidth="1"/>
    <col min="550" max="550" width="17.1796875" bestFit="1" customWidth="1"/>
    <col min="551" max="551" width="24.1796875" bestFit="1" customWidth="1"/>
    <col min="552" max="552" width="14.81640625" bestFit="1" customWidth="1"/>
    <col min="553" max="553" width="19.81640625" bestFit="1" customWidth="1"/>
    <col min="554" max="554" width="17.1796875" bestFit="1" customWidth="1"/>
    <col min="555" max="555" width="24.1796875" bestFit="1" customWidth="1"/>
    <col min="556" max="556" width="14.81640625" bestFit="1" customWidth="1"/>
    <col min="557" max="557" width="19.81640625" bestFit="1" customWidth="1"/>
    <col min="558" max="558" width="17.1796875" bestFit="1" customWidth="1"/>
    <col min="559" max="559" width="24.1796875" bestFit="1" customWidth="1"/>
    <col min="560" max="560" width="14.81640625" bestFit="1" customWidth="1"/>
    <col min="561" max="561" width="19.81640625" bestFit="1" customWidth="1"/>
    <col min="562" max="562" width="17.1796875" bestFit="1" customWidth="1"/>
    <col min="563" max="563" width="24.1796875" bestFit="1" customWidth="1"/>
    <col min="564" max="564" width="14.81640625" bestFit="1" customWidth="1"/>
    <col min="565" max="565" width="19.81640625" bestFit="1" customWidth="1"/>
    <col min="566" max="566" width="17.1796875" bestFit="1" customWidth="1"/>
    <col min="567" max="567" width="24.1796875" bestFit="1" customWidth="1"/>
    <col min="568" max="568" width="14.81640625" bestFit="1" customWidth="1"/>
    <col min="569" max="569" width="19.81640625" bestFit="1" customWidth="1"/>
    <col min="570" max="570" width="17.1796875" bestFit="1" customWidth="1"/>
    <col min="571" max="571" width="24.1796875" bestFit="1" customWidth="1"/>
    <col min="572" max="572" width="14.81640625" bestFit="1" customWidth="1"/>
    <col min="573" max="573" width="19.81640625" bestFit="1" customWidth="1"/>
    <col min="574" max="574" width="17.1796875" bestFit="1" customWidth="1"/>
    <col min="575" max="575" width="24.1796875" bestFit="1" customWidth="1"/>
    <col min="576" max="576" width="14.81640625" bestFit="1" customWidth="1"/>
    <col min="577" max="577" width="19.81640625" bestFit="1" customWidth="1"/>
    <col min="578" max="578" width="17.1796875" bestFit="1" customWidth="1"/>
    <col min="579" max="579" width="24.1796875" bestFit="1" customWidth="1"/>
    <col min="580" max="580" width="14.81640625" bestFit="1" customWidth="1"/>
    <col min="581" max="581" width="19.81640625" bestFit="1" customWidth="1"/>
    <col min="582" max="582" width="17.1796875" bestFit="1" customWidth="1"/>
    <col min="583" max="583" width="24.1796875" bestFit="1" customWidth="1"/>
    <col min="584" max="584" width="14.81640625" bestFit="1" customWidth="1"/>
    <col min="585" max="585" width="19.81640625" bestFit="1" customWidth="1"/>
    <col min="586" max="586" width="17.1796875" bestFit="1" customWidth="1"/>
    <col min="587" max="587" width="24.1796875" bestFit="1" customWidth="1"/>
    <col min="588" max="588" width="14.81640625" bestFit="1" customWidth="1"/>
    <col min="589" max="589" width="19.81640625" bestFit="1" customWidth="1"/>
    <col min="590" max="590" width="23.54296875" bestFit="1" customWidth="1"/>
    <col min="591" max="591" width="30.54296875" bestFit="1" customWidth="1"/>
    <col min="592" max="592" width="21.453125" bestFit="1" customWidth="1"/>
    <col min="593" max="593" width="26.453125" bestFit="1" customWidth="1"/>
    <col min="594" max="594" width="21.81640625" bestFit="1" customWidth="1"/>
    <col min="595" max="595" width="28.81640625" bestFit="1" customWidth="1"/>
    <col min="596" max="596" width="19.7265625" bestFit="1" customWidth="1"/>
    <col min="597" max="597" width="24.54296875" bestFit="1" customWidth="1"/>
    <col min="598" max="598" width="23.453125" bestFit="1" customWidth="1"/>
    <col min="599" max="599" width="17.1796875" bestFit="1" customWidth="1"/>
    <col min="600" max="600" width="14.81640625" bestFit="1" customWidth="1"/>
    <col min="601" max="601" width="19.81640625" bestFit="1" customWidth="1"/>
    <col min="602" max="602" width="20.54296875" bestFit="1" customWidth="1"/>
    <col min="603" max="603" width="18.453125" bestFit="1" customWidth="1"/>
    <col min="604" max="604" width="23.453125" bestFit="1" customWidth="1"/>
    <col min="605" max="605" width="20.54296875" bestFit="1" customWidth="1"/>
    <col min="606" max="606" width="18.453125" bestFit="1" customWidth="1"/>
    <col min="607" max="607" width="23.453125" bestFit="1" customWidth="1"/>
    <col min="608" max="608" width="17.1796875" bestFit="1" customWidth="1"/>
    <col min="609" max="609" width="14.81640625" bestFit="1" customWidth="1"/>
    <col min="610" max="610" width="19.81640625" bestFit="1" customWidth="1"/>
    <col min="611" max="611" width="20.54296875" bestFit="1" customWidth="1"/>
    <col min="612" max="612" width="18.453125" bestFit="1" customWidth="1"/>
    <col min="613" max="613" width="23.453125" bestFit="1" customWidth="1"/>
    <col min="614" max="614" width="21.54296875" bestFit="1" customWidth="1"/>
    <col min="615" max="615" width="19.453125" bestFit="1" customWidth="1"/>
    <col min="616" max="616" width="24.453125" bestFit="1" customWidth="1"/>
    <col min="617" max="617" width="17.1796875" bestFit="1" customWidth="1"/>
    <col min="618" max="618" width="14.81640625" bestFit="1" customWidth="1"/>
    <col min="619" max="619" width="19.81640625" bestFit="1" customWidth="1"/>
    <col min="620" max="620" width="20.54296875" bestFit="1" customWidth="1"/>
    <col min="621" max="621" width="18.453125" bestFit="1" customWidth="1"/>
    <col min="622" max="622" width="23.453125" bestFit="1" customWidth="1"/>
    <col min="623" max="623" width="21.54296875" bestFit="1" customWidth="1"/>
    <col min="624" max="624" width="19.453125" bestFit="1" customWidth="1"/>
    <col min="625" max="625" width="24.453125" bestFit="1" customWidth="1"/>
    <col min="626" max="626" width="17.1796875" bestFit="1" customWidth="1"/>
    <col min="627" max="627" width="14.81640625" bestFit="1" customWidth="1"/>
    <col min="628" max="628" width="19.81640625" bestFit="1" customWidth="1"/>
    <col min="629" max="629" width="20.54296875" bestFit="1" customWidth="1"/>
    <col min="630" max="630" width="18.453125" bestFit="1" customWidth="1"/>
    <col min="631" max="631" width="23.453125" bestFit="1" customWidth="1"/>
    <col min="632" max="632" width="21.54296875" bestFit="1" customWidth="1"/>
    <col min="633" max="633" width="19.453125" bestFit="1" customWidth="1"/>
    <col min="634" max="634" width="24.453125" bestFit="1" customWidth="1"/>
    <col min="635" max="635" width="17.1796875" bestFit="1" customWidth="1"/>
    <col min="636" max="636" width="14.81640625" bestFit="1" customWidth="1"/>
    <col min="637" max="637" width="19.81640625" bestFit="1" customWidth="1"/>
    <col min="638" max="638" width="18.54296875" bestFit="1" customWidth="1"/>
    <col min="639" max="639" width="16.453125" bestFit="1" customWidth="1"/>
    <col min="640" max="640" width="21.453125" bestFit="1" customWidth="1"/>
    <col min="641" max="641" width="17.1796875" bestFit="1" customWidth="1"/>
    <col min="642" max="642" width="14.81640625" bestFit="1" customWidth="1"/>
    <col min="643" max="643" width="19.81640625" bestFit="1" customWidth="1"/>
    <col min="644" max="644" width="18.54296875" bestFit="1" customWidth="1"/>
    <col min="645" max="645" width="16.453125" bestFit="1" customWidth="1"/>
    <col min="646" max="646" width="21.453125" bestFit="1" customWidth="1"/>
    <col min="647" max="647" width="17.1796875" bestFit="1" customWidth="1"/>
    <col min="648" max="648" width="14.81640625" bestFit="1" customWidth="1"/>
    <col min="649" max="649" width="19.81640625" bestFit="1" customWidth="1"/>
    <col min="650" max="650" width="18.54296875" bestFit="1" customWidth="1"/>
    <col min="651" max="651" width="16.453125" bestFit="1" customWidth="1"/>
    <col min="652" max="652" width="21.453125" bestFit="1" customWidth="1"/>
    <col min="653" max="653" width="17.1796875" bestFit="1" customWidth="1"/>
    <col min="654" max="654" width="14.81640625" bestFit="1" customWidth="1"/>
    <col min="655" max="655" width="19.81640625" bestFit="1" customWidth="1"/>
    <col min="656" max="656" width="18.54296875" bestFit="1" customWidth="1"/>
    <col min="657" max="657" width="16.453125" bestFit="1" customWidth="1"/>
    <col min="658" max="658" width="21.453125" bestFit="1" customWidth="1"/>
    <col min="659" max="659" width="17.1796875" bestFit="1" customWidth="1"/>
    <col min="660" max="660" width="14.81640625" bestFit="1" customWidth="1"/>
    <col min="661" max="661" width="19.81640625" bestFit="1" customWidth="1"/>
    <col min="662" max="662" width="18.54296875" bestFit="1" customWidth="1"/>
    <col min="663" max="663" width="16.453125" bestFit="1" customWidth="1"/>
    <col min="664" max="664" width="21.453125" bestFit="1" customWidth="1"/>
    <col min="665" max="665" width="17.1796875" bestFit="1" customWidth="1"/>
    <col min="666" max="666" width="14.81640625" bestFit="1" customWidth="1"/>
    <col min="667" max="667" width="19.81640625" bestFit="1" customWidth="1"/>
    <col min="668" max="668" width="18.54296875" bestFit="1" customWidth="1"/>
    <col min="669" max="669" width="16.453125" bestFit="1" customWidth="1"/>
    <col min="670" max="670" width="21.453125" bestFit="1" customWidth="1"/>
    <col min="671" max="671" width="17.1796875" bestFit="1" customWidth="1"/>
    <col min="672" max="672" width="14.81640625" bestFit="1" customWidth="1"/>
    <col min="673" max="673" width="19.81640625" bestFit="1" customWidth="1"/>
    <col min="674" max="674" width="18.54296875" bestFit="1" customWidth="1"/>
    <col min="675" max="675" width="16.453125" bestFit="1" customWidth="1"/>
    <col min="676" max="676" width="21.453125" bestFit="1" customWidth="1"/>
    <col min="677" max="677" width="17.1796875" bestFit="1" customWidth="1"/>
    <col min="678" max="678" width="14.81640625" bestFit="1" customWidth="1"/>
    <col min="679" max="679" width="19.81640625" bestFit="1" customWidth="1"/>
    <col min="680" max="680" width="19.54296875" bestFit="1" customWidth="1"/>
    <col min="681" max="681" width="17.453125" bestFit="1" customWidth="1"/>
    <col min="682" max="682" width="22.453125" bestFit="1" customWidth="1"/>
    <col min="683" max="683" width="17.1796875" bestFit="1" customWidth="1"/>
    <col min="684" max="684" width="14.81640625" bestFit="1" customWidth="1"/>
    <col min="685" max="685" width="19.81640625" bestFit="1" customWidth="1"/>
    <col min="686" max="686" width="19.54296875" bestFit="1" customWidth="1"/>
    <col min="687" max="687" width="17.453125" bestFit="1" customWidth="1"/>
    <col min="688" max="688" width="22.453125" bestFit="1" customWidth="1"/>
    <col min="689" max="689" width="17.1796875" bestFit="1" customWidth="1"/>
    <col min="690" max="690" width="14.81640625" bestFit="1" customWidth="1"/>
    <col min="691" max="691" width="19.81640625" bestFit="1" customWidth="1"/>
    <col min="692" max="692" width="23.54296875" bestFit="1" customWidth="1"/>
    <col min="693" max="693" width="21.453125" bestFit="1" customWidth="1"/>
    <col min="694" max="694" width="26.453125" bestFit="1" customWidth="1"/>
    <col min="695" max="695" width="23.54296875" bestFit="1" customWidth="1"/>
    <col min="696" max="696" width="21.453125" bestFit="1" customWidth="1"/>
    <col min="697" max="697" width="26.453125" bestFit="1" customWidth="1"/>
    <col min="698" max="698" width="21.81640625" bestFit="1" customWidth="1"/>
    <col min="699" max="699" width="19.7265625" bestFit="1" customWidth="1"/>
    <col min="700" max="700" width="24.54296875" bestFit="1" customWidth="1"/>
  </cols>
  <sheetData>
    <row r="1" spans="1:7" x14ac:dyDescent="0.35">
      <c r="A1" s="387" t="s">
        <v>207</v>
      </c>
      <c r="B1" t="s">
        <v>466</v>
      </c>
    </row>
    <row r="3" spans="1:7" x14ac:dyDescent="0.35">
      <c r="A3" s="387" t="s">
        <v>350</v>
      </c>
      <c r="B3" t="s">
        <v>607</v>
      </c>
      <c r="C3" t="s">
        <v>504</v>
      </c>
      <c r="D3" t="s">
        <v>778</v>
      </c>
      <c r="E3" t="s">
        <v>506</v>
      </c>
      <c r="F3" t="s">
        <v>779</v>
      </c>
      <c r="G3" t="s">
        <v>355</v>
      </c>
    </row>
    <row r="4" spans="1:7" x14ac:dyDescent="0.35">
      <c r="A4" s="388" t="s">
        <v>780</v>
      </c>
      <c r="B4">
        <v>31</v>
      </c>
      <c r="C4">
        <v>161</v>
      </c>
      <c r="E4">
        <v>10</v>
      </c>
      <c r="F4">
        <v>17</v>
      </c>
      <c r="G4">
        <v>8</v>
      </c>
    </row>
    <row r="5" spans="1:7" x14ac:dyDescent="0.35">
      <c r="A5" s="388" t="s">
        <v>781</v>
      </c>
      <c r="B5">
        <v>253</v>
      </c>
      <c r="C5">
        <v>257</v>
      </c>
      <c r="E5">
        <v>18</v>
      </c>
      <c r="F5">
        <v>43</v>
      </c>
      <c r="G5">
        <v>13</v>
      </c>
    </row>
    <row r="6" spans="1:7" x14ac:dyDescent="0.35">
      <c r="A6" s="388" t="s">
        <v>782</v>
      </c>
      <c r="B6">
        <v>501</v>
      </c>
      <c r="C6">
        <v>382</v>
      </c>
      <c r="D6">
        <v>3</v>
      </c>
      <c r="E6">
        <v>24</v>
      </c>
      <c r="F6">
        <v>78</v>
      </c>
      <c r="G6">
        <v>14</v>
      </c>
    </row>
    <row r="7" spans="1:7" x14ac:dyDescent="0.35">
      <c r="A7" s="388" t="s">
        <v>783</v>
      </c>
      <c r="B7">
        <v>532</v>
      </c>
      <c r="C7">
        <v>421</v>
      </c>
      <c r="D7">
        <v>3</v>
      </c>
      <c r="E7">
        <v>37</v>
      </c>
      <c r="F7">
        <v>95</v>
      </c>
      <c r="G7">
        <v>30</v>
      </c>
    </row>
    <row r="8" spans="1:7" x14ac:dyDescent="0.35">
      <c r="A8" s="388" t="s">
        <v>784</v>
      </c>
      <c r="B8">
        <v>632</v>
      </c>
      <c r="C8">
        <v>387</v>
      </c>
      <c r="D8">
        <v>14</v>
      </c>
      <c r="E8">
        <v>20</v>
      </c>
      <c r="F8">
        <v>97</v>
      </c>
      <c r="G8">
        <v>30</v>
      </c>
    </row>
    <row r="9" spans="1:7" x14ac:dyDescent="0.35">
      <c r="A9" s="388" t="s">
        <v>785</v>
      </c>
      <c r="B9">
        <v>705</v>
      </c>
      <c r="C9">
        <v>305</v>
      </c>
      <c r="D9">
        <v>4</v>
      </c>
      <c r="E9">
        <v>17</v>
      </c>
      <c r="F9">
        <v>100</v>
      </c>
      <c r="G9">
        <v>23</v>
      </c>
    </row>
    <row r="10" spans="1:7" x14ac:dyDescent="0.35">
      <c r="A10" s="388" t="s">
        <v>786</v>
      </c>
      <c r="B10">
        <v>548</v>
      </c>
      <c r="C10">
        <v>309</v>
      </c>
      <c r="D10">
        <v>8</v>
      </c>
      <c r="E10">
        <v>20</v>
      </c>
      <c r="F10">
        <v>136</v>
      </c>
      <c r="G10">
        <v>51</v>
      </c>
    </row>
    <row r="11" spans="1:7" x14ac:dyDescent="0.35">
      <c r="A11" s="388" t="s">
        <v>787</v>
      </c>
      <c r="B11">
        <v>198</v>
      </c>
      <c r="C11">
        <v>300</v>
      </c>
      <c r="D11">
        <v>19</v>
      </c>
      <c r="E11">
        <v>17</v>
      </c>
      <c r="F11">
        <v>179</v>
      </c>
      <c r="G11">
        <v>56</v>
      </c>
    </row>
    <row r="12" spans="1:7" x14ac:dyDescent="0.35">
      <c r="A12" s="388" t="s">
        <v>788</v>
      </c>
      <c r="B12">
        <v>26</v>
      </c>
      <c r="C12">
        <v>140</v>
      </c>
      <c r="D12">
        <v>9</v>
      </c>
      <c r="E12">
        <v>7</v>
      </c>
      <c r="F12">
        <v>114</v>
      </c>
      <c r="G12">
        <v>29</v>
      </c>
    </row>
    <row r="13" spans="1:7" x14ac:dyDescent="0.35">
      <c r="A13" s="388" t="s">
        <v>789</v>
      </c>
      <c r="B13">
        <v>4</v>
      </c>
      <c r="C13">
        <v>31</v>
      </c>
      <c r="F13">
        <v>45</v>
      </c>
      <c r="G13">
        <v>14</v>
      </c>
    </row>
    <row r="14" spans="1:7" x14ac:dyDescent="0.35">
      <c r="A14" s="388" t="s">
        <v>790</v>
      </c>
      <c r="C14">
        <v>7</v>
      </c>
      <c r="F14">
        <v>7</v>
      </c>
      <c r="G14">
        <v>5</v>
      </c>
    </row>
    <row r="15" spans="1:7" x14ac:dyDescent="0.35">
      <c r="A15" s="388" t="s">
        <v>791</v>
      </c>
      <c r="F15">
        <v>1</v>
      </c>
    </row>
    <row r="16" spans="1:7" x14ac:dyDescent="0.35">
      <c r="A16" s="388" t="s">
        <v>792</v>
      </c>
      <c r="C16">
        <v>5</v>
      </c>
      <c r="E16">
        <v>1</v>
      </c>
      <c r="F16">
        <v>5</v>
      </c>
    </row>
    <row r="17" spans="1:7" x14ac:dyDescent="0.35">
      <c r="A17" s="388" t="s">
        <v>357</v>
      </c>
      <c r="B17">
        <v>3430</v>
      </c>
      <c r="C17">
        <v>2705</v>
      </c>
      <c r="D17">
        <v>60</v>
      </c>
      <c r="E17">
        <v>171</v>
      </c>
      <c r="F17">
        <v>917</v>
      </c>
      <c r="G17">
        <v>273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46"/>
  <sheetViews>
    <sheetView topLeftCell="A16" workbookViewId="0">
      <selection activeCell="C23" sqref="C23"/>
    </sheetView>
  </sheetViews>
  <sheetFormatPr defaultRowHeight="14.5" x14ac:dyDescent="0.35"/>
  <cols>
    <col min="1" max="1" width="7.453125" bestFit="1" customWidth="1"/>
    <col min="2" max="2" width="12.1796875" bestFit="1" customWidth="1"/>
    <col min="3" max="3" width="23" bestFit="1" customWidth="1"/>
    <col min="4" max="4" width="21.54296875" bestFit="1" customWidth="1"/>
    <col min="5" max="5" width="18.453125" bestFit="1" customWidth="1"/>
    <col min="6" max="6" width="9.453125" bestFit="1" customWidth="1"/>
    <col min="7" max="7" width="14.1796875" bestFit="1" customWidth="1"/>
    <col min="8" max="8" width="11.453125" bestFit="1" customWidth="1"/>
    <col min="9" max="9" width="12.54296875" bestFit="1" customWidth="1"/>
  </cols>
  <sheetData>
    <row r="1" spans="1:8" x14ac:dyDescent="0.35">
      <c r="A1" t="s">
        <v>207</v>
      </c>
      <c r="B1" t="s">
        <v>90</v>
      </c>
      <c r="C1" t="s">
        <v>515</v>
      </c>
      <c r="D1" t="s">
        <v>361</v>
      </c>
      <c r="E1" t="s">
        <v>516</v>
      </c>
      <c r="F1" t="s">
        <v>511</v>
      </c>
      <c r="G1" t="s">
        <v>743</v>
      </c>
      <c r="H1" t="s">
        <v>339</v>
      </c>
    </row>
    <row r="2" spans="1:8" x14ac:dyDescent="0.35">
      <c r="A2" t="s">
        <v>365</v>
      </c>
      <c r="B2" t="s">
        <v>788</v>
      </c>
      <c r="C2">
        <v>1</v>
      </c>
      <c r="D2">
        <v>71</v>
      </c>
      <c r="F2">
        <v>4</v>
      </c>
      <c r="G2">
        <v>93</v>
      </c>
      <c r="H2">
        <v>9</v>
      </c>
    </row>
    <row r="3" spans="1:8" x14ac:dyDescent="0.35">
      <c r="A3" t="s">
        <v>366</v>
      </c>
      <c r="B3" t="s">
        <v>786</v>
      </c>
      <c r="C3">
        <v>618</v>
      </c>
      <c r="D3">
        <v>432</v>
      </c>
      <c r="F3">
        <v>42</v>
      </c>
      <c r="G3">
        <v>139</v>
      </c>
      <c r="H3">
        <v>56</v>
      </c>
    </row>
    <row r="4" spans="1:8" x14ac:dyDescent="0.35">
      <c r="A4" t="s">
        <v>341</v>
      </c>
      <c r="B4" t="s">
        <v>786</v>
      </c>
      <c r="C4">
        <v>658</v>
      </c>
      <c r="D4">
        <v>460</v>
      </c>
      <c r="F4">
        <v>36</v>
      </c>
      <c r="G4">
        <v>135</v>
      </c>
      <c r="H4">
        <v>65</v>
      </c>
    </row>
    <row r="5" spans="1:8" x14ac:dyDescent="0.35">
      <c r="A5" t="s">
        <v>341</v>
      </c>
      <c r="B5" t="s">
        <v>792</v>
      </c>
      <c r="D5">
        <v>16</v>
      </c>
      <c r="G5">
        <v>1</v>
      </c>
      <c r="H5">
        <v>1</v>
      </c>
    </row>
    <row r="6" spans="1:8" x14ac:dyDescent="0.35">
      <c r="A6" t="s">
        <v>214</v>
      </c>
      <c r="B6" t="s">
        <v>780</v>
      </c>
      <c r="C6">
        <v>47</v>
      </c>
      <c r="D6">
        <v>140</v>
      </c>
      <c r="F6">
        <v>12</v>
      </c>
      <c r="G6">
        <v>18</v>
      </c>
      <c r="H6">
        <v>13</v>
      </c>
    </row>
    <row r="7" spans="1:8" x14ac:dyDescent="0.35">
      <c r="A7" t="s">
        <v>214</v>
      </c>
      <c r="B7" t="s">
        <v>784</v>
      </c>
      <c r="C7">
        <v>687</v>
      </c>
      <c r="D7">
        <v>374</v>
      </c>
      <c r="E7">
        <v>2</v>
      </c>
      <c r="F7">
        <v>20</v>
      </c>
      <c r="G7">
        <v>91</v>
      </c>
      <c r="H7">
        <v>33</v>
      </c>
    </row>
    <row r="8" spans="1:8" x14ac:dyDescent="0.35">
      <c r="A8" t="s">
        <v>313</v>
      </c>
      <c r="B8" t="s">
        <v>782</v>
      </c>
      <c r="C8">
        <v>360</v>
      </c>
      <c r="D8">
        <v>366</v>
      </c>
      <c r="E8">
        <v>4</v>
      </c>
      <c r="F8">
        <v>38</v>
      </c>
      <c r="G8">
        <v>61</v>
      </c>
      <c r="H8">
        <v>26</v>
      </c>
    </row>
    <row r="9" spans="1:8" x14ac:dyDescent="0.35">
      <c r="A9" t="s">
        <v>321</v>
      </c>
      <c r="B9" t="s">
        <v>780</v>
      </c>
      <c r="C9">
        <v>35</v>
      </c>
      <c r="D9">
        <v>123</v>
      </c>
      <c r="F9">
        <v>4</v>
      </c>
      <c r="G9">
        <v>27</v>
      </c>
      <c r="H9">
        <v>5</v>
      </c>
    </row>
    <row r="10" spans="1:8" x14ac:dyDescent="0.35">
      <c r="A10" t="s">
        <v>321</v>
      </c>
      <c r="B10" t="s">
        <v>786</v>
      </c>
      <c r="C10">
        <v>720</v>
      </c>
      <c r="D10">
        <v>405</v>
      </c>
      <c r="E10">
        <v>14</v>
      </c>
      <c r="F10">
        <v>28</v>
      </c>
      <c r="G10">
        <v>158</v>
      </c>
      <c r="H10">
        <v>67</v>
      </c>
    </row>
    <row r="11" spans="1:8" x14ac:dyDescent="0.35">
      <c r="A11" t="s">
        <v>321</v>
      </c>
      <c r="B11" t="s">
        <v>789</v>
      </c>
      <c r="D11">
        <v>23</v>
      </c>
      <c r="F11">
        <v>1</v>
      </c>
      <c r="G11">
        <v>33</v>
      </c>
      <c r="H11">
        <v>9</v>
      </c>
    </row>
    <row r="12" spans="1:8" x14ac:dyDescent="0.35">
      <c r="A12" t="s">
        <v>326</v>
      </c>
      <c r="B12" t="s">
        <v>781</v>
      </c>
      <c r="C12">
        <v>260</v>
      </c>
      <c r="D12">
        <v>268</v>
      </c>
      <c r="E12">
        <v>1</v>
      </c>
      <c r="F12">
        <v>24</v>
      </c>
      <c r="G12">
        <v>50</v>
      </c>
      <c r="H12">
        <v>11</v>
      </c>
    </row>
    <row r="13" spans="1:8" x14ac:dyDescent="0.35">
      <c r="A13" t="s">
        <v>326</v>
      </c>
      <c r="B13" t="s">
        <v>783</v>
      </c>
      <c r="C13">
        <v>540</v>
      </c>
      <c r="D13">
        <v>417</v>
      </c>
      <c r="E13">
        <v>4</v>
      </c>
      <c r="F13">
        <v>31</v>
      </c>
      <c r="G13">
        <v>96</v>
      </c>
      <c r="H13">
        <v>29</v>
      </c>
    </row>
    <row r="14" spans="1:8" x14ac:dyDescent="0.35">
      <c r="A14" t="s">
        <v>327</v>
      </c>
      <c r="B14" t="s">
        <v>784</v>
      </c>
      <c r="C14">
        <v>649</v>
      </c>
      <c r="D14">
        <v>373</v>
      </c>
      <c r="E14">
        <v>10</v>
      </c>
      <c r="F14">
        <v>22</v>
      </c>
      <c r="G14">
        <v>88</v>
      </c>
      <c r="H14">
        <v>29</v>
      </c>
    </row>
    <row r="15" spans="1:8" x14ac:dyDescent="0.35">
      <c r="A15" t="s">
        <v>327</v>
      </c>
      <c r="B15" t="s">
        <v>787</v>
      </c>
      <c r="C15">
        <v>182</v>
      </c>
      <c r="D15">
        <v>316</v>
      </c>
      <c r="E15">
        <v>18</v>
      </c>
      <c r="F15">
        <v>18</v>
      </c>
      <c r="G15">
        <v>164</v>
      </c>
      <c r="H15">
        <v>56</v>
      </c>
    </row>
    <row r="16" spans="1:8" x14ac:dyDescent="0.35">
      <c r="A16" t="s">
        <v>466</v>
      </c>
      <c r="B16" t="s">
        <v>782</v>
      </c>
      <c r="C16">
        <v>501</v>
      </c>
      <c r="D16">
        <v>382</v>
      </c>
      <c r="E16">
        <v>3</v>
      </c>
      <c r="F16">
        <v>24</v>
      </c>
      <c r="G16">
        <v>78</v>
      </c>
      <c r="H16">
        <v>14</v>
      </c>
    </row>
    <row r="17" spans="1:8" x14ac:dyDescent="0.35">
      <c r="A17" t="s">
        <v>365</v>
      </c>
      <c r="B17" t="s">
        <v>780</v>
      </c>
      <c r="C17">
        <v>47</v>
      </c>
      <c r="D17">
        <v>159</v>
      </c>
      <c r="F17">
        <v>9</v>
      </c>
      <c r="G17">
        <v>17</v>
      </c>
      <c r="H17">
        <v>20</v>
      </c>
    </row>
    <row r="18" spans="1:8" x14ac:dyDescent="0.35">
      <c r="A18" t="s">
        <v>365</v>
      </c>
      <c r="B18" t="s">
        <v>781</v>
      </c>
      <c r="C18">
        <v>179</v>
      </c>
      <c r="D18">
        <v>287</v>
      </c>
      <c r="F18">
        <v>17</v>
      </c>
      <c r="G18">
        <v>41</v>
      </c>
      <c r="H18">
        <v>23</v>
      </c>
    </row>
    <row r="19" spans="1:8" x14ac:dyDescent="0.35">
      <c r="A19" t="s">
        <v>365</v>
      </c>
      <c r="B19" t="s">
        <v>789</v>
      </c>
      <c r="D19">
        <v>2</v>
      </c>
      <c r="G19">
        <v>17</v>
      </c>
      <c r="H19">
        <v>1</v>
      </c>
    </row>
    <row r="20" spans="1:8" x14ac:dyDescent="0.35">
      <c r="A20" t="s">
        <v>366</v>
      </c>
      <c r="B20" t="s">
        <v>789</v>
      </c>
      <c r="D20">
        <v>5</v>
      </c>
      <c r="G20">
        <v>12</v>
      </c>
      <c r="H20">
        <v>2</v>
      </c>
    </row>
    <row r="21" spans="1:8" x14ac:dyDescent="0.35">
      <c r="A21" t="s">
        <v>341</v>
      </c>
      <c r="B21" t="s">
        <v>789</v>
      </c>
      <c r="D21">
        <v>3</v>
      </c>
      <c r="G21">
        <v>16</v>
      </c>
      <c r="H21">
        <v>1</v>
      </c>
    </row>
    <row r="22" spans="1:8" x14ac:dyDescent="0.35">
      <c r="A22" t="s">
        <v>342</v>
      </c>
      <c r="B22" t="s">
        <v>783</v>
      </c>
      <c r="C22">
        <v>605</v>
      </c>
      <c r="D22">
        <v>375</v>
      </c>
      <c r="F22">
        <v>22</v>
      </c>
      <c r="G22">
        <v>70</v>
      </c>
      <c r="H22">
        <v>35</v>
      </c>
    </row>
    <row r="23" spans="1:8" x14ac:dyDescent="0.35">
      <c r="A23" t="s">
        <v>342</v>
      </c>
      <c r="B23" t="s">
        <v>785</v>
      </c>
      <c r="C23">
        <v>880</v>
      </c>
      <c r="D23">
        <v>494</v>
      </c>
      <c r="F23">
        <v>27</v>
      </c>
      <c r="G23">
        <v>139</v>
      </c>
      <c r="H23">
        <v>62</v>
      </c>
    </row>
    <row r="24" spans="1:8" x14ac:dyDescent="0.35">
      <c r="A24" t="s">
        <v>214</v>
      </c>
      <c r="B24" t="s">
        <v>786</v>
      </c>
      <c r="C24">
        <v>749</v>
      </c>
      <c r="D24">
        <v>508</v>
      </c>
      <c r="E24">
        <v>6</v>
      </c>
      <c r="F24">
        <v>28</v>
      </c>
      <c r="G24">
        <v>132</v>
      </c>
      <c r="H24">
        <v>73</v>
      </c>
    </row>
    <row r="25" spans="1:8" x14ac:dyDescent="0.35">
      <c r="A25" t="s">
        <v>214</v>
      </c>
      <c r="B25" t="s">
        <v>787</v>
      </c>
      <c r="C25">
        <v>168</v>
      </c>
      <c r="D25">
        <v>264</v>
      </c>
      <c r="E25">
        <v>4</v>
      </c>
      <c r="F25">
        <v>30</v>
      </c>
      <c r="G25">
        <v>126</v>
      </c>
      <c r="H25">
        <v>39</v>
      </c>
    </row>
    <row r="26" spans="1:8" x14ac:dyDescent="0.35">
      <c r="A26" t="s">
        <v>214</v>
      </c>
      <c r="B26" t="s">
        <v>788</v>
      </c>
      <c r="C26">
        <v>9</v>
      </c>
      <c r="D26">
        <v>95</v>
      </c>
      <c r="F26">
        <v>5</v>
      </c>
      <c r="G26">
        <v>89</v>
      </c>
      <c r="H26">
        <v>20</v>
      </c>
    </row>
    <row r="27" spans="1:8" x14ac:dyDescent="0.35">
      <c r="A27" t="s">
        <v>313</v>
      </c>
      <c r="B27" t="s">
        <v>785</v>
      </c>
      <c r="C27">
        <v>775</v>
      </c>
      <c r="D27">
        <v>421</v>
      </c>
      <c r="E27">
        <v>3</v>
      </c>
      <c r="F27">
        <v>22</v>
      </c>
      <c r="G27">
        <v>114</v>
      </c>
      <c r="H27">
        <v>53</v>
      </c>
    </row>
    <row r="28" spans="1:8" x14ac:dyDescent="0.35">
      <c r="A28" t="s">
        <v>319</v>
      </c>
      <c r="B28" t="s">
        <v>783</v>
      </c>
      <c r="C28">
        <v>529</v>
      </c>
      <c r="D28">
        <v>402</v>
      </c>
      <c r="E28">
        <v>8</v>
      </c>
      <c r="F28">
        <v>19</v>
      </c>
      <c r="G28">
        <v>80</v>
      </c>
      <c r="H28">
        <v>36</v>
      </c>
    </row>
    <row r="29" spans="1:8" x14ac:dyDescent="0.35">
      <c r="A29" t="s">
        <v>321</v>
      </c>
      <c r="B29" t="s">
        <v>790</v>
      </c>
      <c r="C29">
        <v>1</v>
      </c>
      <c r="D29">
        <v>4</v>
      </c>
      <c r="G29">
        <v>3</v>
      </c>
      <c r="H29">
        <v>1</v>
      </c>
    </row>
    <row r="30" spans="1:8" x14ac:dyDescent="0.35">
      <c r="A30" t="s">
        <v>326</v>
      </c>
      <c r="B30" t="s">
        <v>782</v>
      </c>
      <c r="C30">
        <v>498</v>
      </c>
      <c r="D30">
        <v>383</v>
      </c>
      <c r="E30">
        <v>6</v>
      </c>
      <c r="F30">
        <v>26</v>
      </c>
      <c r="G30">
        <v>69</v>
      </c>
      <c r="H30">
        <v>17</v>
      </c>
    </row>
    <row r="31" spans="1:8" x14ac:dyDescent="0.35">
      <c r="A31" t="s">
        <v>326</v>
      </c>
      <c r="B31" t="s">
        <v>784</v>
      </c>
      <c r="C31">
        <v>675</v>
      </c>
      <c r="D31">
        <v>390</v>
      </c>
      <c r="E31">
        <v>8</v>
      </c>
      <c r="F31">
        <v>24</v>
      </c>
      <c r="G31">
        <v>90</v>
      </c>
      <c r="H31">
        <v>32</v>
      </c>
    </row>
    <row r="32" spans="1:8" x14ac:dyDescent="0.35">
      <c r="A32" t="s">
        <v>327</v>
      </c>
      <c r="B32" t="s">
        <v>782</v>
      </c>
      <c r="C32">
        <v>493</v>
      </c>
      <c r="D32">
        <v>391</v>
      </c>
      <c r="E32">
        <v>3</v>
      </c>
      <c r="F32">
        <v>25</v>
      </c>
      <c r="G32">
        <v>73</v>
      </c>
      <c r="H32">
        <v>16</v>
      </c>
    </row>
    <row r="33" spans="1:8" x14ac:dyDescent="0.35">
      <c r="A33" t="s">
        <v>327</v>
      </c>
      <c r="B33" t="s">
        <v>788</v>
      </c>
      <c r="C33">
        <v>24</v>
      </c>
      <c r="D33">
        <v>127</v>
      </c>
      <c r="E33">
        <v>8</v>
      </c>
      <c r="F33">
        <v>7</v>
      </c>
      <c r="G33">
        <v>108</v>
      </c>
      <c r="H33">
        <v>23</v>
      </c>
    </row>
    <row r="34" spans="1:8" x14ac:dyDescent="0.35">
      <c r="A34" t="s">
        <v>327</v>
      </c>
      <c r="B34" t="s">
        <v>790</v>
      </c>
      <c r="D34">
        <v>6</v>
      </c>
      <c r="G34">
        <v>6</v>
      </c>
      <c r="H34">
        <v>4</v>
      </c>
    </row>
    <row r="35" spans="1:8" x14ac:dyDescent="0.35">
      <c r="A35" t="s">
        <v>466</v>
      </c>
      <c r="B35" t="s">
        <v>785</v>
      </c>
      <c r="C35">
        <v>705</v>
      </c>
      <c r="D35">
        <v>305</v>
      </c>
      <c r="E35">
        <v>4</v>
      </c>
      <c r="F35">
        <v>17</v>
      </c>
      <c r="G35">
        <v>100</v>
      </c>
      <c r="H35">
        <v>23</v>
      </c>
    </row>
    <row r="36" spans="1:8" x14ac:dyDescent="0.35">
      <c r="A36" t="s">
        <v>466</v>
      </c>
      <c r="B36" t="s">
        <v>791</v>
      </c>
      <c r="G36">
        <v>1</v>
      </c>
    </row>
    <row r="37" spans="1:8" x14ac:dyDescent="0.35">
      <c r="A37" t="s">
        <v>466</v>
      </c>
      <c r="B37" t="s">
        <v>792</v>
      </c>
      <c r="D37">
        <v>5</v>
      </c>
      <c r="F37">
        <v>1</v>
      </c>
      <c r="G37">
        <v>5</v>
      </c>
    </row>
    <row r="38" spans="1:8" x14ac:dyDescent="0.35">
      <c r="A38" t="s">
        <v>364</v>
      </c>
      <c r="B38" t="s">
        <v>793</v>
      </c>
      <c r="G38">
        <v>15</v>
      </c>
      <c r="H38">
        <v>2</v>
      </c>
    </row>
    <row r="39" spans="1:8" x14ac:dyDescent="0.35">
      <c r="A39" t="s">
        <v>365</v>
      </c>
      <c r="B39" t="s">
        <v>784</v>
      </c>
      <c r="C39">
        <v>822</v>
      </c>
      <c r="D39">
        <v>510</v>
      </c>
      <c r="F39">
        <v>35</v>
      </c>
      <c r="G39">
        <v>118</v>
      </c>
      <c r="H39">
        <v>65</v>
      </c>
    </row>
    <row r="40" spans="1:8" x14ac:dyDescent="0.35">
      <c r="A40" t="s">
        <v>366</v>
      </c>
      <c r="B40" t="s">
        <v>783</v>
      </c>
      <c r="C40">
        <v>667</v>
      </c>
      <c r="D40">
        <v>352</v>
      </c>
      <c r="F40">
        <v>23</v>
      </c>
      <c r="G40">
        <v>73</v>
      </c>
      <c r="H40">
        <v>30</v>
      </c>
    </row>
    <row r="41" spans="1:8" x14ac:dyDescent="0.35">
      <c r="A41" t="s">
        <v>366</v>
      </c>
      <c r="B41" t="s">
        <v>787</v>
      </c>
      <c r="C41">
        <v>51</v>
      </c>
      <c r="D41">
        <v>181</v>
      </c>
      <c r="F41">
        <v>34</v>
      </c>
      <c r="G41">
        <v>124</v>
      </c>
      <c r="H41">
        <v>36</v>
      </c>
    </row>
    <row r="42" spans="1:8" x14ac:dyDescent="0.35">
      <c r="A42" t="s">
        <v>341</v>
      </c>
      <c r="B42" t="s">
        <v>781</v>
      </c>
      <c r="C42">
        <v>144</v>
      </c>
      <c r="D42">
        <v>295</v>
      </c>
      <c r="F42">
        <v>16</v>
      </c>
      <c r="G42">
        <v>41</v>
      </c>
      <c r="H42">
        <v>20</v>
      </c>
    </row>
    <row r="43" spans="1:8" x14ac:dyDescent="0.35">
      <c r="A43" t="s">
        <v>342</v>
      </c>
      <c r="B43" t="s">
        <v>786</v>
      </c>
      <c r="C43">
        <v>775</v>
      </c>
      <c r="D43">
        <v>499</v>
      </c>
      <c r="F43">
        <v>33</v>
      </c>
      <c r="G43">
        <v>140</v>
      </c>
      <c r="H43">
        <v>80</v>
      </c>
    </row>
    <row r="44" spans="1:8" x14ac:dyDescent="0.35">
      <c r="A44" t="s">
        <v>313</v>
      </c>
      <c r="B44" t="s">
        <v>781</v>
      </c>
      <c r="C44">
        <v>246</v>
      </c>
      <c r="D44">
        <v>313</v>
      </c>
      <c r="E44">
        <v>3</v>
      </c>
      <c r="F44">
        <v>21</v>
      </c>
      <c r="G44">
        <v>51</v>
      </c>
      <c r="H44">
        <v>15</v>
      </c>
    </row>
    <row r="45" spans="1:8" x14ac:dyDescent="0.35">
      <c r="A45" t="s">
        <v>319</v>
      </c>
      <c r="B45" t="s">
        <v>785</v>
      </c>
      <c r="C45">
        <v>727</v>
      </c>
      <c r="D45">
        <v>383</v>
      </c>
      <c r="E45">
        <v>3</v>
      </c>
      <c r="F45">
        <v>20</v>
      </c>
      <c r="G45">
        <v>114</v>
      </c>
      <c r="H45">
        <v>44</v>
      </c>
    </row>
    <row r="46" spans="1:8" x14ac:dyDescent="0.35">
      <c r="A46" t="s">
        <v>321</v>
      </c>
      <c r="B46" t="s">
        <v>788</v>
      </c>
      <c r="C46">
        <v>22</v>
      </c>
      <c r="D46">
        <v>115</v>
      </c>
      <c r="E46">
        <v>3</v>
      </c>
      <c r="F46">
        <v>4</v>
      </c>
      <c r="G46">
        <v>111</v>
      </c>
      <c r="H46">
        <v>23</v>
      </c>
    </row>
    <row r="47" spans="1:8" x14ac:dyDescent="0.35">
      <c r="A47" t="s">
        <v>326</v>
      </c>
      <c r="B47" t="s">
        <v>780</v>
      </c>
      <c r="C47">
        <v>60</v>
      </c>
      <c r="D47">
        <v>125</v>
      </c>
      <c r="F47">
        <v>1</v>
      </c>
      <c r="G47">
        <v>23</v>
      </c>
      <c r="H47">
        <v>4</v>
      </c>
    </row>
    <row r="48" spans="1:8" x14ac:dyDescent="0.35">
      <c r="A48" t="s">
        <v>326</v>
      </c>
      <c r="B48" t="s">
        <v>786</v>
      </c>
      <c r="C48">
        <v>598</v>
      </c>
      <c r="D48">
        <v>362</v>
      </c>
      <c r="E48">
        <v>12</v>
      </c>
      <c r="F48">
        <v>24</v>
      </c>
      <c r="G48">
        <v>150</v>
      </c>
      <c r="H48">
        <v>60</v>
      </c>
    </row>
    <row r="49" spans="1:8" x14ac:dyDescent="0.35">
      <c r="A49" t="s">
        <v>326</v>
      </c>
      <c r="B49" t="s">
        <v>789</v>
      </c>
      <c r="C49">
        <v>1</v>
      </c>
      <c r="D49">
        <v>23</v>
      </c>
      <c r="G49">
        <v>40</v>
      </c>
      <c r="H49">
        <v>8</v>
      </c>
    </row>
    <row r="50" spans="1:8" x14ac:dyDescent="0.35">
      <c r="A50" t="s">
        <v>466</v>
      </c>
      <c r="B50" t="s">
        <v>781</v>
      </c>
      <c r="C50">
        <v>253</v>
      </c>
      <c r="D50">
        <v>257</v>
      </c>
      <c r="F50">
        <v>18</v>
      </c>
      <c r="G50">
        <v>43</v>
      </c>
      <c r="H50">
        <v>13</v>
      </c>
    </row>
    <row r="51" spans="1:8" x14ac:dyDescent="0.35">
      <c r="A51" t="s">
        <v>466</v>
      </c>
      <c r="B51" t="s">
        <v>784</v>
      </c>
      <c r="C51">
        <v>632</v>
      </c>
      <c r="D51">
        <v>387</v>
      </c>
      <c r="E51">
        <v>14</v>
      </c>
      <c r="F51">
        <v>20</v>
      </c>
      <c r="G51">
        <v>97</v>
      </c>
      <c r="H51">
        <v>30</v>
      </c>
    </row>
    <row r="52" spans="1:8" x14ac:dyDescent="0.35">
      <c r="A52" t="s">
        <v>365</v>
      </c>
      <c r="B52" t="s">
        <v>783</v>
      </c>
      <c r="C52">
        <v>668</v>
      </c>
      <c r="D52">
        <v>350</v>
      </c>
      <c r="F52">
        <v>27</v>
      </c>
      <c r="G52">
        <v>94</v>
      </c>
      <c r="H52">
        <v>30</v>
      </c>
    </row>
    <row r="53" spans="1:8" x14ac:dyDescent="0.35">
      <c r="A53" t="s">
        <v>365</v>
      </c>
      <c r="B53" t="s">
        <v>787</v>
      </c>
      <c r="C53">
        <v>50</v>
      </c>
      <c r="D53">
        <v>202</v>
      </c>
      <c r="F53">
        <v>31</v>
      </c>
      <c r="G53">
        <v>132</v>
      </c>
      <c r="H53">
        <v>33</v>
      </c>
    </row>
    <row r="54" spans="1:8" x14ac:dyDescent="0.35">
      <c r="A54" t="s">
        <v>365</v>
      </c>
      <c r="B54" t="s">
        <v>792</v>
      </c>
      <c r="D54">
        <v>7</v>
      </c>
      <c r="H54">
        <v>21</v>
      </c>
    </row>
    <row r="55" spans="1:8" x14ac:dyDescent="0.35">
      <c r="A55" t="s">
        <v>366</v>
      </c>
      <c r="B55" t="s">
        <v>782</v>
      </c>
      <c r="C55">
        <v>438</v>
      </c>
      <c r="D55">
        <v>335</v>
      </c>
      <c r="F55">
        <v>15</v>
      </c>
      <c r="G55">
        <v>64</v>
      </c>
      <c r="H55">
        <v>27</v>
      </c>
    </row>
    <row r="56" spans="1:8" x14ac:dyDescent="0.35">
      <c r="A56" t="s">
        <v>366</v>
      </c>
      <c r="B56" t="s">
        <v>785</v>
      </c>
      <c r="C56">
        <v>978</v>
      </c>
      <c r="D56">
        <v>576</v>
      </c>
      <c r="F56">
        <v>39</v>
      </c>
      <c r="G56">
        <v>144</v>
      </c>
      <c r="H56">
        <v>76</v>
      </c>
    </row>
    <row r="57" spans="1:8" x14ac:dyDescent="0.35">
      <c r="A57" t="s">
        <v>366</v>
      </c>
      <c r="B57" t="s">
        <v>790</v>
      </c>
      <c r="G57">
        <v>6</v>
      </c>
    </row>
    <row r="58" spans="1:8" x14ac:dyDescent="0.35">
      <c r="A58" t="s">
        <v>341</v>
      </c>
      <c r="B58" t="s">
        <v>780</v>
      </c>
      <c r="C58">
        <v>51</v>
      </c>
      <c r="D58">
        <v>174</v>
      </c>
      <c r="F58">
        <v>1</v>
      </c>
      <c r="G58">
        <v>17</v>
      </c>
      <c r="H58">
        <v>10</v>
      </c>
    </row>
    <row r="59" spans="1:8" x14ac:dyDescent="0.35">
      <c r="A59" t="s">
        <v>341</v>
      </c>
      <c r="B59" t="s">
        <v>784</v>
      </c>
      <c r="C59">
        <v>689</v>
      </c>
      <c r="D59">
        <v>392</v>
      </c>
      <c r="F59">
        <v>20</v>
      </c>
      <c r="G59">
        <v>111</v>
      </c>
      <c r="H59">
        <v>35</v>
      </c>
    </row>
    <row r="60" spans="1:8" x14ac:dyDescent="0.35">
      <c r="A60" t="s">
        <v>342</v>
      </c>
      <c r="B60" t="s">
        <v>780</v>
      </c>
      <c r="C60">
        <v>24</v>
      </c>
      <c r="D60">
        <v>135</v>
      </c>
      <c r="F60">
        <v>5</v>
      </c>
      <c r="G60">
        <v>14</v>
      </c>
      <c r="H60">
        <v>10</v>
      </c>
    </row>
    <row r="61" spans="1:8" x14ac:dyDescent="0.35">
      <c r="A61" t="s">
        <v>342</v>
      </c>
      <c r="B61" t="s">
        <v>784</v>
      </c>
      <c r="C61">
        <v>661</v>
      </c>
      <c r="D61">
        <v>359</v>
      </c>
      <c r="F61">
        <v>21</v>
      </c>
      <c r="G61">
        <v>103</v>
      </c>
      <c r="H61">
        <v>36</v>
      </c>
    </row>
    <row r="62" spans="1:8" x14ac:dyDescent="0.35">
      <c r="A62" t="s">
        <v>342</v>
      </c>
      <c r="B62" t="s">
        <v>789</v>
      </c>
      <c r="C62">
        <v>1</v>
      </c>
      <c r="D62">
        <v>12</v>
      </c>
      <c r="G62">
        <v>32</v>
      </c>
      <c r="H62">
        <v>5</v>
      </c>
    </row>
    <row r="63" spans="1:8" x14ac:dyDescent="0.35">
      <c r="A63" t="s">
        <v>342</v>
      </c>
      <c r="B63" t="s">
        <v>790</v>
      </c>
      <c r="D63">
        <v>1</v>
      </c>
      <c r="G63">
        <v>8</v>
      </c>
    </row>
    <row r="64" spans="1:8" x14ac:dyDescent="0.35">
      <c r="A64" t="s">
        <v>313</v>
      </c>
      <c r="B64" t="s">
        <v>789</v>
      </c>
      <c r="C64">
        <v>1</v>
      </c>
      <c r="D64">
        <v>26</v>
      </c>
      <c r="F64">
        <v>1</v>
      </c>
      <c r="G64">
        <v>36</v>
      </c>
      <c r="H64">
        <v>8</v>
      </c>
    </row>
    <row r="65" spans="1:8" x14ac:dyDescent="0.35">
      <c r="A65" t="s">
        <v>319</v>
      </c>
      <c r="B65" t="s">
        <v>780</v>
      </c>
      <c r="C65">
        <v>37</v>
      </c>
      <c r="D65">
        <v>134</v>
      </c>
      <c r="F65">
        <v>6</v>
      </c>
      <c r="G65">
        <v>20</v>
      </c>
      <c r="H65">
        <v>13</v>
      </c>
    </row>
    <row r="66" spans="1:8" x14ac:dyDescent="0.35">
      <c r="A66" t="s">
        <v>319</v>
      </c>
      <c r="B66" t="s">
        <v>790</v>
      </c>
      <c r="D66">
        <v>1</v>
      </c>
      <c r="G66">
        <v>2</v>
      </c>
      <c r="H66">
        <v>1</v>
      </c>
    </row>
    <row r="67" spans="1:8" x14ac:dyDescent="0.35">
      <c r="A67" t="s">
        <v>321</v>
      </c>
      <c r="B67" t="s">
        <v>783</v>
      </c>
      <c r="C67">
        <v>517</v>
      </c>
      <c r="D67">
        <v>408</v>
      </c>
      <c r="E67">
        <v>7</v>
      </c>
      <c r="F67">
        <v>32</v>
      </c>
      <c r="G67">
        <v>85</v>
      </c>
      <c r="H67">
        <v>32</v>
      </c>
    </row>
    <row r="68" spans="1:8" x14ac:dyDescent="0.35">
      <c r="A68" t="s">
        <v>326</v>
      </c>
      <c r="B68" t="s">
        <v>790</v>
      </c>
      <c r="C68">
        <v>1</v>
      </c>
      <c r="D68">
        <v>5</v>
      </c>
      <c r="G68">
        <v>4</v>
      </c>
      <c r="H68">
        <v>4</v>
      </c>
    </row>
    <row r="69" spans="1:8" x14ac:dyDescent="0.35">
      <c r="A69" t="s">
        <v>327</v>
      </c>
      <c r="B69" t="s">
        <v>783</v>
      </c>
      <c r="C69">
        <v>520</v>
      </c>
      <c r="D69">
        <v>425</v>
      </c>
      <c r="E69">
        <v>5</v>
      </c>
      <c r="F69">
        <v>32</v>
      </c>
      <c r="G69">
        <v>92</v>
      </c>
      <c r="H69">
        <v>27</v>
      </c>
    </row>
    <row r="70" spans="1:8" x14ac:dyDescent="0.35">
      <c r="A70" t="s">
        <v>466</v>
      </c>
      <c r="B70" t="s">
        <v>783</v>
      </c>
      <c r="C70">
        <v>532</v>
      </c>
      <c r="D70">
        <v>421</v>
      </c>
      <c r="E70">
        <v>3</v>
      </c>
      <c r="F70">
        <v>37</v>
      </c>
      <c r="G70">
        <v>95</v>
      </c>
      <c r="H70">
        <v>30</v>
      </c>
    </row>
    <row r="71" spans="1:8" x14ac:dyDescent="0.35">
      <c r="A71" t="s">
        <v>466</v>
      </c>
      <c r="B71" t="s">
        <v>789</v>
      </c>
      <c r="C71">
        <v>4</v>
      </c>
      <c r="D71">
        <v>31</v>
      </c>
      <c r="G71">
        <v>45</v>
      </c>
      <c r="H71">
        <v>14</v>
      </c>
    </row>
    <row r="72" spans="1:8" x14ac:dyDescent="0.35">
      <c r="A72" t="s">
        <v>364</v>
      </c>
      <c r="B72" t="s">
        <v>794</v>
      </c>
      <c r="C72">
        <v>1254</v>
      </c>
      <c r="D72">
        <v>691</v>
      </c>
      <c r="F72">
        <v>46</v>
      </c>
      <c r="G72">
        <v>174</v>
      </c>
      <c r="H72">
        <v>58</v>
      </c>
    </row>
    <row r="73" spans="1:8" x14ac:dyDescent="0.35">
      <c r="A73" t="s">
        <v>364</v>
      </c>
      <c r="B73" t="s">
        <v>786</v>
      </c>
      <c r="C73">
        <v>486</v>
      </c>
      <c r="D73">
        <v>370</v>
      </c>
      <c r="F73">
        <v>52</v>
      </c>
      <c r="G73">
        <v>160</v>
      </c>
      <c r="H73">
        <v>48</v>
      </c>
    </row>
    <row r="74" spans="1:8" x14ac:dyDescent="0.35">
      <c r="A74" t="s">
        <v>366</v>
      </c>
      <c r="B74" t="s">
        <v>792</v>
      </c>
      <c r="C74">
        <v>1</v>
      </c>
      <c r="D74">
        <v>8</v>
      </c>
      <c r="H74">
        <v>6</v>
      </c>
    </row>
    <row r="75" spans="1:8" x14ac:dyDescent="0.35">
      <c r="A75" t="s">
        <v>214</v>
      </c>
      <c r="B75" t="s">
        <v>782</v>
      </c>
      <c r="C75">
        <v>339</v>
      </c>
      <c r="D75">
        <v>373</v>
      </c>
      <c r="E75">
        <v>1</v>
      </c>
      <c r="F75">
        <v>36</v>
      </c>
      <c r="G75">
        <v>61</v>
      </c>
      <c r="H75">
        <v>28</v>
      </c>
    </row>
    <row r="76" spans="1:8" x14ac:dyDescent="0.35">
      <c r="A76" t="s">
        <v>313</v>
      </c>
      <c r="B76" t="s">
        <v>780</v>
      </c>
      <c r="C76">
        <v>46</v>
      </c>
      <c r="D76">
        <v>152</v>
      </c>
      <c r="F76">
        <v>7</v>
      </c>
      <c r="G76">
        <v>18</v>
      </c>
      <c r="H76">
        <v>18</v>
      </c>
    </row>
    <row r="77" spans="1:8" x14ac:dyDescent="0.35">
      <c r="A77" t="s">
        <v>313</v>
      </c>
      <c r="B77" t="s">
        <v>783</v>
      </c>
      <c r="C77">
        <v>567</v>
      </c>
      <c r="D77">
        <v>405</v>
      </c>
      <c r="E77">
        <v>5</v>
      </c>
      <c r="F77">
        <v>20</v>
      </c>
      <c r="G77">
        <v>72</v>
      </c>
      <c r="H77">
        <v>32</v>
      </c>
    </row>
    <row r="78" spans="1:8" x14ac:dyDescent="0.35">
      <c r="A78" t="s">
        <v>313</v>
      </c>
      <c r="B78" t="s">
        <v>790</v>
      </c>
      <c r="G78">
        <v>2</v>
      </c>
    </row>
    <row r="79" spans="1:8" x14ac:dyDescent="0.35">
      <c r="A79" t="s">
        <v>319</v>
      </c>
      <c r="B79" t="s">
        <v>784</v>
      </c>
      <c r="C79">
        <v>703</v>
      </c>
      <c r="D79">
        <v>367</v>
      </c>
      <c r="E79">
        <v>5</v>
      </c>
      <c r="F79">
        <v>22</v>
      </c>
      <c r="G79">
        <v>79</v>
      </c>
      <c r="H79">
        <v>29</v>
      </c>
    </row>
    <row r="80" spans="1:8" x14ac:dyDescent="0.35">
      <c r="A80" t="s">
        <v>321</v>
      </c>
      <c r="B80" t="s">
        <v>792</v>
      </c>
      <c r="D80">
        <v>3</v>
      </c>
    </row>
    <row r="81" spans="1:8" x14ac:dyDescent="0.35">
      <c r="A81" t="s">
        <v>326</v>
      </c>
      <c r="B81" t="s">
        <v>787</v>
      </c>
      <c r="C81">
        <v>163</v>
      </c>
      <c r="D81">
        <v>323</v>
      </c>
      <c r="E81">
        <v>14</v>
      </c>
      <c r="F81">
        <v>22</v>
      </c>
      <c r="G81">
        <v>161</v>
      </c>
      <c r="H81">
        <v>58</v>
      </c>
    </row>
    <row r="82" spans="1:8" x14ac:dyDescent="0.35">
      <c r="A82" t="s">
        <v>326</v>
      </c>
      <c r="B82" t="s">
        <v>788</v>
      </c>
      <c r="C82">
        <v>18</v>
      </c>
      <c r="D82">
        <v>121</v>
      </c>
      <c r="E82">
        <v>6</v>
      </c>
      <c r="F82">
        <v>3</v>
      </c>
      <c r="G82">
        <v>117</v>
      </c>
      <c r="H82">
        <v>21</v>
      </c>
    </row>
    <row r="83" spans="1:8" x14ac:dyDescent="0.35">
      <c r="A83" t="s">
        <v>327</v>
      </c>
      <c r="B83" t="s">
        <v>780</v>
      </c>
      <c r="C83">
        <v>43</v>
      </c>
      <c r="D83">
        <v>135</v>
      </c>
      <c r="F83">
        <v>5</v>
      </c>
      <c r="G83">
        <v>13</v>
      </c>
      <c r="H83">
        <v>5</v>
      </c>
    </row>
    <row r="84" spans="1:8" x14ac:dyDescent="0.35">
      <c r="A84" t="s">
        <v>466</v>
      </c>
      <c r="B84" t="s">
        <v>788</v>
      </c>
      <c r="C84">
        <v>26</v>
      </c>
      <c r="D84">
        <v>140</v>
      </c>
      <c r="E84">
        <v>9</v>
      </c>
      <c r="F84">
        <v>7</v>
      </c>
      <c r="G84">
        <v>114</v>
      </c>
      <c r="H84">
        <v>29</v>
      </c>
    </row>
    <row r="85" spans="1:8" x14ac:dyDescent="0.35">
      <c r="A85" t="s">
        <v>466</v>
      </c>
      <c r="B85" t="s">
        <v>790</v>
      </c>
      <c r="D85">
        <v>7</v>
      </c>
      <c r="G85">
        <v>7</v>
      </c>
      <c r="H85">
        <v>5</v>
      </c>
    </row>
    <row r="86" spans="1:8" x14ac:dyDescent="0.35">
      <c r="A86" t="s">
        <v>364</v>
      </c>
      <c r="B86" t="s">
        <v>784</v>
      </c>
      <c r="C86">
        <v>888</v>
      </c>
      <c r="D86">
        <v>540</v>
      </c>
      <c r="F86">
        <v>34</v>
      </c>
      <c r="G86">
        <v>142</v>
      </c>
      <c r="H86">
        <v>63</v>
      </c>
    </row>
    <row r="87" spans="1:8" x14ac:dyDescent="0.35">
      <c r="A87" t="s">
        <v>364</v>
      </c>
      <c r="B87" t="s">
        <v>792</v>
      </c>
      <c r="D87">
        <v>13</v>
      </c>
      <c r="H87">
        <v>29</v>
      </c>
    </row>
    <row r="88" spans="1:8" x14ac:dyDescent="0.35">
      <c r="A88" t="s">
        <v>365</v>
      </c>
      <c r="B88" t="s">
        <v>782</v>
      </c>
      <c r="C88">
        <v>529</v>
      </c>
      <c r="D88">
        <v>337</v>
      </c>
      <c r="F88">
        <v>18</v>
      </c>
      <c r="G88">
        <v>52</v>
      </c>
      <c r="H88">
        <v>34</v>
      </c>
    </row>
    <row r="89" spans="1:8" x14ac:dyDescent="0.35">
      <c r="A89" t="s">
        <v>365</v>
      </c>
      <c r="B89" t="s">
        <v>785</v>
      </c>
      <c r="C89">
        <v>1006</v>
      </c>
      <c r="D89">
        <v>627</v>
      </c>
      <c r="F89">
        <v>41</v>
      </c>
      <c r="G89">
        <v>149</v>
      </c>
      <c r="H89">
        <v>89</v>
      </c>
    </row>
    <row r="90" spans="1:8" x14ac:dyDescent="0.35">
      <c r="A90" t="s">
        <v>365</v>
      </c>
      <c r="B90" t="s">
        <v>786</v>
      </c>
      <c r="C90">
        <v>554</v>
      </c>
      <c r="D90">
        <v>398</v>
      </c>
      <c r="F90">
        <v>48</v>
      </c>
      <c r="G90">
        <v>148</v>
      </c>
      <c r="H90">
        <v>53</v>
      </c>
    </row>
    <row r="91" spans="1:8" x14ac:dyDescent="0.35">
      <c r="A91" t="s">
        <v>366</v>
      </c>
      <c r="B91" t="s">
        <v>780</v>
      </c>
      <c r="C91">
        <v>38</v>
      </c>
      <c r="D91">
        <v>180</v>
      </c>
      <c r="F91">
        <v>5</v>
      </c>
      <c r="G91">
        <v>20</v>
      </c>
      <c r="H91">
        <v>15</v>
      </c>
    </row>
    <row r="92" spans="1:8" x14ac:dyDescent="0.35">
      <c r="A92" t="s">
        <v>341</v>
      </c>
      <c r="B92" t="s">
        <v>782</v>
      </c>
      <c r="C92">
        <v>398</v>
      </c>
      <c r="D92">
        <v>337</v>
      </c>
      <c r="F92">
        <v>13</v>
      </c>
      <c r="G92">
        <v>71</v>
      </c>
      <c r="H92">
        <v>26</v>
      </c>
    </row>
    <row r="93" spans="1:8" x14ac:dyDescent="0.35">
      <c r="A93" t="s">
        <v>341</v>
      </c>
      <c r="B93" t="s">
        <v>783</v>
      </c>
      <c r="C93">
        <v>661</v>
      </c>
      <c r="D93">
        <v>387</v>
      </c>
      <c r="F93">
        <v>21</v>
      </c>
      <c r="G93">
        <v>73</v>
      </c>
      <c r="H93">
        <v>35</v>
      </c>
    </row>
    <row r="94" spans="1:8" x14ac:dyDescent="0.35">
      <c r="A94" t="s">
        <v>341</v>
      </c>
      <c r="B94" t="s">
        <v>787</v>
      </c>
      <c r="C94">
        <v>73</v>
      </c>
      <c r="D94">
        <v>178</v>
      </c>
      <c r="F94">
        <v>25</v>
      </c>
      <c r="G94">
        <v>133</v>
      </c>
      <c r="H94">
        <v>35</v>
      </c>
    </row>
    <row r="95" spans="1:8" x14ac:dyDescent="0.35">
      <c r="A95" t="s">
        <v>342</v>
      </c>
      <c r="B95" t="s">
        <v>781</v>
      </c>
      <c r="C95">
        <v>149</v>
      </c>
      <c r="D95">
        <v>298</v>
      </c>
      <c r="F95">
        <v>23</v>
      </c>
      <c r="G95">
        <v>35</v>
      </c>
      <c r="H95">
        <v>19</v>
      </c>
    </row>
    <row r="96" spans="1:8" x14ac:dyDescent="0.35">
      <c r="A96" t="s">
        <v>342</v>
      </c>
      <c r="B96" t="s">
        <v>787</v>
      </c>
      <c r="C96">
        <v>124</v>
      </c>
      <c r="D96">
        <v>237</v>
      </c>
      <c r="F96">
        <v>29</v>
      </c>
      <c r="G96">
        <v>141</v>
      </c>
      <c r="H96">
        <v>31</v>
      </c>
    </row>
    <row r="97" spans="1:8" x14ac:dyDescent="0.35">
      <c r="A97" t="s">
        <v>214</v>
      </c>
      <c r="B97" t="s">
        <v>781</v>
      </c>
      <c r="C97">
        <v>214</v>
      </c>
      <c r="D97">
        <v>308</v>
      </c>
      <c r="E97">
        <v>1</v>
      </c>
      <c r="F97">
        <v>25</v>
      </c>
      <c r="G97">
        <v>40</v>
      </c>
      <c r="H97">
        <v>19</v>
      </c>
    </row>
    <row r="98" spans="1:8" x14ac:dyDescent="0.35">
      <c r="A98" t="s">
        <v>214</v>
      </c>
      <c r="B98" t="s">
        <v>783</v>
      </c>
      <c r="C98">
        <v>595</v>
      </c>
      <c r="D98">
        <v>383</v>
      </c>
      <c r="E98">
        <v>2</v>
      </c>
      <c r="F98">
        <v>24</v>
      </c>
      <c r="G98">
        <v>71</v>
      </c>
      <c r="H98">
        <v>29</v>
      </c>
    </row>
    <row r="99" spans="1:8" x14ac:dyDescent="0.35">
      <c r="A99" t="s">
        <v>214</v>
      </c>
      <c r="B99" t="s">
        <v>785</v>
      </c>
      <c r="C99">
        <v>828</v>
      </c>
      <c r="D99">
        <v>466</v>
      </c>
      <c r="E99">
        <v>2</v>
      </c>
      <c r="F99">
        <v>27</v>
      </c>
      <c r="G99">
        <v>134</v>
      </c>
      <c r="H99">
        <v>57</v>
      </c>
    </row>
    <row r="100" spans="1:8" x14ac:dyDescent="0.35">
      <c r="A100" t="s">
        <v>313</v>
      </c>
      <c r="B100" t="s">
        <v>786</v>
      </c>
      <c r="C100">
        <v>740</v>
      </c>
      <c r="D100">
        <v>495</v>
      </c>
      <c r="E100">
        <v>10</v>
      </c>
      <c r="F100">
        <v>27</v>
      </c>
      <c r="G100">
        <v>151</v>
      </c>
      <c r="H100">
        <v>72</v>
      </c>
    </row>
    <row r="101" spans="1:8" x14ac:dyDescent="0.35">
      <c r="A101" t="s">
        <v>319</v>
      </c>
      <c r="B101" t="s">
        <v>789</v>
      </c>
      <c r="C101">
        <v>1</v>
      </c>
      <c r="D101">
        <v>28</v>
      </c>
      <c r="F101">
        <v>1</v>
      </c>
      <c r="G101">
        <v>38</v>
      </c>
      <c r="H101">
        <v>11</v>
      </c>
    </row>
    <row r="102" spans="1:8" x14ac:dyDescent="0.35">
      <c r="A102" t="s">
        <v>321</v>
      </c>
      <c r="B102" t="s">
        <v>782</v>
      </c>
      <c r="C102">
        <v>404</v>
      </c>
      <c r="D102">
        <v>360</v>
      </c>
      <c r="E102">
        <v>4</v>
      </c>
      <c r="F102">
        <v>26</v>
      </c>
      <c r="G102">
        <v>75</v>
      </c>
      <c r="H102">
        <v>15</v>
      </c>
    </row>
    <row r="103" spans="1:8" x14ac:dyDescent="0.35">
      <c r="A103" t="s">
        <v>321</v>
      </c>
      <c r="B103" t="s">
        <v>784</v>
      </c>
      <c r="C103">
        <v>714</v>
      </c>
      <c r="D103">
        <v>382</v>
      </c>
      <c r="E103">
        <v>5</v>
      </c>
      <c r="F103">
        <v>23</v>
      </c>
      <c r="G103">
        <v>95</v>
      </c>
      <c r="H103">
        <v>29</v>
      </c>
    </row>
    <row r="104" spans="1:8" x14ac:dyDescent="0.35">
      <c r="A104" t="s">
        <v>321</v>
      </c>
      <c r="B104" t="s">
        <v>787</v>
      </c>
      <c r="C104">
        <v>187</v>
      </c>
      <c r="D104">
        <v>326</v>
      </c>
      <c r="E104">
        <v>15</v>
      </c>
      <c r="F104">
        <v>24</v>
      </c>
      <c r="G104">
        <v>164</v>
      </c>
      <c r="H104">
        <v>49</v>
      </c>
    </row>
    <row r="105" spans="1:8" x14ac:dyDescent="0.35">
      <c r="A105" t="s">
        <v>327</v>
      </c>
      <c r="B105" t="s">
        <v>781</v>
      </c>
      <c r="C105">
        <v>239</v>
      </c>
      <c r="D105">
        <v>264</v>
      </c>
      <c r="F105">
        <v>23</v>
      </c>
      <c r="G105">
        <v>45</v>
      </c>
      <c r="H105">
        <v>15</v>
      </c>
    </row>
    <row r="106" spans="1:8" x14ac:dyDescent="0.35">
      <c r="A106" t="s">
        <v>327</v>
      </c>
      <c r="B106" t="s">
        <v>785</v>
      </c>
      <c r="C106">
        <v>691</v>
      </c>
      <c r="D106">
        <v>314</v>
      </c>
      <c r="E106">
        <v>3</v>
      </c>
      <c r="F106">
        <v>14</v>
      </c>
      <c r="G106">
        <v>104</v>
      </c>
      <c r="H106">
        <v>27</v>
      </c>
    </row>
    <row r="107" spans="1:8" x14ac:dyDescent="0.35">
      <c r="A107" t="s">
        <v>327</v>
      </c>
      <c r="B107" t="s">
        <v>786</v>
      </c>
      <c r="C107">
        <v>579</v>
      </c>
      <c r="D107">
        <v>319</v>
      </c>
      <c r="E107">
        <v>8</v>
      </c>
      <c r="F107">
        <v>25</v>
      </c>
      <c r="G107">
        <v>145</v>
      </c>
      <c r="H107">
        <v>56</v>
      </c>
    </row>
    <row r="108" spans="1:8" x14ac:dyDescent="0.35">
      <c r="A108" t="s">
        <v>327</v>
      </c>
      <c r="B108" t="s">
        <v>789</v>
      </c>
      <c r="C108">
        <v>2</v>
      </c>
      <c r="D108">
        <v>29</v>
      </c>
      <c r="G108">
        <v>45</v>
      </c>
      <c r="H108">
        <v>11</v>
      </c>
    </row>
    <row r="109" spans="1:8" x14ac:dyDescent="0.35">
      <c r="A109" t="s">
        <v>327</v>
      </c>
      <c r="B109" t="s">
        <v>792</v>
      </c>
      <c r="D109">
        <v>9</v>
      </c>
      <c r="G109">
        <v>3</v>
      </c>
    </row>
    <row r="110" spans="1:8" x14ac:dyDescent="0.35">
      <c r="A110" t="s">
        <v>364</v>
      </c>
      <c r="B110" t="s">
        <v>795</v>
      </c>
      <c r="C110">
        <v>302</v>
      </c>
      <c r="D110">
        <v>438</v>
      </c>
      <c r="F110">
        <v>12</v>
      </c>
      <c r="G110">
        <v>69</v>
      </c>
      <c r="H110">
        <v>32</v>
      </c>
    </row>
    <row r="111" spans="1:8" x14ac:dyDescent="0.35">
      <c r="A111" t="s">
        <v>364</v>
      </c>
      <c r="B111" t="s">
        <v>785</v>
      </c>
      <c r="C111">
        <v>1024</v>
      </c>
      <c r="D111">
        <v>635</v>
      </c>
      <c r="F111">
        <v>42</v>
      </c>
      <c r="G111">
        <v>153</v>
      </c>
      <c r="H111">
        <v>89</v>
      </c>
    </row>
    <row r="112" spans="1:8" x14ac:dyDescent="0.35">
      <c r="A112" t="s">
        <v>364</v>
      </c>
      <c r="B112" t="s">
        <v>796</v>
      </c>
      <c r="C112">
        <v>47</v>
      </c>
      <c r="D112">
        <v>253</v>
      </c>
      <c r="F112">
        <v>37</v>
      </c>
      <c r="G112">
        <v>248</v>
      </c>
      <c r="H112">
        <v>38</v>
      </c>
    </row>
    <row r="113" spans="1:8" x14ac:dyDescent="0.35">
      <c r="A113" t="s">
        <v>365</v>
      </c>
      <c r="B113" t="s">
        <v>790</v>
      </c>
      <c r="G113">
        <v>6</v>
      </c>
    </row>
    <row r="114" spans="1:8" x14ac:dyDescent="0.35">
      <c r="A114" t="s">
        <v>366</v>
      </c>
      <c r="B114" t="s">
        <v>788</v>
      </c>
      <c r="C114">
        <v>2</v>
      </c>
      <c r="D114">
        <v>62</v>
      </c>
      <c r="F114">
        <v>2</v>
      </c>
      <c r="G114">
        <v>99</v>
      </c>
      <c r="H114">
        <v>14</v>
      </c>
    </row>
    <row r="115" spans="1:8" x14ac:dyDescent="0.35">
      <c r="A115" t="s">
        <v>366</v>
      </c>
      <c r="B115" t="s">
        <v>797</v>
      </c>
      <c r="H115">
        <v>12</v>
      </c>
    </row>
    <row r="116" spans="1:8" x14ac:dyDescent="0.35">
      <c r="A116" t="s">
        <v>341</v>
      </c>
      <c r="B116" t="s">
        <v>785</v>
      </c>
      <c r="C116">
        <v>968</v>
      </c>
      <c r="D116">
        <v>555</v>
      </c>
      <c r="F116">
        <v>29</v>
      </c>
      <c r="G116">
        <v>144</v>
      </c>
      <c r="H116">
        <v>70</v>
      </c>
    </row>
    <row r="117" spans="1:8" x14ac:dyDescent="0.35">
      <c r="A117" t="s">
        <v>341</v>
      </c>
      <c r="B117" t="s">
        <v>790</v>
      </c>
      <c r="G117">
        <v>5</v>
      </c>
      <c r="H117">
        <v>1</v>
      </c>
    </row>
    <row r="118" spans="1:8" x14ac:dyDescent="0.35">
      <c r="A118" t="s">
        <v>342</v>
      </c>
      <c r="B118" t="s">
        <v>782</v>
      </c>
      <c r="C118">
        <v>320</v>
      </c>
      <c r="D118">
        <v>366</v>
      </c>
      <c r="F118">
        <v>26</v>
      </c>
      <c r="G118">
        <v>71</v>
      </c>
      <c r="H118">
        <v>32</v>
      </c>
    </row>
    <row r="119" spans="1:8" x14ac:dyDescent="0.35">
      <c r="A119" t="s">
        <v>214</v>
      </c>
      <c r="B119" t="s">
        <v>789</v>
      </c>
      <c r="C119">
        <v>1</v>
      </c>
      <c r="D119">
        <v>20</v>
      </c>
      <c r="G119">
        <v>26</v>
      </c>
      <c r="H119">
        <v>6</v>
      </c>
    </row>
    <row r="120" spans="1:8" x14ac:dyDescent="0.35">
      <c r="A120" t="s">
        <v>214</v>
      </c>
      <c r="B120" t="s">
        <v>790</v>
      </c>
      <c r="G120">
        <v>2</v>
      </c>
    </row>
    <row r="121" spans="1:8" x14ac:dyDescent="0.35">
      <c r="A121" t="s">
        <v>214</v>
      </c>
      <c r="B121" t="s">
        <v>792</v>
      </c>
      <c r="D121">
        <v>4</v>
      </c>
      <c r="G121">
        <v>2</v>
      </c>
    </row>
    <row r="122" spans="1:8" x14ac:dyDescent="0.35">
      <c r="A122" t="s">
        <v>313</v>
      </c>
      <c r="B122" t="s">
        <v>787</v>
      </c>
      <c r="C122">
        <v>188</v>
      </c>
      <c r="D122">
        <v>298</v>
      </c>
      <c r="E122">
        <v>7</v>
      </c>
      <c r="F122">
        <v>27</v>
      </c>
      <c r="G122">
        <v>128</v>
      </c>
      <c r="H122">
        <v>40</v>
      </c>
    </row>
    <row r="123" spans="1:8" x14ac:dyDescent="0.35">
      <c r="A123" t="s">
        <v>313</v>
      </c>
      <c r="B123" t="s">
        <v>788</v>
      </c>
      <c r="C123">
        <v>12</v>
      </c>
      <c r="D123">
        <v>96</v>
      </c>
      <c r="F123">
        <v>6</v>
      </c>
      <c r="G123">
        <v>92</v>
      </c>
      <c r="H123">
        <v>23</v>
      </c>
    </row>
    <row r="124" spans="1:8" x14ac:dyDescent="0.35">
      <c r="A124" t="s">
        <v>313</v>
      </c>
      <c r="B124" t="s">
        <v>792</v>
      </c>
      <c r="D124">
        <v>8</v>
      </c>
      <c r="G124">
        <v>5</v>
      </c>
    </row>
    <row r="125" spans="1:8" x14ac:dyDescent="0.35">
      <c r="A125" t="s">
        <v>319</v>
      </c>
      <c r="B125" t="s">
        <v>781</v>
      </c>
      <c r="C125">
        <v>243</v>
      </c>
      <c r="D125">
        <v>308</v>
      </c>
      <c r="E125">
        <v>3</v>
      </c>
      <c r="F125">
        <v>20</v>
      </c>
      <c r="G125">
        <v>47</v>
      </c>
      <c r="H125">
        <v>16</v>
      </c>
    </row>
    <row r="126" spans="1:8" x14ac:dyDescent="0.35">
      <c r="A126" t="s">
        <v>319</v>
      </c>
      <c r="B126" t="s">
        <v>782</v>
      </c>
      <c r="C126">
        <v>388</v>
      </c>
      <c r="D126">
        <v>371</v>
      </c>
      <c r="E126">
        <v>4</v>
      </c>
      <c r="F126">
        <v>35</v>
      </c>
      <c r="G126">
        <v>67</v>
      </c>
      <c r="H126">
        <v>20</v>
      </c>
    </row>
    <row r="127" spans="1:8" x14ac:dyDescent="0.35">
      <c r="A127" t="s">
        <v>319</v>
      </c>
      <c r="B127" t="s">
        <v>788</v>
      </c>
      <c r="C127">
        <v>20</v>
      </c>
      <c r="D127">
        <v>90</v>
      </c>
      <c r="E127">
        <v>1</v>
      </c>
      <c r="F127">
        <v>4</v>
      </c>
      <c r="G127">
        <v>96</v>
      </c>
      <c r="H127">
        <v>23</v>
      </c>
    </row>
    <row r="128" spans="1:8" x14ac:dyDescent="0.35">
      <c r="A128" t="s">
        <v>319</v>
      </c>
      <c r="B128" t="s">
        <v>792</v>
      </c>
      <c r="D128">
        <v>1</v>
      </c>
      <c r="G128">
        <v>4</v>
      </c>
    </row>
    <row r="129" spans="1:8" x14ac:dyDescent="0.35">
      <c r="A129" t="s">
        <v>321</v>
      </c>
      <c r="B129" t="s">
        <v>785</v>
      </c>
      <c r="C129">
        <v>682</v>
      </c>
      <c r="D129">
        <v>332</v>
      </c>
      <c r="E129">
        <v>3</v>
      </c>
      <c r="F129">
        <v>15</v>
      </c>
      <c r="G129">
        <v>116</v>
      </c>
      <c r="H129">
        <v>30</v>
      </c>
    </row>
    <row r="130" spans="1:8" x14ac:dyDescent="0.35">
      <c r="A130" t="s">
        <v>326</v>
      </c>
      <c r="B130" t="s">
        <v>792</v>
      </c>
      <c r="D130">
        <v>3</v>
      </c>
    </row>
    <row r="131" spans="1:8" x14ac:dyDescent="0.35">
      <c r="A131" t="s">
        <v>327</v>
      </c>
      <c r="B131" t="s">
        <v>791</v>
      </c>
      <c r="G131">
        <v>1</v>
      </c>
    </row>
    <row r="132" spans="1:8" x14ac:dyDescent="0.35">
      <c r="A132" t="s">
        <v>466</v>
      </c>
      <c r="B132" t="s">
        <v>780</v>
      </c>
      <c r="C132">
        <v>31</v>
      </c>
      <c r="D132">
        <v>161</v>
      </c>
      <c r="F132">
        <v>10</v>
      </c>
      <c r="G132">
        <v>17</v>
      </c>
      <c r="H132">
        <v>8</v>
      </c>
    </row>
    <row r="133" spans="1:8" x14ac:dyDescent="0.35">
      <c r="A133" t="s">
        <v>366</v>
      </c>
      <c r="B133" t="s">
        <v>781</v>
      </c>
      <c r="C133">
        <v>145</v>
      </c>
      <c r="D133">
        <v>283</v>
      </c>
      <c r="F133">
        <v>14</v>
      </c>
      <c r="G133">
        <v>45</v>
      </c>
      <c r="H133">
        <v>20</v>
      </c>
    </row>
    <row r="134" spans="1:8" x14ac:dyDescent="0.35">
      <c r="A134" t="s">
        <v>366</v>
      </c>
      <c r="B134" t="s">
        <v>784</v>
      </c>
      <c r="C134">
        <v>752</v>
      </c>
      <c r="D134">
        <v>456</v>
      </c>
      <c r="F134">
        <v>29</v>
      </c>
      <c r="G134">
        <v>102</v>
      </c>
      <c r="H134">
        <v>48</v>
      </c>
    </row>
    <row r="135" spans="1:8" x14ac:dyDescent="0.35">
      <c r="A135" t="s">
        <v>341</v>
      </c>
      <c r="B135" t="s">
        <v>788</v>
      </c>
      <c r="C135">
        <v>3</v>
      </c>
      <c r="D135">
        <v>73</v>
      </c>
      <c r="F135">
        <v>4</v>
      </c>
      <c r="G135">
        <v>91</v>
      </c>
      <c r="H135">
        <v>17</v>
      </c>
    </row>
    <row r="136" spans="1:8" x14ac:dyDescent="0.35">
      <c r="A136" t="s">
        <v>342</v>
      </c>
      <c r="B136" t="s">
        <v>788</v>
      </c>
      <c r="C136">
        <v>7</v>
      </c>
      <c r="D136">
        <v>84</v>
      </c>
      <c r="F136">
        <v>3</v>
      </c>
      <c r="G136">
        <v>93</v>
      </c>
      <c r="H136">
        <v>20</v>
      </c>
    </row>
    <row r="137" spans="1:8" x14ac:dyDescent="0.35">
      <c r="A137" t="s">
        <v>342</v>
      </c>
      <c r="B137" t="s">
        <v>792</v>
      </c>
      <c r="D137">
        <v>3</v>
      </c>
      <c r="H137">
        <v>2</v>
      </c>
    </row>
    <row r="138" spans="1:8" x14ac:dyDescent="0.35">
      <c r="A138" t="s">
        <v>313</v>
      </c>
      <c r="B138" t="s">
        <v>784</v>
      </c>
      <c r="C138">
        <v>701</v>
      </c>
      <c r="D138">
        <v>357</v>
      </c>
      <c r="E138">
        <v>4</v>
      </c>
      <c r="F138">
        <v>19</v>
      </c>
      <c r="G138">
        <v>87</v>
      </c>
      <c r="H138">
        <v>28</v>
      </c>
    </row>
    <row r="139" spans="1:8" x14ac:dyDescent="0.35">
      <c r="A139" t="s">
        <v>319</v>
      </c>
      <c r="B139" t="s">
        <v>786</v>
      </c>
      <c r="C139">
        <v>748</v>
      </c>
      <c r="D139">
        <v>457</v>
      </c>
      <c r="E139">
        <v>19</v>
      </c>
      <c r="F139">
        <v>27</v>
      </c>
      <c r="G139">
        <v>151</v>
      </c>
      <c r="H139">
        <v>65</v>
      </c>
    </row>
    <row r="140" spans="1:8" x14ac:dyDescent="0.35">
      <c r="A140" t="s">
        <v>319</v>
      </c>
      <c r="B140" t="s">
        <v>787</v>
      </c>
      <c r="C140">
        <v>185</v>
      </c>
      <c r="D140">
        <v>330</v>
      </c>
      <c r="E140">
        <v>11</v>
      </c>
      <c r="F140">
        <v>28</v>
      </c>
      <c r="G140">
        <v>137</v>
      </c>
      <c r="H140">
        <v>45</v>
      </c>
    </row>
    <row r="141" spans="1:8" x14ac:dyDescent="0.35">
      <c r="A141" t="s">
        <v>321</v>
      </c>
      <c r="B141" t="s">
        <v>781</v>
      </c>
      <c r="C141">
        <v>248</v>
      </c>
      <c r="D141">
        <v>277</v>
      </c>
      <c r="E141">
        <v>2</v>
      </c>
      <c r="F141">
        <v>17</v>
      </c>
      <c r="G141">
        <v>52</v>
      </c>
      <c r="H141">
        <v>17</v>
      </c>
    </row>
    <row r="142" spans="1:8" x14ac:dyDescent="0.35">
      <c r="A142" t="s">
        <v>321</v>
      </c>
      <c r="B142" t="s">
        <v>791</v>
      </c>
      <c r="G142">
        <v>1</v>
      </c>
    </row>
    <row r="143" spans="1:8" x14ac:dyDescent="0.35">
      <c r="A143" t="s">
        <v>326</v>
      </c>
      <c r="B143" t="s">
        <v>785</v>
      </c>
      <c r="C143">
        <v>676</v>
      </c>
      <c r="D143">
        <v>315</v>
      </c>
      <c r="E143">
        <v>4</v>
      </c>
      <c r="F143">
        <v>17</v>
      </c>
      <c r="G143">
        <v>99</v>
      </c>
      <c r="H143">
        <v>22</v>
      </c>
    </row>
    <row r="144" spans="1:8" x14ac:dyDescent="0.35">
      <c r="A144" t="s">
        <v>326</v>
      </c>
      <c r="B144" t="s">
        <v>791</v>
      </c>
      <c r="G144">
        <v>2</v>
      </c>
    </row>
    <row r="145" spans="1:8" x14ac:dyDescent="0.35">
      <c r="A145" t="s">
        <v>466</v>
      </c>
      <c r="B145" t="s">
        <v>786</v>
      </c>
      <c r="C145">
        <v>548</v>
      </c>
      <c r="D145">
        <v>309</v>
      </c>
      <c r="E145">
        <v>8</v>
      </c>
      <c r="F145">
        <v>20</v>
      </c>
      <c r="G145">
        <v>136</v>
      </c>
      <c r="H145">
        <v>51</v>
      </c>
    </row>
    <row r="146" spans="1:8" x14ac:dyDescent="0.35">
      <c r="A146" t="s">
        <v>466</v>
      </c>
      <c r="B146" t="s">
        <v>787</v>
      </c>
      <c r="C146">
        <v>198</v>
      </c>
      <c r="D146">
        <v>300</v>
      </c>
      <c r="E146">
        <v>19</v>
      </c>
      <c r="F146">
        <v>17</v>
      </c>
      <c r="G146">
        <v>179</v>
      </c>
      <c r="H146">
        <v>56</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8">
    <tabColor theme="9" tint="0.39997558519241921"/>
    <pageSetUpPr fitToPage="1"/>
  </sheetPr>
  <dimension ref="A1:I54"/>
  <sheetViews>
    <sheetView showGridLines="0" zoomScaleNormal="100" workbookViewId="0">
      <pane ySplit="2" topLeftCell="A3" activePane="bottomLeft" state="frozen"/>
      <selection pane="bottomLeft" sqref="A1:C1"/>
    </sheetView>
  </sheetViews>
  <sheetFormatPr defaultRowHeight="14.5" x14ac:dyDescent="0.35"/>
  <cols>
    <col min="1" max="1" width="18.7265625" customWidth="1"/>
    <col min="2" max="3" width="13" customWidth="1"/>
    <col min="4" max="4" width="13.81640625" customWidth="1"/>
    <col min="5" max="9" width="13" customWidth="1"/>
  </cols>
  <sheetData>
    <row r="1" spans="1:9" ht="15.5" x14ac:dyDescent="0.35">
      <c r="A1" s="1011" t="s">
        <v>513</v>
      </c>
      <c r="B1" s="1011"/>
      <c r="C1" s="1011"/>
      <c r="D1" s="441"/>
      <c r="E1" s="147"/>
      <c r="F1" s="147"/>
      <c r="G1" s="147"/>
      <c r="H1" s="25"/>
      <c r="I1" s="25"/>
    </row>
    <row r="2" spans="1:9" x14ac:dyDescent="0.35">
      <c r="A2" s="499" t="s">
        <v>201</v>
      </c>
      <c r="E2" s="147"/>
      <c r="F2" s="147"/>
      <c r="G2" s="147"/>
      <c r="H2" s="25"/>
      <c r="I2" s="25"/>
    </row>
    <row r="3" spans="1:9" x14ac:dyDescent="0.35">
      <c r="A3" s="25"/>
      <c r="B3" s="25"/>
      <c r="C3" s="25"/>
      <c r="D3" s="25"/>
      <c r="E3" s="147"/>
      <c r="F3" s="147"/>
      <c r="G3" s="147"/>
      <c r="H3" s="25"/>
      <c r="I3" s="25"/>
    </row>
    <row r="4" spans="1:9" ht="18.75" customHeight="1" x14ac:dyDescent="0.35">
      <c r="A4" s="1021" t="s">
        <v>798</v>
      </c>
      <c r="B4" s="1021"/>
      <c r="C4" s="1021"/>
      <c r="D4" s="1021"/>
      <c r="E4" s="1021"/>
      <c r="F4" s="1021"/>
      <c r="G4" s="1021"/>
      <c r="H4" s="1021"/>
      <c r="I4" s="1021"/>
    </row>
    <row r="5" spans="1:9" ht="15" customHeight="1" x14ac:dyDescent="0.35">
      <c r="A5" t="s">
        <v>202</v>
      </c>
      <c r="B5" t="s">
        <v>91</v>
      </c>
      <c r="C5" s="231"/>
      <c r="D5" s="231"/>
      <c r="E5" s="231"/>
      <c r="F5" s="231"/>
      <c r="G5" s="231"/>
      <c r="H5" s="231"/>
      <c r="I5" s="231"/>
    </row>
    <row r="6" spans="1:9" ht="15" customHeight="1" x14ac:dyDescent="0.35">
      <c r="A6" t="s">
        <v>203</v>
      </c>
      <c r="B6" t="s">
        <v>204</v>
      </c>
      <c r="C6" s="231"/>
      <c r="D6" s="231"/>
      <c r="E6" s="231"/>
      <c r="F6" s="231"/>
      <c r="G6" s="231"/>
      <c r="H6" s="231"/>
      <c r="I6" s="231"/>
    </row>
    <row r="7" spans="1:9" ht="15" customHeight="1" x14ac:dyDescent="0.35">
      <c r="A7" t="s">
        <v>205</v>
      </c>
      <c r="B7" t="s">
        <v>206</v>
      </c>
      <c r="C7" s="231"/>
      <c r="D7" s="231"/>
      <c r="E7" s="231"/>
      <c r="F7" s="231"/>
      <c r="G7" s="231"/>
      <c r="H7" s="231"/>
      <c r="I7" s="231"/>
    </row>
    <row r="8" spans="1:9" ht="15" customHeight="1" x14ac:dyDescent="0.35">
      <c r="C8" s="231"/>
      <c r="D8" s="231"/>
      <c r="E8" s="231"/>
      <c r="F8" s="231"/>
      <c r="G8" s="231"/>
      <c r="H8" s="231"/>
      <c r="I8" s="231"/>
    </row>
    <row r="9" spans="1:9" ht="15" customHeight="1" x14ac:dyDescent="0.35">
      <c r="A9" s="677" t="s">
        <v>207</v>
      </c>
      <c r="B9" s="677" t="str">
        <f>agepivot!B1</f>
        <v>2024-25</v>
      </c>
      <c r="C9" s="231"/>
      <c r="D9" s="231"/>
      <c r="E9" s="231"/>
      <c r="F9" s="231"/>
      <c r="G9" s="231"/>
      <c r="H9" s="231"/>
      <c r="I9" s="231"/>
    </row>
    <row r="10" spans="1:9" ht="39.5" x14ac:dyDescent="0.35">
      <c r="A10" s="16" t="s">
        <v>90</v>
      </c>
      <c r="B10" s="3" t="s">
        <v>747</v>
      </c>
      <c r="C10" s="154" t="s">
        <v>361</v>
      </c>
      <c r="D10" s="154" t="s">
        <v>516</v>
      </c>
      <c r="E10" s="3" t="s">
        <v>511</v>
      </c>
      <c r="F10" s="3" t="s">
        <v>743</v>
      </c>
      <c r="G10" s="154" t="s">
        <v>339</v>
      </c>
      <c r="H10" s="3" t="s">
        <v>799</v>
      </c>
      <c r="I10" s="3" t="s">
        <v>623</v>
      </c>
    </row>
    <row r="11" spans="1:9" x14ac:dyDescent="0.35">
      <c r="A11" s="682" t="s">
        <v>800</v>
      </c>
      <c r="B11" s="602">
        <f>IF(B9="2013-14",GETPIVOTDATA("Sum of Wholetime Operational",agepivot!$A$3,"Age Range","Under 20"), GETPIVOTDATA("Sum of Wholetime Operational",agepivot!$A$3,"Age Range","Under 20"))</f>
        <v>0</v>
      </c>
      <c r="C11" s="602">
        <f>IF(B9="2013-14", GETPIVOTDATA("Sum of Retained Duty System",agepivot!$A$3,"Age Range","Under 20"), GETPIVOTDATA("Sum of Retained Duty System",agepivot!$A$3,"Age Range","Under 20"))</f>
        <v>5</v>
      </c>
      <c r="D11" s="602">
        <f>IF(B9="2013-14", GETPIVOTDATA("Sum of Retained Full-time",agepivot!$A$3,"Age Range","Under 20"), GETPIVOTDATA("Sum of Retained Full-time",agepivot!$A$3,"Age Range","Under 20"))</f>
        <v>0</v>
      </c>
      <c r="E11" s="602">
        <f>IF(B9="2013-14", GETPIVOTDATA("Sum of Control",agepivot!$A$3,"Age Range","Under 20"), GETPIVOTDATA("Sum of Control",agepivot!$A$3,"Age Range","Under 20"))</f>
        <v>1</v>
      </c>
      <c r="F11" s="602">
        <f>IF(B9="2013-14", GETPIVOTDATA("Sum of Support Staff",agepivot!$A$3,"Age Range","Under 20"), GETPIVOTDATA("Sum of Support Staff",agepivot!$A$3,"Age Range","Under 20"))</f>
        <v>5</v>
      </c>
      <c r="G11" s="602">
        <f>IF(B9="2013-14", GETPIVOTDATA("Sum of Volunteer",agepivot!$A$3,"Age Range","Under 20"), GETPIVOTDATA("Sum of Volunteer",agepivot!$A$3,"Age Range","Under 20"))</f>
        <v>0</v>
      </c>
      <c r="H11" s="603">
        <f>SUM(B11:G11)</f>
        <v>11</v>
      </c>
      <c r="I11" s="603">
        <f>H11-G11</f>
        <v>11</v>
      </c>
    </row>
    <row r="12" spans="1:9" x14ac:dyDescent="0.35">
      <c r="A12" s="683" t="str">
        <f>IF(agepivot!$B$1="2013-14", "20-29", "20-24")</f>
        <v>20-24</v>
      </c>
      <c r="B12" s="602">
        <f>IF(B9="2013-14", GETPIVOTDATA("Sum of Wholetime Operational",agepivot!$A$3,"Age Range","20-29"), GETPIVOTDATA("Sum of Wholetime Operational",agepivot!$A$3,"Age Range","20-24"))</f>
        <v>31</v>
      </c>
      <c r="C12" s="602">
        <f>IF(B9="2013-14", GETPIVOTDATA("Sum of Retained Duty System",agepivot!$A$3,"Age Range","20-29"), GETPIVOTDATA("Sum of Retained Duty System",agepivot!$A$3,"Age Range","20-24"))</f>
        <v>161</v>
      </c>
      <c r="D12" s="602">
        <f>IF(B9="2013-14", GETPIVOTDATA("Sum of Retained Full-time",agepivot!$A$3,"Age Range","20-29"), GETPIVOTDATA("Sum of Retained Full-time",agepivot!$A$3,"Age Range","20-24"))</f>
        <v>0</v>
      </c>
      <c r="E12" s="602">
        <f>IF(B9="2013-14", GETPIVOTDATA("Sum of Control",agepivot!$A$3,"Age Range","20-29"), GETPIVOTDATA("Sum of Control",agepivot!$A$3,"Age Range","20-24"))</f>
        <v>10</v>
      </c>
      <c r="F12" s="602">
        <f>IF(B9="2013-14", GETPIVOTDATA("Sum of Support Staff",agepivot!$A$3,"Age Range","20-29"), GETPIVOTDATA("Sum of Support Staff",agepivot!$A$3,"Age Range","20-24"))</f>
        <v>17</v>
      </c>
      <c r="G12" s="602">
        <f>IF(B9="2013-14", GETPIVOTDATA("Sum of Volunteer",agepivot!$A$3,"Age Range","20-29"), GETPIVOTDATA("Sum of Volunteer",agepivot!$A$3,"Age Range","20-24"))</f>
        <v>8</v>
      </c>
      <c r="H12" s="603">
        <f t="shared" ref="H12:H22" si="0">SUM(B12:G12)</f>
        <v>227</v>
      </c>
      <c r="I12" s="603">
        <f t="shared" ref="I12:I24" si="1">H12-G12</f>
        <v>219</v>
      </c>
    </row>
    <row r="13" spans="1:9" x14ac:dyDescent="0.35">
      <c r="A13" s="683" t="str">
        <f>IF(agepivot!$B$1="2013-14", "30-39", "25-29")</f>
        <v>25-29</v>
      </c>
      <c r="B13" s="602">
        <f>IF(B9="2013-14", GETPIVOTDATA("Sum of Wholetime Operational",agepivot!$A$3,"Age Range","30-39"), GETPIVOTDATA("Sum of Wholetime Operational",agepivot!$A$3,"Age Range","25-29"))</f>
        <v>253</v>
      </c>
      <c r="C13" s="602">
        <f>IF(B9="2013-14", GETPIVOTDATA("Sum of Retained Duty System",agepivot!$A$3,"Age Range","30-39"), GETPIVOTDATA("Sum of Retained Duty System",agepivot!$A$3,"Age Range","25-29"))</f>
        <v>257</v>
      </c>
      <c r="D13" s="602">
        <f>IF(B9="2013-14", GETPIVOTDATA("Sum of Retained Full-time",agepivot!$A$3,"Age Range","30-39"), GETPIVOTDATA("Sum of Retained Full-time",agepivot!$A$3,"Age Range","25-29"))</f>
        <v>0</v>
      </c>
      <c r="E13" s="602">
        <f>IF(B9="2013-14", GETPIVOTDATA("Sum of Control",agepivot!$A$3,"Age Range","30-39"), GETPIVOTDATA("Sum of Control",agepivot!$A$3,"Age Range","25-29"))</f>
        <v>18</v>
      </c>
      <c r="F13" s="602">
        <f>IF(B9="2013-14", GETPIVOTDATA("Sum of Support Staff",agepivot!$A$3,"Age Range","30-39"), GETPIVOTDATA("Sum of Support Staff",agepivot!$A$3,"Age Range","25-29"))</f>
        <v>43</v>
      </c>
      <c r="G13" s="602">
        <f>IF(B9="2013-14", GETPIVOTDATA("Sum of Volunteer",agepivot!$A$3,"Age Range","30-39"), GETPIVOTDATA("Sum of Volunteer",agepivot!$A$3,"Age Range","25-29"))</f>
        <v>13</v>
      </c>
      <c r="H13" s="603">
        <f>SUM(B13:G13)</f>
        <v>584</v>
      </c>
      <c r="I13" s="603">
        <f t="shared" si="1"/>
        <v>571</v>
      </c>
    </row>
    <row r="14" spans="1:9" x14ac:dyDescent="0.35">
      <c r="A14" s="683" t="str">
        <f>IF(agepivot!$B$1="2013-14", "40-44", "30-34")</f>
        <v>30-34</v>
      </c>
      <c r="B14" s="602">
        <f>IF(B9="2013-14", GETPIVOTDATA("Sum of Wholetime Operational",agepivot!$A$3,"Age Range","40-44"), GETPIVOTDATA("Sum of Wholetime Operational",agepivot!$A$3,"Age Range","30-34"))</f>
        <v>501</v>
      </c>
      <c r="C14" s="602">
        <f>IF(B9="2013-14", GETPIVOTDATA("Sum of Retained Duty System",agepivot!$A$3,"Age Range","40-44"), GETPIVOTDATA("Sum of Retained Duty System",agepivot!$A$3,"Age Range","30-34"))</f>
        <v>382</v>
      </c>
      <c r="D14" s="602">
        <f>IF(B9="2013-14", GETPIVOTDATA("Sum of Retained Full-time",agepivot!$A$3,"Age Range","40-44"), GETPIVOTDATA("Sum of Retained Full-time",agepivot!$A$3,"Age Range","30-34"))</f>
        <v>3</v>
      </c>
      <c r="E14" s="602">
        <f>IF(B9="2013-14", GETPIVOTDATA("Sum of Control",agepivot!$A$3,"Age Range","40-44"), GETPIVOTDATA("Sum of Control",agepivot!$A$3,"Age Range","30-34"))</f>
        <v>24</v>
      </c>
      <c r="F14" s="602">
        <f>IF(B9="2013-14", GETPIVOTDATA("Sum of Support Staff",agepivot!$A$3,"Age Range","40-44"), GETPIVOTDATA("Sum of Support Staff",agepivot!$A$3,"Age Range","30-34"))</f>
        <v>78</v>
      </c>
      <c r="G14" s="602">
        <f>IF(B9="2013-14", GETPIVOTDATA("Sum of Volunteer",agepivot!$A$3,"Age Range","40-44"), GETPIVOTDATA("Sum of Volunteer",agepivot!$A$3,"Age Range","30-34"))</f>
        <v>14</v>
      </c>
      <c r="H14" s="603">
        <f t="shared" si="0"/>
        <v>1002</v>
      </c>
      <c r="I14" s="603">
        <f t="shared" si="1"/>
        <v>988</v>
      </c>
    </row>
    <row r="15" spans="1:9" x14ac:dyDescent="0.35">
      <c r="A15" s="683" t="str">
        <f>IF(agepivot!$B$1="2013-14", "45-49", "35-39")</f>
        <v>35-39</v>
      </c>
      <c r="B15" s="602">
        <f>IF(B9="2013-14", GETPIVOTDATA("Sum of Wholetime Operational",agepivot!$A$3,"Age Range","45-49"), GETPIVOTDATA("Sum of Wholetime Operational",agepivot!$A$3,"Age Range","35-39"))</f>
        <v>532</v>
      </c>
      <c r="C15" s="602">
        <f>IF(B9="2013-14", GETPIVOTDATA("Sum of Retained Duty System",agepivot!$A$3,"Age Range","45-49"), GETPIVOTDATA("Sum of Retained Duty System",agepivot!$A$3,"Age Range","35-39"))</f>
        <v>421</v>
      </c>
      <c r="D15" s="602">
        <f>IF(B9="2013-14", GETPIVOTDATA("Sum of Retained Full-time",agepivot!$A$3,"Age Range","45-49"), GETPIVOTDATA("Sum of Retained Full-time",agepivot!$A$3,"Age Range","35-39"))</f>
        <v>3</v>
      </c>
      <c r="E15" s="602">
        <f>IF(B9="2013-14", GETPIVOTDATA("Sum of Control",agepivot!$A$3,"Age Range","45-49"), GETPIVOTDATA("Sum of Control",agepivot!$A$3,"Age Range","35-39"))</f>
        <v>37</v>
      </c>
      <c r="F15" s="602">
        <f>IF(B9="2013-14", GETPIVOTDATA("Sum of Support Staff",agepivot!$A$3,"Age Range","45-49"), GETPIVOTDATA("Sum of Support Staff",agepivot!$A$3,"Age Range","35-39"))</f>
        <v>95</v>
      </c>
      <c r="G15" s="602">
        <f>IF(B9="2013-14", GETPIVOTDATA("Sum of Volunteer",agepivot!$A$3,"Age Range","45-49"), GETPIVOTDATA("Sum of Volunteer",agepivot!$A$3,"Age Range","35-39"))</f>
        <v>30</v>
      </c>
      <c r="H15" s="603">
        <f t="shared" si="0"/>
        <v>1118</v>
      </c>
      <c r="I15" s="603">
        <f t="shared" si="1"/>
        <v>1088</v>
      </c>
    </row>
    <row r="16" spans="1:9" x14ac:dyDescent="0.35">
      <c r="A16" s="683" t="str">
        <f>IF(agepivot!$B$1="2013-14", "50-54", "40-44")</f>
        <v>40-44</v>
      </c>
      <c r="B16" s="602">
        <f>IF(B9="2013-14", GETPIVOTDATA("Sum of Wholetime Operational",agepivot!$A$3,"Age Range","50-54"), GETPIVOTDATA("Sum of Wholetime Operational",agepivot!$A$3,"Age Range","40-44"))</f>
        <v>632</v>
      </c>
      <c r="C16" s="602">
        <f>IF(B9="2013-14", GETPIVOTDATA("Sum of Retained Duty System",agepivot!$A$3,"Age Range","50-54"), GETPIVOTDATA("Sum of Retained Duty System",agepivot!$A$3,"Age Range","40-44"))</f>
        <v>387</v>
      </c>
      <c r="D16" s="602">
        <f>IF(B9="2013-14", GETPIVOTDATA("Sum of Retained Full-time",agepivot!$A$3,"Age Range","50-54"), GETPIVOTDATA("Sum of Retained Full-time",agepivot!$A$3,"Age Range","40-44"))</f>
        <v>14</v>
      </c>
      <c r="E16" s="602">
        <f>IF(B9="2013-14", GETPIVOTDATA("Sum of Control",agepivot!$A$3,"Age Range","50-54"), GETPIVOTDATA("Sum of Control",agepivot!$A$3,"Age Range","40-44"))</f>
        <v>20</v>
      </c>
      <c r="F16" s="602">
        <f>IF(B9="2013-14", GETPIVOTDATA("Sum of Support Staff",agepivot!$A$3,"Age Range","50-54"), GETPIVOTDATA("Sum of Support Staff",agepivot!$A$3,"Age Range","40-44"))</f>
        <v>97</v>
      </c>
      <c r="G16" s="602">
        <f>IF(B9="2013-14", GETPIVOTDATA("Sum of Volunteer",agepivot!$A$3,"Age Range","50-54"), GETPIVOTDATA("Sum of Volunteer",agepivot!$A$3,"Age Range","40-44"))</f>
        <v>30</v>
      </c>
      <c r="H16" s="603">
        <f t="shared" si="0"/>
        <v>1180</v>
      </c>
      <c r="I16" s="603">
        <f t="shared" si="1"/>
        <v>1150</v>
      </c>
    </row>
    <row r="17" spans="1:9" x14ac:dyDescent="0.35">
      <c r="A17" s="683" t="str">
        <f>IF(agepivot!$B$1="2013-14", "55-65", "45-49")</f>
        <v>45-49</v>
      </c>
      <c r="B17" s="602">
        <f>IF(B9="2013-14", GETPIVOTDATA("Sum of Wholetime Operational",agepivot!$A$3,"Age Range","55-65"), GETPIVOTDATA("Sum of Wholetime Operational",agepivot!$A$3,"Age Range","45-49"))</f>
        <v>705</v>
      </c>
      <c r="C17" s="602">
        <f>IF(B9="2013-14", GETPIVOTDATA("Sum of Retained Duty System",agepivot!$A$3,"Age Range","55-65"), GETPIVOTDATA("Sum of Retained Duty System",agepivot!$A$3,"Age Range","45-49"))</f>
        <v>305</v>
      </c>
      <c r="D17" s="602">
        <f>IF(B9="2013-14", GETPIVOTDATA("Sum of Retained Full-time",agepivot!$A$3,"Age Range","55-65"), GETPIVOTDATA("Sum of Retained Full-time",agepivot!$A$3,"Age Range","45-49"))</f>
        <v>4</v>
      </c>
      <c r="E17" s="602">
        <f>IF(B9="2013-14", GETPIVOTDATA("Sum of Control",agepivot!$A$3,"Age Range","55-65"), GETPIVOTDATA("Sum of Control",agepivot!$A$3,"Age Range","45-49"))</f>
        <v>17</v>
      </c>
      <c r="F17" s="602">
        <f>IF(B9="2013-14", GETPIVOTDATA("Sum of Support Staff",agepivot!$A$3,"Age Range","55-65"), GETPIVOTDATA("Sum of Support Staff",agepivot!$A$3,"Age Range","45-49"))</f>
        <v>100</v>
      </c>
      <c r="G17" s="602">
        <f>IF(B9="2013-14", GETPIVOTDATA("Sum of Volunteer",agepivot!$A$3,"Age Range","55-65"), GETPIVOTDATA("Sum of Volunteer",agepivot!$A$3,"Age Range","45-49"))</f>
        <v>23</v>
      </c>
      <c r="H17" s="603">
        <f t="shared" si="0"/>
        <v>1154</v>
      </c>
      <c r="I17" s="603">
        <f t="shared" si="1"/>
        <v>1131</v>
      </c>
    </row>
    <row r="18" spans="1:9" x14ac:dyDescent="0.35">
      <c r="A18" s="683" t="str">
        <f>IF(agepivot!$B$1="2013-14", "&gt;66", "50-54")</f>
        <v>50-54</v>
      </c>
      <c r="B18" s="602">
        <f>IF(B9="2013-14", GETPIVOTDATA("Sum of Wholetime Operational",agepivot!$A$3,"Age Range","66 and over"), GETPIVOTDATA("Sum of Wholetime Operational",agepivot!$A$3,"Age Range","50-54"))</f>
        <v>548</v>
      </c>
      <c r="C18" s="602">
        <f>IF(B9="2013-14", GETPIVOTDATA("Sum of Retained Duty System",agepivot!$A$3,"Age Range","66 and over"), GETPIVOTDATA("Sum of Retained Duty System",agepivot!$A$3,"Age Range","50-54"))</f>
        <v>309</v>
      </c>
      <c r="D18" s="602">
        <f>IF(B9="2013-14", GETPIVOTDATA("Sum of Retained Full-time",agepivot!$A$3,"Age Range","66 and over"), GETPIVOTDATA("Sum of Retained Full-time",agepivot!$A$3,"Age Range","50-54"))</f>
        <v>8</v>
      </c>
      <c r="E18" s="602">
        <f>IF(B9="2013-14", GETPIVOTDATA("Sum of Control",agepivot!$A$3,"Age Range","66 and over"), GETPIVOTDATA("Sum of Control",agepivot!$A$3,"Age Range","50-54"))</f>
        <v>20</v>
      </c>
      <c r="F18" s="602">
        <f>IF(B9="2013-14", GETPIVOTDATA("Sum of Support Staff",agepivot!$A$3,"Age Range","66 and over"), GETPIVOTDATA("Sum of Support Staff",agepivot!$A$3,"Age Range","50-54"))</f>
        <v>136</v>
      </c>
      <c r="G18" s="602">
        <f>IF(B9="2013-14", GETPIVOTDATA("Sum of Volunteer",agepivot!$A$3,"Age Range","66 and over"), GETPIVOTDATA("Sum of Volunteer",agepivot!$A$3,"Age Range","50-54"))</f>
        <v>51</v>
      </c>
      <c r="H18" s="603">
        <f t="shared" si="0"/>
        <v>1072</v>
      </c>
      <c r="I18" s="603">
        <f t="shared" si="1"/>
        <v>1021</v>
      </c>
    </row>
    <row r="19" spans="1:9" x14ac:dyDescent="0.35">
      <c r="A19" s="683" t="str">
        <f>IF(agepivot!$B$1="2013-14", "", "55-59")</f>
        <v>55-59</v>
      </c>
      <c r="B19" s="602">
        <f>IF(B9="2013-14", "", GETPIVOTDATA("Sum of Wholetime Operational",agepivot!$A$3,"Age Range","55-59"))</f>
        <v>198</v>
      </c>
      <c r="C19" s="602">
        <f>IF(B9="2013-14", "", GETPIVOTDATA("Sum of Retained Duty System",agepivot!$A$3,"Age Range","55-59"))</f>
        <v>300</v>
      </c>
      <c r="D19" s="602">
        <f>IF(B9="2013-14", "", GETPIVOTDATA("Sum of Retained Full-time",agepivot!$A$3,"Age Range","55-59"))</f>
        <v>19</v>
      </c>
      <c r="E19" s="602">
        <f>IF(B9="2013-14", "", GETPIVOTDATA("Sum of Control",agepivot!$A$3,"Age Range","55-59"))</f>
        <v>17</v>
      </c>
      <c r="F19" s="602">
        <f>IF(B9="2013-14", "", GETPIVOTDATA("Sum of Support Staff",agepivot!$A$3,"Age Range","55-59"))</f>
        <v>179</v>
      </c>
      <c r="G19" s="602">
        <f>IF(B9="2013-14", "", GETPIVOTDATA("Sum of Volunteer",agepivot!$A$3,"Age Range","55-59"))</f>
        <v>56</v>
      </c>
      <c r="H19" s="603">
        <f t="shared" si="0"/>
        <v>769</v>
      </c>
      <c r="I19" s="611">
        <f>IFERROR(H19-G19, "-")</f>
        <v>713</v>
      </c>
    </row>
    <row r="20" spans="1:9" x14ac:dyDescent="0.35">
      <c r="A20" s="683" t="str">
        <f>IF(agepivot!$B$1="2013-14", "", "60-64")</f>
        <v>60-64</v>
      </c>
      <c r="B20" s="602">
        <f>IF(B9="2013-14", "", GETPIVOTDATA("Sum of Wholetime Operational",agepivot!$A$3,"Age Range","60-64"))</f>
        <v>26</v>
      </c>
      <c r="C20" s="602">
        <f>IF(B9="2013-14", "", GETPIVOTDATA("Sum of Retained Duty System",agepivot!$A$3,"Age Range","60-64"))</f>
        <v>140</v>
      </c>
      <c r="D20" s="602">
        <f>IF(B9="2013-14", "", GETPIVOTDATA("Sum of Retained Full-time",agepivot!$A$3,"Age Range","60-64"))</f>
        <v>9</v>
      </c>
      <c r="E20" s="602">
        <f>IF(B9="2013-14", "", GETPIVOTDATA("Sum of Control",agepivot!$A$3,"Age Range","60-64"))</f>
        <v>7</v>
      </c>
      <c r="F20" s="602">
        <f>IF(B9="2013-14", "", GETPIVOTDATA("Sum of Support Staff",agepivot!$A$3,"Age Range","60-64"))</f>
        <v>114</v>
      </c>
      <c r="G20" s="602">
        <f>IF(B9="2013-14", "", GETPIVOTDATA("Sum of Volunteer",agepivot!$A$3,"Age Range","60-64"))</f>
        <v>29</v>
      </c>
      <c r="H20" s="603">
        <f t="shared" si="0"/>
        <v>325</v>
      </c>
      <c r="I20" s="611">
        <f t="shared" ref="I20:I22" si="2">IFERROR(H20-G20, "-")</f>
        <v>296</v>
      </c>
    </row>
    <row r="21" spans="1:9" x14ac:dyDescent="0.35">
      <c r="A21" s="683" t="str">
        <f>IF(agepivot!$B$1="2013-14", "", "65-69")</f>
        <v>65-69</v>
      </c>
      <c r="B21" s="602">
        <f>IF(B9="2013-14", "", GETPIVOTDATA("Sum of Wholetime Operational",agepivot!$A$3,"Age Range","65-69"))</f>
        <v>4</v>
      </c>
      <c r="C21" s="602">
        <f>IF(B9="2013-14", "", GETPIVOTDATA("Sum of Retained Duty System",agepivot!$A$3,"Age Range","65-69"))</f>
        <v>31</v>
      </c>
      <c r="D21" s="602">
        <f>IF(B9="2013-14", "", GETPIVOTDATA("Sum of Retained Full-time",agepivot!$A$3,"Age Range","65-69"))</f>
        <v>0</v>
      </c>
      <c r="E21" s="602">
        <f>IF(B9="2013-14", "", GETPIVOTDATA("Sum of Control",agepivot!$A$3,"Age Range","65-69"))</f>
        <v>0</v>
      </c>
      <c r="F21" s="602">
        <f>IF(B9="2013-14", "", GETPIVOTDATA("Sum of Support Staff",agepivot!$A$3,"Age Range","65-69"))</f>
        <v>45</v>
      </c>
      <c r="G21" s="602">
        <f>IF(B9="2013-14", "", GETPIVOTDATA("Sum of Volunteer",agepivot!$A$3,"Age Range","65-69"))</f>
        <v>14</v>
      </c>
      <c r="H21" s="603">
        <f t="shared" si="0"/>
        <v>94</v>
      </c>
      <c r="I21" s="611">
        <f t="shared" si="2"/>
        <v>80</v>
      </c>
    </row>
    <row r="22" spans="1:9" x14ac:dyDescent="0.35">
      <c r="A22" s="683" t="str">
        <f>IF(agepivot!$B$1="2013-14", "", "70-74")</f>
        <v>70-74</v>
      </c>
      <c r="B22" s="602">
        <f>IF(B9="2013-14", "", GETPIVOTDATA("Sum of Wholetime Operational",agepivot!$A$3,"Age Range","70-74"))</f>
        <v>0</v>
      </c>
      <c r="C22" s="602">
        <f>IF(B9="2013-14", "", GETPIVOTDATA("Sum of Retained Duty System",agepivot!$A$3,"Age Range","70-74"))</f>
        <v>7</v>
      </c>
      <c r="D22" s="602">
        <f>IF(B9="2013-14", "", GETPIVOTDATA("Sum of Retained Full-time",agepivot!$A$3,"Age Range","70-74"))</f>
        <v>0</v>
      </c>
      <c r="E22" s="602">
        <f>IF(B9="2013-14", "", GETPIVOTDATA("Sum of Control",agepivot!$A$3,"Age Range","70-74"))</f>
        <v>0</v>
      </c>
      <c r="F22" s="602">
        <f>IF(B9="2013-14", "", GETPIVOTDATA("Sum of Support Staff",agepivot!$A$3,"Age Range","70-74"))</f>
        <v>7</v>
      </c>
      <c r="G22" s="602">
        <f>IF(B9="2013-14", "", GETPIVOTDATA("Sum of Volunteer",agepivot!$A$3,"Age Range","70-74"))</f>
        <v>5</v>
      </c>
      <c r="H22" s="603">
        <f t="shared" si="0"/>
        <v>19</v>
      </c>
      <c r="I22" s="611">
        <f t="shared" si="2"/>
        <v>14</v>
      </c>
    </row>
    <row r="23" spans="1:9" x14ac:dyDescent="0.35">
      <c r="A23" s="683" t="str">
        <f>IF(agepivot!$B$1="2013-14", "", "&gt;75")</f>
        <v>&gt;75</v>
      </c>
      <c r="B23" s="610">
        <f>IFERROR(IF(B10="2013-14", "", GETPIVOTDATA("Sum of Wholetime Operational",agepivot!$A$3,"Age Range","Over 75")),"-")</f>
        <v>0</v>
      </c>
      <c r="C23" s="610">
        <f>IFERROR(IF(B10="2013-14", "", GETPIVOTDATA("Sum of Retained Duty System",agepivot!$A$3,"Age Range","Over 75")),"-")</f>
        <v>0</v>
      </c>
      <c r="D23" s="610">
        <f>IFERROR(IF(B10="2013-14", "", GETPIVOTDATA("Sum of Retained Full-time",agepivot!$A$3,"Age Range","Over 75")),"-")</f>
        <v>0</v>
      </c>
      <c r="E23" s="610" t="str">
        <f>IFERROR(IF(B10="2013-14", "", GETPIVOTDATA("Sum of Control",agepivot!$A$3,"Value","Over 75")), "-")</f>
        <v>-</v>
      </c>
      <c r="F23" s="610">
        <f>IFERROR(IF(B10="2013-14", "", GETPIVOTDATA("Sum of Support Staff",agepivot!$A$3,"Age Range","Over 75")),"-")</f>
        <v>1</v>
      </c>
      <c r="G23" s="610">
        <f>IFERROR(IF(B10="2013-14", "", GETPIVOTDATA("Sum of Volunteer",agepivot!$A$3,"Age Range","Over 75")),"-")</f>
        <v>0</v>
      </c>
      <c r="H23" s="603">
        <f t="shared" ref="H23" si="3">SUM(B23:G23)</f>
        <v>1</v>
      </c>
      <c r="I23" s="611">
        <f t="shared" ref="I23" si="4">IFERROR(H23-G23, "-")</f>
        <v>1</v>
      </c>
    </row>
    <row r="24" spans="1:9" ht="15" thickBot="1" x14ac:dyDescent="0.4">
      <c r="A24" s="157" t="s">
        <v>348</v>
      </c>
      <c r="B24" s="679">
        <f>SUM(B11:B23)</f>
        <v>3430</v>
      </c>
      <c r="C24" s="679">
        <f t="shared" ref="C24:G24" si="5">SUM(C11:C23)</f>
        <v>2705</v>
      </c>
      <c r="D24" s="679">
        <f t="shared" si="5"/>
        <v>60</v>
      </c>
      <c r="E24" s="679">
        <f t="shared" si="5"/>
        <v>171</v>
      </c>
      <c r="F24" s="679">
        <f t="shared" si="5"/>
        <v>917</v>
      </c>
      <c r="G24" s="679">
        <f t="shared" si="5"/>
        <v>273</v>
      </c>
      <c r="H24" s="679">
        <f>SUM(B24:G24)</f>
        <v>7556</v>
      </c>
      <c r="I24" s="679">
        <f t="shared" si="1"/>
        <v>7283</v>
      </c>
    </row>
    <row r="25" spans="1:9" x14ac:dyDescent="0.35">
      <c r="A25" s="6"/>
      <c r="B25" s="41"/>
      <c r="C25" s="41"/>
      <c r="D25" s="41"/>
      <c r="E25" s="41"/>
      <c r="F25" s="41"/>
      <c r="G25" s="41"/>
      <c r="H25" s="41"/>
      <c r="I25" s="41"/>
    </row>
    <row r="26" spans="1:9" x14ac:dyDescent="0.35">
      <c r="A26" s="336" t="s">
        <v>329</v>
      </c>
      <c r="B26" s="337"/>
      <c r="C26" s="337"/>
      <c r="D26" s="337"/>
      <c r="E26" s="337"/>
      <c r="F26" s="337"/>
      <c r="G26" s="337"/>
      <c r="H26" s="338"/>
      <c r="I26" s="338"/>
    </row>
    <row r="27" spans="1:9" ht="15" customHeight="1" x14ac:dyDescent="0.35">
      <c r="A27" t="s">
        <v>749</v>
      </c>
      <c r="H27" s="338"/>
      <c r="I27" s="338"/>
    </row>
    <row r="28" spans="1:9" x14ac:dyDescent="0.35">
      <c r="A28" t="s">
        <v>801</v>
      </c>
      <c r="B28" s="337"/>
      <c r="C28" s="337"/>
      <c r="D28" s="337"/>
      <c r="E28" s="337"/>
      <c r="F28" s="337"/>
      <c r="G28" s="337"/>
      <c r="H28" s="338"/>
      <c r="I28" s="338"/>
    </row>
    <row r="29" spans="1:9" x14ac:dyDescent="0.35">
      <c r="A29" t="s">
        <v>802</v>
      </c>
      <c r="B29" s="159"/>
      <c r="C29" s="159"/>
      <c r="D29" s="159"/>
      <c r="E29" s="159"/>
      <c r="F29" s="159"/>
      <c r="G29" s="159"/>
      <c r="H29" s="23"/>
      <c r="I29" s="23"/>
    </row>
    <row r="30" spans="1:9" x14ac:dyDescent="0.35">
      <c r="A30" s="15"/>
      <c r="B30" s="159"/>
      <c r="C30" s="159"/>
      <c r="D30" s="159"/>
      <c r="E30" s="159"/>
      <c r="F30" s="159"/>
      <c r="G30" s="159"/>
      <c r="H30" s="23"/>
      <c r="I30" s="23"/>
    </row>
    <row r="31" spans="1:9" ht="15.75" customHeight="1" x14ac:dyDescent="0.35">
      <c r="A31" s="1021" t="s">
        <v>803</v>
      </c>
      <c r="B31" s="1021"/>
      <c r="C31" s="1021"/>
      <c r="D31" s="1021"/>
      <c r="E31" s="1021"/>
      <c r="F31" s="1021"/>
      <c r="G31" s="1021"/>
      <c r="H31" s="1021"/>
      <c r="I31" s="1021"/>
    </row>
    <row r="32" spans="1:9" ht="15.75" customHeight="1" x14ac:dyDescent="0.35">
      <c r="A32" t="s">
        <v>202</v>
      </c>
      <c r="B32" t="s">
        <v>93</v>
      </c>
      <c r="C32" s="231"/>
      <c r="D32" s="231"/>
      <c r="E32" s="231"/>
      <c r="F32" s="231"/>
      <c r="G32" s="231"/>
      <c r="H32" s="231"/>
      <c r="I32" s="231"/>
    </row>
    <row r="33" spans="1:9" ht="15.75" customHeight="1" x14ac:dyDescent="0.35">
      <c r="A33" t="s">
        <v>203</v>
      </c>
      <c r="B33" t="s">
        <v>204</v>
      </c>
      <c r="C33" s="231"/>
      <c r="D33" s="231"/>
      <c r="E33" s="231"/>
      <c r="F33" s="231"/>
      <c r="G33" s="231"/>
      <c r="H33" s="231"/>
      <c r="I33" s="231"/>
    </row>
    <row r="34" spans="1:9" ht="15.75" customHeight="1" x14ac:dyDescent="0.35">
      <c r="A34" t="s">
        <v>205</v>
      </c>
      <c r="B34" t="s">
        <v>206</v>
      </c>
      <c r="C34" s="231"/>
      <c r="D34" s="231"/>
      <c r="E34" s="231"/>
      <c r="F34" s="231"/>
      <c r="G34" s="231"/>
      <c r="H34" s="231"/>
      <c r="I34" s="231"/>
    </row>
    <row r="35" spans="1:9" ht="39.5" x14ac:dyDescent="0.35">
      <c r="A35" s="16" t="s">
        <v>804</v>
      </c>
      <c r="B35" s="160" t="s">
        <v>747</v>
      </c>
      <c r="C35" s="160" t="s">
        <v>361</v>
      </c>
      <c r="D35" s="154" t="s">
        <v>516</v>
      </c>
      <c r="E35" s="160" t="s">
        <v>511</v>
      </c>
      <c r="F35" s="160" t="s">
        <v>743</v>
      </c>
      <c r="G35" s="154" t="s">
        <v>339</v>
      </c>
      <c r="H35" s="160" t="s">
        <v>799</v>
      </c>
      <c r="I35" s="160" t="s">
        <v>623</v>
      </c>
    </row>
    <row r="36" spans="1:9" x14ac:dyDescent="0.35">
      <c r="A36" s="161" t="str">
        <f t="shared" ref="A36:A47" si="6">A11</f>
        <v>&lt;20</v>
      </c>
      <c r="B36" s="162">
        <f t="shared" ref="B36:C43" si="7">B11/B$24</f>
        <v>0</v>
      </c>
      <c r="C36" s="162">
        <f t="shared" si="7"/>
        <v>1.8484288354898336E-3</v>
      </c>
      <c r="D36" s="162">
        <f t="shared" ref="D36:D47" si="8">IFERROR(D11/D$24, "")</f>
        <v>0</v>
      </c>
      <c r="E36" s="162">
        <f t="shared" ref="E36:I36" si="9">E11/E$24</f>
        <v>5.8479532163742687E-3</v>
      </c>
      <c r="F36" s="162">
        <f t="shared" si="9"/>
        <v>5.4525627044711015E-3</v>
      </c>
      <c r="G36" s="162">
        <f t="shared" si="9"/>
        <v>0</v>
      </c>
      <c r="H36" s="162">
        <f t="shared" si="9"/>
        <v>1.4557967178401271E-3</v>
      </c>
      <c r="I36" s="162">
        <f t="shared" si="9"/>
        <v>1.510366607167376E-3</v>
      </c>
    </row>
    <row r="37" spans="1:9" x14ac:dyDescent="0.35">
      <c r="A37" s="164" t="str">
        <f t="shared" si="6"/>
        <v>20-24</v>
      </c>
      <c r="B37" s="162">
        <f t="shared" si="7"/>
        <v>9.0379008746355686E-3</v>
      </c>
      <c r="C37" s="162">
        <f t="shared" si="7"/>
        <v>5.9519408502772646E-2</v>
      </c>
      <c r="D37" s="162">
        <f t="shared" si="8"/>
        <v>0</v>
      </c>
      <c r="E37" s="162">
        <f t="shared" ref="E37:I43" si="10">E12/E$24</f>
        <v>5.8479532163742687E-2</v>
      </c>
      <c r="F37" s="162">
        <f t="shared" si="10"/>
        <v>1.8538713195201745E-2</v>
      </c>
      <c r="G37" s="162">
        <f t="shared" si="10"/>
        <v>2.9304029304029304E-2</v>
      </c>
      <c r="H37" s="162">
        <f t="shared" si="10"/>
        <v>3.004235044997353E-2</v>
      </c>
      <c r="I37" s="162">
        <f t="shared" si="10"/>
        <v>3.0070026088150487E-2</v>
      </c>
    </row>
    <row r="38" spans="1:9" x14ac:dyDescent="0.35">
      <c r="A38" s="164" t="str">
        <f t="shared" si="6"/>
        <v>25-29</v>
      </c>
      <c r="B38" s="162">
        <f t="shared" si="7"/>
        <v>7.3760932944606408E-2</v>
      </c>
      <c r="C38" s="162">
        <f t="shared" si="7"/>
        <v>9.5009242144177455E-2</v>
      </c>
      <c r="D38" s="162">
        <f t="shared" si="8"/>
        <v>0</v>
      </c>
      <c r="E38" s="162">
        <f t="shared" si="10"/>
        <v>0.10526315789473684</v>
      </c>
      <c r="F38" s="162">
        <f t="shared" si="10"/>
        <v>4.6892039258451472E-2</v>
      </c>
      <c r="G38" s="162">
        <f t="shared" si="10"/>
        <v>4.7619047619047616E-2</v>
      </c>
      <c r="H38" s="162">
        <f t="shared" si="10"/>
        <v>7.7289571201694024E-2</v>
      </c>
      <c r="I38" s="162">
        <f t="shared" si="10"/>
        <v>7.8401757517506526E-2</v>
      </c>
    </row>
    <row r="39" spans="1:9" x14ac:dyDescent="0.35">
      <c r="A39" s="164" t="str">
        <f t="shared" si="6"/>
        <v>30-34</v>
      </c>
      <c r="B39" s="162">
        <f t="shared" si="7"/>
        <v>0.14606413994169096</v>
      </c>
      <c r="C39" s="162">
        <f t="shared" si="7"/>
        <v>0.14121996303142328</v>
      </c>
      <c r="D39" s="162">
        <f t="shared" si="8"/>
        <v>0.05</v>
      </c>
      <c r="E39" s="162">
        <f t="shared" si="10"/>
        <v>0.14035087719298245</v>
      </c>
      <c r="F39" s="162">
        <f t="shared" si="10"/>
        <v>8.5059978189749183E-2</v>
      </c>
      <c r="G39" s="162">
        <f t="shared" si="10"/>
        <v>5.128205128205128E-2</v>
      </c>
      <c r="H39" s="162">
        <f t="shared" si="10"/>
        <v>0.13260984647961885</v>
      </c>
      <c r="I39" s="162">
        <f t="shared" si="10"/>
        <v>0.13565838253466977</v>
      </c>
    </row>
    <row r="40" spans="1:9" x14ac:dyDescent="0.35">
      <c r="A40" s="164" t="str">
        <f t="shared" si="6"/>
        <v>35-39</v>
      </c>
      <c r="B40" s="162">
        <f t="shared" si="7"/>
        <v>0.15510204081632653</v>
      </c>
      <c r="C40" s="162">
        <f t="shared" si="7"/>
        <v>0.155637707948244</v>
      </c>
      <c r="D40" s="162">
        <f t="shared" si="8"/>
        <v>0.05</v>
      </c>
      <c r="E40" s="162">
        <f t="shared" si="10"/>
        <v>0.21637426900584794</v>
      </c>
      <c r="F40" s="162">
        <f t="shared" si="10"/>
        <v>0.10359869138495092</v>
      </c>
      <c r="G40" s="162">
        <f t="shared" si="10"/>
        <v>0.10989010989010989</v>
      </c>
      <c r="H40" s="162">
        <f t="shared" si="10"/>
        <v>0.14796188459502382</v>
      </c>
      <c r="I40" s="162">
        <f t="shared" si="10"/>
        <v>0.1493889880543732</v>
      </c>
    </row>
    <row r="41" spans="1:9" x14ac:dyDescent="0.35">
      <c r="A41" s="164" t="str">
        <f t="shared" si="6"/>
        <v>40-44</v>
      </c>
      <c r="B41" s="162">
        <f t="shared" si="7"/>
        <v>0.18425655976676386</v>
      </c>
      <c r="C41" s="162">
        <f t="shared" si="7"/>
        <v>0.14306839186691311</v>
      </c>
      <c r="D41" s="162">
        <f t="shared" si="8"/>
        <v>0.23333333333333334</v>
      </c>
      <c r="E41" s="162">
        <f t="shared" si="10"/>
        <v>0.11695906432748537</v>
      </c>
      <c r="F41" s="162">
        <f t="shared" si="10"/>
        <v>0.10577971646673937</v>
      </c>
      <c r="G41" s="162">
        <f t="shared" si="10"/>
        <v>0.10989010989010989</v>
      </c>
      <c r="H41" s="162">
        <f t="shared" si="10"/>
        <v>0.15616728427739546</v>
      </c>
      <c r="I41" s="162">
        <f t="shared" si="10"/>
        <v>0.15790196347658933</v>
      </c>
    </row>
    <row r="42" spans="1:9" x14ac:dyDescent="0.35">
      <c r="A42" s="164" t="str">
        <f t="shared" si="6"/>
        <v>45-49</v>
      </c>
      <c r="B42" s="162">
        <f t="shared" si="7"/>
        <v>0.20553935860058309</v>
      </c>
      <c r="C42" s="162">
        <f t="shared" si="7"/>
        <v>0.11275415896487985</v>
      </c>
      <c r="D42" s="162">
        <f t="shared" si="8"/>
        <v>6.6666666666666666E-2</v>
      </c>
      <c r="E42" s="162">
        <f t="shared" si="10"/>
        <v>9.9415204678362568E-2</v>
      </c>
      <c r="F42" s="162">
        <f t="shared" si="10"/>
        <v>0.10905125408942203</v>
      </c>
      <c r="G42" s="162">
        <f t="shared" si="10"/>
        <v>8.4249084249084255E-2</v>
      </c>
      <c r="H42" s="162">
        <f t="shared" si="10"/>
        <v>0.15272631021704605</v>
      </c>
      <c r="I42" s="162">
        <f t="shared" si="10"/>
        <v>0.15529314842784567</v>
      </c>
    </row>
    <row r="43" spans="1:9" x14ac:dyDescent="0.35">
      <c r="A43" s="164" t="str">
        <f t="shared" si="6"/>
        <v>50-54</v>
      </c>
      <c r="B43" s="162">
        <f t="shared" si="7"/>
        <v>0.1597667638483965</v>
      </c>
      <c r="C43" s="162">
        <f t="shared" si="7"/>
        <v>0.11423290203327172</v>
      </c>
      <c r="D43" s="162">
        <f t="shared" si="8"/>
        <v>0.13333333333333333</v>
      </c>
      <c r="E43" s="162">
        <f t="shared" si="10"/>
        <v>0.11695906432748537</v>
      </c>
      <c r="F43" s="162">
        <f t="shared" si="10"/>
        <v>0.14830970556161396</v>
      </c>
      <c r="G43" s="162">
        <f t="shared" si="10"/>
        <v>0.18681318681318682</v>
      </c>
      <c r="H43" s="162">
        <f t="shared" si="10"/>
        <v>0.14187400741132875</v>
      </c>
      <c r="I43" s="162">
        <f t="shared" si="10"/>
        <v>0.1401894823561719</v>
      </c>
    </row>
    <row r="44" spans="1:9" x14ac:dyDescent="0.35">
      <c r="A44" s="164" t="str">
        <f t="shared" si="6"/>
        <v>55-59</v>
      </c>
      <c r="B44" s="162">
        <f t="shared" ref="B44:C47" si="11">IFERROR(B19/B$24, "")</f>
        <v>5.772594752186589E-2</v>
      </c>
      <c r="C44" s="162">
        <f t="shared" si="11"/>
        <v>0.11090573012939002</v>
      </c>
      <c r="D44" s="162">
        <f t="shared" si="8"/>
        <v>0.31666666666666665</v>
      </c>
      <c r="E44" s="162">
        <f t="shared" ref="E44:G47" si="12">IFERROR(E19/E$24, "")</f>
        <v>9.9415204678362568E-2</v>
      </c>
      <c r="F44" s="162">
        <f t="shared" si="12"/>
        <v>0.19520174482006544</v>
      </c>
      <c r="G44" s="162">
        <f t="shared" si="12"/>
        <v>0.20512820512820512</v>
      </c>
      <c r="H44" s="162">
        <f>IF(B9="2013-14", "", H19/H$24)</f>
        <v>0.1017734250926416</v>
      </c>
      <c r="I44" s="162">
        <f>IFERROR(I19/I$24, "")</f>
        <v>9.7899217355485374E-2</v>
      </c>
    </row>
    <row r="45" spans="1:9" x14ac:dyDescent="0.35">
      <c r="A45" s="164" t="str">
        <f t="shared" si="6"/>
        <v>60-64</v>
      </c>
      <c r="B45" s="162">
        <f t="shared" si="11"/>
        <v>7.5801749271137029E-3</v>
      </c>
      <c r="C45" s="162">
        <f t="shared" si="11"/>
        <v>5.1756007393715345E-2</v>
      </c>
      <c r="D45" s="162">
        <f t="shared" si="8"/>
        <v>0.15</v>
      </c>
      <c r="E45" s="162">
        <f t="shared" si="12"/>
        <v>4.0935672514619881E-2</v>
      </c>
      <c r="F45" s="162">
        <f t="shared" si="12"/>
        <v>0.12431842966194111</v>
      </c>
      <c r="G45" s="162">
        <f t="shared" si="12"/>
        <v>0.10622710622710622</v>
      </c>
      <c r="H45" s="162">
        <f>IF(B9="2013-14", "",  H20/H$24)</f>
        <v>4.3012175754367388E-2</v>
      </c>
      <c r="I45" s="162">
        <f>IFERROR(I20/I$24, "")</f>
        <v>4.0642592338322119E-2</v>
      </c>
    </row>
    <row r="46" spans="1:9" x14ac:dyDescent="0.35">
      <c r="A46" s="161" t="str">
        <f t="shared" si="6"/>
        <v>65-69</v>
      </c>
      <c r="B46" s="162">
        <f t="shared" si="11"/>
        <v>1.1661807580174927E-3</v>
      </c>
      <c r="C46" s="162">
        <f t="shared" si="11"/>
        <v>1.1460258780036968E-2</v>
      </c>
      <c r="D46" s="162">
        <f t="shared" si="8"/>
        <v>0</v>
      </c>
      <c r="E46" s="162">
        <f t="shared" si="12"/>
        <v>0</v>
      </c>
      <c r="F46" s="162">
        <f t="shared" si="12"/>
        <v>4.9073064340239912E-2</v>
      </c>
      <c r="G46" s="162">
        <f t="shared" si="12"/>
        <v>5.128205128205128E-2</v>
      </c>
      <c r="H46" s="162">
        <f>IF(B9="2013-14", "", H21/H$24)</f>
        <v>1.2440444679724723E-2</v>
      </c>
      <c r="I46" s="162">
        <f>IFERROR(I21/I$24, "")</f>
        <v>1.0984484415762736E-2</v>
      </c>
    </row>
    <row r="47" spans="1:9" x14ac:dyDescent="0.35">
      <c r="A47" s="161" t="str">
        <f t="shared" si="6"/>
        <v>70-74</v>
      </c>
      <c r="B47" s="162">
        <f t="shared" si="11"/>
        <v>0</v>
      </c>
      <c r="C47" s="162">
        <f t="shared" si="11"/>
        <v>2.5878003696857672E-3</v>
      </c>
      <c r="D47" s="162">
        <f t="shared" si="8"/>
        <v>0</v>
      </c>
      <c r="E47" s="162">
        <f t="shared" si="12"/>
        <v>0</v>
      </c>
      <c r="F47" s="162">
        <f t="shared" si="12"/>
        <v>7.6335877862595417E-3</v>
      </c>
      <c r="G47" s="162">
        <f t="shared" si="12"/>
        <v>1.8315018315018316E-2</v>
      </c>
      <c r="H47" s="162">
        <f>IF(B9="2013-14", "", H22/H$24)</f>
        <v>2.5145579671784013E-3</v>
      </c>
      <c r="I47" s="162">
        <f>IFERROR(I22/I$24, "")</f>
        <v>1.9222847727584787E-3</v>
      </c>
    </row>
    <row r="48" spans="1:9" x14ac:dyDescent="0.35">
      <c r="A48" s="797" t="str">
        <f>A23</f>
        <v>&gt;75</v>
      </c>
      <c r="B48" s="796" t="str">
        <f>IFERROR("0.0%", IF(B9="2013-14", B23/B24, "-"))</f>
        <v>0.0%</v>
      </c>
      <c r="C48" s="796" t="str">
        <f>IFERROR("0.0%", C23/C$24)</f>
        <v>0.0%</v>
      </c>
      <c r="D48" s="796" t="str">
        <f t="shared" ref="D48:I48" si="13">IFERROR("0.0%",D23/D$24)</f>
        <v>0.0%</v>
      </c>
      <c r="E48" s="796" t="str">
        <f t="shared" si="13"/>
        <v>0.0%</v>
      </c>
      <c r="F48" s="796" t="str">
        <f t="shared" si="13"/>
        <v>0.0%</v>
      </c>
      <c r="G48" s="796" t="str">
        <f t="shared" si="13"/>
        <v>0.0%</v>
      </c>
      <c r="H48" s="796" t="str">
        <f t="shared" si="13"/>
        <v>0.0%</v>
      </c>
      <c r="I48" s="796" t="str">
        <f t="shared" si="13"/>
        <v>0.0%</v>
      </c>
    </row>
    <row r="49" spans="1:9" ht="15" thickBot="1" x14ac:dyDescent="0.4">
      <c r="A49" s="165" t="s">
        <v>348</v>
      </c>
      <c r="B49" s="166">
        <f>SUM(B36:B48)</f>
        <v>1</v>
      </c>
      <c r="C49" s="166">
        <f t="shared" ref="C49:I49" si="14">SUM(C36:C47)</f>
        <v>1</v>
      </c>
      <c r="D49" s="166">
        <f t="shared" si="14"/>
        <v>1</v>
      </c>
      <c r="E49" s="166">
        <f t="shared" si="14"/>
        <v>1</v>
      </c>
      <c r="F49" s="166">
        <f t="shared" si="14"/>
        <v>0.99890948745910579</v>
      </c>
      <c r="G49" s="166">
        <f t="shared" si="14"/>
        <v>1</v>
      </c>
      <c r="H49" s="166">
        <f t="shared" si="14"/>
        <v>0.99986765484383267</v>
      </c>
      <c r="I49" s="166">
        <f t="shared" si="14"/>
        <v>0.99986269394480298</v>
      </c>
    </row>
    <row r="50" spans="1:9" x14ac:dyDescent="0.35">
      <c r="A50" s="161"/>
      <c r="B50" s="167"/>
      <c r="C50" s="167"/>
      <c r="D50" s="167"/>
      <c r="E50" s="167"/>
      <c r="F50" s="167"/>
      <c r="G50" s="167"/>
      <c r="H50" s="168"/>
      <c r="I50" s="168"/>
    </row>
    <row r="51" spans="1:9" x14ac:dyDescent="0.35">
      <c r="A51" s="336" t="s">
        <v>329</v>
      </c>
      <c r="B51" s="337"/>
      <c r="C51" s="337"/>
      <c r="D51" s="337"/>
      <c r="E51" s="337"/>
      <c r="F51" s="337"/>
      <c r="G51" s="337"/>
      <c r="H51" s="338"/>
      <c r="I51" s="338"/>
    </row>
    <row r="52" spans="1:9" x14ac:dyDescent="0.35">
      <c r="A52" s="338" t="s">
        <v>801</v>
      </c>
      <c r="B52" s="337"/>
      <c r="C52" s="337"/>
      <c r="D52" s="337"/>
      <c r="E52" s="337"/>
      <c r="F52" s="337"/>
      <c r="G52" s="337"/>
      <c r="H52" s="338"/>
      <c r="I52" s="338"/>
    </row>
    <row r="53" spans="1:9" x14ac:dyDescent="0.35">
      <c r="A53" t="s">
        <v>802</v>
      </c>
      <c r="B53" s="159"/>
      <c r="C53" s="159"/>
      <c r="D53" s="159"/>
      <c r="E53" s="159"/>
      <c r="F53" s="159"/>
      <c r="G53" s="159"/>
      <c r="H53" s="23"/>
      <c r="I53" s="23"/>
    </row>
    <row r="54" spans="1:9" x14ac:dyDescent="0.35">
      <c r="A54" s="15"/>
      <c r="B54" s="159"/>
      <c r="C54" s="159"/>
      <c r="D54" s="159"/>
      <c r="E54" s="159"/>
      <c r="F54" s="159"/>
      <c r="G54" s="159"/>
      <c r="H54" s="23"/>
      <c r="I54" s="23"/>
    </row>
  </sheetData>
  <sheetProtection algorithmName="SHA-512" hashValue="kgxl80UJ2jzD1V3Z9iEat0Vg8Nh1u/LkaRyluW3PQUUL1WuTdaSVmabfCnouG5O9R4tJe5ukn+vGqA+hlmeLoQ==" saltValue="PIBA6Km7WhJNCv+DQgV5KQ==" spinCount="100000" sheet="1" scenarios="1" formatCells="0" sort="0" autoFilter="0" pivotTables="0"/>
  <mergeCells count="3">
    <mergeCell ref="A4:I4"/>
    <mergeCell ref="A31:I31"/>
    <mergeCell ref="A1:C1"/>
  </mergeCells>
  <hyperlinks>
    <hyperlink ref="A2" location="'Table of Contents'!A1" display="Back to Table of Contents" xr:uid="{00000000-0004-0000-6100-000000000000}"/>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E36"/>
  <sheetViews>
    <sheetView workbookViewId="0">
      <selection activeCell="C9" sqref="C9"/>
    </sheetView>
  </sheetViews>
  <sheetFormatPr defaultRowHeight="14.5" x14ac:dyDescent="0.35"/>
  <cols>
    <col min="1" max="1" width="20.81640625" bestFit="1" customWidth="1"/>
    <col min="2" max="2" width="17.1796875" bestFit="1" customWidth="1"/>
    <col min="3" max="3" width="15" bestFit="1" customWidth="1"/>
    <col min="4" max="4" width="15.90625" bestFit="1" customWidth="1"/>
    <col min="5" max="5" width="11.453125" bestFit="1" customWidth="1"/>
  </cols>
  <sheetData>
    <row r="1" spans="1:5" x14ac:dyDescent="0.35">
      <c r="A1" s="387" t="s">
        <v>207</v>
      </c>
      <c r="B1" t="s">
        <v>466</v>
      </c>
    </row>
    <row r="3" spans="1:5" x14ac:dyDescent="0.35">
      <c r="A3" s="387" t="s">
        <v>350</v>
      </c>
      <c r="B3" t="s">
        <v>351</v>
      </c>
      <c r="C3" t="s">
        <v>354</v>
      </c>
      <c r="D3" t="s">
        <v>355</v>
      </c>
      <c r="E3" t="s">
        <v>356</v>
      </c>
    </row>
    <row r="4" spans="1:5" x14ac:dyDescent="0.35">
      <c r="A4" s="388" t="s">
        <v>216</v>
      </c>
      <c r="B4">
        <v>3</v>
      </c>
      <c r="C4">
        <v>1</v>
      </c>
      <c r="E4">
        <v>4</v>
      </c>
    </row>
    <row r="5" spans="1:5" x14ac:dyDescent="0.35">
      <c r="A5" s="388" t="s">
        <v>221</v>
      </c>
      <c r="B5">
        <v>1</v>
      </c>
      <c r="C5">
        <v>23</v>
      </c>
      <c r="E5">
        <v>24</v>
      </c>
    </row>
    <row r="6" spans="1:5" x14ac:dyDescent="0.35">
      <c r="A6" s="388" t="s">
        <v>225</v>
      </c>
      <c r="B6">
        <v>1</v>
      </c>
      <c r="C6">
        <v>5</v>
      </c>
      <c r="E6">
        <v>6</v>
      </c>
    </row>
    <row r="7" spans="1:5" x14ac:dyDescent="0.35">
      <c r="A7" s="388" t="s">
        <v>229</v>
      </c>
      <c r="B7">
        <v>2</v>
      </c>
      <c r="C7">
        <v>12</v>
      </c>
      <c r="D7">
        <v>25</v>
      </c>
      <c r="E7">
        <v>39</v>
      </c>
    </row>
    <row r="8" spans="1:5" x14ac:dyDescent="0.35">
      <c r="A8" s="388" t="s">
        <v>235</v>
      </c>
      <c r="B8">
        <v>7</v>
      </c>
      <c r="C8">
        <v>1</v>
      </c>
      <c r="E8">
        <v>8</v>
      </c>
    </row>
    <row r="9" spans="1:5" x14ac:dyDescent="0.35">
      <c r="A9" s="388" t="s">
        <v>241</v>
      </c>
      <c r="B9">
        <v>1</v>
      </c>
      <c r="C9">
        <v>1</v>
      </c>
      <c r="E9">
        <v>2</v>
      </c>
    </row>
    <row r="10" spans="1:5" x14ac:dyDescent="0.35">
      <c r="A10" s="388" t="s">
        <v>245</v>
      </c>
      <c r="B10">
        <v>1</v>
      </c>
      <c r="C10">
        <v>15</v>
      </c>
      <c r="D10">
        <v>1</v>
      </c>
      <c r="E10">
        <v>17</v>
      </c>
    </row>
    <row r="11" spans="1:5" x14ac:dyDescent="0.35">
      <c r="A11" s="388" t="s">
        <v>248</v>
      </c>
      <c r="B11">
        <v>4</v>
      </c>
      <c r="E11">
        <v>4</v>
      </c>
    </row>
    <row r="12" spans="1:5" x14ac:dyDescent="0.35">
      <c r="A12" s="388" t="s">
        <v>250</v>
      </c>
      <c r="B12">
        <v>1</v>
      </c>
      <c r="C12">
        <v>7</v>
      </c>
      <c r="E12">
        <v>8</v>
      </c>
    </row>
    <row r="13" spans="1:5" x14ac:dyDescent="0.35">
      <c r="A13" s="388" t="s">
        <v>254</v>
      </c>
      <c r="B13">
        <v>3</v>
      </c>
      <c r="E13">
        <v>3</v>
      </c>
    </row>
    <row r="14" spans="1:5" x14ac:dyDescent="0.35">
      <c r="A14" s="388" t="s">
        <v>256</v>
      </c>
      <c r="B14">
        <v>1</v>
      </c>
      <c r="C14">
        <v>5</v>
      </c>
      <c r="E14">
        <v>6</v>
      </c>
    </row>
    <row r="15" spans="1:5" x14ac:dyDescent="0.35">
      <c r="A15" s="388" t="s">
        <v>260</v>
      </c>
      <c r="B15">
        <v>2</v>
      </c>
      <c r="E15">
        <v>2</v>
      </c>
    </row>
    <row r="16" spans="1:5" x14ac:dyDescent="0.35">
      <c r="A16" s="388" t="s">
        <v>264</v>
      </c>
      <c r="B16">
        <v>3</v>
      </c>
      <c r="C16">
        <v>2</v>
      </c>
      <c r="E16">
        <v>5</v>
      </c>
    </row>
    <row r="17" spans="1:5" x14ac:dyDescent="0.35">
      <c r="A17" s="388" t="s">
        <v>268</v>
      </c>
      <c r="B17">
        <v>5</v>
      </c>
      <c r="C17">
        <v>8</v>
      </c>
      <c r="E17">
        <v>13</v>
      </c>
    </row>
    <row r="18" spans="1:5" x14ac:dyDescent="0.35">
      <c r="A18" s="388" t="s">
        <v>271</v>
      </c>
      <c r="B18">
        <v>11</v>
      </c>
      <c r="E18">
        <v>11</v>
      </c>
    </row>
    <row r="19" spans="1:5" x14ac:dyDescent="0.35">
      <c r="A19" s="388" t="s">
        <v>274</v>
      </c>
      <c r="B19">
        <v>1</v>
      </c>
      <c r="C19">
        <v>51</v>
      </c>
      <c r="D19">
        <v>9</v>
      </c>
      <c r="E19">
        <v>61</v>
      </c>
    </row>
    <row r="20" spans="1:5" x14ac:dyDescent="0.35">
      <c r="A20" s="388" t="s">
        <v>278</v>
      </c>
      <c r="B20">
        <v>2</v>
      </c>
      <c r="C20">
        <v>1</v>
      </c>
      <c r="E20">
        <v>3</v>
      </c>
    </row>
    <row r="21" spans="1:5" x14ac:dyDescent="0.35">
      <c r="A21" s="388" t="s">
        <v>280</v>
      </c>
      <c r="B21">
        <v>1</v>
      </c>
      <c r="C21">
        <v>1</v>
      </c>
      <c r="E21">
        <v>2</v>
      </c>
    </row>
    <row r="22" spans="1:5" x14ac:dyDescent="0.35">
      <c r="A22" s="388" t="s">
        <v>282</v>
      </c>
      <c r="B22">
        <v>1</v>
      </c>
      <c r="C22">
        <v>10</v>
      </c>
      <c r="D22">
        <v>1</v>
      </c>
      <c r="E22">
        <v>12</v>
      </c>
    </row>
    <row r="23" spans="1:5" x14ac:dyDescent="0.35">
      <c r="A23" s="388" t="s">
        <v>284</v>
      </c>
      <c r="C23">
        <v>14</v>
      </c>
      <c r="E23">
        <v>14</v>
      </c>
    </row>
    <row r="24" spans="1:5" x14ac:dyDescent="0.35">
      <c r="A24" s="388" t="s">
        <v>288</v>
      </c>
      <c r="B24">
        <v>3</v>
      </c>
      <c r="C24">
        <v>8</v>
      </c>
      <c r="D24">
        <v>3</v>
      </c>
      <c r="E24">
        <v>14</v>
      </c>
    </row>
    <row r="25" spans="1:5" x14ac:dyDescent="0.35">
      <c r="A25" s="388" t="s">
        <v>290</v>
      </c>
      <c r="B25">
        <v>4</v>
      </c>
      <c r="C25">
        <v>3</v>
      </c>
      <c r="E25">
        <v>7</v>
      </c>
    </row>
    <row r="26" spans="1:5" x14ac:dyDescent="0.35">
      <c r="A26" s="388" t="s">
        <v>293</v>
      </c>
      <c r="C26">
        <v>12</v>
      </c>
      <c r="E26">
        <v>12</v>
      </c>
    </row>
    <row r="27" spans="1:5" x14ac:dyDescent="0.35">
      <c r="A27" s="388" t="s">
        <v>295</v>
      </c>
      <c r="B27">
        <v>1</v>
      </c>
      <c r="C27">
        <v>10</v>
      </c>
      <c r="D27">
        <v>3</v>
      </c>
      <c r="E27">
        <v>14</v>
      </c>
    </row>
    <row r="28" spans="1:5" x14ac:dyDescent="0.35">
      <c r="A28" s="388" t="s">
        <v>297</v>
      </c>
      <c r="B28">
        <v>3</v>
      </c>
      <c r="E28">
        <v>3</v>
      </c>
    </row>
    <row r="29" spans="1:5" x14ac:dyDescent="0.35">
      <c r="A29" s="388" t="s">
        <v>299</v>
      </c>
      <c r="B29">
        <v>2</v>
      </c>
      <c r="C29">
        <v>11</v>
      </c>
      <c r="E29">
        <v>13</v>
      </c>
    </row>
    <row r="30" spans="1:5" x14ac:dyDescent="0.35">
      <c r="A30" s="388" t="s">
        <v>301</v>
      </c>
      <c r="C30">
        <v>14</v>
      </c>
      <c r="E30">
        <v>14</v>
      </c>
    </row>
    <row r="31" spans="1:5" x14ac:dyDescent="0.35">
      <c r="A31" s="388" t="s">
        <v>303</v>
      </c>
      <c r="B31">
        <v>1</v>
      </c>
      <c r="C31">
        <v>4</v>
      </c>
      <c r="E31">
        <v>5</v>
      </c>
    </row>
    <row r="32" spans="1:5" x14ac:dyDescent="0.35">
      <c r="A32" s="388" t="s">
        <v>305</v>
      </c>
      <c r="B32">
        <v>4</v>
      </c>
      <c r="C32">
        <v>7</v>
      </c>
      <c r="E32">
        <v>12</v>
      </c>
    </row>
    <row r="33" spans="1:5" x14ac:dyDescent="0.35">
      <c r="A33" s="388" t="s">
        <v>308</v>
      </c>
      <c r="B33">
        <v>1</v>
      </c>
      <c r="C33">
        <v>9</v>
      </c>
      <c r="E33">
        <v>10</v>
      </c>
    </row>
    <row r="34" spans="1:5" x14ac:dyDescent="0.35">
      <c r="A34" s="388" t="s">
        <v>310</v>
      </c>
      <c r="B34">
        <v>2</v>
      </c>
      <c r="C34">
        <v>1</v>
      </c>
      <c r="E34">
        <v>3</v>
      </c>
    </row>
    <row r="35" spans="1:5" x14ac:dyDescent="0.35">
      <c r="A35" s="388" t="s">
        <v>312</v>
      </c>
      <c r="B35">
        <v>2</v>
      </c>
      <c r="C35">
        <v>4</v>
      </c>
      <c r="E35">
        <v>6</v>
      </c>
    </row>
    <row r="36" spans="1:5" x14ac:dyDescent="0.35">
      <c r="A36" s="388" t="s">
        <v>357</v>
      </c>
      <c r="B36">
        <v>74</v>
      </c>
      <c r="C36">
        <v>240</v>
      </c>
      <c r="D36">
        <v>42</v>
      </c>
      <c r="E36">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9" tint="0.39997558519241921"/>
  </sheetPr>
  <dimension ref="A1:F13"/>
  <sheetViews>
    <sheetView workbookViewId="0">
      <selection activeCell="B7" sqref="B7"/>
    </sheetView>
  </sheetViews>
  <sheetFormatPr defaultRowHeight="14.5" x14ac:dyDescent="0.35"/>
  <cols>
    <col min="1" max="1" width="12.6328125" bestFit="1" customWidth="1"/>
    <col min="2" max="2" width="27.90625" bestFit="1" customWidth="1"/>
    <col min="3" max="3" width="26.26953125" bestFit="1" customWidth="1"/>
    <col min="4" max="4" width="23.453125" bestFit="1" customWidth="1"/>
    <col min="5" max="5" width="13.6328125" bestFit="1" customWidth="1"/>
    <col min="6" max="6" width="15.90625" bestFit="1" customWidth="1"/>
  </cols>
  <sheetData>
    <row r="1" spans="1:6" x14ac:dyDescent="0.35">
      <c r="A1" s="387" t="s">
        <v>207</v>
      </c>
      <c r="B1" t="s">
        <v>466</v>
      </c>
    </row>
    <row r="3" spans="1:6" x14ac:dyDescent="0.35">
      <c r="A3" s="387" t="s">
        <v>350</v>
      </c>
      <c r="B3" t="s">
        <v>607</v>
      </c>
      <c r="C3" t="s">
        <v>504</v>
      </c>
      <c r="D3" t="s">
        <v>778</v>
      </c>
      <c r="E3" t="s">
        <v>506</v>
      </c>
      <c r="F3" t="s">
        <v>355</v>
      </c>
    </row>
    <row r="4" spans="1:6" x14ac:dyDescent="0.35">
      <c r="A4" s="388" t="s">
        <v>805</v>
      </c>
      <c r="B4">
        <v>319</v>
      </c>
      <c r="C4">
        <v>361</v>
      </c>
      <c r="D4">
        <v>5</v>
      </c>
      <c r="E4">
        <v>18</v>
      </c>
      <c r="F4">
        <v>32</v>
      </c>
    </row>
    <row r="5" spans="1:6" x14ac:dyDescent="0.35">
      <c r="A5" s="388" t="s">
        <v>806</v>
      </c>
      <c r="B5">
        <v>682</v>
      </c>
      <c r="C5">
        <v>315</v>
      </c>
      <c r="D5">
        <v>16</v>
      </c>
      <c r="E5">
        <v>19</v>
      </c>
      <c r="F5">
        <v>30</v>
      </c>
    </row>
    <row r="6" spans="1:6" x14ac:dyDescent="0.35">
      <c r="A6" s="388" t="s">
        <v>780</v>
      </c>
      <c r="B6">
        <v>704</v>
      </c>
      <c r="C6">
        <v>262</v>
      </c>
      <c r="D6">
        <v>11</v>
      </c>
      <c r="E6">
        <v>18</v>
      </c>
      <c r="F6">
        <v>35</v>
      </c>
    </row>
    <row r="7" spans="1:6" x14ac:dyDescent="0.35">
      <c r="A7" s="388" t="s">
        <v>781</v>
      </c>
      <c r="B7">
        <v>380</v>
      </c>
      <c r="C7">
        <v>175</v>
      </c>
      <c r="D7">
        <v>6</v>
      </c>
      <c r="E7">
        <v>7</v>
      </c>
      <c r="F7">
        <v>26</v>
      </c>
    </row>
    <row r="8" spans="1:6" x14ac:dyDescent="0.35">
      <c r="A8" s="388" t="s">
        <v>782</v>
      </c>
      <c r="B8">
        <v>50</v>
      </c>
      <c r="C8">
        <v>115</v>
      </c>
      <c r="D8">
        <v>7</v>
      </c>
      <c r="E8">
        <v>8</v>
      </c>
      <c r="F8">
        <v>14</v>
      </c>
    </row>
    <row r="9" spans="1:6" x14ac:dyDescent="0.35">
      <c r="A9" s="388" t="s">
        <v>783</v>
      </c>
      <c r="B9">
        <v>11</v>
      </c>
      <c r="C9">
        <v>84</v>
      </c>
      <c r="D9">
        <v>6</v>
      </c>
      <c r="E9">
        <v>9</v>
      </c>
      <c r="F9">
        <v>15</v>
      </c>
    </row>
    <row r="10" spans="1:6" x14ac:dyDescent="0.35">
      <c r="A10" s="388" t="s">
        <v>807</v>
      </c>
      <c r="B10">
        <v>655</v>
      </c>
      <c r="C10">
        <v>600</v>
      </c>
      <c r="D10">
        <v>5</v>
      </c>
      <c r="E10">
        <v>43</v>
      </c>
      <c r="F10">
        <v>53</v>
      </c>
    </row>
    <row r="11" spans="1:6" x14ac:dyDescent="0.35">
      <c r="A11" s="388" t="s">
        <v>808</v>
      </c>
      <c r="B11">
        <v>4</v>
      </c>
      <c r="C11">
        <v>28</v>
      </c>
      <c r="D11">
        <v>3</v>
      </c>
      <c r="F11">
        <v>2</v>
      </c>
    </row>
    <row r="12" spans="1:6" x14ac:dyDescent="0.35">
      <c r="A12" s="388" t="s">
        <v>809</v>
      </c>
      <c r="B12">
        <v>625</v>
      </c>
      <c r="C12">
        <v>765</v>
      </c>
      <c r="D12">
        <v>1</v>
      </c>
      <c r="E12">
        <v>49</v>
      </c>
      <c r="F12">
        <v>66</v>
      </c>
    </row>
    <row r="13" spans="1:6" x14ac:dyDescent="0.35">
      <c r="A13" s="388" t="s">
        <v>357</v>
      </c>
      <c r="B13">
        <v>3430</v>
      </c>
      <c r="C13">
        <v>2705</v>
      </c>
      <c r="D13">
        <v>60</v>
      </c>
      <c r="E13">
        <v>171</v>
      </c>
      <c r="F13">
        <v>273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9" tint="0.39997558519241921"/>
  </sheetPr>
  <dimension ref="A1:G73"/>
  <sheetViews>
    <sheetView workbookViewId="0">
      <selection activeCell="C5" sqref="C5"/>
    </sheetView>
  </sheetViews>
  <sheetFormatPr defaultRowHeight="14.5" x14ac:dyDescent="0.35"/>
  <cols>
    <col min="1" max="1" width="7.453125" bestFit="1" customWidth="1"/>
    <col min="2" max="2" width="21.453125" bestFit="1" customWidth="1"/>
    <col min="3" max="3" width="23" bestFit="1" customWidth="1"/>
    <col min="4" max="4" width="21.54296875" bestFit="1" customWidth="1"/>
    <col min="5" max="5" width="18.453125" bestFit="1" customWidth="1"/>
    <col min="6" max="6" width="9.453125" bestFit="1" customWidth="1"/>
    <col min="7" max="7" width="11.453125" bestFit="1" customWidth="1"/>
  </cols>
  <sheetData>
    <row r="1" spans="1:7" x14ac:dyDescent="0.35">
      <c r="A1" t="s">
        <v>207</v>
      </c>
      <c r="B1" t="s">
        <v>810</v>
      </c>
      <c r="C1" t="s">
        <v>515</v>
      </c>
      <c r="D1" t="s">
        <v>361</v>
      </c>
      <c r="E1" t="s">
        <v>516</v>
      </c>
      <c r="F1" t="s">
        <v>511</v>
      </c>
      <c r="G1" t="s">
        <v>339</v>
      </c>
    </row>
    <row r="2" spans="1:7" x14ac:dyDescent="0.35">
      <c r="A2" t="s">
        <v>342</v>
      </c>
      <c r="B2" t="s">
        <v>805</v>
      </c>
      <c r="C2">
        <v>814</v>
      </c>
      <c r="D2">
        <v>434</v>
      </c>
      <c r="F2">
        <v>26</v>
      </c>
      <c r="G2">
        <v>51</v>
      </c>
    </row>
    <row r="3" spans="1:7" x14ac:dyDescent="0.35">
      <c r="A3" t="s">
        <v>214</v>
      </c>
      <c r="B3" t="s">
        <v>780</v>
      </c>
      <c r="C3">
        <v>589</v>
      </c>
      <c r="D3">
        <v>291</v>
      </c>
      <c r="E3">
        <v>3</v>
      </c>
      <c r="F3">
        <v>18</v>
      </c>
      <c r="G3">
        <v>25</v>
      </c>
    </row>
    <row r="4" spans="1:7" x14ac:dyDescent="0.35">
      <c r="A4" t="s">
        <v>214</v>
      </c>
      <c r="B4" t="s">
        <v>807</v>
      </c>
      <c r="C4">
        <v>325</v>
      </c>
      <c r="D4">
        <v>580</v>
      </c>
      <c r="E4">
        <v>1</v>
      </c>
      <c r="F4">
        <v>27</v>
      </c>
      <c r="G4">
        <v>53</v>
      </c>
    </row>
    <row r="5" spans="1:7" x14ac:dyDescent="0.35">
      <c r="A5" t="s">
        <v>313</v>
      </c>
      <c r="B5" t="s">
        <v>783</v>
      </c>
      <c r="C5">
        <v>5</v>
      </c>
      <c r="D5">
        <v>57</v>
      </c>
      <c r="E5">
        <v>3</v>
      </c>
      <c r="F5">
        <v>3</v>
      </c>
      <c r="G5">
        <v>2</v>
      </c>
    </row>
    <row r="6" spans="1:7" x14ac:dyDescent="0.35">
      <c r="A6" t="s">
        <v>321</v>
      </c>
      <c r="B6" t="s">
        <v>782</v>
      </c>
      <c r="C6">
        <v>84</v>
      </c>
      <c r="D6">
        <v>159</v>
      </c>
      <c r="E6">
        <v>8</v>
      </c>
      <c r="F6">
        <v>19</v>
      </c>
      <c r="G6">
        <v>17</v>
      </c>
    </row>
    <row r="7" spans="1:7" x14ac:dyDescent="0.35">
      <c r="A7" t="s">
        <v>466</v>
      </c>
      <c r="B7" t="s">
        <v>805</v>
      </c>
      <c r="C7">
        <v>319</v>
      </c>
      <c r="D7">
        <v>361</v>
      </c>
      <c r="E7">
        <v>5</v>
      </c>
      <c r="F7">
        <v>18</v>
      </c>
      <c r="G7">
        <v>32</v>
      </c>
    </row>
    <row r="8" spans="1:7" x14ac:dyDescent="0.35">
      <c r="A8" t="s">
        <v>313</v>
      </c>
      <c r="B8" t="s">
        <v>805</v>
      </c>
      <c r="C8">
        <v>742</v>
      </c>
      <c r="D8">
        <v>432</v>
      </c>
      <c r="E8">
        <v>10</v>
      </c>
      <c r="F8">
        <v>25</v>
      </c>
      <c r="G8">
        <v>41</v>
      </c>
    </row>
    <row r="9" spans="1:7" x14ac:dyDescent="0.35">
      <c r="A9" t="s">
        <v>313</v>
      </c>
      <c r="B9" t="s">
        <v>807</v>
      </c>
      <c r="C9">
        <v>330</v>
      </c>
      <c r="D9">
        <v>556</v>
      </c>
      <c r="E9">
        <v>5</v>
      </c>
      <c r="F9">
        <v>26</v>
      </c>
      <c r="G9">
        <v>55</v>
      </c>
    </row>
    <row r="10" spans="1:7" x14ac:dyDescent="0.35">
      <c r="A10" t="s">
        <v>313</v>
      </c>
      <c r="B10" t="s">
        <v>808</v>
      </c>
      <c r="C10">
        <v>4</v>
      </c>
      <c r="D10">
        <v>28</v>
      </c>
      <c r="F10">
        <v>7</v>
      </c>
      <c r="G10">
        <v>4</v>
      </c>
    </row>
    <row r="11" spans="1:7" x14ac:dyDescent="0.35">
      <c r="A11" t="s">
        <v>319</v>
      </c>
      <c r="B11" t="s">
        <v>782</v>
      </c>
      <c r="C11">
        <v>82</v>
      </c>
      <c r="D11">
        <v>155</v>
      </c>
      <c r="E11">
        <v>7</v>
      </c>
      <c r="F11">
        <v>21</v>
      </c>
      <c r="G11">
        <v>14</v>
      </c>
    </row>
    <row r="12" spans="1:7" x14ac:dyDescent="0.35">
      <c r="A12" t="s">
        <v>319</v>
      </c>
      <c r="B12" t="s">
        <v>807</v>
      </c>
      <c r="C12">
        <v>287</v>
      </c>
      <c r="D12">
        <v>532</v>
      </c>
      <c r="E12">
        <v>6</v>
      </c>
      <c r="F12">
        <v>39</v>
      </c>
      <c r="G12">
        <v>60</v>
      </c>
    </row>
    <row r="13" spans="1:7" x14ac:dyDescent="0.35">
      <c r="A13" t="s">
        <v>327</v>
      </c>
      <c r="B13" t="s">
        <v>782</v>
      </c>
      <c r="C13">
        <v>64</v>
      </c>
      <c r="D13">
        <v>138</v>
      </c>
      <c r="E13">
        <v>6</v>
      </c>
      <c r="F13">
        <v>10</v>
      </c>
      <c r="G13">
        <v>14</v>
      </c>
    </row>
    <row r="14" spans="1:7" x14ac:dyDescent="0.35">
      <c r="A14" t="s">
        <v>342</v>
      </c>
      <c r="B14" t="s">
        <v>807</v>
      </c>
      <c r="C14">
        <v>447</v>
      </c>
      <c r="D14">
        <v>572</v>
      </c>
      <c r="F14">
        <v>17</v>
      </c>
      <c r="G14">
        <v>64</v>
      </c>
    </row>
    <row r="15" spans="1:7" x14ac:dyDescent="0.35">
      <c r="A15" t="s">
        <v>214</v>
      </c>
      <c r="B15" t="s">
        <v>805</v>
      </c>
      <c r="C15">
        <v>879</v>
      </c>
      <c r="D15">
        <v>439</v>
      </c>
      <c r="E15">
        <v>3</v>
      </c>
      <c r="F15">
        <v>30</v>
      </c>
      <c r="G15">
        <v>47</v>
      </c>
    </row>
    <row r="16" spans="1:7" x14ac:dyDescent="0.35">
      <c r="A16" t="s">
        <v>313</v>
      </c>
      <c r="B16" t="s">
        <v>780</v>
      </c>
      <c r="C16">
        <v>641</v>
      </c>
      <c r="D16">
        <v>289</v>
      </c>
      <c r="E16">
        <v>5</v>
      </c>
      <c r="F16">
        <v>15</v>
      </c>
      <c r="G16">
        <v>36</v>
      </c>
    </row>
    <row r="17" spans="1:7" x14ac:dyDescent="0.35">
      <c r="A17" t="s">
        <v>319</v>
      </c>
      <c r="B17" t="s">
        <v>809</v>
      </c>
      <c r="C17">
        <v>595</v>
      </c>
      <c r="D17">
        <v>791</v>
      </c>
      <c r="E17">
        <v>3</v>
      </c>
      <c r="F17">
        <v>44</v>
      </c>
      <c r="G17">
        <v>78</v>
      </c>
    </row>
    <row r="18" spans="1:7" x14ac:dyDescent="0.35">
      <c r="A18" t="s">
        <v>321</v>
      </c>
      <c r="B18" t="s">
        <v>781</v>
      </c>
      <c r="C18">
        <v>456</v>
      </c>
      <c r="D18">
        <v>188</v>
      </c>
      <c r="E18">
        <v>6</v>
      </c>
      <c r="F18">
        <v>12</v>
      </c>
      <c r="G18">
        <v>14</v>
      </c>
    </row>
    <row r="19" spans="1:7" x14ac:dyDescent="0.35">
      <c r="A19" t="s">
        <v>326</v>
      </c>
      <c r="B19" t="s">
        <v>780</v>
      </c>
      <c r="C19">
        <v>714</v>
      </c>
      <c r="D19">
        <v>299</v>
      </c>
      <c r="E19">
        <v>8</v>
      </c>
      <c r="F19">
        <v>14</v>
      </c>
      <c r="G19">
        <v>40</v>
      </c>
    </row>
    <row r="20" spans="1:7" x14ac:dyDescent="0.35">
      <c r="A20" t="s">
        <v>326</v>
      </c>
      <c r="B20" t="s">
        <v>781</v>
      </c>
      <c r="C20">
        <v>323</v>
      </c>
      <c r="D20">
        <v>172</v>
      </c>
      <c r="E20">
        <v>7</v>
      </c>
      <c r="F20">
        <v>9</v>
      </c>
      <c r="G20">
        <v>19</v>
      </c>
    </row>
    <row r="21" spans="1:7" x14ac:dyDescent="0.35">
      <c r="A21" t="s">
        <v>326</v>
      </c>
      <c r="B21" t="s">
        <v>807</v>
      </c>
      <c r="C21">
        <v>482</v>
      </c>
      <c r="D21">
        <v>584</v>
      </c>
      <c r="E21">
        <v>3</v>
      </c>
      <c r="F21">
        <v>50</v>
      </c>
      <c r="G21">
        <v>60</v>
      </c>
    </row>
    <row r="22" spans="1:7" x14ac:dyDescent="0.35">
      <c r="A22" t="s">
        <v>327</v>
      </c>
      <c r="B22" t="s">
        <v>806</v>
      </c>
      <c r="C22">
        <v>812</v>
      </c>
      <c r="D22">
        <v>299</v>
      </c>
      <c r="E22">
        <v>12</v>
      </c>
      <c r="F22">
        <v>25</v>
      </c>
      <c r="G22">
        <v>35</v>
      </c>
    </row>
    <row r="23" spans="1:7" x14ac:dyDescent="0.35">
      <c r="A23" t="s">
        <v>466</v>
      </c>
      <c r="B23" t="s">
        <v>781</v>
      </c>
      <c r="C23">
        <v>380</v>
      </c>
      <c r="D23">
        <v>175</v>
      </c>
      <c r="E23">
        <v>6</v>
      </c>
      <c r="F23">
        <v>7</v>
      </c>
      <c r="G23">
        <v>26</v>
      </c>
    </row>
    <row r="24" spans="1:7" x14ac:dyDescent="0.35">
      <c r="A24" t="s">
        <v>342</v>
      </c>
      <c r="B24" t="s">
        <v>806</v>
      </c>
      <c r="C24">
        <v>789</v>
      </c>
      <c r="D24">
        <v>429</v>
      </c>
      <c r="F24">
        <v>22</v>
      </c>
      <c r="G24">
        <v>54</v>
      </c>
    </row>
    <row r="25" spans="1:7" x14ac:dyDescent="0.35">
      <c r="A25" t="s">
        <v>342</v>
      </c>
      <c r="B25" t="s">
        <v>780</v>
      </c>
      <c r="C25">
        <v>581</v>
      </c>
      <c r="D25">
        <v>272</v>
      </c>
      <c r="F25">
        <v>15</v>
      </c>
      <c r="G25">
        <v>23</v>
      </c>
    </row>
    <row r="26" spans="1:7" x14ac:dyDescent="0.35">
      <c r="A26" t="s">
        <v>342</v>
      </c>
      <c r="B26" t="s">
        <v>782</v>
      </c>
      <c r="C26">
        <v>109</v>
      </c>
      <c r="D26">
        <v>134</v>
      </c>
      <c r="F26">
        <v>16</v>
      </c>
      <c r="G26">
        <v>12</v>
      </c>
    </row>
    <row r="27" spans="1:7" x14ac:dyDescent="0.35">
      <c r="A27" t="s">
        <v>342</v>
      </c>
      <c r="B27" t="s">
        <v>808</v>
      </c>
      <c r="C27">
        <v>1</v>
      </c>
      <c r="D27">
        <v>22</v>
      </c>
      <c r="F27">
        <v>5</v>
      </c>
      <c r="G27">
        <v>2</v>
      </c>
    </row>
    <row r="28" spans="1:7" x14ac:dyDescent="0.35">
      <c r="A28" t="s">
        <v>313</v>
      </c>
      <c r="B28" t="s">
        <v>781</v>
      </c>
      <c r="C28">
        <v>516</v>
      </c>
      <c r="D28">
        <v>223</v>
      </c>
      <c r="E28">
        <v>3</v>
      </c>
      <c r="F28">
        <v>15</v>
      </c>
      <c r="G28">
        <v>21</v>
      </c>
    </row>
    <row r="29" spans="1:7" x14ac:dyDescent="0.35">
      <c r="A29" t="s">
        <v>326</v>
      </c>
      <c r="B29" t="s">
        <v>805</v>
      </c>
      <c r="C29">
        <v>457</v>
      </c>
      <c r="D29">
        <v>404</v>
      </c>
      <c r="E29">
        <v>9</v>
      </c>
      <c r="F29">
        <v>17</v>
      </c>
      <c r="G29">
        <v>39</v>
      </c>
    </row>
    <row r="30" spans="1:7" x14ac:dyDescent="0.35">
      <c r="A30" t="s">
        <v>327</v>
      </c>
      <c r="B30" t="s">
        <v>781</v>
      </c>
      <c r="C30">
        <v>342</v>
      </c>
      <c r="D30">
        <v>170</v>
      </c>
      <c r="E30">
        <v>6</v>
      </c>
      <c r="F30">
        <v>9</v>
      </c>
      <c r="G30">
        <v>22</v>
      </c>
    </row>
    <row r="31" spans="1:7" x14ac:dyDescent="0.35">
      <c r="A31" t="s">
        <v>327</v>
      </c>
      <c r="B31" t="s">
        <v>807</v>
      </c>
      <c r="C31">
        <v>574</v>
      </c>
      <c r="D31">
        <v>604</v>
      </c>
      <c r="E31">
        <v>3</v>
      </c>
      <c r="F31">
        <v>46</v>
      </c>
      <c r="G31">
        <v>67</v>
      </c>
    </row>
    <row r="32" spans="1:7" x14ac:dyDescent="0.35">
      <c r="A32" t="s">
        <v>327</v>
      </c>
      <c r="B32" t="s">
        <v>809</v>
      </c>
      <c r="C32">
        <v>597</v>
      </c>
      <c r="D32">
        <v>716</v>
      </c>
      <c r="E32">
        <v>1</v>
      </c>
      <c r="F32">
        <v>37</v>
      </c>
      <c r="G32">
        <v>47</v>
      </c>
    </row>
    <row r="33" spans="1:7" x14ac:dyDescent="0.35">
      <c r="A33" t="s">
        <v>466</v>
      </c>
      <c r="B33" t="s">
        <v>783</v>
      </c>
      <c r="C33">
        <v>11</v>
      </c>
      <c r="D33">
        <v>84</v>
      </c>
      <c r="E33">
        <v>6</v>
      </c>
      <c r="F33">
        <v>9</v>
      </c>
      <c r="G33">
        <v>15</v>
      </c>
    </row>
    <row r="34" spans="1:7" x14ac:dyDescent="0.35">
      <c r="A34" t="s">
        <v>313</v>
      </c>
      <c r="B34" t="s">
        <v>809</v>
      </c>
      <c r="C34">
        <v>536</v>
      </c>
      <c r="D34">
        <v>801</v>
      </c>
      <c r="E34">
        <v>1</v>
      </c>
      <c r="F34">
        <v>54</v>
      </c>
      <c r="G34">
        <v>97</v>
      </c>
    </row>
    <row r="35" spans="1:7" x14ac:dyDescent="0.35">
      <c r="A35" t="s">
        <v>319</v>
      </c>
      <c r="B35" t="s">
        <v>781</v>
      </c>
      <c r="C35">
        <v>498</v>
      </c>
      <c r="D35">
        <v>212</v>
      </c>
      <c r="E35">
        <v>6</v>
      </c>
      <c r="F35">
        <v>16</v>
      </c>
      <c r="G35">
        <v>23</v>
      </c>
    </row>
    <row r="36" spans="1:7" x14ac:dyDescent="0.35">
      <c r="A36" t="s">
        <v>319</v>
      </c>
      <c r="B36" t="s">
        <v>783</v>
      </c>
      <c r="C36">
        <v>2</v>
      </c>
      <c r="D36">
        <v>66</v>
      </c>
      <c r="E36">
        <v>4</v>
      </c>
      <c r="F36">
        <v>5</v>
      </c>
      <c r="G36">
        <v>3</v>
      </c>
    </row>
    <row r="37" spans="1:7" x14ac:dyDescent="0.35">
      <c r="A37" t="s">
        <v>321</v>
      </c>
      <c r="B37" t="s">
        <v>780</v>
      </c>
      <c r="C37">
        <v>703</v>
      </c>
      <c r="D37">
        <v>313</v>
      </c>
      <c r="E37">
        <v>5</v>
      </c>
      <c r="F37">
        <v>11</v>
      </c>
      <c r="G37">
        <v>43</v>
      </c>
    </row>
    <row r="38" spans="1:7" x14ac:dyDescent="0.35">
      <c r="A38" t="s">
        <v>326</v>
      </c>
      <c r="B38" t="s">
        <v>809</v>
      </c>
      <c r="C38">
        <v>665</v>
      </c>
      <c r="D38">
        <v>703</v>
      </c>
      <c r="E38">
        <v>1</v>
      </c>
      <c r="F38">
        <v>38</v>
      </c>
      <c r="G38">
        <v>43</v>
      </c>
    </row>
    <row r="39" spans="1:7" x14ac:dyDescent="0.35">
      <c r="A39" t="s">
        <v>327</v>
      </c>
      <c r="B39" t="s">
        <v>780</v>
      </c>
      <c r="C39">
        <v>692</v>
      </c>
      <c r="D39">
        <v>275</v>
      </c>
      <c r="E39">
        <v>10</v>
      </c>
      <c r="F39">
        <v>14</v>
      </c>
      <c r="G39">
        <v>35</v>
      </c>
    </row>
    <row r="40" spans="1:7" x14ac:dyDescent="0.35">
      <c r="A40" t="s">
        <v>327</v>
      </c>
      <c r="B40" t="s">
        <v>808</v>
      </c>
      <c r="C40">
        <v>4</v>
      </c>
      <c r="D40">
        <v>26</v>
      </c>
      <c r="E40">
        <v>1</v>
      </c>
      <c r="G40">
        <v>3</v>
      </c>
    </row>
    <row r="41" spans="1:7" x14ac:dyDescent="0.35">
      <c r="A41" t="s">
        <v>466</v>
      </c>
      <c r="B41" t="s">
        <v>807</v>
      </c>
      <c r="C41">
        <v>655</v>
      </c>
      <c r="D41">
        <v>600</v>
      </c>
      <c r="E41">
        <v>5</v>
      </c>
      <c r="F41">
        <v>43</v>
      </c>
      <c r="G41">
        <v>53</v>
      </c>
    </row>
    <row r="42" spans="1:7" x14ac:dyDescent="0.35">
      <c r="A42" t="s">
        <v>342</v>
      </c>
      <c r="B42" t="s">
        <v>783</v>
      </c>
      <c r="C42">
        <v>7</v>
      </c>
      <c r="D42">
        <v>47</v>
      </c>
      <c r="F42">
        <v>11</v>
      </c>
      <c r="G42">
        <v>4</v>
      </c>
    </row>
    <row r="43" spans="1:7" x14ac:dyDescent="0.35">
      <c r="A43" t="s">
        <v>214</v>
      </c>
      <c r="B43" t="s">
        <v>781</v>
      </c>
      <c r="C43">
        <v>551</v>
      </c>
      <c r="D43">
        <v>246</v>
      </c>
      <c r="E43">
        <v>2</v>
      </c>
      <c r="F43">
        <v>19</v>
      </c>
      <c r="G43">
        <v>22</v>
      </c>
    </row>
    <row r="44" spans="1:7" x14ac:dyDescent="0.35">
      <c r="A44" t="s">
        <v>214</v>
      </c>
      <c r="B44" t="s">
        <v>782</v>
      </c>
      <c r="C44">
        <v>99</v>
      </c>
      <c r="D44">
        <v>155</v>
      </c>
      <c r="E44">
        <v>3</v>
      </c>
      <c r="F44">
        <v>19</v>
      </c>
      <c r="G44">
        <v>15</v>
      </c>
    </row>
    <row r="45" spans="1:7" x14ac:dyDescent="0.35">
      <c r="A45" t="s">
        <v>214</v>
      </c>
      <c r="B45" t="s">
        <v>783</v>
      </c>
      <c r="C45">
        <v>4</v>
      </c>
      <c r="D45">
        <v>52</v>
      </c>
      <c r="E45">
        <v>1</v>
      </c>
      <c r="F45">
        <v>9</v>
      </c>
      <c r="G45">
        <v>1</v>
      </c>
    </row>
    <row r="46" spans="1:7" x14ac:dyDescent="0.35">
      <c r="A46" t="s">
        <v>313</v>
      </c>
      <c r="B46" t="s">
        <v>806</v>
      </c>
      <c r="C46">
        <v>784</v>
      </c>
      <c r="D46">
        <v>395</v>
      </c>
      <c r="E46">
        <v>5</v>
      </c>
      <c r="F46">
        <v>23</v>
      </c>
      <c r="G46">
        <v>43</v>
      </c>
    </row>
    <row r="47" spans="1:7" x14ac:dyDescent="0.35">
      <c r="A47" t="s">
        <v>319</v>
      </c>
      <c r="B47" t="s">
        <v>806</v>
      </c>
      <c r="C47">
        <v>807</v>
      </c>
      <c r="D47">
        <v>376</v>
      </c>
      <c r="E47">
        <v>10</v>
      </c>
      <c r="F47">
        <v>23</v>
      </c>
      <c r="G47">
        <v>49</v>
      </c>
    </row>
    <row r="48" spans="1:7" x14ac:dyDescent="0.35">
      <c r="A48" t="s">
        <v>321</v>
      </c>
      <c r="B48" t="s">
        <v>805</v>
      </c>
      <c r="C48">
        <v>620</v>
      </c>
      <c r="D48">
        <v>404</v>
      </c>
      <c r="E48">
        <v>8</v>
      </c>
      <c r="F48">
        <v>18</v>
      </c>
      <c r="G48">
        <v>34</v>
      </c>
    </row>
    <row r="49" spans="1:7" x14ac:dyDescent="0.35">
      <c r="A49" t="s">
        <v>321</v>
      </c>
      <c r="B49" t="s">
        <v>808</v>
      </c>
      <c r="C49">
        <v>2</v>
      </c>
      <c r="D49">
        <v>26</v>
      </c>
      <c r="G49">
        <v>3</v>
      </c>
    </row>
    <row r="50" spans="1:7" x14ac:dyDescent="0.35">
      <c r="A50" t="s">
        <v>321</v>
      </c>
      <c r="B50" t="s">
        <v>809</v>
      </c>
      <c r="C50">
        <v>617</v>
      </c>
      <c r="D50">
        <v>698</v>
      </c>
      <c r="E50">
        <v>2</v>
      </c>
      <c r="F50">
        <v>37</v>
      </c>
      <c r="G50">
        <v>54</v>
      </c>
    </row>
    <row r="51" spans="1:7" x14ac:dyDescent="0.35">
      <c r="A51" t="s">
        <v>326</v>
      </c>
      <c r="B51" t="s">
        <v>782</v>
      </c>
      <c r="C51">
        <v>64</v>
      </c>
      <c r="D51">
        <v>155</v>
      </c>
      <c r="E51">
        <v>6</v>
      </c>
      <c r="F51">
        <v>10</v>
      </c>
      <c r="G51">
        <v>15</v>
      </c>
    </row>
    <row r="52" spans="1:7" x14ac:dyDescent="0.35">
      <c r="A52" t="s">
        <v>327</v>
      </c>
      <c r="B52" t="s">
        <v>783</v>
      </c>
      <c r="C52">
        <v>8</v>
      </c>
      <c r="D52">
        <v>81</v>
      </c>
      <c r="E52">
        <v>8</v>
      </c>
      <c r="F52">
        <v>11</v>
      </c>
      <c r="G52">
        <v>13</v>
      </c>
    </row>
    <row r="53" spans="1:7" x14ac:dyDescent="0.35">
      <c r="A53" t="s">
        <v>466</v>
      </c>
      <c r="B53" t="s">
        <v>782</v>
      </c>
      <c r="C53">
        <v>50</v>
      </c>
      <c r="D53">
        <v>115</v>
      </c>
      <c r="E53">
        <v>7</v>
      </c>
      <c r="F53">
        <v>8</v>
      </c>
      <c r="G53">
        <v>14</v>
      </c>
    </row>
    <row r="54" spans="1:7" x14ac:dyDescent="0.35">
      <c r="A54" t="s">
        <v>466</v>
      </c>
      <c r="B54" t="s">
        <v>808</v>
      </c>
      <c r="C54">
        <v>4</v>
      </c>
      <c r="D54">
        <v>28</v>
      </c>
      <c r="E54">
        <v>3</v>
      </c>
      <c r="G54">
        <v>2</v>
      </c>
    </row>
    <row r="55" spans="1:7" x14ac:dyDescent="0.35">
      <c r="A55" t="s">
        <v>466</v>
      </c>
      <c r="B55" t="s">
        <v>809</v>
      </c>
      <c r="C55">
        <v>625</v>
      </c>
      <c r="D55">
        <v>765</v>
      </c>
      <c r="E55">
        <v>1</v>
      </c>
      <c r="F55">
        <v>49</v>
      </c>
      <c r="G55">
        <v>66</v>
      </c>
    </row>
    <row r="56" spans="1:7" x14ac:dyDescent="0.35">
      <c r="A56" t="s">
        <v>342</v>
      </c>
      <c r="B56" t="s">
        <v>781</v>
      </c>
      <c r="C56">
        <v>585</v>
      </c>
      <c r="D56">
        <v>262</v>
      </c>
      <c r="F56">
        <v>21</v>
      </c>
      <c r="G56">
        <v>25</v>
      </c>
    </row>
    <row r="57" spans="1:7" x14ac:dyDescent="0.35">
      <c r="A57" t="s">
        <v>214</v>
      </c>
      <c r="B57" t="s">
        <v>806</v>
      </c>
      <c r="C57">
        <v>781</v>
      </c>
      <c r="D57">
        <v>401</v>
      </c>
      <c r="E57">
        <v>4</v>
      </c>
      <c r="F57">
        <v>19</v>
      </c>
      <c r="G57">
        <v>54</v>
      </c>
    </row>
    <row r="58" spans="1:7" x14ac:dyDescent="0.35">
      <c r="A58" t="s">
        <v>214</v>
      </c>
      <c r="B58" t="s">
        <v>809</v>
      </c>
      <c r="C58">
        <v>406</v>
      </c>
      <c r="D58">
        <v>748</v>
      </c>
      <c r="E58">
        <v>1</v>
      </c>
      <c r="F58">
        <v>62</v>
      </c>
      <c r="G58">
        <v>96</v>
      </c>
    </row>
    <row r="59" spans="1:7" x14ac:dyDescent="0.35">
      <c r="A59" t="s">
        <v>313</v>
      </c>
      <c r="B59" t="s">
        <v>782</v>
      </c>
      <c r="C59">
        <v>78</v>
      </c>
      <c r="D59">
        <v>156</v>
      </c>
      <c r="E59">
        <v>4</v>
      </c>
      <c r="F59">
        <v>20</v>
      </c>
      <c r="G59">
        <v>16</v>
      </c>
    </row>
    <row r="60" spans="1:7" x14ac:dyDescent="0.35">
      <c r="A60" t="s">
        <v>319</v>
      </c>
      <c r="B60" t="s">
        <v>805</v>
      </c>
      <c r="C60">
        <v>652</v>
      </c>
      <c r="D60">
        <v>413</v>
      </c>
      <c r="E60">
        <v>13</v>
      </c>
      <c r="F60">
        <v>22</v>
      </c>
      <c r="G60">
        <v>35</v>
      </c>
    </row>
    <row r="61" spans="1:7" x14ac:dyDescent="0.35">
      <c r="A61" t="s">
        <v>319</v>
      </c>
      <c r="B61" t="s">
        <v>780</v>
      </c>
      <c r="C61">
        <v>656</v>
      </c>
      <c r="D61">
        <v>300</v>
      </c>
      <c r="E61">
        <v>5</v>
      </c>
      <c r="F61">
        <v>9</v>
      </c>
      <c r="G61">
        <v>36</v>
      </c>
    </row>
    <row r="62" spans="1:7" x14ac:dyDescent="0.35">
      <c r="A62" t="s">
        <v>321</v>
      </c>
      <c r="B62" t="s">
        <v>806</v>
      </c>
      <c r="C62">
        <v>752</v>
      </c>
      <c r="D62">
        <v>338</v>
      </c>
      <c r="E62">
        <v>12</v>
      </c>
      <c r="F62">
        <v>26</v>
      </c>
      <c r="G62">
        <v>39</v>
      </c>
    </row>
    <row r="63" spans="1:7" x14ac:dyDescent="0.35">
      <c r="A63" t="s">
        <v>321</v>
      </c>
      <c r="B63" t="s">
        <v>783</v>
      </c>
      <c r="C63">
        <v>4</v>
      </c>
      <c r="D63">
        <v>62</v>
      </c>
      <c r="E63">
        <v>5</v>
      </c>
      <c r="F63">
        <v>6</v>
      </c>
      <c r="G63">
        <v>9</v>
      </c>
    </row>
    <row r="64" spans="1:7" x14ac:dyDescent="0.35">
      <c r="A64" t="s">
        <v>321</v>
      </c>
      <c r="B64" t="s">
        <v>807</v>
      </c>
      <c r="C64">
        <v>292</v>
      </c>
      <c r="D64">
        <v>570</v>
      </c>
      <c r="E64">
        <v>7</v>
      </c>
      <c r="F64">
        <v>45</v>
      </c>
      <c r="G64">
        <v>64</v>
      </c>
    </row>
    <row r="65" spans="1:7" x14ac:dyDescent="0.35">
      <c r="A65" t="s">
        <v>326</v>
      </c>
      <c r="B65" t="s">
        <v>806</v>
      </c>
      <c r="C65">
        <v>775</v>
      </c>
      <c r="D65">
        <v>314</v>
      </c>
      <c r="E65">
        <v>13</v>
      </c>
      <c r="F65">
        <v>23</v>
      </c>
      <c r="G65">
        <v>37</v>
      </c>
    </row>
    <row r="66" spans="1:7" x14ac:dyDescent="0.35">
      <c r="A66" t="s">
        <v>326</v>
      </c>
      <c r="B66" t="s">
        <v>808</v>
      </c>
      <c r="C66">
        <v>4</v>
      </c>
      <c r="D66">
        <v>26</v>
      </c>
      <c r="G66">
        <v>3</v>
      </c>
    </row>
    <row r="67" spans="1:7" x14ac:dyDescent="0.35">
      <c r="A67" t="s">
        <v>466</v>
      </c>
      <c r="B67" t="s">
        <v>806</v>
      </c>
      <c r="C67">
        <v>682</v>
      </c>
      <c r="D67">
        <v>315</v>
      </c>
      <c r="E67">
        <v>16</v>
      </c>
      <c r="F67">
        <v>19</v>
      </c>
      <c r="G67">
        <v>30</v>
      </c>
    </row>
    <row r="68" spans="1:7" x14ac:dyDescent="0.35">
      <c r="A68" t="s">
        <v>342</v>
      </c>
      <c r="B68" t="s">
        <v>809</v>
      </c>
      <c r="C68">
        <v>213</v>
      </c>
      <c r="D68">
        <v>691</v>
      </c>
      <c r="F68">
        <v>56</v>
      </c>
      <c r="G68">
        <v>97</v>
      </c>
    </row>
    <row r="69" spans="1:7" x14ac:dyDescent="0.35">
      <c r="A69" t="s">
        <v>214</v>
      </c>
      <c r="B69" t="s">
        <v>808</v>
      </c>
      <c r="C69">
        <v>3</v>
      </c>
      <c r="D69">
        <v>23</v>
      </c>
      <c r="F69">
        <v>4</v>
      </c>
      <c r="G69">
        <v>4</v>
      </c>
    </row>
    <row r="70" spans="1:7" x14ac:dyDescent="0.35">
      <c r="A70" t="s">
        <v>319</v>
      </c>
      <c r="B70" t="s">
        <v>808</v>
      </c>
      <c r="C70">
        <v>2</v>
      </c>
      <c r="D70">
        <v>27</v>
      </c>
      <c r="F70">
        <v>3</v>
      </c>
      <c r="G70">
        <v>5</v>
      </c>
    </row>
    <row r="71" spans="1:7" x14ac:dyDescent="0.35">
      <c r="A71" t="s">
        <v>326</v>
      </c>
      <c r="B71" t="s">
        <v>783</v>
      </c>
      <c r="C71">
        <v>6</v>
      </c>
      <c r="D71">
        <v>78</v>
      </c>
      <c r="E71">
        <v>8</v>
      </c>
      <c r="F71">
        <v>11</v>
      </c>
      <c r="G71">
        <v>10</v>
      </c>
    </row>
    <row r="72" spans="1:7" x14ac:dyDescent="0.35">
      <c r="A72" t="s">
        <v>327</v>
      </c>
      <c r="B72" t="s">
        <v>805</v>
      </c>
      <c r="C72">
        <v>329</v>
      </c>
      <c r="D72">
        <v>399</v>
      </c>
      <c r="E72">
        <v>8</v>
      </c>
      <c r="F72">
        <v>19</v>
      </c>
      <c r="G72">
        <v>33</v>
      </c>
    </row>
    <row r="73" spans="1:7" x14ac:dyDescent="0.35">
      <c r="A73" t="s">
        <v>466</v>
      </c>
      <c r="B73" t="s">
        <v>780</v>
      </c>
      <c r="C73">
        <v>704</v>
      </c>
      <c r="D73">
        <v>262</v>
      </c>
      <c r="E73">
        <v>11</v>
      </c>
      <c r="F73">
        <v>18</v>
      </c>
      <c r="G73">
        <v>35</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9" tint="0.39997558519241921"/>
    <pageSetUpPr fitToPage="1"/>
  </sheetPr>
  <dimension ref="A1:G44"/>
  <sheetViews>
    <sheetView showGridLines="0" zoomScaleNormal="100" workbookViewId="0">
      <pane ySplit="2" topLeftCell="A3" activePane="bottomLeft" state="frozen"/>
      <selection pane="bottomLeft" sqref="A1:C1"/>
    </sheetView>
  </sheetViews>
  <sheetFormatPr defaultRowHeight="14.5" x14ac:dyDescent="0.35"/>
  <cols>
    <col min="1" max="1" width="23.54296875" customWidth="1"/>
    <col min="2" max="3" width="14.1796875" customWidth="1"/>
    <col min="4" max="4" width="13.54296875" customWidth="1"/>
    <col min="5" max="7" width="14.1796875" customWidth="1"/>
  </cols>
  <sheetData>
    <row r="1" spans="1:7" ht="15.5" x14ac:dyDescent="0.35">
      <c r="A1" s="1011" t="s">
        <v>513</v>
      </c>
      <c r="B1" s="1011"/>
      <c r="C1" s="1011"/>
      <c r="D1" s="441"/>
    </row>
    <row r="2" spans="1:7" x14ac:dyDescent="0.35">
      <c r="A2" s="499" t="s">
        <v>201</v>
      </c>
    </row>
    <row r="3" spans="1:7" x14ac:dyDescent="0.35">
      <c r="A3" s="25"/>
      <c r="B3" s="25"/>
      <c r="C3" s="25"/>
      <c r="D3" s="25"/>
      <c r="E3" s="147"/>
    </row>
    <row r="4" spans="1:7" ht="18.75" customHeight="1" x14ac:dyDescent="0.35">
      <c r="A4" s="1021" t="s">
        <v>811</v>
      </c>
      <c r="B4" s="1021"/>
      <c r="C4" s="1021"/>
      <c r="D4" s="1021"/>
      <c r="E4" s="1021"/>
      <c r="F4" s="1021"/>
      <c r="G4" s="1021"/>
    </row>
    <row r="5" spans="1:7" ht="15" customHeight="1" x14ac:dyDescent="0.35">
      <c r="A5" t="s">
        <v>202</v>
      </c>
      <c r="B5" t="s">
        <v>95</v>
      </c>
      <c r="C5" s="231"/>
      <c r="D5" s="231"/>
      <c r="E5" s="231"/>
      <c r="F5" s="231"/>
      <c r="G5" s="231"/>
    </row>
    <row r="6" spans="1:7" ht="15" customHeight="1" x14ac:dyDescent="0.35">
      <c r="A6" t="s">
        <v>203</v>
      </c>
      <c r="B6" t="s">
        <v>204</v>
      </c>
      <c r="C6" s="231"/>
      <c r="D6" s="231"/>
      <c r="E6" s="231"/>
      <c r="F6" s="231"/>
      <c r="G6" s="231"/>
    </row>
    <row r="7" spans="1:7" ht="15" customHeight="1" x14ac:dyDescent="0.35">
      <c r="A7" t="s">
        <v>205</v>
      </c>
      <c r="B7" t="s">
        <v>206</v>
      </c>
      <c r="C7" s="231"/>
      <c r="D7" s="231"/>
      <c r="E7" s="231"/>
      <c r="F7" s="231"/>
      <c r="G7" s="231"/>
    </row>
    <row r="8" spans="1:7" ht="36" customHeight="1" x14ac:dyDescent="0.35">
      <c r="A8" s="16" t="s">
        <v>810</v>
      </c>
      <c r="B8" s="3" t="s">
        <v>515</v>
      </c>
      <c r="C8" s="154" t="s">
        <v>361</v>
      </c>
      <c r="D8" s="154" t="s">
        <v>516</v>
      </c>
      <c r="E8" s="3" t="s">
        <v>511</v>
      </c>
      <c r="F8" s="3" t="s">
        <v>339</v>
      </c>
      <c r="G8" s="3" t="s">
        <v>812</v>
      </c>
    </row>
    <row r="9" spans="1:7" x14ac:dyDescent="0.35">
      <c r="A9" s="155" t="s">
        <v>813</v>
      </c>
      <c r="B9">
        <f>GETPIVOTDATA("Sum of Wholetime Operational",servicepivot!$A$3,"Service Length (Years)","Under 5")</f>
        <v>625</v>
      </c>
      <c r="C9">
        <f>GETPIVOTDATA("Sum of Retained Duty System",servicepivot!$A$3,"Service Length (Years)","Under 5")</f>
        <v>765</v>
      </c>
      <c r="D9">
        <f>GETPIVOTDATA("Sum of Retained Full-time",servicepivot!$A$3,"Service Length (Years)","Under 5")</f>
        <v>1</v>
      </c>
      <c r="E9">
        <f>GETPIVOTDATA("Sum of Control",servicepivot!$A$3,"Service Length (Years)","Under 5")</f>
        <v>49</v>
      </c>
      <c r="F9">
        <f>GETPIVOTDATA("Sum of Volunteer",servicepivot!$A$3,"Service Length (Years)","Under 5")</f>
        <v>66</v>
      </c>
      <c r="G9" s="156">
        <f>SUM(B9:F9)</f>
        <v>1506</v>
      </c>
    </row>
    <row r="10" spans="1:7" x14ac:dyDescent="0.35">
      <c r="A10" s="318" t="s">
        <v>807</v>
      </c>
      <c r="B10">
        <f>GETPIVOTDATA("Sum of Wholetime Operational",servicepivot!$A$3,"Service Length (Years)","5-9")</f>
        <v>655</v>
      </c>
      <c r="C10">
        <f>GETPIVOTDATA("Sum of Retained Duty System",servicepivot!$A$3,"Service Length (Years)","5-9")</f>
        <v>600</v>
      </c>
      <c r="D10">
        <f>GETPIVOTDATA("Sum of Retained Full-time",servicepivot!$A$3,"Service Length (Years)","5-9")</f>
        <v>5</v>
      </c>
      <c r="E10">
        <f>GETPIVOTDATA("Sum of Control",servicepivot!$A$3,"Service Length (Years)","5-9")</f>
        <v>43</v>
      </c>
      <c r="F10">
        <f>GETPIVOTDATA("Sum of Volunteer",servicepivot!$A$3,"Service Length (Years)","5-9")</f>
        <v>53</v>
      </c>
      <c r="G10" s="156">
        <f t="shared" ref="G10:G17" si="0">SUM(B10:F10)</f>
        <v>1356</v>
      </c>
    </row>
    <row r="11" spans="1:7" x14ac:dyDescent="0.35">
      <c r="A11" s="318" t="s">
        <v>805</v>
      </c>
      <c r="B11">
        <f>GETPIVOTDATA("Sum of Wholetime Operational",servicepivot!$A$3,"Service Length (Years)","10-14")</f>
        <v>319</v>
      </c>
      <c r="C11">
        <f>GETPIVOTDATA("Sum of Retained Duty System",servicepivot!$A$3,"Service Length (Years)","10-14")</f>
        <v>361</v>
      </c>
      <c r="D11">
        <f>GETPIVOTDATA("Sum of Retained Full-time",servicepivot!$A$3,"Service Length (Years)","10-14")</f>
        <v>5</v>
      </c>
      <c r="E11">
        <f>GETPIVOTDATA("Sum of Control",servicepivot!$A$3,"Service Length (Years)","10-14")</f>
        <v>18</v>
      </c>
      <c r="F11">
        <f>GETPIVOTDATA("Sum of Volunteer",servicepivot!$A$3,"Service Length (Years)","10-14")</f>
        <v>32</v>
      </c>
      <c r="G11" s="156">
        <f t="shared" si="0"/>
        <v>735</v>
      </c>
    </row>
    <row r="12" spans="1:7" x14ac:dyDescent="0.35">
      <c r="A12" s="318" t="s">
        <v>806</v>
      </c>
      <c r="B12">
        <f>GETPIVOTDATA("Sum of Wholetime Operational",servicepivot!$A$3,"Service Length (Years)","15-19")</f>
        <v>682</v>
      </c>
      <c r="C12">
        <f>GETPIVOTDATA("Sum of Retained Duty System",servicepivot!$A$3,"Service Length (Years)","15-19")</f>
        <v>315</v>
      </c>
      <c r="D12">
        <f>GETPIVOTDATA("Sum of Retained Full-time",servicepivot!$A$3,"Service Length (Years)","15-19")</f>
        <v>16</v>
      </c>
      <c r="E12">
        <f>GETPIVOTDATA("Sum of Control",servicepivot!$A$3,"Service Length (Years)","15-19")</f>
        <v>19</v>
      </c>
      <c r="F12">
        <f>GETPIVOTDATA("Sum of Volunteer",servicepivot!$A$3,"Service Length (Years)","15-19")</f>
        <v>30</v>
      </c>
      <c r="G12" s="156">
        <f t="shared" si="0"/>
        <v>1062</v>
      </c>
    </row>
    <row r="13" spans="1:7" x14ac:dyDescent="0.35">
      <c r="A13" s="318" t="s">
        <v>780</v>
      </c>
      <c r="B13">
        <f>GETPIVOTDATA("Sum of Wholetime Operational",servicepivot!$A$3,"Service Length (Years)","20-24")</f>
        <v>704</v>
      </c>
      <c r="C13">
        <f>GETPIVOTDATA("Sum of Retained Duty System",servicepivot!$A$3,"Service Length (Years)","20-24")</f>
        <v>262</v>
      </c>
      <c r="D13">
        <f>GETPIVOTDATA("Sum of Retained Full-time",servicepivot!$A$3,"Service Length (Years)","20-24")</f>
        <v>11</v>
      </c>
      <c r="E13">
        <f>GETPIVOTDATA("Sum of Control",servicepivot!$A$3,"Service Length (Years)","20-24")</f>
        <v>18</v>
      </c>
      <c r="F13">
        <f>GETPIVOTDATA("Sum of Volunteer",servicepivot!$A$3,"Service Length (Years)","20-24")</f>
        <v>35</v>
      </c>
      <c r="G13" s="156">
        <f t="shared" si="0"/>
        <v>1030</v>
      </c>
    </row>
    <row r="14" spans="1:7" x14ac:dyDescent="0.35">
      <c r="A14" s="318" t="s">
        <v>781</v>
      </c>
      <c r="B14">
        <f>GETPIVOTDATA("Sum of Wholetime Operational",servicepivot!$A$3,"Service Length (Years)","25-29")</f>
        <v>380</v>
      </c>
      <c r="C14">
        <f>GETPIVOTDATA("Sum of Retained Duty System",servicepivot!$A$3,"Service Length (Years)","25-29")</f>
        <v>175</v>
      </c>
      <c r="D14">
        <f>GETPIVOTDATA("Sum of Retained Full-time",servicepivot!$A$3,"Service Length (Years)","25-29")</f>
        <v>6</v>
      </c>
      <c r="E14">
        <f>GETPIVOTDATA("Sum of Control",servicepivot!$A$3,"Service Length (Years)","25-29")</f>
        <v>7</v>
      </c>
      <c r="F14">
        <f>GETPIVOTDATA("Sum of Volunteer",servicepivot!$A$3,"Service Length (Years)","25-29")</f>
        <v>26</v>
      </c>
      <c r="G14" s="156">
        <f t="shared" si="0"/>
        <v>594</v>
      </c>
    </row>
    <row r="15" spans="1:7" x14ac:dyDescent="0.35">
      <c r="A15" s="318" t="s">
        <v>782</v>
      </c>
      <c r="B15">
        <f>GETPIVOTDATA("Sum of Wholetime Operational",servicepivot!$A$3,"Service Length (Years)","30-34")</f>
        <v>50</v>
      </c>
      <c r="C15">
        <f>GETPIVOTDATA("Sum of Retained Duty System",servicepivot!$A$3,"Service Length (Years)","30-34")</f>
        <v>115</v>
      </c>
      <c r="D15">
        <f>GETPIVOTDATA("Sum of Retained Full-time",servicepivot!$A$3,"Service Length (Years)","30-34")</f>
        <v>7</v>
      </c>
      <c r="E15">
        <f>GETPIVOTDATA("Sum of Control",servicepivot!$A$3,"Service Length (Years)","30-34")</f>
        <v>8</v>
      </c>
      <c r="F15">
        <f>GETPIVOTDATA("Sum of Volunteer",servicepivot!$A$3,"Service Length (Years)","30-34")</f>
        <v>14</v>
      </c>
      <c r="G15" s="156">
        <f t="shared" si="0"/>
        <v>194</v>
      </c>
    </row>
    <row r="16" spans="1:7" x14ac:dyDescent="0.35">
      <c r="A16" s="318" t="s">
        <v>783</v>
      </c>
      <c r="B16">
        <f>GETPIVOTDATA("Sum of Wholetime Operational",servicepivot!$A$3,"Service Length (Years)","35-39")</f>
        <v>11</v>
      </c>
      <c r="C16">
        <f>GETPIVOTDATA("Sum of Retained Duty System",servicepivot!$A$3,"Service Length (Years)","35-39")</f>
        <v>84</v>
      </c>
      <c r="D16">
        <f>GETPIVOTDATA("Sum of Retained Full-time",servicepivot!$A$3,"Service Length (Years)","35-39")</f>
        <v>6</v>
      </c>
      <c r="E16">
        <f>GETPIVOTDATA("Sum of Control",servicepivot!$A$3,"Service Length (Years)","35-39")</f>
        <v>9</v>
      </c>
      <c r="F16">
        <f>GETPIVOTDATA("Sum of Volunteer",servicepivot!$A$3,"Service Length (Years)","35-39")</f>
        <v>15</v>
      </c>
      <c r="G16" s="156">
        <f t="shared" si="0"/>
        <v>125</v>
      </c>
    </row>
    <row r="17" spans="1:7" x14ac:dyDescent="0.35">
      <c r="A17" s="318" t="s">
        <v>814</v>
      </c>
      <c r="B17">
        <f>GETPIVOTDATA("Sum of Wholetime Operational",servicepivot!$A$3,"Service Length (Years)","Over 40")</f>
        <v>4</v>
      </c>
      <c r="C17">
        <f>GETPIVOTDATA("Sum of Retained Duty System",servicepivot!$A$3,"Service Length (Years)","Over 40")</f>
        <v>28</v>
      </c>
      <c r="D17">
        <f>GETPIVOTDATA("Sum of Retained Full-time",servicepivot!$A$3,"Service Length (Years)","Over 40")</f>
        <v>3</v>
      </c>
      <c r="E17">
        <f>GETPIVOTDATA("Sum of Control",servicepivot!$A$3,"Service Length (Years)","Over 40")</f>
        <v>0</v>
      </c>
      <c r="F17">
        <f>GETPIVOTDATA("Sum of Volunteer",servicepivot!$A$3,"Service Length (Years)","Over 40")</f>
        <v>2</v>
      </c>
      <c r="G17" s="156">
        <f t="shared" si="0"/>
        <v>37</v>
      </c>
    </row>
    <row r="18" spans="1:7" ht="15" thickBot="1" x14ac:dyDescent="0.4">
      <c r="A18" s="157" t="s">
        <v>618</v>
      </c>
      <c r="B18" s="158">
        <f t="shared" ref="B18:F18" si="1">SUM(B9:B17)</f>
        <v>3430</v>
      </c>
      <c r="C18" s="158">
        <f t="shared" si="1"/>
        <v>2705</v>
      </c>
      <c r="D18" s="158">
        <f t="shared" si="1"/>
        <v>60</v>
      </c>
      <c r="E18" s="158">
        <f t="shared" si="1"/>
        <v>171</v>
      </c>
      <c r="F18" s="158">
        <f t="shared" si="1"/>
        <v>273</v>
      </c>
      <c r="G18" s="158">
        <f>SUM(G9:G17)</f>
        <v>6639</v>
      </c>
    </row>
    <row r="20" spans="1:7" ht="15" customHeight="1" x14ac:dyDescent="0.35">
      <c r="A20" s="12" t="s">
        <v>329</v>
      </c>
    </row>
    <row r="21" spans="1:7" ht="30" customHeight="1" x14ac:dyDescent="0.35">
      <c r="A21" s="1010" t="s">
        <v>815</v>
      </c>
      <c r="B21" s="1010"/>
      <c r="C21" s="1010"/>
      <c r="D21" s="1010"/>
      <c r="E21" s="1010"/>
      <c r="F21" s="1010"/>
      <c r="G21" s="1010"/>
    </row>
    <row r="22" spans="1:7" x14ac:dyDescent="0.35">
      <c r="A22" t="s">
        <v>801</v>
      </c>
    </row>
    <row r="23" spans="1:7" x14ac:dyDescent="0.35">
      <c r="A23" t="s">
        <v>816</v>
      </c>
    </row>
    <row r="25" spans="1:7" ht="17.25" customHeight="1" x14ac:dyDescent="0.35">
      <c r="A25" s="1021" t="s">
        <v>817</v>
      </c>
      <c r="B25" s="1021"/>
      <c r="C25" s="1021"/>
      <c r="D25" s="1021"/>
      <c r="E25" s="1021"/>
      <c r="F25" s="1021"/>
      <c r="G25" s="1021"/>
    </row>
    <row r="26" spans="1:7" ht="15" customHeight="1" x14ac:dyDescent="0.35">
      <c r="A26" t="s">
        <v>202</v>
      </c>
      <c r="B26" t="s">
        <v>96</v>
      </c>
      <c r="C26" s="231"/>
      <c r="D26" s="231"/>
      <c r="E26" s="231"/>
      <c r="F26" s="231"/>
      <c r="G26" s="231"/>
    </row>
    <row r="27" spans="1:7" ht="15" customHeight="1" x14ac:dyDescent="0.35">
      <c r="A27" t="s">
        <v>203</v>
      </c>
      <c r="B27" t="s">
        <v>204</v>
      </c>
      <c r="C27" s="231"/>
      <c r="D27" s="231"/>
      <c r="E27" s="231"/>
      <c r="F27" s="231"/>
      <c r="G27" s="231"/>
    </row>
    <row r="28" spans="1:7" ht="15" customHeight="1" x14ac:dyDescent="0.35">
      <c r="A28" t="s">
        <v>205</v>
      </c>
      <c r="B28" t="s">
        <v>206</v>
      </c>
      <c r="C28" s="231"/>
      <c r="D28" s="231"/>
      <c r="E28" s="231"/>
      <c r="F28" s="231"/>
      <c r="G28" s="231"/>
    </row>
    <row r="29" spans="1:7" ht="36.75" customHeight="1" x14ac:dyDescent="0.35">
      <c r="A29" s="16" t="s">
        <v>810</v>
      </c>
      <c r="B29" s="160" t="s">
        <v>747</v>
      </c>
      <c r="C29" s="160" t="s">
        <v>361</v>
      </c>
      <c r="D29" s="154" t="s">
        <v>516</v>
      </c>
      <c r="E29" s="160" t="s">
        <v>511</v>
      </c>
      <c r="F29" s="160" t="s">
        <v>339</v>
      </c>
      <c r="G29" s="3" t="s">
        <v>812</v>
      </c>
    </row>
    <row r="30" spans="1:7" x14ac:dyDescent="0.35">
      <c r="A30" s="155" t="s">
        <v>813</v>
      </c>
      <c r="B30" s="162">
        <f t="shared" ref="B30:G38" si="2">B9/B$18</f>
        <v>0.18221574344023322</v>
      </c>
      <c r="C30" s="162">
        <f t="shared" si="2"/>
        <v>0.28280961182994457</v>
      </c>
      <c r="D30" s="162">
        <f t="shared" si="2"/>
        <v>1.6666666666666666E-2</v>
      </c>
      <c r="E30" s="162">
        <f t="shared" si="2"/>
        <v>0.28654970760233917</v>
      </c>
      <c r="F30" s="162">
        <f t="shared" si="2"/>
        <v>0.24175824175824176</v>
      </c>
      <c r="G30" s="163">
        <f t="shared" si="2"/>
        <v>0.22684139177586987</v>
      </c>
    </row>
    <row r="31" spans="1:7" x14ac:dyDescent="0.35">
      <c r="A31" s="318" t="s">
        <v>807</v>
      </c>
      <c r="B31" s="162">
        <f t="shared" si="2"/>
        <v>0.19096209912536444</v>
      </c>
      <c r="C31" s="162">
        <f t="shared" si="2"/>
        <v>0.22181146025878004</v>
      </c>
      <c r="D31" s="162">
        <f t="shared" si="2"/>
        <v>8.3333333333333329E-2</v>
      </c>
      <c r="E31" s="162">
        <f t="shared" si="2"/>
        <v>0.25146198830409355</v>
      </c>
      <c r="F31" s="162">
        <f t="shared" si="2"/>
        <v>0.19413919413919414</v>
      </c>
      <c r="G31" s="163">
        <f t="shared" si="2"/>
        <v>0.20424762765476728</v>
      </c>
    </row>
    <row r="32" spans="1:7" x14ac:dyDescent="0.35">
      <c r="A32" s="318" t="s">
        <v>805</v>
      </c>
      <c r="B32" s="162">
        <f t="shared" si="2"/>
        <v>9.3002915451895041E-2</v>
      </c>
      <c r="C32" s="162">
        <f t="shared" si="2"/>
        <v>0.13345656192236599</v>
      </c>
      <c r="D32" s="162">
        <f t="shared" si="2"/>
        <v>8.3333333333333329E-2</v>
      </c>
      <c r="E32" s="162">
        <f t="shared" si="2"/>
        <v>0.10526315789473684</v>
      </c>
      <c r="F32" s="162">
        <f t="shared" si="2"/>
        <v>0.11721611721611722</v>
      </c>
      <c r="G32" s="163">
        <f t="shared" si="2"/>
        <v>0.11070944419340262</v>
      </c>
    </row>
    <row r="33" spans="1:7" x14ac:dyDescent="0.35">
      <c r="A33" s="318" t="s">
        <v>806</v>
      </c>
      <c r="B33" s="162">
        <f t="shared" si="2"/>
        <v>0.19883381924198251</v>
      </c>
      <c r="C33" s="162">
        <f t="shared" si="2"/>
        <v>0.11645101663585952</v>
      </c>
      <c r="D33" s="162">
        <f t="shared" si="2"/>
        <v>0.26666666666666666</v>
      </c>
      <c r="E33" s="162">
        <f t="shared" si="2"/>
        <v>0.1111111111111111</v>
      </c>
      <c r="F33" s="162">
        <f t="shared" si="2"/>
        <v>0.10989010989010989</v>
      </c>
      <c r="G33" s="163">
        <f t="shared" si="2"/>
        <v>0.15996384997740623</v>
      </c>
    </row>
    <row r="34" spans="1:7" x14ac:dyDescent="0.35">
      <c r="A34" s="318" t="s">
        <v>780</v>
      </c>
      <c r="B34" s="162">
        <f t="shared" si="2"/>
        <v>0.20524781341107873</v>
      </c>
      <c r="C34" s="162">
        <f t="shared" si="2"/>
        <v>9.6857670979667285E-2</v>
      </c>
      <c r="D34" s="162">
        <f t="shared" si="2"/>
        <v>0.18333333333333332</v>
      </c>
      <c r="E34" s="162">
        <f t="shared" si="2"/>
        <v>0.10526315789473684</v>
      </c>
      <c r="F34" s="162">
        <f t="shared" si="2"/>
        <v>0.12820512820512819</v>
      </c>
      <c r="G34" s="163">
        <f t="shared" si="2"/>
        <v>0.15514384696490435</v>
      </c>
    </row>
    <row r="35" spans="1:7" x14ac:dyDescent="0.35">
      <c r="A35" s="318" t="s">
        <v>781</v>
      </c>
      <c r="B35" s="162">
        <f t="shared" si="2"/>
        <v>0.11078717201166181</v>
      </c>
      <c r="C35" s="162">
        <f t="shared" si="2"/>
        <v>6.4695009242144177E-2</v>
      </c>
      <c r="D35" s="162">
        <f t="shared" si="2"/>
        <v>0.1</v>
      </c>
      <c r="E35" s="162">
        <f t="shared" si="2"/>
        <v>4.0935672514619881E-2</v>
      </c>
      <c r="F35" s="162">
        <f t="shared" si="2"/>
        <v>9.5238095238095233E-2</v>
      </c>
      <c r="G35" s="163">
        <f t="shared" si="2"/>
        <v>8.9471305919566202E-2</v>
      </c>
    </row>
    <row r="36" spans="1:7" x14ac:dyDescent="0.35">
      <c r="A36" s="318" t="s">
        <v>782</v>
      </c>
      <c r="B36" s="162">
        <f t="shared" si="2"/>
        <v>1.4577259475218658E-2</v>
      </c>
      <c r="C36" s="162">
        <f t="shared" si="2"/>
        <v>4.2513863216266171E-2</v>
      </c>
      <c r="D36" s="162">
        <f t="shared" si="2"/>
        <v>0.11666666666666667</v>
      </c>
      <c r="E36" s="162">
        <f t="shared" si="2"/>
        <v>4.6783625730994149E-2</v>
      </c>
      <c r="F36" s="162">
        <f t="shared" si="2"/>
        <v>5.128205128205128E-2</v>
      </c>
      <c r="G36" s="163">
        <f t="shared" si="2"/>
        <v>2.9221268263292664E-2</v>
      </c>
    </row>
    <row r="37" spans="1:7" x14ac:dyDescent="0.35">
      <c r="A37" s="318" t="s">
        <v>783</v>
      </c>
      <c r="B37" s="162">
        <f t="shared" si="2"/>
        <v>3.2069970845481051E-3</v>
      </c>
      <c r="C37" s="162">
        <f t="shared" si="2"/>
        <v>3.1053604436229204E-2</v>
      </c>
      <c r="D37" s="162">
        <f t="shared" si="2"/>
        <v>0.1</v>
      </c>
      <c r="E37" s="162">
        <f t="shared" si="2"/>
        <v>5.2631578947368418E-2</v>
      </c>
      <c r="F37" s="162">
        <f t="shared" si="2"/>
        <v>5.4945054945054944E-2</v>
      </c>
      <c r="G37" s="163">
        <f t="shared" si="2"/>
        <v>1.882813676758548E-2</v>
      </c>
    </row>
    <row r="38" spans="1:7" x14ac:dyDescent="0.35">
      <c r="A38" s="318" t="s">
        <v>814</v>
      </c>
      <c r="B38" s="162">
        <f t="shared" si="2"/>
        <v>1.1661807580174927E-3</v>
      </c>
      <c r="C38" s="162">
        <f t="shared" si="2"/>
        <v>1.0351201478743069E-2</v>
      </c>
      <c r="D38" s="162">
        <f t="shared" si="2"/>
        <v>0.05</v>
      </c>
      <c r="E38" s="162">
        <f t="shared" si="2"/>
        <v>0</v>
      </c>
      <c r="F38" s="162">
        <f t="shared" si="2"/>
        <v>7.326007326007326E-3</v>
      </c>
      <c r="G38" s="163">
        <f t="shared" si="2"/>
        <v>5.5731284832053023E-3</v>
      </c>
    </row>
    <row r="39" spans="1:7" ht="15" thickBot="1" x14ac:dyDescent="0.4">
      <c r="A39" s="157" t="s">
        <v>618</v>
      </c>
      <c r="B39" s="166">
        <f t="shared" ref="B39:G39" si="3">SUM(B30:B38)</f>
        <v>1</v>
      </c>
      <c r="C39" s="166">
        <f t="shared" si="3"/>
        <v>1</v>
      </c>
      <c r="D39" s="166">
        <f t="shared" si="3"/>
        <v>1</v>
      </c>
      <c r="E39" s="166">
        <f t="shared" si="3"/>
        <v>0.99999999999999978</v>
      </c>
      <c r="F39" s="166">
        <f t="shared" si="3"/>
        <v>1.0000000000000002</v>
      </c>
      <c r="G39" s="166">
        <f t="shared" si="3"/>
        <v>1</v>
      </c>
    </row>
    <row r="40" spans="1:7" x14ac:dyDescent="0.35">
      <c r="A40" s="161"/>
      <c r="B40" s="167"/>
      <c r="C40" s="167"/>
      <c r="D40" s="167"/>
      <c r="E40" s="167"/>
    </row>
    <row r="41" spans="1:7" x14ac:dyDescent="0.35">
      <c r="A41" s="12" t="s">
        <v>329</v>
      </c>
      <c r="B41" s="19"/>
      <c r="C41" s="19"/>
      <c r="D41" s="19"/>
      <c r="E41" s="19"/>
    </row>
    <row r="42" spans="1:7" ht="15" customHeight="1" x14ac:dyDescent="0.35">
      <c r="A42" s="1010" t="s">
        <v>815</v>
      </c>
      <c r="B42" s="1010"/>
      <c r="C42" s="1010"/>
      <c r="D42" s="1010"/>
      <c r="E42" s="1010"/>
      <c r="F42" s="1010"/>
      <c r="G42" s="1010"/>
    </row>
    <row r="43" spans="1:7" ht="14.5" customHeight="1" x14ac:dyDescent="0.35">
      <c r="A43" s="338" t="s">
        <v>801</v>
      </c>
      <c r="B43" s="159"/>
      <c r="C43" s="159"/>
      <c r="D43" s="159"/>
      <c r="E43" s="159"/>
      <c r="F43" s="159"/>
      <c r="G43" s="23"/>
    </row>
    <row r="44" spans="1:7" x14ac:dyDescent="0.35">
      <c r="A44" t="s">
        <v>816</v>
      </c>
      <c r="B44" s="159"/>
      <c r="C44" s="159"/>
      <c r="D44" s="159"/>
      <c r="E44" s="159"/>
      <c r="F44" s="159"/>
      <c r="G44" s="23"/>
    </row>
  </sheetData>
  <sheetProtection algorithmName="SHA-512" hashValue="+IfikePNn2gqaEPqACt4mLlW2pYP7Aq/WMBL9aKoKP8Om+lBmX7Z6nB9l25pJi811DmTXxPbhhSro2EbOhqcyw==" saltValue="u+fWNcqCqjy9yUdL8R8Xbg==" spinCount="100000" sheet="1" scenarios="1" formatCells="0" sort="0" autoFilter="0" pivotTables="0"/>
  <mergeCells count="5">
    <mergeCell ref="A1:C1"/>
    <mergeCell ref="A42:G42"/>
    <mergeCell ref="A4:G4"/>
    <mergeCell ref="A25:G25"/>
    <mergeCell ref="A21:G21"/>
  </mergeCells>
  <hyperlinks>
    <hyperlink ref="A2" location="'Table of Contents'!A1" display="Back to Table of Contents" xr:uid="{00000000-0004-0000-6500-000000000000}"/>
  </hyperlinks>
  <pageMargins left="0.70866141732283472" right="0.70866141732283472" top="0.74803149606299213" bottom="0.74803149606299213" header="0.31496062992125984" footer="0.31496062992125984"/>
  <pageSetup paperSize="9" scale="77" orientation="portrait" r:id="rId1"/>
  <drawing r:id="rId2"/>
  <extLst>
    <ext xmlns:x14="http://schemas.microsoft.com/office/spreadsheetml/2009/9/main" uri="{A8765BA9-456A-4dab-B4F3-ACF838C121DE}">
      <x14:slicerList>
        <x14:slicer r:id="rId3"/>
      </x14:slicerList>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E116"/>
  <sheetViews>
    <sheetView topLeftCell="A74" workbookViewId="0">
      <selection activeCell="D84" sqref="D84"/>
    </sheetView>
  </sheetViews>
  <sheetFormatPr defaultRowHeight="14.5" x14ac:dyDescent="0.35"/>
  <cols>
    <col min="1" max="1" width="7.453125" bestFit="1" customWidth="1"/>
    <col min="2" max="2" width="12.26953125" bestFit="1" customWidth="1"/>
    <col min="3" max="3" width="11.81640625" bestFit="1" customWidth="1"/>
    <col min="4" max="4" width="16.36328125" bestFit="1" customWidth="1"/>
    <col min="5" max="5" width="12.26953125" bestFit="1" customWidth="1"/>
  </cols>
  <sheetData>
    <row r="1" spans="1:5" x14ac:dyDescent="0.35">
      <c r="A1" t="s">
        <v>606</v>
      </c>
      <c r="B1" t="s">
        <v>625</v>
      </c>
      <c r="C1" t="s">
        <v>818</v>
      </c>
      <c r="D1" t="s">
        <v>819</v>
      </c>
      <c r="E1" t="s">
        <v>820</v>
      </c>
    </row>
    <row r="2" spans="1:5" x14ac:dyDescent="0.35">
      <c r="A2" t="s">
        <v>508</v>
      </c>
      <c r="B2" t="s">
        <v>511</v>
      </c>
      <c r="C2">
        <v>90.6</v>
      </c>
      <c r="D2">
        <v>0.4</v>
      </c>
      <c r="E2">
        <v>9</v>
      </c>
    </row>
    <row r="3" spans="1:5" x14ac:dyDescent="0.35">
      <c r="A3" t="s">
        <v>508</v>
      </c>
      <c r="B3" t="s">
        <v>609</v>
      </c>
      <c r="C3">
        <v>83.7</v>
      </c>
      <c r="D3">
        <v>0.2</v>
      </c>
      <c r="E3">
        <v>16.100000000000001</v>
      </c>
    </row>
    <row r="4" spans="1:5" x14ac:dyDescent="0.35">
      <c r="A4" t="s">
        <v>508</v>
      </c>
      <c r="B4" t="s">
        <v>512</v>
      </c>
      <c r="C4">
        <v>80.7</v>
      </c>
      <c r="D4">
        <v>1.1000000000000001</v>
      </c>
      <c r="E4">
        <v>18.2</v>
      </c>
    </row>
    <row r="5" spans="1:5" x14ac:dyDescent="0.35">
      <c r="A5" t="s">
        <v>508</v>
      </c>
      <c r="B5" t="s">
        <v>340</v>
      </c>
      <c r="C5">
        <v>82.1</v>
      </c>
      <c r="D5">
        <v>0.6</v>
      </c>
      <c r="E5">
        <v>17.3</v>
      </c>
    </row>
    <row r="6" spans="1:5" x14ac:dyDescent="0.35">
      <c r="A6" t="s">
        <v>508</v>
      </c>
      <c r="B6" t="s">
        <v>821</v>
      </c>
      <c r="C6">
        <v>82.9</v>
      </c>
      <c r="D6">
        <v>0.6</v>
      </c>
      <c r="E6">
        <v>16.5</v>
      </c>
    </row>
    <row r="7" spans="1:5" x14ac:dyDescent="0.35">
      <c r="A7" t="s">
        <v>508</v>
      </c>
      <c r="B7" t="s">
        <v>634</v>
      </c>
      <c r="C7">
        <v>67.5</v>
      </c>
      <c r="D7">
        <v>0.2</v>
      </c>
      <c r="E7">
        <v>32.299999999999997</v>
      </c>
    </row>
    <row r="8" spans="1:5" x14ac:dyDescent="0.35">
      <c r="A8" t="s">
        <v>508</v>
      </c>
      <c r="B8" t="s">
        <v>633</v>
      </c>
      <c r="C8">
        <v>82.5</v>
      </c>
      <c r="D8">
        <v>0.8</v>
      </c>
      <c r="E8">
        <v>16.7</v>
      </c>
    </row>
    <row r="9" spans="1:5" x14ac:dyDescent="0.35">
      <c r="A9" t="s">
        <v>362</v>
      </c>
      <c r="B9" t="s">
        <v>511</v>
      </c>
      <c r="C9">
        <v>84.6</v>
      </c>
      <c r="D9">
        <v>0.4</v>
      </c>
      <c r="E9">
        <v>15</v>
      </c>
    </row>
    <row r="10" spans="1:5" x14ac:dyDescent="0.35">
      <c r="A10" t="s">
        <v>362</v>
      </c>
      <c r="B10" t="s">
        <v>609</v>
      </c>
      <c r="C10">
        <v>81.8</v>
      </c>
      <c r="D10">
        <v>0.2</v>
      </c>
      <c r="E10">
        <v>18</v>
      </c>
    </row>
    <row r="11" spans="1:5" x14ac:dyDescent="0.35">
      <c r="A11" t="s">
        <v>362</v>
      </c>
      <c r="B11" t="s">
        <v>512</v>
      </c>
      <c r="C11">
        <v>65.5</v>
      </c>
      <c r="D11">
        <v>1</v>
      </c>
      <c r="E11">
        <v>33.5</v>
      </c>
    </row>
    <row r="12" spans="1:5" x14ac:dyDescent="0.35">
      <c r="A12" t="s">
        <v>362</v>
      </c>
      <c r="B12" t="s">
        <v>340</v>
      </c>
      <c r="C12">
        <v>74.400000000000006</v>
      </c>
      <c r="D12">
        <v>0.6</v>
      </c>
      <c r="E12">
        <v>25</v>
      </c>
    </row>
    <row r="13" spans="1:5" x14ac:dyDescent="0.35">
      <c r="A13" t="s">
        <v>362</v>
      </c>
      <c r="B13" t="s">
        <v>821</v>
      </c>
      <c r="C13">
        <v>75</v>
      </c>
      <c r="D13">
        <v>0.6</v>
      </c>
      <c r="E13">
        <v>24.4</v>
      </c>
    </row>
    <row r="14" spans="1:5" x14ac:dyDescent="0.35">
      <c r="A14" t="s">
        <v>362</v>
      </c>
      <c r="B14" t="s">
        <v>634</v>
      </c>
      <c r="C14">
        <v>62.7</v>
      </c>
      <c r="D14">
        <v>0.2</v>
      </c>
      <c r="E14">
        <v>37</v>
      </c>
    </row>
    <row r="15" spans="1:5" x14ac:dyDescent="0.35">
      <c r="A15" t="s">
        <v>362</v>
      </c>
      <c r="B15" t="s">
        <v>633</v>
      </c>
      <c r="C15">
        <v>72.2</v>
      </c>
      <c r="D15">
        <v>0.8</v>
      </c>
      <c r="E15">
        <v>27.1</v>
      </c>
    </row>
    <row r="16" spans="1:5" x14ac:dyDescent="0.35">
      <c r="A16" t="s">
        <v>363</v>
      </c>
      <c r="B16" t="s">
        <v>511</v>
      </c>
      <c r="C16">
        <v>89.7</v>
      </c>
      <c r="D16">
        <v>0.4</v>
      </c>
      <c r="E16">
        <v>9.8000000000000007</v>
      </c>
    </row>
    <row r="17" spans="1:5" x14ac:dyDescent="0.35">
      <c r="A17" t="s">
        <v>363</v>
      </c>
      <c r="B17" t="s">
        <v>609</v>
      </c>
      <c r="C17">
        <v>80.900000000000006</v>
      </c>
      <c r="D17">
        <v>0.2</v>
      </c>
      <c r="E17">
        <v>18.899999999999999</v>
      </c>
    </row>
    <row r="18" spans="1:5" x14ac:dyDescent="0.35">
      <c r="A18" t="s">
        <v>363</v>
      </c>
      <c r="B18" t="s">
        <v>512</v>
      </c>
      <c r="C18">
        <v>78.400000000000006</v>
      </c>
      <c r="D18">
        <v>1</v>
      </c>
      <c r="E18">
        <v>20.6</v>
      </c>
    </row>
    <row r="19" spans="1:5" x14ac:dyDescent="0.35">
      <c r="A19" t="s">
        <v>363</v>
      </c>
      <c r="B19" t="s">
        <v>340</v>
      </c>
      <c r="C19">
        <v>80.099999999999994</v>
      </c>
      <c r="D19">
        <v>0.6</v>
      </c>
      <c r="E19">
        <v>19.3</v>
      </c>
    </row>
    <row r="20" spans="1:5" x14ac:dyDescent="0.35">
      <c r="A20" t="s">
        <v>363</v>
      </c>
      <c r="B20" t="s">
        <v>821</v>
      </c>
      <c r="C20">
        <v>81</v>
      </c>
      <c r="D20">
        <v>0.6</v>
      </c>
      <c r="E20">
        <v>18.399999999999999</v>
      </c>
    </row>
    <row r="21" spans="1:5" x14ac:dyDescent="0.35">
      <c r="A21" t="s">
        <v>363</v>
      </c>
      <c r="B21" t="s">
        <v>634</v>
      </c>
      <c r="C21">
        <v>61.4</v>
      </c>
      <c r="D21">
        <v>0.5</v>
      </c>
      <c r="E21">
        <v>38.1</v>
      </c>
    </row>
    <row r="22" spans="1:5" x14ac:dyDescent="0.35">
      <c r="A22" t="s">
        <v>363</v>
      </c>
      <c r="B22" t="s">
        <v>633</v>
      </c>
      <c r="C22">
        <v>81.2</v>
      </c>
      <c r="D22">
        <v>0.7</v>
      </c>
      <c r="E22">
        <v>18</v>
      </c>
    </row>
    <row r="23" spans="1:5" x14ac:dyDescent="0.35">
      <c r="A23" t="s">
        <v>364</v>
      </c>
      <c r="B23" t="s">
        <v>511</v>
      </c>
      <c r="C23">
        <v>49.3</v>
      </c>
      <c r="E23">
        <v>50.7</v>
      </c>
    </row>
    <row r="24" spans="1:5" x14ac:dyDescent="0.35">
      <c r="A24" t="s">
        <v>364</v>
      </c>
      <c r="B24" t="s">
        <v>609</v>
      </c>
      <c r="C24">
        <v>69.599999999999994</v>
      </c>
      <c r="D24">
        <v>1.1000000000000001</v>
      </c>
      <c r="E24">
        <v>29.3</v>
      </c>
    </row>
    <row r="25" spans="1:5" x14ac:dyDescent="0.35">
      <c r="A25" t="s">
        <v>364</v>
      </c>
      <c r="B25" t="s">
        <v>512</v>
      </c>
      <c r="C25">
        <v>55.2</v>
      </c>
      <c r="D25">
        <v>1</v>
      </c>
      <c r="E25">
        <v>43.8</v>
      </c>
    </row>
    <row r="26" spans="1:5" x14ac:dyDescent="0.35">
      <c r="A26" t="s">
        <v>364</v>
      </c>
      <c r="B26" t="s">
        <v>340</v>
      </c>
      <c r="C26">
        <v>61.1</v>
      </c>
      <c r="D26">
        <v>0.8</v>
      </c>
      <c r="E26">
        <v>38.1</v>
      </c>
    </row>
    <row r="27" spans="1:5" x14ac:dyDescent="0.35">
      <c r="A27" t="s">
        <v>364</v>
      </c>
      <c r="B27" t="s">
        <v>821</v>
      </c>
      <c r="C27">
        <v>62.5</v>
      </c>
      <c r="D27">
        <v>0.8</v>
      </c>
      <c r="E27">
        <v>36.700000000000003</v>
      </c>
    </row>
    <row r="28" spans="1:5" x14ac:dyDescent="0.35">
      <c r="A28" t="s">
        <v>364</v>
      </c>
      <c r="B28" t="s">
        <v>634</v>
      </c>
      <c r="C28">
        <v>30.1</v>
      </c>
      <c r="D28">
        <v>0.6</v>
      </c>
      <c r="E28">
        <v>69.400000000000006</v>
      </c>
    </row>
    <row r="29" spans="1:5" x14ac:dyDescent="0.35">
      <c r="A29" t="s">
        <v>364</v>
      </c>
      <c r="B29" t="s">
        <v>633</v>
      </c>
      <c r="C29">
        <v>59.8</v>
      </c>
      <c r="D29">
        <v>0.6</v>
      </c>
      <c r="E29">
        <v>39.6</v>
      </c>
    </row>
    <row r="30" spans="1:5" x14ac:dyDescent="0.35">
      <c r="A30" t="s">
        <v>365</v>
      </c>
      <c r="B30" t="s">
        <v>511</v>
      </c>
      <c r="C30">
        <v>63</v>
      </c>
      <c r="D30">
        <v>0.4</v>
      </c>
      <c r="E30">
        <v>36.5</v>
      </c>
    </row>
    <row r="31" spans="1:5" x14ac:dyDescent="0.35">
      <c r="A31" t="s">
        <v>365</v>
      </c>
      <c r="B31" t="s">
        <v>609</v>
      </c>
      <c r="C31">
        <v>67</v>
      </c>
      <c r="D31">
        <v>0.1</v>
      </c>
      <c r="E31">
        <v>32.799999999999997</v>
      </c>
    </row>
    <row r="32" spans="1:5" x14ac:dyDescent="0.35">
      <c r="A32" t="s">
        <v>365</v>
      </c>
      <c r="B32" t="s">
        <v>512</v>
      </c>
      <c r="C32">
        <v>53.7</v>
      </c>
      <c r="D32">
        <v>1.2</v>
      </c>
      <c r="E32">
        <v>45.1</v>
      </c>
    </row>
    <row r="33" spans="1:5" x14ac:dyDescent="0.35">
      <c r="A33" t="s">
        <v>365</v>
      </c>
      <c r="B33" t="s">
        <v>340</v>
      </c>
      <c r="C33">
        <v>60.2</v>
      </c>
      <c r="D33">
        <v>0.5</v>
      </c>
      <c r="E33">
        <v>39.299999999999997</v>
      </c>
    </row>
    <row r="34" spans="1:5" x14ac:dyDescent="0.35">
      <c r="A34" t="s">
        <v>365</v>
      </c>
      <c r="B34" t="s">
        <v>821</v>
      </c>
      <c r="C34">
        <v>61.8</v>
      </c>
      <c r="D34">
        <v>0.5</v>
      </c>
      <c r="E34">
        <v>37.700000000000003</v>
      </c>
    </row>
    <row r="35" spans="1:5" x14ac:dyDescent="0.35">
      <c r="A35" t="s">
        <v>365</v>
      </c>
      <c r="B35" t="s">
        <v>634</v>
      </c>
      <c r="C35">
        <v>26.7</v>
      </c>
      <c r="D35">
        <v>0.5</v>
      </c>
      <c r="E35">
        <v>72.8</v>
      </c>
    </row>
    <row r="36" spans="1:5" x14ac:dyDescent="0.35">
      <c r="A36" t="s">
        <v>365</v>
      </c>
      <c r="B36" t="s">
        <v>633</v>
      </c>
      <c r="C36">
        <v>59.5</v>
      </c>
      <c r="D36">
        <v>0.6</v>
      </c>
      <c r="E36">
        <v>39.9</v>
      </c>
    </row>
    <row r="37" spans="1:5" x14ac:dyDescent="0.35">
      <c r="A37" t="s">
        <v>366</v>
      </c>
      <c r="B37" t="s">
        <v>511</v>
      </c>
      <c r="C37">
        <v>64</v>
      </c>
      <c r="D37">
        <v>0.5</v>
      </c>
      <c r="E37">
        <v>35.5</v>
      </c>
    </row>
    <row r="38" spans="1:5" x14ac:dyDescent="0.35">
      <c r="A38" t="s">
        <v>366</v>
      </c>
      <c r="B38" t="s">
        <v>609</v>
      </c>
      <c r="C38">
        <v>60</v>
      </c>
      <c r="D38">
        <v>0.6</v>
      </c>
      <c r="E38">
        <v>39.4</v>
      </c>
    </row>
    <row r="39" spans="1:5" x14ac:dyDescent="0.35">
      <c r="A39" t="s">
        <v>366</v>
      </c>
      <c r="B39" t="s">
        <v>512</v>
      </c>
      <c r="C39">
        <v>53.4</v>
      </c>
      <c r="D39">
        <v>0.8</v>
      </c>
      <c r="E39">
        <v>45.8</v>
      </c>
    </row>
    <row r="40" spans="1:5" x14ac:dyDescent="0.35">
      <c r="A40" t="s">
        <v>366</v>
      </c>
      <c r="B40" t="s">
        <v>340</v>
      </c>
      <c r="C40">
        <v>55.3</v>
      </c>
      <c r="D40">
        <v>0.6</v>
      </c>
      <c r="E40">
        <v>44.1</v>
      </c>
    </row>
    <row r="41" spans="1:5" x14ac:dyDescent="0.35">
      <c r="A41" t="s">
        <v>366</v>
      </c>
      <c r="B41" t="s">
        <v>821</v>
      </c>
      <c r="C41">
        <v>56.3</v>
      </c>
      <c r="D41">
        <v>0.6</v>
      </c>
      <c r="E41">
        <v>43.1</v>
      </c>
    </row>
    <row r="42" spans="1:5" x14ac:dyDescent="0.35">
      <c r="A42" t="s">
        <v>366</v>
      </c>
      <c r="B42" t="s">
        <v>634</v>
      </c>
      <c r="C42">
        <v>32.5</v>
      </c>
      <c r="D42">
        <v>0.9</v>
      </c>
      <c r="E42">
        <v>66.7</v>
      </c>
    </row>
    <row r="43" spans="1:5" x14ac:dyDescent="0.35">
      <c r="A43" t="s">
        <v>366</v>
      </c>
      <c r="B43" t="s">
        <v>633</v>
      </c>
      <c r="C43">
        <v>53.7</v>
      </c>
      <c r="D43">
        <v>0.5</v>
      </c>
      <c r="E43">
        <v>45.7</v>
      </c>
    </row>
    <row r="44" spans="1:5" x14ac:dyDescent="0.35">
      <c r="A44" t="s">
        <v>341</v>
      </c>
      <c r="B44" t="s">
        <v>511</v>
      </c>
      <c r="C44">
        <v>55.8</v>
      </c>
      <c r="D44">
        <v>0.6</v>
      </c>
      <c r="E44">
        <v>43.6</v>
      </c>
    </row>
    <row r="45" spans="1:5" x14ac:dyDescent="0.35">
      <c r="A45" t="s">
        <v>341</v>
      </c>
      <c r="B45" t="s">
        <v>609</v>
      </c>
      <c r="C45">
        <v>58</v>
      </c>
      <c r="D45">
        <v>0.6</v>
      </c>
      <c r="E45">
        <v>41.4</v>
      </c>
    </row>
    <row r="46" spans="1:5" x14ac:dyDescent="0.35">
      <c r="A46" t="s">
        <v>341</v>
      </c>
      <c r="B46" t="s">
        <v>512</v>
      </c>
      <c r="C46">
        <v>53.9</v>
      </c>
      <c r="D46">
        <v>0.6</v>
      </c>
      <c r="E46">
        <v>45.5</v>
      </c>
    </row>
    <row r="47" spans="1:5" x14ac:dyDescent="0.35">
      <c r="A47" t="s">
        <v>341</v>
      </c>
      <c r="B47" t="s">
        <v>340</v>
      </c>
      <c r="C47">
        <v>53.7</v>
      </c>
      <c r="D47">
        <v>0.6</v>
      </c>
      <c r="E47">
        <v>45.7</v>
      </c>
    </row>
    <row r="48" spans="1:5" x14ac:dyDescent="0.35">
      <c r="A48" t="s">
        <v>341</v>
      </c>
      <c r="B48" t="s">
        <v>821</v>
      </c>
      <c r="C48">
        <v>54.2</v>
      </c>
      <c r="D48">
        <v>0.6</v>
      </c>
      <c r="E48">
        <v>45.2</v>
      </c>
    </row>
    <row r="49" spans="1:5" x14ac:dyDescent="0.35">
      <c r="A49" t="s">
        <v>341</v>
      </c>
      <c r="B49" t="s">
        <v>634</v>
      </c>
      <c r="C49">
        <v>42.7</v>
      </c>
      <c r="D49">
        <v>0.3</v>
      </c>
      <c r="E49">
        <v>57</v>
      </c>
    </row>
    <row r="50" spans="1:5" x14ac:dyDescent="0.35">
      <c r="A50" t="s">
        <v>341</v>
      </c>
      <c r="B50" t="s">
        <v>633</v>
      </c>
      <c r="C50">
        <v>51.2</v>
      </c>
      <c r="D50">
        <v>0.5</v>
      </c>
      <c r="E50">
        <v>48.3</v>
      </c>
    </row>
    <row r="51" spans="1:5" x14ac:dyDescent="0.35">
      <c r="A51" t="s">
        <v>342</v>
      </c>
      <c r="B51" t="s">
        <v>511</v>
      </c>
      <c r="C51">
        <v>52.9</v>
      </c>
      <c r="D51">
        <v>0.5</v>
      </c>
      <c r="E51">
        <v>46.6</v>
      </c>
    </row>
    <row r="52" spans="1:5" x14ac:dyDescent="0.35">
      <c r="A52" t="s">
        <v>342</v>
      </c>
      <c r="B52" t="s">
        <v>609</v>
      </c>
      <c r="C52">
        <v>65.900000000000006</v>
      </c>
      <c r="D52">
        <v>1.2</v>
      </c>
      <c r="E52">
        <v>32.9</v>
      </c>
    </row>
    <row r="53" spans="1:5" x14ac:dyDescent="0.35">
      <c r="A53" t="s">
        <v>342</v>
      </c>
      <c r="B53" t="s">
        <v>512</v>
      </c>
      <c r="C53">
        <v>61.2</v>
      </c>
      <c r="D53">
        <v>1.4</v>
      </c>
      <c r="E53">
        <v>37.4</v>
      </c>
    </row>
    <row r="54" spans="1:5" x14ac:dyDescent="0.35">
      <c r="A54" t="s">
        <v>342</v>
      </c>
      <c r="B54" t="s">
        <v>340</v>
      </c>
      <c r="C54">
        <v>59.2</v>
      </c>
      <c r="D54">
        <v>1.2</v>
      </c>
      <c r="E54">
        <v>39.6</v>
      </c>
    </row>
    <row r="55" spans="1:5" x14ac:dyDescent="0.35">
      <c r="A55" t="s">
        <v>342</v>
      </c>
      <c r="B55" t="s">
        <v>821</v>
      </c>
      <c r="C55">
        <v>60.2</v>
      </c>
      <c r="D55">
        <v>1.2</v>
      </c>
      <c r="E55">
        <v>38.6</v>
      </c>
    </row>
    <row r="56" spans="1:5" x14ac:dyDescent="0.35">
      <c r="A56" t="s">
        <v>342</v>
      </c>
      <c r="B56" t="s">
        <v>634</v>
      </c>
      <c r="C56">
        <v>37.299999999999997</v>
      </c>
      <c r="D56">
        <v>0.6</v>
      </c>
      <c r="E56">
        <v>62</v>
      </c>
    </row>
    <row r="57" spans="1:5" x14ac:dyDescent="0.35">
      <c r="A57" t="s">
        <v>342</v>
      </c>
      <c r="B57" t="s">
        <v>633</v>
      </c>
      <c r="C57">
        <v>55.7</v>
      </c>
      <c r="D57">
        <v>1.2</v>
      </c>
      <c r="E57">
        <v>43.1</v>
      </c>
    </row>
    <row r="58" spans="1:5" x14ac:dyDescent="0.35">
      <c r="A58" t="s">
        <v>214</v>
      </c>
      <c r="B58" t="s">
        <v>511</v>
      </c>
      <c r="C58">
        <v>53.623188405797109</v>
      </c>
      <c r="D58">
        <v>0.96618357487922701</v>
      </c>
      <c r="E58">
        <v>45.410628019323674</v>
      </c>
    </row>
    <row r="59" spans="1:5" x14ac:dyDescent="0.35">
      <c r="A59" t="s">
        <v>214</v>
      </c>
      <c r="B59" t="s">
        <v>609</v>
      </c>
      <c r="C59">
        <v>67.558415171012527</v>
      </c>
      <c r="D59">
        <v>1.1175076193701321</v>
      </c>
      <c r="E59">
        <v>31.324077209617339</v>
      </c>
    </row>
    <row r="60" spans="1:5" x14ac:dyDescent="0.35">
      <c r="A60" t="s">
        <v>214</v>
      </c>
      <c r="B60" t="s">
        <v>512</v>
      </c>
      <c r="C60">
        <v>68.055555555555557</v>
      </c>
      <c r="D60">
        <v>1.7676767676767675</v>
      </c>
      <c r="E60">
        <v>30.176767676767675</v>
      </c>
    </row>
    <row r="61" spans="1:5" x14ac:dyDescent="0.35">
      <c r="A61" t="s">
        <v>214</v>
      </c>
      <c r="B61" t="s">
        <v>340</v>
      </c>
      <c r="C61">
        <v>62.699215785479382</v>
      </c>
      <c r="D61">
        <v>1.2142676448267138</v>
      </c>
      <c r="E61">
        <v>36.086516569693906</v>
      </c>
    </row>
    <row r="62" spans="1:5" x14ac:dyDescent="0.35">
      <c r="A62" t="s">
        <v>214</v>
      </c>
      <c r="B62" t="s">
        <v>821</v>
      </c>
      <c r="C62">
        <v>63.802872578732369</v>
      </c>
      <c r="D62">
        <v>1.2386348662537885</v>
      </c>
      <c r="E62">
        <v>34.958492555013834</v>
      </c>
    </row>
    <row r="63" spans="1:5" x14ac:dyDescent="0.35">
      <c r="A63" t="s">
        <v>214</v>
      </c>
      <c r="B63" t="s">
        <v>634</v>
      </c>
      <c r="C63">
        <v>36.277602523659311</v>
      </c>
      <c r="D63">
        <v>0.63091482649842268</v>
      </c>
      <c r="E63">
        <v>63.09148264984227</v>
      </c>
    </row>
    <row r="64" spans="1:5" x14ac:dyDescent="0.35">
      <c r="A64" t="s">
        <v>214</v>
      </c>
      <c r="B64" t="s">
        <v>633</v>
      </c>
      <c r="C64">
        <v>60.406928787462199</v>
      </c>
      <c r="D64">
        <v>1.2372834753918065</v>
      </c>
      <c r="E64">
        <v>38.355787737146002</v>
      </c>
    </row>
    <row r="65" spans="1:5" x14ac:dyDescent="0.35">
      <c r="A65" t="s">
        <v>313</v>
      </c>
      <c r="B65" t="s">
        <v>511</v>
      </c>
      <c r="C65">
        <v>53.191489361702125</v>
      </c>
      <c r="D65">
        <v>1.0638297872340425</v>
      </c>
      <c r="E65">
        <v>45.744680851063826</v>
      </c>
    </row>
    <row r="66" spans="1:5" x14ac:dyDescent="0.35">
      <c r="A66" t="s">
        <v>313</v>
      </c>
      <c r="B66" t="s">
        <v>609</v>
      </c>
      <c r="C66">
        <v>63.534218590398361</v>
      </c>
      <c r="D66">
        <v>1.0554988083077972</v>
      </c>
      <c r="E66">
        <v>35.410282601293837</v>
      </c>
    </row>
    <row r="67" spans="1:5" x14ac:dyDescent="0.35">
      <c r="A67" t="s">
        <v>313</v>
      </c>
      <c r="B67" t="s">
        <v>510</v>
      </c>
      <c r="C67">
        <v>86.111111111111114</v>
      </c>
      <c r="E67">
        <v>13.888888888888889</v>
      </c>
    </row>
    <row r="68" spans="1:5" x14ac:dyDescent="0.35">
      <c r="A68" t="s">
        <v>313</v>
      </c>
      <c r="B68" t="s">
        <v>512</v>
      </c>
      <c r="C68">
        <v>66.992665036674808</v>
      </c>
      <c r="D68">
        <v>1.5892420537897312</v>
      </c>
      <c r="E68">
        <v>31.418092909535449</v>
      </c>
    </row>
    <row r="69" spans="1:5" x14ac:dyDescent="0.35">
      <c r="A69" t="s">
        <v>313</v>
      </c>
      <c r="B69" t="s">
        <v>340</v>
      </c>
      <c r="C69">
        <v>61.197982345523329</v>
      </c>
      <c r="D69">
        <v>1.1727616645649432</v>
      </c>
      <c r="E69">
        <v>37.629255989911726</v>
      </c>
    </row>
    <row r="70" spans="1:5" x14ac:dyDescent="0.35">
      <c r="A70" t="s">
        <v>313</v>
      </c>
      <c r="B70" t="s">
        <v>821</v>
      </c>
      <c r="C70">
        <v>62.298095863427449</v>
      </c>
      <c r="D70">
        <v>1.1950098489822718</v>
      </c>
      <c r="E70">
        <v>36.506894287590278</v>
      </c>
    </row>
    <row r="71" spans="1:5" x14ac:dyDescent="0.35">
      <c r="A71" t="s">
        <v>313</v>
      </c>
      <c r="B71" t="s">
        <v>634</v>
      </c>
      <c r="C71">
        <v>34.603174603174601</v>
      </c>
      <c r="D71">
        <v>0.63492063492063489</v>
      </c>
      <c r="E71">
        <v>64.761904761904759</v>
      </c>
    </row>
    <row r="72" spans="1:5" x14ac:dyDescent="0.35">
      <c r="A72" t="s">
        <v>313</v>
      </c>
      <c r="B72" t="s">
        <v>633</v>
      </c>
      <c r="C72">
        <v>60.478547854785482</v>
      </c>
      <c r="D72">
        <v>1.2376237623762376</v>
      </c>
      <c r="E72">
        <v>38.283828382838287</v>
      </c>
    </row>
    <row r="73" spans="1:5" x14ac:dyDescent="0.35">
      <c r="A73" t="s">
        <v>319</v>
      </c>
      <c r="B73" t="s">
        <v>511</v>
      </c>
      <c r="C73">
        <v>56.593406593406591</v>
      </c>
      <c r="D73">
        <v>1.098901098901099</v>
      </c>
      <c r="E73">
        <v>42.307692307692307</v>
      </c>
    </row>
    <row r="74" spans="1:5" x14ac:dyDescent="0.35">
      <c r="A74" t="s">
        <v>319</v>
      </c>
      <c r="B74" t="s">
        <v>609</v>
      </c>
      <c r="C74">
        <v>61.142061281337043</v>
      </c>
      <c r="D74">
        <v>0.94011142061281339</v>
      </c>
      <c r="E74">
        <v>37.917827298050142</v>
      </c>
    </row>
    <row r="75" spans="1:5" x14ac:dyDescent="0.35">
      <c r="A75" t="s">
        <v>319</v>
      </c>
      <c r="B75" t="s">
        <v>510</v>
      </c>
      <c r="C75">
        <v>87.037037037037038</v>
      </c>
      <c r="D75">
        <v>1.8518518518518516</v>
      </c>
      <c r="E75">
        <v>11.111111111111111</v>
      </c>
    </row>
    <row r="76" spans="1:5" x14ac:dyDescent="0.35">
      <c r="A76" t="s">
        <v>319</v>
      </c>
      <c r="B76" t="s">
        <v>512</v>
      </c>
      <c r="C76">
        <v>66.746411483253581</v>
      </c>
      <c r="D76">
        <v>1.7942583732057416</v>
      </c>
      <c r="E76">
        <v>31.459330143540669</v>
      </c>
    </row>
    <row r="77" spans="1:5" x14ac:dyDescent="0.35">
      <c r="A77" t="s">
        <v>319</v>
      </c>
      <c r="B77" t="s">
        <v>340</v>
      </c>
      <c r="C77">
        <v>60.094496232920449</v>
      </c>
      <c r="D77">
        <v>1.2131273145192185</v>
      </c>
      <c r="E77">
        <v>38.692376452560339</v>
      </c>
    </row>
    <row r="78" spans="1:5" x14ac:dyDescent="0.35">
      <c r="A78" t="s">
        <v>319</v>
      </c>
      <c r="B78" t="s">
        <v>821</v>
      </c>
      <c r="C78">
        <v>61.091923485653567</v>
      </c>
      <c r="D78">
        <v>1.2353878852284803</v>
      </c>
      <c r="E78">
        <v>37.672688629117964</v>
      </c>
    </row>
    <row r="79" spans="1:5" x14ac:dyDescent="0.35">
      <c r="A79" t="s">
        <v>319</v>
      </c>
      <c r="B79" t="s">
        <v>634</v>
      </c>
      <c r="C79">
        <v>35.313531353135311</v>
      </c>
      <c r="D79">
        <v>0.66006600660066006</v>
      </c>
      <c r="E79">
        <v>64.026402640264024</v>
      </c>
    </row>
    <row r="80" spans="1:5" x14ac:dyDescent="0.35">
      <c r="A80" t="s">
        <v>319</v>
      </c>
      <c r="B80" t="s">
        <v>633</v>
      </c>
      <c r="C80">
        <v>59.5703125</v>
      </c>
      <c r="D80">
        <v>1.3392857142857142</v>
      </c>
      <c r="E80">
        <v>39.090401785714285</v>
      </c>
    </row>
    <row r="81" spans="1:5" x14ac:dyDescent="0.35">
      <c r="A81" t="s">
        <v>321</v>
      </c>
    </row>
    <row r="82" spans="1:5" x14ac:dyDescent="0.35">
      <c r="A82" t="s">
        <v>321</v>
      </c>
      <c r="B82" t="s">
        <v>511</v>
      </c>
      <c r="C82">
        <v>55.932203389830505</v>
      </c>
      <c r="D82">
        <v>2.2598870056497176</v>
      </c>
      <c r="E82">
        <v>41.807909604519772</v>
      </c>
    </row>
    <row r="83" spans="1:5" x14ac:dyDescent="0.35">
      <c r="A83" t="s">
        <v>321</v>
      </c>
      <c r="B83" t="s">
        <v>609</v>
      </c>
      <c r="C83">
        <v>58.819268381021374</v>
      </c>
      <c r="D83">
        <v>0.94168779427743576</v>
      </c>
      <c r="E83">
        <v>40.239043824701191</v>
      </c>
    </row>
    <row r="84" spans="1:5" x14ac:dyDescent="0.35">
      <c r="A84" t="s">
        <v>321</v>
      </c>
      <c r="B84" t="s">
        <v>510</v>
      </c>
      <c r="C84">
        <v>88.679245283018872</v>
      </c>
      <c r="D84">
        <v>1.8867924528301887</v>
      </c>
      <c r="E84">
        <v>9.433962264150944</v>
      </c>
    </row>
    <row r="85" spans="1:5" x14ac:dyDescent="0.35">
      <c r="A85" t="s">
        <v>321</v>
      </c>
      <c r="B85" t="s">
        <v>512</v>
      </c>
      <c r="C85">
        <v>63.163481953290869</v>
      </c>
      <c r="D85">
        <v>2.335456475583864</v>
      </c>
      <c r="E85">
        <v>34.501061571125263</v>
      </c>
    </row>
    <row r="86" spans="1:5" x14ac:dyDescent="0.35">
      <c r="A86" t="s">
        <v>321</v>
      </c>
      <c r="B86" t="s">
        <v>340</v>
      </c>
      <c r="C86">
        <v>58.402449917060096</v>
      </c>
      <c r="D86">
        <v>1.327038407553911</v>
      </c>
      <c r="E86">
        <v>40.27051167538599</v>
      </c>
    </row>
    <row r="87" spans="1:5" x14ac:dyDescent="0.35">
      <c r="A87" t="s">
        <v>321</v>
      </c>
      <c r="B87" t="s">
        <v>821</v>
      </c>
      <c r="C87">
        <v>59.304812834224599</v>
      </c>
      <c r="D87">
        <v>1.3636363636363635</v>
      </c>
      <c r="E87">
        <v>39.331550802139034</v>
      </c>
    </row>
    <row r="88" spans="1:5" x14ac:dyDescent="0.35">
      <c r="A88" t="s">
        <v>321</v>
      </c>
      <c r="B88" t="s">
        <v>634</v>
      </c>
      <c r="C88">
        <v>36.823104693140799</v>
      </c>
      <c r="D88">
        <v>0.72202166064981954</v>
      </c>
      <c r="E88">
        <v>62.454873646209386</v>
      </c>
    </row>
    <row r="89" spans="1:5" x14ac:dyDescent="0.35">
      <c r="A89" t="s">
        <v>321</v>
      </c>
      <c r="B89" t="s">
        <v>633</v>
      </c>
      <c r="C89">
        <v>58.387369608119535</v>
      </c>
      <c r="D89">
        <v>1.381449111925571</v>
      </c>
      <c r="E89">
        <v>40.231181279954889</v>
      </c>
    </row>
    <row r="90" spans="1:5" x14ac:dyDescent="0.35">
      <c r="A90" t="s">
        <v>326</v>
      </c>
    </row>
    <row r="91" spans="1:5" x14ac:dyDescent="0.35">
      <c r="A91" t="s">
        <v>326</v>
      </c>
      <c r="B91" t="s">
        <v>511</v>
      </c>
      <c r="C91">
        <v>52.298850574712638</v>
      </c>
      <c r="D91">
        <v>2.2988505747126435</v>
      </c>
      <c r="E91">
        <v>45.402298850574709</v>
      </c>
    </row>
    <row r="92" spans="1:5" x14ac:dyDescent="0.35">
      <c r="A92" t="s">
        <v>326</v>
      </c>
      <c r="B92" t="s">
        <v>609</v>
      </c>
      <c r="C92">
        <v>55.190058479532169</v>
      </c>
      <c r="D92">
        <v>1.0599415204678362</v>
      </c>
      <c r="E92">
        <v>43.75</v>
      </c>
    </row>
    <row r="93" spans="1:5" x14ac:dyDescent="0.35">
      <c r="A93" t="s">
        <v>326</v>
      </c>
      <c r="B93" t="s">
        <v>510</v>
      </c>
      <c r="C93">
        <v>88.888888888888886</v>
      </c>
      <c r="D93">
        <v>1.8518518518518516</v>
      </c>
      <c r="E93">
        <v>9.2592592592592595</v>
      </c>
    </row>
    <row r="94" spans="1:5" x14ac:dyDescent="0.35">
      <c r="A94" t="s">
        <v>326</v>
      </c>
      <c r="B94" t="s">
        <v>512</v>
      </c>
      <c r="C94">
        <v>60.799136069114468</v>
      </c>
      <c r="D94">
        <v>2.2678185745140391</v>
      </c>
      <c r="E94">
        <v>36.933045356371494</v>
      </c>
    </row>
    <row r="95" spans="1:5" x14ac:dyDescent="0.35">
      <c r="A95" t="s">
        <v>326</v>
      </c>
      <c r="B95" t="s">
        <v>340</v>
      </c>
      <c r="C95">
        <v>55.432969852469526</v>
      </c>
      <c r="D95">
        <v>1.308531109685696</v>
      </c>
      <c r="E95">
        <v>43.258499037844771</v>
      </c>
    </row>
    <row r="96" spans="1:5" x14ac:dyDescent="0.35">
      <c r="A96" t="s">
        <v>326</v>
      </c>
      <c r="B96" t="s">
        <v>821</v>
      </c>
      <c r="C96">
        <v>56.313301823092509</v>
      </c>
      <c r="D96">
        <v>1.3639432815665091</v>
      </c>
      <c r="E96">
        <v>42.322754895340985</v>
      </c>
    </row>
    <row r="97" spans="1:5" x14ac:dyDescent="0.35">
      <c r="A97" t="s">
        <v>326</v>
      </c>
      <c r="B97" t="s">
        <v>634</v>
      </c>
      <c r="C97">
        <v>36.84210526315789</v>
      </c>
      <c r="D97">
        <v>0.37593984962406013</v>
      </c>
      <c r="E97">
        <v>62.781954887218049</v>
      </c>
    </row>
    <row r="98" spans="1:5" x14ac:dyDescent="0.35">
      <c r="A98" t="s">
        <v>326</v>
      </c>
      <c r="B98" t="s">
        <v>633</v>
      </c>
      <c r="C98">
        <v>55.704125177809395</v>
      </c>
      <c r="D98">
        <v>1.3086770981507825</v>
      </c>
      <c r="E98">
        <v>42.987197724039831</v>
      </c>
    </row>
    <row r="99" spans="1:5" x14ac:dyDescent="0.35">
      <c r="A99" t="s">
        <v>327</v>
      </c>
    </row>
    <row r="100" spans="1:5" x14ac:dyDescent="0.35">
      <c r="A100" t="s">
        <v>327</v>
      </c>
      <c r="B100" t="s">
        <v>511</v>
      </c>
      <c r="C100">
        <v>51.445086705202314</v>
      </c>
      <c r="D100">
        <v>2.3121387283236992</v>
      </c>
      <c r="E100">
        <v>46.24277456647399</v>
      </c>
    </row>
    <row r="101" spans="1:5" x14ac:dyDescent="0.35">
      <c r="A101" t="s">
        <v>327</v>
      </c>
      <c r="B101" t="s">
        <v>609</v>
      </c>
      <c r="C101">
        <v>50.994108983799705</v>
      </c>
      <c r="D101">
        <v>0.81001472754050086</v>
      </c>
      <c r="E101">
        <v>48.195876288659797</v>
      </c>
    </row>
    <row r="102" spans="1:5" x14ac:dyDescent="0.35">
      <c r="A102" t="s">
        <v>327</v>
      </c>
      <c r="B102" t="s">
        <v>510</v>
      </c>
      <c r="C102">
        <v>88.888888888888886</v>
      </c>
      <c r="D102">
        <v>1.8518518518518516</v>
      </c>
      <c r="E102">
        <v>9.2592592592592595</v>
      </c>
    </row>
    <row r="103" spans="1:5" x14ac:dyDescent="0.35">
      <c r="A103" t="s">
        <v>327</v>
      </c>
      <c r="B103" t="s">
        <v>512</v>
      </c>
      <c r="C103">
        <v>58.681318681318686</v>
      </c>
      <c r="D103">
        <v>2.197802197802198</v>
      </c>
      <c r="E103">
        <v>39.120879120879124</v>
      </c>
    </row>
    <row r="104" spans="1:5" x14ac:dyDescent="0.35">
      <c r="A104" t="s">
        <v>327</v>
      </c>
      <c r="B104" t="s">
        <v>340</v>
      </c>
      <c r="C104">
        <v>52.832879553999746</v>
      </c>
      <c r="D104">
        <v>1.1798262673408531</v>
      </c>
      <c r="E104">
        <v>45.987294178659404</v>
      </c>
    </row>
    <row r="105" spans="1:5" x14ac:dyDescent="0.35">
      <c r="A105" t="s">
        <v>327</v>
      </c>
      <c r="B105" t="s">
        <v>821</v>
      </c>
      <c r="C105">
        <v>53.749143248800543</v>
      </c>
      <c r="D105">
        <v>1.233721727210418</v>
      </c>
      <c r="E105">
        <v>45.017135023989034</v>
      </c>
    </row>
    <row r="106" spans="1:5" x14ac:dyDescent="0.35">
      <c r="A106" t="s">
        <v>327</v>
      </c>
      <c r="B106" t="s">
        <v>634</v>
      </c>
      <c r="C106">
        <v>35.555555555555557</v>
      </c>
      <c r="D106">
        <v>0.37037037037037041</v>
      </c>
      <c r="E106">
        <v>64.074074074074076</v>
      </c>
    </row>
    <row r="107" spans="1:5" x14ac:dyDescent="0.35">
      <c r="A107" t="s">
        <v>327</v>
      </c>
      <c r="B107" t="s">
        <v>633</v>
      </c>
      <c r="C107">
        <v>54.183614177803605</v>
      </c>
      <c r="D107">
        <v>1.2492736780941311</v>
      </c>
      <c r="E107">
        <v>44.567112144102268</v>
      </c>
    </row>
    <row r="108" spans="1:5" x14ac:dyDescent="0.35">
      <c r="A108" t="s">
        <v>466</v>
      </c>
    </row>
    <row r="109" spans="1:5" x14ac:dyDescent="0.35">
      <c r="A109" t="s">
        <v>466</v>
      </c>
      <c r="B109" t="s">
        <v>511</v>
      </c>
      <c r="C109">
        <v>47.97687861271676</v>
      </c>
      <c r="D109">
        <v>2.3121387283236992</v>
      </c>
      <c r="E109">
        <v>49.710982658959537</v>
      </c>
    </row>
    <row r="110" spans="1:5" x14ac:dyDescent="0.35">
      <c r="A110" t="s">
        <v>466</v>
      </c>
      <c r="B110" t="s">
        <v>609</v>
      </c>
      <c r="C110">
        <v>47.877445551864156</v>
      </c>
      <c r="D110">
        <v>0.73827980804724991</v>
      </c>
      <c r="E110">
        <v>51.384274640088591</v>
      </c>
    </row>
    <row r="111" spans="1:5" x14ac:dyDescent="0.35">
      <c r="A111" t="s">
        <v>466</v>
      </c>
      <c r="B111" t="s">
        <v>510</v>
      </c>
      <c r="C111">
        <v>85.245901639344254</v>
      </c>
      <c r="D111">
        <v>1.639344262295082</v>
      </c>
      <c r="E111">
        <v>13.114754098360656</v>
      </c>
    </row>
    <row r="112" spans="1:5" x14ac:dyDescent="0.35">
      <c r="A112" t="s">
        <v>466</v>
      </c>
      <c r="B112" t="s">
        <v>512</v>
      </c>
      <c r="C112">
        <v>56.342494714587744</v>
      </c>
      <c r="D112">
        <v>2.2198731501057085</v>
      </c>
      <c r="E112">
        <v>41.437632135306551</v>
      </c>
    </row>
    <row r="113" spans="1:5" x14ac:dyDescent="0.35">
      <c r="A113" t="s">
        <v>466</v>
      </c>
      <c r="B113" t="s">
        <v>340</v>
      </c>
      <c r="C113">
        <v>50.148253190666495</v>
      </c>
      <c r="D113">
        <v>1.1731339435348718</v>
      </c>
      <c r="E113">
        <v>48.678612865798634</v>
      </c>
    </row>
    <row r="114" spans="1:5" x14ac:dyDescent="0.35">
      <c r="A114" t="s">
        <v>466</v>
      </c>
      <c r="B114" t="s">
        <v>821</v>
      </c>
      <c r="C114">
        <v>51.036269430051817</v>
      </c>
      <c r="D114">
        <v>1.2135260430869921</v>
      </c>
      <c r="E114">
        <v>47.750204526861197</v>
      </c>
    </row>
    <row r="115" spans="1:5" x14ac:dyDescent="0.35">
      <c r="A115" t="s">
        <v>466</v>
      </c>
      <c r="B115" t="s">
        <v>634</v>
      </c>
      <c r="C115">
        <v>34.065934065934066</v>
      </c>
      <c r="D115">
        <v>0.36630036630036628</v>
      </c>
      <c r="E115">
        <v>65.567765567765562</v>
      </c>
    </row>
    <row r="116" spans="1:5" x14ac:dyDescent="0.35">
      <c r="A116" t="s">
        <v>466</v>
      </c>
      <c r="B116" t="s">
        <v>633</v>
      </c>
      <c r="C116">
        <v>51.611030478955009</v>
      </c>
      <c r="D116">
        <v>1.2481857764876634</v>
      </c>
      <c r="E116">
        <v>47.140783744557332</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3:AE21"/>
  <sheetViews>
    <sheetView topLeftCell="E1" workbookViewId="0">
      <selection activeCell="G11" sqref="G11"/>
    </sheetView>
  </sheetViews>
  <sheetFormatPr defaultRowHeight="14.5" x14ac:dyDescent="0.35"/>
  <cols>
    <col min="1" max="1" width="12.6328125" bestFit="1" customWidth="1"/>
    <col min="2" max="2" width="15.6328125" bestFit="1" customWidth="1"/>
    <col min="3" max="3" width="20.54296875" bestFit="1" customWidth="1"/>
    <col min="4" max="4" width="16.453125" bestFit="1" customWidth="1"/>
    <col min="5" max="5" width="12.6328125" bestFit="1" customWidth="1"/>
    <col min="6" max="6" width="20.54296875" bestFit="1" customWidth="1"/>
    <col min="7" max="7" width="16.453125" bestFit="1" customWidth="1"/>
    <col min="8" max="8" width="12.6328125" bestFit="1" customWidth="1"/>
    <col min="9" max="9" width="20.54296875" bestFit="1" customWidth="1"/>
    <col min="10" max="10" width="16.453125" bestFit="1" customWidth="1"/>
    <col min="11" max="11" width="12.6328125" bestFit="1" customWidth="1"/>
    <col min="12" max="12" width="20.54296875" bestFit="1" customWidth="1"/>
    <col min="13" max="13" width="16.453125" bestFit="1" customWidth="1"/>
    <col min="14" max="14" width="12.6328125" bestFit="1" customWidth="1"/>
    <col min="15" max="15" width="20.54296875" bestFit="1" customWidth="1"/>
    <col min="16" max="16" width="16.453125" bestFit="1" customWidth="1"/>
    <col min="17" max="17" width="12.6328125" bestFit="1" customWidth="1"/>
    <col min="18" max="18" width="20.54296875" bestFit="1" customWidth="1"/>
    <col min="19" max="19" width="16.453125" bestFit="1" customWidth="1"/>
    <col min="20" max="20" width="12.6328125" bestFit="1" customWidth="1"/>
    <col min="21" max="21" width="20.54296875" bestFit="1" customWidth="1"/>
    <col min="22" max="22" width="16.453125" bestFit="1" customWidth="1"/>
    <col min="23" max="23" width="12.6328125" bestFit="1" customWidth="1"/>
    <col min="24" max="24" width="20.54296875" bestFit="1" customWidth="1"/>
    <col min="25" max="25" width="16.453125" bestFit="1" customWidth="1"/>
    <col min="26" max="26" width="12.6328125" bestFit="1" customWidth="1"/>
    <col min="27" max="27" width="20.54296875" bestFit="1" customWidth="1"/>
    <col min="28" max="28" width="16.453125" bestFit="1" customWidth="1"/>
    <col min="29" max="29" width="17.453125" bestFit="1" customWidth="1"/>
    <col min="30" max="30" width="25.36328125" bestFit="1" customWidth="1"/>
    <col min="31" max="31" width="21.26953125" bestFit="1" customWidth="1"/>
  </cols>
  <sheetData>
    <row r="3" spans="1:31" x14ac:dyDescent="0.35">
      <c r="B3" s="387" t="s">
        <v>412</v>
      </c>
    </row>
    <row r="4" spans="1:31" x14ac:dyDescent="0.35">
      <c r="B4" t="s">
        <v>511</v>
      </c>
      <c r="E4" t="s">
        <v>609</v>
      </c>
      <c r="H4" t="s">
        <v>510</v>
      </c>
      <c r="K4" t="s">
        <v>512</v>
      </c>
      <c r="N4" t="s">
        <v>340</v>
      </c>
      <c r="Q4" t="s">
        <v>821</v>
      </c>
      <c r="T4" t="s">
        <v>634</v>
      </c>
      <c r="W4" t="s">
        <v>633</v>
      </c>
      <c r="Z4" t="s">
        <v>413</v>
      </c>
      <c r="AC4" t="s">
        <v>822</v>
      </c>
      <c r="AD4" t="s">
        <v>823</v>
      </c>
      <c r="AE4" t="s">
        <v>824</v>
      </c>
    </row>
    <row r="5" spans="1:31" x14ac:dyDescent="0.35">
      <c r="A5" s="387" t="s">
        <v>350</v>
      </c>
      <c r="B5" t="s">
        <v>825</v>
      </c>
      <c r="C5" t="s">
        <v>826</v>
      </c>
      <c r="D5" t="s">
        <v>827</v>
      </c>
      <c r="E5" t="s">
        <v>825</v>
      </c>
      <c r="F5" t="s">
        <v>826</v>
      </c>
      <c r="G5" t="s">
        <v>827</v>
      </c>
      <c r="H5" t="s">
        <v>825</v>
      </c>
      <c r="I5" t="s">
        <v>826</v>
      </c>
      <c r="J5" t="s">
        <v>827</v>
      </c>
      <c r="K5" t="s">
        <v>825</v>
      </c>
      <c r="L5" t="s">
        <v>826</v>
      </c>
      <c r="M5" t="s">
        <v>827</v>
      </c>
      <c r="N5" t="s">
        <v>825</v>
      </c>
      <c r="O5" t="s">
        <v>826</v>
      </c>
      <c r="P5" t="s">
        <v>827</v>
      </c>
      <c r="Q5" t="s">
        <v>825</v>
      </c>
      <c r="R5" t="s">
        <v>826</v>
      </c>
      <c r="S5" t="s">
        <v>827</v>
      </c>
      <c r="T5" t="s">
        <v>825</v>
      </c>
      <c r="U5" t="s">
        <v>826</v>
      </c>
      <c r="V5" t="s">
        <v>827</v>
      </c>
      <c r="W5" t="s">
        <v>825</v>
      </c>
      <c r="X5" t="s">
        <v>826</v>
      </c>
      <c r="Y5" t="s">
        <v>827</v>
      </c>
      <c r="Z5" t="s">
        <v>825</v>
      </c>
      <c r="AA5" t="s">
        <v>826</v>
      </c>
      <c r="AB5" t="s">
        <v>827</v>
      </c>
    </row>
    <row r="6" spans="1:31" x14ac:dyDescent="0.35">
      <c r="A6" s="388" t="s">
        <v>508</v>
      </c>
      <c r="B6">
        <v>90.6</v>
      </c>
      <c r="C6">
        <v>0.4</v>
      </c>
      <c r="D6">
        <v>9</v>
      </c>
      <c r="E6">
        <v>83.7</v>
      </c>
      <c r="F6">
        <v>0.2</v>
      </c>
      <c r="G6">
        <v>16.100000000000001</v>
      </c>
      <c r="K6">
        <v>80.7</v>
      </c>
      <c r="L6">
        <v>1.1000000000000001</v>
      </c>
      <c r="M6">
        <v>18.2</v>
      </c>
      <c r="N6">
        <v>82.1</v>
      </c>
      <c r="O6">
        <v>0.6</v>
      </c>
      <c r="P6">
        <v>17.3</v>
      </c>
      <c r="Q6">
        <v>82.9</v>
      </c>
      <c r="R6">
        <v>0.6</v>
      </c>
      <c r="S6">
        <v>16.5</v>
      </c>
      <c r="T6">
        <v>67.5</v>
      </c>
      <c r="U6">
        <v>0.2</v>
      </c>
      <c r="V6">
        <v>32.299999999999997</v>
      </c>
      <c r="W6">
        <v>82.5</v>
      </c>
      <c r="X6">
        <v>0.8</v>
      </c>
      <c r="Y6">
        <v>16.7</v>
      </c>
      <c r="AC6">
        <v>570</v>
      </c>
      <c r="AD6">
        <v>3.9000000000000004</v>
      </c>
      <c r="AE6">
        <v>126.1</v>
      </c>
    </row>
    <row r="7" spans="1:31" x14ac:dyDescent="0.35">
      <c r="A7" s="388" t="s">
        <v>362</v>
      </c>
      <c r="B7">
        <v>84.6</v>
      </c>
      <c r="C7">
        <v>0.4</v>
      </c>
      <c r="D7">
        <v>15</v>
      </c>
      <c r="E7">
        <v>81.8</v>
      </c>
      <c r="F7">
        <v>0.2</v>
      </c>
      <c r="G7">
        <v>18</v>
      </c>
      <c r="K7">
        <v>65.5</v>
      </c>
      <c r="L7">
        <v>1</v>
      </c>
      <c r="M7">
        <v>33.5</v>
      </c>
      <c r="N7">
        <v>74.400000000000006</v>
      </c>
      <c r="O7">
        <v>0.6</v>
      </c>
      <c r="P7">
        <v>25</v>
      </c>
      <c r="Q7">
        <v>75</v>
      </c>
      <c r="R7">
        <v>0.6</v>
      </c>
      <c r="S7">
        <v>24.4</v>
      </c>
      <c r="T7">
        <v>62.7</v>
      </c>
      <c r="U7">
        <v>0.2</v>
      </c>
      <c r="V7">
        <v>37</v>
      </c>
      <c r="W7">
        <v>72.2</v>
      </c>
      <c r="X7">
        <v>0.8</v>
      </c>
      <c r="Y7">
        <v>27.1</v>
      </c>
      <c r="AC7">
        <v>516.19999999999993</v>
      </c>
      <c r="AD7">
        <v>3.8000000000000007</v>
      </c>
      <c r="AE7">
        <v>180</v>
      </c>
    </row>
    <row r="8" spans="1:31" x14ac:dyDescent="0.35">
      <c r="A8" s="388" t="s">
        <v>363</v>
      </c>
      <c r="B8">
        <v>89.7</v>
      </c>
      <c r="C8">
        <v>0.4</v>
      </c>
      <c r="D8">
        <v>9.8000000000000007</v>
      </c>
      <c r="E8">
        <v>80.900000000000006</v>
      </c>
      <c r="F8">
        <v>0.2</v>
      </c>
      <c r="G8">
        <v>18.899999999999999</v>
      </c>
      <c r="K8">
        <v>78.400000000000006</v>
      </c>
      <c r="L8">
        <v>1</v>
      </c>
      <c r="M8">
        <v>20.6</v>
      </c>
      <c r="N8">
        <v>80.099999999999994</v>
      </c>
      <c r="O8">
        <v>0.6</v>
      </c>
      <c r="P8">
        <v>19.3</v>
      </c>
      <c r="Q8">
        <v>81</v>
      </c>
      <c r="R8">
        <v>0.6</v>
      </c>
      <c r="S8">
        <v>18.399999999999999</v>
      </c>
      <c r="T8">
        <v>61.4</v>
      </c>
      <c r="U8">
        <v>0.5</v>
      </c>
      <c r="V8">
        <v>38.1</v>
      </c>
      <c r="W8">
        <v>81.2</v>
      </c>
      <c r="X8">
        <v>0.7</v>
      </c>
      <c r="Y8">
        <v>18</v>
      </c>
      <c r="AC8">
        <v>552.70000000000005</v>
      </c>
      <c r="AD8">
        <v>4</v>
      </c>
      <c r="AE8">
        <v>143.1</v>
      </c>
    </row>
    <row r="9" spans="1:31" x14ac:dyDescent="0.35">
      <c r="A9" s="388" t="s">
        <v>364</v>
      </c>
      <c r="B9">
        <v>49.3</v>
      </c>
      <c r="D9">
        <v>50.7</v>
      </c>
      <c r="E9">
        <v>69.599999999999994</v>
      </c>
      <c r="F9">
        <v>1.1000000000000001</v>
      </c>
      <c r="G9">
        <v>29.3</v>
      </c>
      <c r="K9">
        <v>55.2</v>
      </c>
      <c r="L9">
        <v>1</v>
      </c>
      <c r="M9">
        <v>43.8</v>
      </c>
      <c r="N9">
        <v>61.1</v>
      </c>
      <c r="O9">
        <v>0.8</v>
      </c>
      <c r="P9">
        <v>38.1</v>
      </c>
      <c r="Q9">
        <v>62.5</v>
      </c>
      <c r="R9">
        <v>0.8</v>
      </c>
      <c r="S9">
        <v>36.700000000000003</v>
      </c>
      <c r="T9">
        <v>30.1</v>
      </c>
      <c r="U9">
        <v>0.6</v>
      </c>
      <c r="V9">
        <v>69.400000000000006</v>
      </c>
      <c r="W9">
        <v>59.8</v>
      </c>
      <c r="X9">
        <v>0.6</v>
      </c>
      <c r="Y9">
        <v>39.6</v>
      </c>
      <c r="AC9">
        <v>387.6</v>
      </c>
      <c r="AD9">
        <v>4.8999999999999995</v>
      </c>
      <c r="AE9">
        <v>307.60000000000002</v>
      </c>
    </row>
    <row r="10" spans="1:31" x14ac:dyDescent="0.35">
      <c r="A10" s="388" t="s">
        <v>365</v>
      </c>
      <c r="B10">
        <v>63</v>
      </c>
      <c r="C10">
        <v>0.4</v>
      </c>
      <c r="D10">
        <v>36.5</v>
      </c>
      <c r="E10">
        <v>67</v>
      </c>
      <c r="F10">
        <v>0.1</v>
      </c>
      <c r="G10">
        <v>32.799999999999997</v>
      </c>
      <c r="K10">
        <v>53.7</v>
      </c>
      <c r="L10">
        <v>1.2</v>
      </c>
      <c r="M10">
        <v>45.1</v>
      </c>
      <c r="N10">
        <v>60.2</v>
      </c>
      <c r="O10">
        <v>0.5</v>
      </c>
      <c r="P10">
        <v>39.299999999999997</v>
      </c>
      <c r="Q10">
        <v>61.8</v>
      </c>
      <c r="R10">
        <v>0.5</v>
      </c>
      <c r="S10">
        <v>37.700000000000003</v>
      </c>
      <c r="T10">
        <v>26.7</v>
      </c>
      <c r="U10">
        <v>0.5</v>
      </c>
      <c r="V10">
        <v>72.8</v>
      </c>
      <c r="W10">
        <v>59.5</v>
      </c>
      <c r="X10">
        <v>0.6</v>
      </c>
      <c r="Y10">
        <v>39.9</v>
      </c>
      <c r="AC10">
        <v>391.9</v>
      </c>
      <c r="AD10">
        <v>3.8000000000000003</v>
      </c>
      <c r="AE10">
        <v>304.09999999999997</v>
      </c>
    </row>
    <row r="11" spans="1:31" x14ac:dyDescent="0.35">
      <c r="A11" s="388" t="s">
        <v>366</v>
      </c>
      <c r="B11">
        <v>64</v>
      </c>
      <c r="C11">
        <v>0.5</v>
      </c>
      <c r="D11">
        <v>35.5</v>
      </c>
      <c r="E11">
        <v>60</v>
      </c>
      <c r="F11">
        <v>0.6</v>
      </c>
      <c r="G11">
        <v>39.4</v>
      </c>
      <c r="K11">
        <v>53.4</v>
      </c>
      <c r="L11">
        <v>0.8</v>
      </c>
      <c r="M11">
        <v>45.8</v>
      </c>
      <c r="N11">
        <v>55.3</v>
      </c>
      <c r="O11">
        <v>0.6</v>
      </c>
      <c r="P11">
        <v>44.1</v>
      </c>
      <c r="Q11">
        <v>56.3</v>
      </c>
      <c r="R11">
        <v>0.6</v>
      </c>
      <c r="S11">
        <v>43.1</v>
      </c>
      <c r="T11">
        <v>32.5</v>
      </c>
      <c r="U11">
        <v>0.9</v>
      </c>
      <c r="V11">
        <v>66.7</v>
      </c>
      <c r="W11">
        <v>53.7</v>
      </c>
      <c r="X11">
        <v>0.5</v>
      </c>
      <c r="Y11">
        <v>45.7</v>
      </c>
      <c r="AC11">
        <v>375.2</v>
      </c>
      <c r="AD11">
        <v>4.5</v>
      </c>
      <c r="AE11">
        <v>320.3</v>
      </c>
    </row>
    <row r="12" spans="1:31" x14ac:dyDescent="0.35">
      <c r="A12" s="388" t="s">
        <v>341</v>
      </c>
      <c r="B12">
        <v>55.8</v>
      </c>
      <c r="C12">
        <v>0.6</v>
      </c>
      <c r="D12">
        <v>43.6</v>
      </c>
      <c r="E12">
        <v>58</v>
      </c>
      <c r="F12">
        <v>0.6</v>
      </c>
      <c r="G12">
        <v>41.4</v>
      </c>
      <c r="K12">
        <v>53.9</v>
      </c>
      <c r="L12">
        <v>0.6</v>
      </c>
      <c r="M12">
        <v>45.5</v>
      </c>
      <c r="N12">
        <v>53.7</v>
      </c>
      <c r="O12">
        <v>0.6</v>
      </c>
      <c r="P12">
        <v>45.7</v>
      </c>
      <c r="Q12">
        <v>54.2</v>
      </c>
      <c r="R12">
        <v>0.6</v>
      </c>
      <c r="S12">
        <v>45.2</v>
      </c>
      <c r="T12">
        <v>42.7</v>
      </c>
      <c r="U12">
        <v>0.3</v>
      </c>
      <c r="V12">
        <v>57</v>
      </c>
      <c r="W12">
        <v>51.2</v>
      </c>
      <c r="X12">
        <v>0.5</v>
      </c>
      <c r="Y12">
        <v>48.3</v>
      </c>
      <c r="AC12">
        <v>369.49999999999994</v>
      </c>
      <c r="AD12">
        <v>3.8</v>
      </c>
      <c r="AE12">
        <v>326.7</v>
      </c>
    </row>
    <row r="13" spans="1:31" x14ac:dyDescent="0.35">
      <c r="A13" s="388" t="s">
        <v>342</v>
      </c>
      <c r="B13">
        <v>52.9</v>
      </c>
      <c r="C13">
        <v>0.5</v>
      </c>
      <c r="D13">
        <v>46.6</v>
      </c>
      <c r="E13">
        <v>65.900000000000006</v>
      </c>
      <c r="F13">
        <v>1.2</v>
      </c>
      <c r="G13">
        <v>32.9</v>
      </c>
      <c r="K13">
        <v>61.2</v>
      </c>
      <c r="L13">
        <v>1.4</v>
      </c>
      <c r="M13">
        <v>37.4</v>
      </c>
      <c r="N13">
        <v>59.2</v>
      </c>
      <c r="O13">
        <v>1.2</v>
      </c>
      <c r="P13">
        <v>39.6</v>
      </c>
      <c r="Q13">
        <v>60.2</v>
      </c>
      <c r="R13">
        <v>1.2</v>
      </c>
      <c r="S13">
        <v>38.6</v>
      </c>
      <c r="T13">
        <v>37.299999999999997</v>
      </c>
      <c r="U13">
        <v>0.6</v>
      </c>
      <c r="V13">
        <v>62</v>
      </c>
      <c r="W13">
        <v>55.7</v>
      </c>
      <c r="X13">
        <v>1.2</v>
      </c>
      <c r="Y13">
        <v>43.1</v>
      </c>
      <c r="AC13">
        <v>392.4</v>
      </c>
      <c r="AD13">
        <v>7.3</v>
      </c>
      <c r="AE13">
        <v>300.20000000000005</v>
      </c>
    </row>
    <row r="14" spans="1:31" x14ac:dyDescent="0.35">
      <c r="A14" s="388" t="s">
        <v>214</v>
      </c>
      <c r="B14">
        <v>53.623188405797109</v>
      </c>
      <c r="C14">
        <v>0.96618357487922701</v>
      </c>
      <c r="D14">
        <v>45.410628019323674</v>
      </c>
      <c r="E14">
        <v>67.558415171012527</v>
      </c>
      <c r="F14">
        <v>1.1175076193701321</v>
      </c>
      <c r="G14">
        <v>31.324077209617339</v>
      </c>
      <c r="K14">
        <v>68.055555555555557</v>
      </c>
      <c r="L14">
        <v>1.7676767676767675</v>
      </c>
      <c r="M14">
        <v>30.176767676767675</v>
      </c>
      <c r="N14">
        <v>62.699215785479382</v>
      </c>
      <c r="O14">
        <v>1.2142676448267138</v>
      </c>
      <c r="P14">
        <v>36.086516569693906</v>
      </c>
      <c r="Q14">
        <v>63.802872578732369</v>
      </c>
      <c r="R14">
        <v>1.2386348662537885</v>
      </c>
      <c r="S14">
        <v>34.958492555013834</v>
      </c>
      <c r="T14">
        <v>36.277602523659311</v>
      </c>
      <c r="U14">
        <v>0.63091482649842268</v>
      </c>
      <c r="V14">
        <v>63.09148264984227</v>
      </c>
      <c r="W14">
        <v>60.406928787462199</v>
      </c>
      <c r="X14">
        <v>1.2372834753918065</v>
      </c>
      <c r="Y14">
        <v>38.355787737146002</v>
      </c>
      <c r="AC14">
        <v>412.42377880769851</v>
      </c>
      <c r="AD14">
        <v>8.1724687748968563</v>
      </c>
      <c r="AE14">
        <v>279.40375241740469</v>
      </c>
    </row>
    <row r="15" spans="1:31" x14ac:dyDescent="0.35">
      <c r="A15" s="388" t="s">
        <v>313</v>
      </c>
      <c r="B15">
        <v>53.191489361702125</v>
      </c>
      <c r="C15">
        <v>1.0638297872340425</v>
      </c>
      <c r="D15">
        <v>45.744680851063826</v>
      </c>
      <c r="E15">
        <v>63.534218590398361</v>
      </c>
      <c r="F15">
        <v>1.0554988083077972</v>
      </c>
      <c r="G15">
        <v>35.410282601293837</v>
      </c>
      <c r="H15">
        <v>86.111111111111114</v>
      </c>
      <c r="J15">
        <v>13.888888888888889</v>
      </c>
      <c r="K15">
        <v>66.992665036674808</v>
      </c>
      <c r="L15">
        <v>1.5892420537897312</v>
      </c>
      <c r="M15">
        <v>31.418092909535449</v>
      </c>
      <c r="N15">
        <v>61.197982345523329</v>
      </c>
      <c r="O15">
        <v>1.1727616645649432</v>
      </c>
      <c r="P15">
        <v>37.629255989911726</v>
      </c>
      <c r="Q15">
        <v>62.298095863427449</v>
      </c>
      <c r="R15">
        <v>1.1950098489822718</v>
      </c>
      <c r="S15">
        <v>36.506894287590278</v>
      </c>
      <c r="T15">
        <v>34.603174603174601</v>
      </c>
      <c r="U15">
        <v>0.63492063492063489</v>
      </c>
      <c r="V15">
        <v>64.761904761904759</v>
      </c>
      <c r="W15">
        <v>60.478547854785482</v>
      </c>
      <c r="X15">
        <v>1.2376237623762376</v>
      </c>
      <c r="Y15">
        <v>38.283828382838287</v>
      </c>
      <c r="AC15">
        <v>488.40728476679726</v>
      </c>
      <c r="AD15">
        <v>7.9488865601756586</v>
      </c>
      <c r="AE15">
        <v>303.64382867302703</v>
      </c>
    </row>
    <row r="16" spans="1:31" x14ac:dyDescent="0.35">
      <c r="A16" s="388" t="s">
        <v>319</v>
      </c>
      <c r="B16">
        <v>56.593406593406591</v>
      </c>
      <c r="C16">
        <v>1.098901098901099</v>
      </c>
      <c r="D16">
        <v>42.307692307692307</v>
      </c>
      <c r="E16">
        <v>61.142061281337043</v>
      </c>
      <c r="F16">
        <v>0.94011142061281339</v>
      </c>
      <c r="G16">
        <v>37.917827298050142</v>
      </c>
      <c r="H16">
        <v>87.037037037037038</v>
      </c>
      <c r="I16">
        <v>1.8518518518518516</v>
      </c>
      <c r="J16">
        <v>11.111111111111111</v>
      </c>
      <c r="K16">
        <v>66.746411483253581</v>
      </c>
      <c r="L16">
        <v>1.7942583732057416</v>
      </c>
      <c r="M16">
        <v>31.459330143540669</v>
      </c>
      <c r="N16">
        <v>60.094496232920449</v>
      </c>
      <c r="O16">
        <v>1.2131273145192185</v>
      </c>
      <c r="P16">
        <v>38.692376452560339</v>
      </c>
      <c r="Q16">
        <v>61.091923485653567</v>
      </c>
      <c r="R16">
        <v>1.2353878852284803</v>
      </c>
      <c r="S16">
        <v>37.672688629117964</v>
      </c>
      <c r="T16">
        <v>35.313531353135311</v>
      </c>
      <c r="U16">
        <v>0.66006600660066006</v>
      </c>
      <c r="V16">
        <v>64.026402640264024</v>
      </c>
      <c r="W16">
        <v>59.5703125</v>
      </c>
      <c r="X16">
        <v>1.3392857142857142</v>
      </c>
      <c r="Y16">
        <v>39.090401785714285</v>
      </c>
      <c r="AC16">
        <v>487.58917996674359</v>
      </c>
      <c r="AD16">
        <v>10.132989665205578</v>
      </c>
      <c r="AE16">
        <v>302.27783036805084</v>
      </c>
    </row>
    <row r="17" spans="1:31" x14ac:dyDescent="0.35">
      <c r="A17" s="388" t="s">
        <v>321</v>
      </c>
      <c r="B17">
        <v>55.932203389830505</v>
      </c>
      <c r="C17">
        <v>2.2598870056497176</v>
      </c>
      <c r="D17">
        <v>41.807909604519772</v>
      </c>
      <c r="E17">
        <v>58.819268381021374</v>
      </c>
      <c r="F17">
        <v>0.94168779427743576</v>
      </c>
      <c r="G17">
        <v>40.239043824701191</v>
      </c>
      <c r="H17">
        <v>88.679245283018872</v>
      </c>
      <c r="I17">
        <v>1.8867924528301887</v>
      </c>
      <c r="J17">
        <v>9.433962264150944</v>
      </c>
      <c r="K17">
        <v>63.163481953290869</v>
      </c>
      <c r="L17">
        <v>2.335456475583864</v>
      </c>
      <c r="M17">
        <v>34.501061571125263</v>
      </c>
      <c r="N17">
        <v>58.402449917060096</v>
      </c>
      <c r="O17">
        <v>1.327038407553911</v>
      </c>
      <c r="P17">
        <v>40.27051167538599</v>
      </c>
      <c r="Q17">
        <v>59.304812834224599</v>
      </c>
      <c r="R17">
        <v>1.3636363636363635</v>
      </c>
      <c r="S17">
        <v>39.331550802139034</v>
      </c>
      <c r="T17">
        <v>36.823104693140799</v>
      </c>
      <c r="U17">
        <v>0.72202166064981954</v>
      </c>
      <c r="V17">
        <v>62.454873646209386</v>
      </c>
      <c r="W17">
        <v>58.387369608119535</v>
      </c>
      <c r="X17">
        <v>1.381449111925571</v>
      </c>
      <c r="Y17">
        <v>40.231181279954889</v>
      </c>
      <c r="AC17">
        <v>479.51193605970661</v>
      </c>
      <c r="AD17">
        <v>12.21796927210687</v>
      </c>
      <c r="AE17">
        <v>308.27009466818646</v>
      </c>
    </row>
    <row r="18" spans="1:31" x14ac:dyDescent="0.35">
      <c r="A18" s="388" t="s">
        <v>326</v>
      </c>
      <c r="B18">
        <v>52.298850574712638</v>
      </c>
      <c r="C18">
        <v>2.2988505747126435</v>
      </c>
      <c r="D18">
        <v>45.402298850574709</v>
      </c>
      <c r="E18">
        <v>55.190058479532169</v>
      </c>
      <c r="F18">
        <v>1.0599415204678362</v>
      </c>
      <c r="G18">
        <v>43.75</v>
      </c>
      <c r="H18">
        <v>88.888888888888886</v>
      </c>
      <c r="I18">
        <v>1.8518518518518516</v>
      </c>
      <c r="J18">
        <v>9.2592592592592595</v>
      </c>
      <c r="K18">
        <v>60.799136069114468</v>
      </c>
      <c r="L18">
        <v>2.2678185745140391</v>
      </c>
      <c r="M18">
        <v>36.933045356371494</v>
      </c>
      <c r="N18">
        <v>55.432969852469526</v>
      </c>
      <c r="O18">
        <v>1.308531109685696</v>
      </c>
      <c r="P18">
        <v>43.258499037844771</v>
      </c>
      <c r="Q18">
        <v>56.313301823092509</v>
      </c>
      <c r="R18">
        <v>1.3639432815665091</v>
      </c>
      <c r="S18">
        <v>42.322754895340985</v>
      </c>
      <c r="T18">
        <v>36.84210526315789</v>
      </c>
      <c r="U18">
        <v>0.37593984962406013</v>
      </c>
      <c r="V18">
        <v>62.781954887218049</v>
      </c>
      <c r="W18">
        <v>55.704125177809395</v>
      </c>
      <c r="X18">
        <v>1.3086770981507825</v>
      </c>
      <c r="Y18">
        <v>42.987197724039831</v>
      </c>
      <c r="AC18">
        <v>461.46943612877737</v>
      </c>
      <c r="AD18">
        <v>11.83555386057342</v>
      </c>
      <c r="AE18">
        <v>326.69501001064913</v>
      </c>
    </row>
    <row r="19" spans="1:31" x14ac:dyDescent="0.35">
      <c r="A19" s="388" t="s">
        <v>327</v>
      </c>
      <c r="B19">
        <v>51.445086705202314</v>
      </c>
      <c r="C19">
        <v>2.3121387283236992</v>
      </c>
      <c r="D19">
        <v>46.24277456647399</v>
      </c>
      <c r="E19">
        <v>50.994108983799705</v>
      </c>
      <c r="F19">
        <v>0.81001472754050086</v>
      </c>
      <c r="G19">
        <v>48.195876288659797</v>
      </c>
      <c r="H19">
        <v>88.888888888888886</v>
      </c>
      <c r="I19">
        <v>1.8518518518518516</v>
      </c>
      <c r="J19">
        <v>9.2592592592592595</v>
      </c>
      <c r="K19">
        <v>58.681318681318686</v>
      </c>
      <c r="L19">
        <v>2.197802197802198</v>
      </c>
      <c r="M19">
        <v>39.120879120879124</v>
      </c>
      <c r="N19">
        <v>52.832879553999746</v>
      </c>
      <c r="O19">
        <v>1.1798262673408531</v>
      </c>
      <c r="P19">
        <v>45.987294178659404</v>
      </c>
      <c r="Q19">
        <v>53.749143248800543</v>
      </c>
      <c r="R19">
        <v>1.233721727210418</v>
      </c>
      <c r="S19">
        <v>45.017135023989034</v>
      </c>
      <c r="T19">
        <v>35.555555555555557</v>
      </c>
      <c r="U19">
        <v>0.37037037037037041</v>
      </c>
      <c r="V19">
        <v>64.074074074074076</v>
      </c>
      <c r="W19">
        <v>54.183614177803605</v>
      </c>
      <c r="X19">
        <v>1.2492736780941311</v>
      </c>
      <c r="Y19">
        <v>44.567112144102268</v>
      </c>
      <c r="AC19">
        <v>446.33059579536905</v>
      </c>
      <c r="AD19">
        <v>11.204999548534021</v>
      </c>
      <c r="AE19">
        <v>342.46440465609697</v>
      </c>
    </row>
    <row r="20" spans="1:31" x14ac:dyDescent="0.35">
      <c r="A20" s="388" t="s">
        <v>466</v>
      </c>
      <c r="B20">
        <v>47.97687861271676</v>
      </c>
      <c r="C20">
        <v>2.3121387283236992</v>
      </c>
      <c r="D20">
        <v>49.710982658959537</v>
      </c>
      <c r="E20">
        <v>47.877445551864156</v>
      </c>
      <c r="F20">
        <v>0.73827980804724991</v>
      </c>
      <c r="G20">
        <v>51.384274640088591</v>
      </c>
      <c r="H20">
        <v>85.245901639344254</v>
      </c>
      <c r="I20">
        <v>1.639344262295082</v>
      </c>
      <c r="J20">
        <v>13.114754098360656</v>
      </c>
      <c r="K20">
        <v>56.342494714587744</v>
      </c>
      <c r="L20">
        <v>2.2198731501057085</v>
      </c>
      <c r="M20">
        <v>41.437632135306551</v>
      </c>
      <c r="N20">
        <v>50.148253190666495</v>
      </c>
      <c r="O20">
        <v>1.1731339435348718</v>
      </c>
      <c r="P20">
        <v>48.678612865798634</v>
      </c>
      <c r="Q20">
        <v>51.036269430051817</v>
      </c>
      <c r="R20">
        <v>1.2135260430869921</v>
      </c>
      <c r="S20">
        <v>47.750204526861197</v>
      </c>
      <c r="T20">
        <v>34.065934065934066</v>
      </c>
      <c r="U20">
        <v>0.36630036630036628</v>
      </c>
      <c r="V20">
        <v>65.567765567765562</v>
      </c>
      <c r="W20">
        <v>51.611030478955009</v>
      </c>
      <c r="X20">
        <v>1.2481857764876634</v>
      </c>
      <c r="Y20">
        <v>47.140783744557332</v>
      </c>
      <c r="AC20">
        <v>424.30420768412034</v>
      </c>
      <c r="AD20">
        <v>10.910782078181633</v>
      </c>
      <c r="AE20">
        <v>364.78501023769803</v>
      </c>
    </row>
    <row r="21" spans="1:31" x14ac:dyDescent="0.35">
      <c r="A21" s="388" t="s">
        <v>357</v>
      </c>
      <c r="B21">
        <v>920.96110364336812</v>
      </c>
      <c r="C21">
        <v>15.511929498024129</v>
      </c>
      <c r="D21">
        <v>563.32696685860776</v>
      </c>
      <c r="E21">
        <v>972.01557643896535</v>
      </c>
      <c r="F21">
        <v>10.863041698623768</v>
      </c>
      <c r="G21">
        <v>517.02138186241086</v>
      </c>
      <c r="H21">
        <v>524.85107284828905</v>
      </c>
      <c r="I21">
        <v>9.0816922706808256</v>
      </c>
      <c r="J21">
        <v>66.067234881030117</v>
      </c>
      <c r="K21">
        <v>942.78106349379561</v>
      </c>
      <c r="L21">
        <v>22.27212759267805</v>
      </c>
      <c r="M21">
        <v>534.94680891352618</v>
      </c>
      <c r="N21">
        <v>926.90824687811903</v>
      </c>
      <c r="O21">
        <v>14.088686352026206</v>
      </c>
      <c r="P21">
        <v>559.00306676985474</v>
      </c>
      <c r="Q21">
        <v>941.49641926398272</v>
      </c>
      <c r="R21">
        <v>14.343860015964822</v>
      </c>
      <c r="S21">
        <v>544.15972072005241</v>
      </c>
      <c r="T21">
        <v>610.38100805775741</v>
      </c>
      <c r="U21">
        <v>7.5605337149643326</v>
      </c>
      <c r="V21">
        <v>882.05845822727804</v>
      </c>
      <c r="W21">
        <v>916.14192858493527</v>
      </c>
      <c r="X21">
        <v>14.701778616711906</v>
      </c>
      <c r="Y21">
        <v>569.05629279835296</v>
      </c>
      <c r="AC21">
        <v>6755.536419209212</v>
      </c>
      <c r="AD21">
        <v>108.42364975967405</v>
      </c>
      <c r="AE21">
        <v>4235.6399310311135</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9">
    <tabColor theme="9" tint="0.39997558519241921"/>
    <pageSetUpPr fitToPage="1"/>
  </sheetPr>
  <dimension ref="A1:Y29"/>
  <sheetViews>
    <sheetView showGridLines="0" zoomScaleNormal="100" workbookViewId="0">
      <pane ySplit="2" topLeftCell="A3" activePane="bottomLeft" state="frozen"/>
      <selection pane="bottomLeft" sqref="A1:C1"/>
    </sheetView>
  </sheetViews>
  <sheetFormatPr defaultColWidth="9.1796875" defaultRowHeight="14" x14ac:dyDescent="0.3"/>
  <cols>
    <col min="1" max="1" width="17.1796875" style="333" customWidth="1"/>
    <col min="2" max="25" width="8.81640625" style="333" customWidth="1"/>
    <col min="26" max="16384" width="9.1796875" style="333"/>
  </cols>
  <sheetData>
    <row r="1" spans="1:25" ht="15.5" x14ac:dyDescent="0.3">
      <c r="A1" s="1011" t="s">
        <v>513</v>
      </c>
      <c r="B1" s="1011"/>
      <c r="C1" s="1011"/>
    </row>
    <row r="2" spans="1:25" ht="14.5" x14ac:dyDescent="0.35">
      <c r="A2" s="499" t="s">
        <v>201</v>
      </c>
      <c r="B2"/>
      <c r="C2"/>
    </row>
    <row r="4" spans="1:25" ht="30" customHeight="1" x14ac:dyDescent="0.3">
      <c r="A4" s="1047" t="s">
        <v>828</v>
      </c>
      <c r="B4" s="1047"/>
      <c r="C4" s="1047"/>
      <c r="D4" s="1047"/>
      <c r="E4" s="1047"/>
      <c r="F4" s="1047"/>
      <c r="G4" s="1047"/>
      <c r="H4" s="1047"/>
      <c r="I4" s="1047"/>
      <c r="J4" s="1047"/>
      <c r="K4" s="1047"/>
      <c r="L4" s="1047"/>
      <c r="M4" s="1047"/>
      <c r="N4" s="1047"/>
      <c r="O4" s="1047"/>
      <c r="P4" s="1047"/>
      <c r="Q4" s="1047"/>
      <c r="R4" s="1047"/>
      <c r="S4" s="1047"/>
      <c r="T4" s="1047"/>
      <c r="U4" s="1047"/>
      <c r="V4" s="1047"/>
      <c r="W4" s="1047"/>
      <c r="X4" s="1047"/>
      <c r="Y4" s="1047"/>
    </row>
    <row r="5" spans="1:25" ht="15" customHeight="1" x14ac:dyDescent="0.35">
      <c r="A5" t="s">
        <v>202</v>
      </c>
      <c r="B5" t="s">
        <v>98</v>
      </c>
      <c r="C5" s="426"/>
      <c r="D5" s="426"/>
      <c r="E5" s="426"/>
      <c r="F5" s="426"/>
      <c r="G5" s="426"/>
      <c r="H5" s="426"/>
      <c r="I5" s="426"/>
      <c r="J5" s="426"/>
      <c r="K5" s="426"/>
      <c r="L5" s="426"/>
      <c r="M5" s="426"/>
      <c r="N5" s="426"/>
      <c r="O5" s="426"/>
      <c r="P5" s="426"/>
      <c r="Q5" s="426"/>
      <c r="R5" s="426"/>
      <c r="S5" s="426"/>
      <c r="T5" s="426"/>
      <c r="U5" s="426"/>
      <c r="V5" s="426"/>
      <c r="W5" s="426"/>
      <c r="X5" s="426"/>
      <c r="Y5" s="426"/>
    </row>
    <row r="6" spans="1:25" ht="15" customHeight="1" x14ac:dyDescent="0.35">
      <c r="A6" t="s">
        <v>203</v>
      </c>
      <c r="B6" t="s">
        <v>204</v>
      </c>
      <c r="C6" s="426"/>
      <c r="D6" s="426"/>
      <c r="E6" s="426"/>
      <c r="F6" s="426"/>
      <c r="G6" s="426"/>
      <c r="H6" s="426"/>
      <c r="I6" s="426"/>
      <c r="J6" s="426"/>
      <c r="K6" s="426"/>
      <c r="L6" s="426"/>
      <c r="M6" s="426"/>
      <c r="N6" s="426"/>
      <c r="O6" s="426"/>
      <c r="P6" s="426"/>
      <c r="Q6" s="426"/>
      <c r="R6" s="426"/>
      <c r="S6" s="426"/>
      <c r="T6" s="426"/>
      <c r="U6" s="426"/>
      <c r="V6" s="426"/>
      <c r="W6" s="426"/>
      <c r="X6" s="426"/>
      <c r="Y6" s="426"/>
    </row>
    <row r="7" spans="1:25" ht="15" customHeight="1" x14ac:dyDescent="0.35">
      <c r="A7" t="s">
        <v>205</v>
      </c>
      <c r="B7" t="s">
        <v>206</v>
      </c>
      <c r="C7" s="426"/>
      <c r="D7" s="426"/>
      <c r="E7" s="426"/>
      <c r="F7" s="426"/>
      <c r="G7" s="426"/>
      <c r="H7" s="426"/>
      <c r="I7" s="426"/>
      <c r="J7" s="426"/>
      <c r="K7" s="426"/>
      <c r="L7" s="426"/>
      <c r="M7" s="426"/>
      <c r="N7" s="426"/>
      <c r="O7" s="426"/>
      <c r="P7" s="426"/>
      <c r="Q7" s="426"/>
      <c r="R7" s="426"/>
      <c r="S7" s="426"/>
      <c r="T7" s="426"/>
      <c r="U7" s="426"/>
      <c r="V7" s="426"/>
      <c r="W7" s="426"/>
      <c r="X7" s="426"/>
      <c r="Y7" s="426"/>
    </row>
    <row r="8" spans="1:25" ht="15" customHeight="1" x14ac:dyDescent="0.35">
      <c r="A8"/>
      <c r="B8"/>
      <c r="C8" s="426"/>
      <c r="D8" s="426"/>
      <c r="E8" s="426"/>
      <c r="F8" s="426"/>
      <c r="G8" s="426"/>
      <c r="H8" s="426"/>
      <c r="I8" s="426"/>
      <c r="J8" s="426"/>
      <c r="K8" s="426"/>
      <c r="L8" s="426"/>
      <c r="M8" s="426"/>
      <c r="N8" s="426"/>
      <c r="O8" s="426"/>
      <c r="P8" s="426"/>
      <c r="Q8" s="426"/>
      <c r="R8" s="426"/>
      <c r="S8" s="426"/>
      <c r="T8" s="426"/>
      <c r="U8" s="426"/>
      <c r="V8" s="426"/>
      <c r="W8" s="426"/>
      <c r="X8" s="426"/>
      <c r="Y8" s="426"/>
    </row>
    <row r="9" spans="1:25" ht="27" customHeight="1" x14ac:dyDescent="0.3">
      <c r="A9" s="172"/>
      <c r="B9" s="1048" t="s">
        <v>515</v>
      </c>
      <c r="C9" s="1048"/>
      <c r="D9" s="1048"/>
      <c r="E9" s="1048" t="s">
        <v>361</v>
      </c>
      <c r="F9" s="1048"/>
      <c r="G9" s="1048"/>
      <c r="H9" s="1049" t="s">
        <v>516</v>
      </c>
      <c r="I9" s="1049"/>
      <c r="J9" s="1049"/>
      <c r="K9" s="1048" t="s">
        <v>511</v>
      </c>
      <c r="L9" s="1048"/>
      <c r="M9" s="1048"/>
      <c r="N9" s="1048" t="s">
        <v>743</v>
      </c>
      <c r="O9" s="1048"/>
      <c r="P9" s="1048"/>
      <c r="Q9" s="1048" t="s">
        <v>339</v>
      </c>
      <c r="R9" s="1048"/>
      <c r="S9" s="1048"/>
      <c r="T9" s="1048" t="s">
        <v>340</v>
      </c>
      <c r="U9" s="1048"/>
      <c r="V9" s="1048"/>
      <c r="W9" s="1048" t="s">
        <v>829</v>
      </c>
      <c r="X9" s="1048"/>
      <c r="Y9" s="1048"/>
    </row>
    <row r="10" spans="1:25" ht="26" x14ac:dyDescent="0.3">
      <c r="A10" s="428" t="s">
        <v>207</v>
      </c>
      <c r="B10" s="634" t="s">
        <v>818</v>
      </c>
      <c r="C10" s="635" t="s">
        <v>819</v>
      </c>
      <c r="D10" s="636" t="s">
        <v>820</v>
      </c>
      <c r="E10" s="634" t="s">
        <v>818</v>
      </c>
      <c r="F10" s="635" t="s">
        <v>819</v>
      </c>
      <c r="G10" s="636" t="s">
        <v>820</v>
      </c>
      <c r="H10" s="634" t="s">
        <v>818</v>
      </c>
      <c r="I10" s="635" t="s">
        <v>819</v>
      </c>
      <c r="J10" s="636" t="s">
        <v>820</v>
      </c>
      <c r="K10" s="635" t="s">
        <v>818</v>
      </c>
      <c r="L10" s="635" t="s">
        <v>819</v>
      </c>
      <c r="M10" s="636" t="s">
        <v>820</v>
      </c>
      <c r="N10" s="634" t="s">
        <v>818</v>
      </c>
      <c r="O10" s="635" t="s">
        <v>819</v>
      </c>
      <c r="P10" s="636" t="s">
        <v>820</v>
      </c>
      <c r="Q10" s="634" t="s">
        <v>818</v>
      </c>
      <c r="R10" s="635" t="s">
        <v>819</v>
      </c>
      <c r="S10" s="636" t="s">
        <v>820</v>
      </c>
      <c r="T10" s="486" t="s">
        <v>818</v>
      </c>
      <c r="U10" s="174" t="s">
        <v>819</v>
      </c>
      <c r="V10" s="487" t="s">
        <v>820</v>
      </c>
      <c r="W10" s="486" t="s">
        <v>818</v>
      </c>
      <c r="X10" s="174" t="s">
        <v>819</v>
      </c>
      <c r="Y10" s="487" t="s">
        <v>820</v>
      </c>
    </row>
    <row r="11" spans="1:25" ht="15.65" customHeight="1" x14ac:dyDescent="0.3">
      <c r="A11" s="637" t="s">
        <v>362</v>
      </c>
      <c r="B11" s="639">
        <f>GETPIVOTDATA("Sum of White",EthnicityPivot!$A$3,"FisYr",A11,"Type","WT")</f>
        <v>72.2</v>
      </c>
      <c r="C11" s="639">
        <f>GETPIVOTDATA("Sum of Ethnic Minority",EthnicityPivot!$A$3,"FisYr",A11,"Type","WT")</f>
        <v>0.8</v>
      </c>
      <c r="D11" s="640">
        <f>GETPIVOTDATA("Sum of Not Stated",EthnicityPivot!$A$3,"FisYr",A11,"Type","WT")</f>
        <v>27.1</v>
      </c>
      <c r="E11" s="488">
        <f>GETPIVOTDATA("Sum of White",EthnicityPivot!$A$3,"FisYr",A11,"Type","RDS")</f>
        <v>81.8</v>
      </c>
      <c r="F11" s="488">
        <f>GETPIVOTDATA("Sum of Ethnic Minority",EthnicityPivot!$A$3,"FisYr",A11,"Type","RDS")</f>
        <v>0.2</v>
      </c>
      <c r="G11" s="489">
        <f>GETPIVOTDATA("Sum of Not Stated",EthnicityPivot!$A$3,"FisYr",A11,"Type","RDS")</f>
        <v>18</v>
      </c>
      <c r="H11" s="488"/>
      <c r="I11" s="488"/>
      <c r="J11" s="489"/>
      <c r="K11" s="311">
        <f>GETPIVOTDATA("Sum of White",EthnicityPivot!$A$3,"FisYr",A11,"Type","Control")</f>
        <v>84.6</v>
      </c>
      <c r="L11" s="311">
        <f>GETPIVOTDATA("Sum of Ethnic Minority",EthnicityPivot!$A$3,"FisYr",A11,"Type","Control")</f>
        <v>0.4</v>
      </c>
      <c r="M11" s="491">
        <f>GETPIVOTDATA("Sum of Not Stated",EthnicityPivot!$A$3,"FisYr",A11,"Type","Control")</f>
        <v>15</v>
      </c>
      <c r="N11" s="311">
        <f>GETPIVOTDATA("Sum of White",EthnicityPivot!$A$3,"FisYr",A11,"Type","Support")</f>
        <v>65.5</v>
      </c>
      <c r="O11" s="311">
        <f>GETPIVOTDATA("Sum of Ethnic Minority",EthnicityPivot!$A$3,"FisYr",A11,"Type","Support")</f>
        <v>1</v>
      </c>
      <c r="P11" s="491">
        <f>GETPIVOTDATA("Sum of Not Stated",EthnicityPivot!$A$3,"FisYr",A11,"Type","Support")</f>
        <v>33.5</v>
      </c>
      <c r="Q11" s="311">
        <f>GETPIVOTDATA("Sum of White",EthnicityPivot!$A$3,"FisYr",A11,"Type","Vol")</f>
        <v>62.7</v>
      </c>
      <c r="R11" s="311">
        <f>GETPIVOTDATA("Sum of Ethnic Minority",EthnicityPivot!$A$3,"FisYr",A11,"Type","Vol")</f>
        <v>0.2</v>
      </c>
      <c r="S11" s="491">
        <f>GETPIVOTDATA("Sum of Not Stated",EthnicityPivot!$A$3,"FisYr",A11,"Type","Vol")</f>
        <v>37</v>
      </c>
      <c r="T11" s="829">
        <f>GETPIVOTDATA("Sum of White",EthnicityPivot!$A$3,"FisYr",A11,"Type","Total")</f>
        <v>74.400000000000006</v>
      </c>
      <c r="U11" s="179">
        <f>GETPIVOTDATA("Sum of Ethnic Minority",EthnicityPivot!$A$3,"FisYr",A11,"Type","Total")</f>
        <v>0.6</v>
      </c>
      <c r="V11" s="831">
        <f>GETPIVOTDATA("Sum of Not Stated",EthnicityPivot!$A$3,"FisYr",A11,"Type","Total")</f>
        <v>25</v>
      </c>
      <c r="W11" s="830">
        <f>GETPIVOTDATA("Sum of White",EthnicityPivot!$A$3,"FisYr",A11,"Type","Total (ex Vol)")</f>
        <v>75</v>
      </c>
      <c r="X11" s="180">
        <f>GETPIVOTDATA("Sum of Ethnic Minority",EthnicityPivot!$A$3,"FisYr",A11,"Type","Total (ex Vol)")</f>
        <v>0.6</v>
      </c>
      <c r="Y11" s="493">
        <f>GETPIVOTDATA("Sum of Not Stated",EthnicityPivot!$A$3,"FisYr",A11,"Type","Total (ex Vol)")</f>
        <v>24.4</v>
      </c>
    </row>
    <row r="12" spans="1:25" ht="15" customHeight="1" x14ac:dyDescent="0.3">
      <c r="A12" s="638" t="s">
        <v>363</v>
      </c>
      <c r="B12" s="641">
        <f>GETPIVOTDATA("Sum of White",EthnicityPivot!$A$3,"FisYr",A12,"Type","WT")</f>
        <v>81.2</v>
      </c>
      <c r="C12" s="641">
        <f>GETPIVOTDATA("Sum of Ethnic Minority",EthnicityPivot!$A$3,"FisYr",A12,"Type","WT")</f>
        <v>0.7</v>
      </c>
      <c r="D12" s="642">
        <f>GETPIVOTDATA("Sum of Not Stated",EthnicityPivot!$A$3,"FisYr",A12,"Type","WT")</f>
        <v>18</v>
      </c>
      <c r="E12" s="828">
        <f>GETPIVOTDATA("Sum of White",EthnicityPivot!$A$3,"FisYr",A12,"Type","RDS")</f>
        <v>80.900000000000006</v>
      </c>
      <c r="F12" s="828">
        <f>GETPIVOTDATA("Sum of Ethnic Minority",EthnicityPivot!$A$3,"FisYr",A12,"Type","RDS")</f>
        <v>0.2</v>
      </c>
      <c r="G12" s="490">
        <f>GETPIVOTDATA("Sum of Not Stated",EthnicityPivot!$A$3,"FisYr",A12,"Type","RDS")</f>
        <v>18.899999999999999</v>
      </c>
      <c r="H12" s="828"/>
      <c r="I12" s="828"/>
      <c r="J12" s="490"/>
      <c r="K12" s="177">
        <f>GETPIVOTDATA("Sum of White",EthnicityPivot!$A$3,"FisYr",A12,"Type","Control")</f>
        <v>89.7</v>
      </c>
      <c r="L12" s="177">
        <f>GETPIVOTDATA("Sum of Ethnic Minority",EthnicityPivot!$A$3,"FisYr",A12,"Type","Control")</f>
        <v>0.4</v>
      </c>
      <c r="M12" s="492">
        <f>GETPIVOTDATA("Sum of Not Stated",EthnicityPivot!$A$3,"FisYr",A12,"Type","Control")</f>
        <v>9.8000000000000007</v>
      </c>
      <c r="N12" s="177">
        <f>GETPIVOTDATA("Sum of White",EthnicityPivot!$A$3,"FisYr",A12,"Type","Support")</f>
        <v>78.400000000000006</v>
      </c>
      <c r="O12" s="177">
        <f>GETPIVOTDATA("Sum of Ethnic Minority",EthnicityPivot!$A$3,"FisYr",A12,"Type","Support")</f>
        <v>1</v>
      </c>
      <c r="P12" s="492">
        <f>GETPIVOTDATA("Sum of Not Stated",EthnicityPivot!$A$3,"FisYr",A12,"Type","Support")</f>
        <v>20.6</v>
      </c>
      <c r="Q12" s="177">
        <f>GETPIVOTDATA("Sum of White",EthnicityPivot!$A$3,"FisYr",A12,"Type","Vol")</f>
        <v>61.4</v>
      </c>
      <c r="R12" s="177">
        <f>GETPIVOTDATA("Sum of Ethnic Minority",EthnicityPivot!$A$3,"FisYr",A12,"Type","Vol")</f>
        <v>0.5</v>
      </c>
      <c r="S12" s="492">
        <f>GETPIVOTDATA("Sum of Not Stated",EthnicityPivot!$A$3,"FisYr",A12,"Type","Vol")</f>
        <v>38.1</v>
      </c>
      <c r="T12" s="179">
        <f>GETPIVOTDATA("Sum of White",EthnicityPivot!$A$3,"FisYr",A12,"Type","Total")</f>
        <v>80.099999999999994</v>
      </c>
      <c r="U12" s="179">
        <f>GETPIVOTDATA("Sum of Ethnic Minority",EthnicityPivot!$A$3,"FisYr",A12,"Type","Total")</f>
        <v>0.6</v>
      </c>
      <c r="V12" s="681">
        <f>GETPIVOTDATA("Sum of Not Stated",EthnicityPivot!$A$3,"FisYr",A12,"Type","Total")</f>
        <v>19.3</v>
      </c>
      <c r="W12" s="180">
        <f>GETPIVOTDATA("Sum of White",EthnicityPivot!$A$3,"FisYr",A12,"Type","Total (ex Vol)")</f>
        <v>81</v>
      </c>
      <c r="X12" s="180">
        <f>GETPIVOTDATA("Sum of Ethnic Minority",EthnicityPivot!$A$3,"FisYr",A12,"Type","Total (ex Vol)")</f>
        <v>0.6</v>
      </c>
      <c r="Y12" s="494">
        <f>GETPIVOTDATA("Sum of Not Stated",EthnicityPivot!$A$3,"FisYr",A12,"Type","Total (ex Vol)")</f>
        <v>18.399999999999999</v>
      </c>
    </row>
    <row r="13" spans="1:25" ht="15" customHeight="1" x14ac:dyDescent="0.3">
      <c r="A13" s="638" t="s">
        <v>364</v>
      </c>
      <c r="B13" s="641">
        <f>GETPIVOTDATA("Sum of White",EthnicityPivot!$A$3,"FisYr",A13,"Type","WT")</f>
        <v>59.8</v>
      </c>
      <c r="C13" s="641">
        <f>GETPIVOTDATA("Sum of Ethnic Minority",EthnicityPivot!$A$3,"FisYr",A13,"Type","WT")</f>
        <v>0.6</v>
      </c>
      <c r="D13" s="642">
        <f>GETPIVOTDATA("Sum of Not Stated",EthnicityPivot!$A$3,"FisYr",A13,"Type","WT")</f>
        <v>39.6</v>
      </c>
      <c r="E13" s="828">
        <f>GETPIVOTDATA("Sum of White",EthnicityPivot!$A$3,"FisYr",A13,"Type","RDS")</f>
        <v>69.599999999999994</v>
      </c>
      <c r="F13" s="828">
        <f>GETPIVOTDATA("Sum of Ethnic Minority",EthnicityPivot!$A$3,"FisYr",A13,"Type","RDS")</f>
        <v>1.1000000000000001</v>
      </c>
      <c r="G13" s="490">
        <f>GETPIVOTDATA("Sum of Not Stated",EthnicityPivot!$A$3,"FisYr",A13,"Type","RDS")</f>
        <v>29.3</v>
      </c>
      <c r="H13" s="828"/>
      <c r="I13" s="828"/>
      <c r="J13" s="490"/>
      <c r="K13" s="177">
        <f>GETPIVOTDATA("Sum of White",EthnicityPivot!$A$3,"FisYr",A13,"Type","Control")</f>
        <v>49.3</v>
      </c>
      <c r="L13" s="177">
        <f>GETPIVOTDATA("Sum of Ethnic Minority",EthnicityPivot!$A$3,"FisYr",A13,"Type","Control")</f>
        <v>0</v>
      </c>
      <c r="M13" s="492">
        <f>GETPIVOTDATA("Sum of Not Stated",EthnicityPivot!$A$3,"FisYr",A13,"Type","Control")</f>
        <v>50.7</v>
      </c>
      <c r="N13" s="177">
        <f>GETPIVOTDATA("Sum of White",EthnicityPivot!$A$3,"FisYr",A13,"Type","Support")</f>
        <v>55.2</v>
      </c>
      <c r="O13" s="177">
        <f>GETPIVOTDATA("Sum of Ethnic Minority",EthnicityPivot!$A$3,"FisYr",A13,"Type","Support")</f>
        <v>1</v>
      </c>
      <c r="P13" s="492">
        <f>GETPIVOTDATA("Sum of Not Stated",EthnicityPivot!$A$3,"FisYr",A13,"Type","Support")</f>
        <v>43.8</v>
      </c>
      <c r="Q13" s="177">
        <f>GETPIVOTDATA("Sum of White",EthnicityPivot!$A$3,"FisYr",A13,"Type","Vol")</f>
        <v>30.1</v>
      </c>
      <c r="R13" s="177">
        <f>GETPIVOTDATA("Sum of Ethnic Minority",EthnicityPivot!$A$3,"FisYr",A13,"Type","Vol")</f>
        <v>0.6</v>
      </c>
      <c r="S13" s="492">
        <f>GETPIVOTDATA("Sum of Not Stated",EthnicityPivot!$A$3,"FisYr",A13,"Type","Vol")</f>
        <v>69.400000000000006</v>
      </c>
      <c r="T13" s="179">
        <f>GETPIVOTDATA("Sum of White",EthnicityPivot!$A$3,"FisYr",A13,"Type","Total")</f>
        <v>61.1</v>
      </c>
      <c r="U13" s="179">
        <f>GETPIVOTDATA("Sum of Ethnic Minority",EthnicityPivot!$A$3,"FisYr",A13,"Type","Total")</f>
        <v>0.8</v>
      </c>
      <c r="V13" s="681">
        <f>GETPIVOTDATA("Sum of Not Stated",EthnicityPivot!$A$3,"FisYr",A13,"Type","Total")</f>
        <v>38.1</v>
      </c>
      <c r="W13" s="180">
        <f>GETPIVOTDATA("Sum of White",EthnicityPivot!$A$3,"FisYr",A13,"Type","Total (ex Vol)")</f>
        <v>62.5</v>
      </c>
      <c r="X13" s="180">
        <f>GETPIVOTDATA("Sum of Ethnic Minority",EthnicityPivot!$A$3,"FisYr",A13,"Type","Total (ex Vol)")</f>
        <v>0.8</v>
      </c>
      <c r="Y13" s="494">
        <f>GETPIVOTDATA("Sum of Not Stated",EthnicityPivot!$A$3,"FisYr",A13,"Type","Total (ex Vol)")</f>
        <v>36.700000000000003</v>
      </c>
    </row>
    <row r="14" spans="1:25" ht="15" customHeight="1" x14ac:dyDescent="0.3">
      <c r="A14" s="638" t="s">
        <v>365</v>
      </c>
      <c r="B14" s="641">
        <f>GETPIVOTDATA("Sum of White",EthnicityPivot!$A$3,"FisYr",A14,"Type","WT")</f>
        <v>59.5</v>
      </c>
      <c r="C14" s="641">
        <f>GETPIVOTDATA("Sum of Ethnic Minority",EthnicityPivot!$A$3,"FisYr",A14,"Type","WT")</f>
        <v>0.6</v>
      </c>
      <c r="D14" s="642">
        <f>GETPIVOTDATA("Sum of Not Stated",EthnicityPivot!$A$3,"FisYr",A14,"Type","WT")</f>
        <v>39.9</v>
      </c>
      <c r="E14" s="828">
        <f>GETPIVOTDATA("Sum of White",EthnicityPivot!$A$3,"FisYr",A14,"Type","RDS")</f>
        <v>67</v>
      </c>
      <c r="F14" s="828">
        <f>GETPIVOTDATA("Sum of Ethnic Minority",EthnicityPivot!$A$3,"FisYr",A14,"Type","RDS")</f>
        <v>0.1</v>
      </c>
      <c r="G14" s="490">
        <f>GETPIVOTDATA("Sum of Not Stated",EthnicityPivot!$A$3,"FisYr",A14,"Type","RDS")</f>
        <v>32.799999999999997</v>
      </c>
      <c r="H14" s="828"/>
      <c r="I14" s="828"/>
      <c r="J14" s="490"/>
      <c r="K14" s="177">
        <f>GETPIVOTDATA("Sum of White",EthnicityPivot!$A$3,"FisYr",A14,"Type","Control")</f>
        <v>63</v>
      </c>
      <c r="L14" s="177">
        <f>GETPIVOTDATA("Sum of Ethnic Minority",EthnicityPivot!$A$3,"FisYr",A14,"Type","Control")</f>
        <v>0.4</v>
      </c>
      <c r="M14" s="492">
        <f>GETPIVOTDATA("Sum of Not Stated",EthnicityPivot!$A$3,"FisYr",A14,"Type","Control")</f>
        <v>36.5</v>
      </c>
      <c r="N14" s="177">
        <f>GETPIVOTDATA("Sum of White",EthnicityPivot!$A$3,"FisYr",A14,"Type","Support")</f>
        <v>53.7</v>
      </c>
      <c r="O14" s="177">
        <f>GETPIVOTDATA("Sum of Ethnic Minority",EthnicityPivot!$A$3,"FisYr",A14,"Type","Support")</f>
        <v>1.2</v>
      </c>
      <c r="P14" s="492">
        <f>GETPIVOTDATA("Sum of Not Stated",EthnicityPivot!$A$3,"FisYr",A14,"Type","Support")</f>
        <v>45.1</v>
      </c>
      <c r="Q14" s="177">
        <f>GETPIVOTDATA("Sum of White",EthnicityPivot!$A$3,"FisYr",A14,"Type","Vol")</f>
        <v>26.7</v>
      </c>
      <c r="R14" s="177">
        <f>GETPIVOTDATA("Sum of Ethnic Minority",EthnicityPivot!$A$3,"FisYr",A14,"Type","Vol")</f>
        <v>0.5</v>
      </c>
      <c r="S14" s="492">
        <f>GETPIVOTDATA("Sum of Not Stated",EthnicityPivot!$A$3,"FisYr",A14,"Type","Vol")</f>
        <v>72.8</v>
      </c>
      <c r="T14" s="179">
        <f>GETPIVOTDATA("Sum of White",EthnicityPivot!$A$3,"FisYr",A14,"Type","Total")</f>
        <v>60.2</v>
      </c>
      <c r="U14" s="179">
        <f>GETPIVOTDATA("Sum of Ethnic Minority",EthnicityPivot!$A$3,"FisYr",A14,"Type","Total")</f>
        <v>0.5</v>
      </c>
      <c r="V14" s="681">
        <f>GETPIVOTDATA("Sum of Not Stated",EthnicityPivot!$A$3,"FisYr",A14,"Type","Total")</f>
        <v>39.299999999999997</v>
      </c>
      <c r="W14" s="180">
        <f>GETPIVOTDATA("Sum of White",EthnicityPivot!$A$3,"FisYr",A14,"Type","Total (ex Vol)")</f>
        <v>61.8</v>
      </c>
      <c r="X14" s="180">
        <f>GETPIVOTDATA("Sum of Ethnic Minority",EthnicityPivot!$A$3,"FisYr",A14,"Type","Total (ex Vol)")</f>
        <v>0.5</v>
      </c>
      <c r="Y14" s="494">
        <f>GETPIVOTDATA("Sum of Not Stated",EthnicityPivot!$A$3,"FisYr",A14,"Type","Total (ex Vol)")</f>
        <v>37.700000000000003</v>
      </c>
    </row>
    <row r="15" spans="1:25" ht="15" customHeight="1" x14ac:dyDescent="0.3">
      <c r="A15" s="638" t="s">
        <v>366</v>
      </c>
      <c r="B15" s="641">
        <f>GETPIVOTDATA("Sum of White",EthnicityPivot!$A$3,"FisYr",A15,"Type","WT")</f>
        <v>53.7</v>
      </c>
      <c r="C15" s="641">
        <f>GETPIVOTDATA("Sum of Ethnic Minority",EthnicityPivot!$A$3,"FisYr",A15,"Type","WT")</f>
        <v>0.5</v>
      </c>
      <c r="D15" s="642">
        <f>GETPIVOTDATA("Sum of Not Stated",EthnicityPivot!$A$3,"FisYr",A15,"Type","WT")</f>
        <v>45.7</v>
      </c>
      <c r="E15" s="828">
        <f>GETPIVOTDATA("Sum of White",EthnicityPivot!$A$3,"FisYr",A15,"Type","RDS")</f>
        <v>60</v>
      </c>
      <c r="F15" s="828">
        <f>GETPIVOTDATA("Sum of Ethnic Minority",EthnicityPivot!$A$3,"FisYr",A15,"Type","RDS")</f>
        <v>0.6</v>
      </c>
      <c r="G15" s="490">
        <f>GETPIVOTDATA("Sum of Not Stated",EthnicityPivot!$A$3,"FisYr",A15,"Type","RDS")</f>
        <v>39.4</v>
      </c>
      <c r="H15" s="828"/>
      <c r="I15" s="828"/>
      <c r="J15" s="490"/>
      <c r="K15" s="177">
        <f>GETPIVOTDATA("Sum of White",EthnicityPivot!$A$3,"FisYr",A15,"Type","Control")</f>
        <v>64</v>
      </c>
      <c r="L15" s="177">
        <f>GETPIVOTDATA("Sum of Ethnic Minority",EthnicityPivot!$A$3,"FisYr",A15,"Type","Control")</f>
        <v>0.5</v>
      </c>
      <c r="M15" s="492">
        <f>GETPIVOTDATA("Sum of Not Stated",EthnicityPivot!$A$3,"FisYr",A15,"Type","Control")</f>
        <v>35.5</v>
      </c>
      <c r="N15" s="177">
        <f>GETPIVOTDATA("Sum of White",EthnicityPivot!$A$3,"FisYr",A15,"Type","Support")</f>
        <v>53.4</v>
      </c>
      <c r="O15" s="177">
        <f>GETPIVOTDATA("Sum of Ethnic Minority",EthnicityPivot!$A$3,"FisYr",A15,"Type","Support")</f>
        <v>0.8</v>
      </c>
      <c r="P15" s="492">
        <f>GETPIVOTDATA("Sum of Not Stated",EthnicityPivot!$A$3,"FisYr",A15,"Type","Support")</f>
        <v>45.8</v>
      </c>
      <c r="Q15" s="177">
        <f>GETPIVOTDATA("Sum of White",EthnicityPivot!$A$3,"FisYr",A15,"Type","Vol")</f>
        <v>32.5</v>
      </c>
      <c r="R15" s="177">
        <f>GETPIVOTDATA("Sum of Ethnic Minority",EthnicityPivot!$A$3,"FisYr",A15,"Type","Vol")</f>
        <v>0.9</v>
      </c>
      <c r="S15" s="492">
        <f>GETPIVOTDATA("Sum of Not Stated",EthnicityPivot!$A$3,"FisYr",A15,"Type","Vol")</f>
        <v>66.7</v>
      </c>
      <c r="T15" s="179">
        <f>GETPIVOTDATA("Sum of White",EthnicityPivot!$A$3,"FisYr",A15,"Type","Total")</f>
        <v>55.3</v>
      </c>
      <c r="U15" s="179">
        <f>GETPIVOTDATA("Sum of Ethnic Minority",EthnicityPivot!$A$3,"FisYr",A15,"Type","Total")</f>
        <v>0.6</v>
      </c>
      <c r="V15" s="681">
        <f>GETPIVOTDATA("Sum of Not Stated",EthnicityPivot!$A$3,"FisYr",A15,"Type","Total")</f>
        <v>44.1</v>
      </c>
      <c r="W15" s="180">
        <f>GETPIVOTDATA("Sum of White",EthnicityPivot!$A$3,"FisYr",A15,"Type","Total (ex Vol)")</f>
        <v>56.3</v>
      </c>
      <c r="X15" s="180">
        <f>GETPIVOTDATA("Sum of Ethnic Minority",EthnicityPivot!$A$3,"FisYr",A15,"Type","Total (ex Vol)")</f>
        <v>0.6</v>
      </c>
      <c r="Y15" s="494">
        <f>GETPIVOTDATA("Sum of Not Stated",EthnicityPivot!$A$3,"FisYr",A15,"Type","Total (ex Vol)")</f>
        <v>43.1</v>
      </c>
    </row>
    <row r="16" spans="1:25" ht="15" customHeight="1" x14ac:dyDescent="0.3">
      <c r="A16" s="638" t="s">
        <v>341</v>
      </c>
      <c r="B16" s="641">
        <f>GETPIVOTDATA("Sum of White",EthnicityPivot!$A$3,"FisYr",A16,"Type","WT")</f>
        <v>51.2</v>
      </c>
      <c r="C16" s="641">
        <f>GETPIVOTDATA("Sum of Ethnic Minority",EthnicityPivot!$A$3,"FisYr",A16,"Type","WT")</f>
        <v>0.5</v>
      </c>
      <c r="D16" s="642">
        <f>GETPIVOTDATA("Sum of Not Stated",EthnicityPivot!$A$3,"FisYr",A16,"Type","WT")</f>
        <v>48.3</v>
      </c>
      <c r="E16" s="828">
        <f>GETPIVOTDATA("Sum of White",EthnicityPivot!$A$3,"FisYr",A16,"Type","RDS")</f>
        <v>58</v>
      </c>
      <c r="F16" s="828">
        <f>GETPIVOTDATA("Sum of Ethnic Minority",EthnicityPivot!$A$3,"FisYr",A16,"Type","RDS")</f>
        <v>0.6</v>
      </c>
      <c r="G16" s="490">
        <f>GETPIVOTDATA("Sum of Not Stated",EthnicityPivot!$A$3,"FisYr",A16,"Type","RDS")</f>
        <v>41.4</v>
      </c>
      <c r="H16" s="828"/>
      <c r="I16" s="828"/>
      <c r="J16" s="490"/>
      <c r="K16" s="177">
        <f>GETPIVOTDATA("Sum of White",EthnicityPivot!$A$3,"FisYr",A16,"Type","Control")</f>
        <v>55.8</v>
      </c>
      <c r="L16" s="177">
        <f>GETPIVOTDATA("Sum of Ethnic Minority",EthnicityPivot!$A$3,"FisYr",A16,"Type","Control")</f>
        <v>0.6</v>
      </c>
      <c r="M16" s="492">
        <f>GETPIVOTDATA("Sum of Not Stated",EthnicityPivot!$A$3,"FisYr",A16,"Type","Control")</f>
        <v>43.6</v>
      </c>
      <c r="N16" s="177">
        <f>GETPIVOTDATA("Sum of White",EthnicityPivot!$A$3,"FisYr",A16,"Type","Support")</f>
        <v>53.9</v>
      </c>
      <c r="O16" s="177">
        <f>GETPIVOTDATA("Sum of Ethnic Minority",EthnicityPivot!$A$3,"FisYr",A16,"Type","Support")</f>
        <v>0.6</v>
      </c>
      <c r="P16" s="492">
        <f>GETPIVOTDATA("Sum of Not Stated",EthnicityPivot!$A$3,"FisYr",A16,"Type","Support")</f>
        <v>45.5</v>
      </c>
      <c r="Q16" s="177">
        <f>GETPIVOTDATA("Sum of White",EthnicityPivot!$A$3,"FisYr",A16,"Type","Vol")</f>
        <v>42.7</v>
      </c>
      <c r="R16" s="177">
        <f>GETPIVOTDATA("Sum of Ethnic Minority",EthnicityPivot!$A$3,"FisYr",A16,"Type","Vol")</f>
        <v>0.3</v>
      </c>
      <c r="S16" s="492">
        <f>GETPIVOTDATA("Sum of Not Stated",EthnicityPivot!$A$3,"FisYr",A16,"Type","Vol")</f>
        <v>57</v>
      </c>
      <c r="T16" s="179">
        <f>GETPIVOTDATA("Sum of White",EthnicityPivot!$A$3,"FisYr",A16,"Type","Total")</f>
        <v>53.7</v>
      </c>
      <c r="U16" s="179">
        <f>GETPIVOTDATA("Sum of Ethnic Minority",EthnicityPivot!$A$3,"FisYr",A16,"Type","Total")</f>
        <v>0.6</v>
      </c>
      <c r="V16" s="681">
        <f>GETPIVOTDATA("Sum of Not Stated",EthnicityPivot!$A$3,"FisYr",A16,"Type","Total")</f>
        <v>45.7</v>
      </c>
      <c r="W16" s="180">
        <f>GETPIVOTDATA("Sum of White",EthnicityPivot!$A$3,"FisYr",A16,"Type","Total (ex Vol)")</f>
        <v>54.2</v>
      </c>
      <c r="X16" s="180">
        <f>GETPIVOTDATA("Sum of Ethnic Minority",EthnicityPivot!$A$3,"FisYr",A16,"Type","Total (ex Vol)")</f>
        <v>0.6</v>
      </c>
      <c r="Y16" s="494">
        <f>GETPIVOTDATA("Sum of Not Stated",EthnicityPivot!$A$3,"FisYr",A16,"Type","Total (ex Vol)")</f>
        <v>45.2</v>
      </c>
    </row>
    <row r="17" spans="1:25" ht="15" customHeight="1" x14ac:dyDescent="0.3">
      <c r="A17" s="638" t="s">
        <v>342</v>
      </c>
      <c r="B17" s="641">
        <f>GETPIVOTDATA("Sum of White",EthnicityPivot!$A$3,"FisYr",A17,"Type","WT")</f>
        <v>55.7</v>
      </c>
      <c r="C17" s="641">
        <f>GETPIVOTDATA("Sum of Ethnic Minority",EthnicityPivot!$A$3,"FisYr",A17,"Type","WT")</f>
        <v>1.2</v>
      </c>
      <c r="D17" s="642">
        <f>GETPIVOTDATA("Sum of Not Stated",EthnicityPivot!$A$3,"FisYr",A17,"Type","WT")</f>
        <v>43.1</v>
      </c>
      <c r="E17" s="828">
        <f>GETPIVOTDATA("Sum of White",EthnicityPivot!$A$3,"FisYr",A17,"Type","RDS")</f>
        <v>65.900000000000006</v>
      </c>
      <c r="F17" s="828">
        <f>GETPIVOTDATA("Sum of Ethnic Minority",EthnicityPivot!$A$3,"FisYr",A17,"Type","RDS")</f>
        <v>1.2</v>
      </c>
      <c r="G17" s="490">
        <f>GETPIVOTDATA("Sum of Not Stated",EthnicityPivot!$A$3,"FisYr",A17,"Type","RDS")</f>
        <v>32.9</v>
      </c>
      <c r="H17" s="828"/>
      <c r="I17" s="828"/>
      <c r="J17" s="490"/>
      <c r="K17" s="177">
        <f>GETPIVOTDATA("Sum of White",EthnicityPivot!$A$3,"FisYr",A17,"Type","Control")</f>
        <v>52.9</v>
      </c>
      <c r="L17" s="177">
        <f>GETPIVOTDATA("Sum of Ethnic Minority",EthnicityPivot!$A$3,"FisYr",A17,"Type","Control")</f>
        <v>0.5</v>
      </c>
      <c r="M17" s="492">
        <f>GETPIVOTDATA("Sum of Not Stated",EthnicityPivot!$A$3,"FisYr",A17,"Type","Control")</f>
        <v>46.6</v>
      </c>
      <c r="N17" s="177">
        <f>GETPIVOTDATA("Sum of White",EthnicityPivot!$A$3,"FisYr",A17,"Type","Support")</f>
        <v>61.2</v>
      </c>
      <c r="O17" s="177">
        <f>GETPIVOTDATA("Sum of Ethnic Minority",EthnicityPivot!$A$3,"FisYr",A17,"Type","Support")</f>
        <v>1.4</v>
      </c>
      <c r="P17" s="492">
        <f>GETPIVOTDATA("Sum of Not Stated",EthnicityPivot!$A$3,"FisYr",A17,"Type","Support")</f>
        <v>37.4</v>
      </c>
      <c r="Q17" s="177">
        <f>GETPIVOTDATA("Sum of White",EthnicityPivot!$A$3,"FisYr",A17,"Type","Vol")</f>
        <v>37.299999999999997</v>
      </c>
      <c r="R17" s="177">
        <f>GETPIVOTDATA("Sum of Ethnic Minority",EthnicityPivot!$A$3,"FisYr",A17,"Type","Vol")</f>
        <v>0.6</v>
      </c>
      <c r="S17" s="492">
        <f>GETPIVOTDATA("Sum of Not Stated",EthnicityPivot!$A$3,"FisYr",A17,"Type","Vol")</f>
        <v>62</v>
      </c>
      <c r="T17" s="179">
        <f>GETPIVOTDATA("Sum of White",EthnicityPivot!$A$3,"FisYr",A17,"Type","Total")</f>
        <v>59.2</v>
      </c>
      <c r="U17" s="179">
        <f>GETPIVOTDATA("Sum of Ethnic Minority",EthnicityPivot!$A$3,"FisYr",A17,"Type","Total")</f>
        <v>1.2</v>
      </c>
      <c r="V17" s="681">
        <f>GETPIVOTDATA("Sum of Not Stated",EthnicityPivot!$A$3,"FisYr",A17,"Type","Total")</f>
        <v>39.6</v>
      </c>
      <c r="W17" s="180">
        <f>GETPIVOTDATA("Sum of White",EthnicityPivot!$A$3,"FisYr",A17,"Type","Total (ex Vol)")</f>
        <v>60.2</v>
      </c>
      <c r="X17" s="180">
        <f>GETPIVOTDATA("Sum of Ethnic Minority",EthnicityPivot!$A$3,"FisYr",A17,"Type","Total (ex Vol)")</f>
        <v>1.2</v>
      </c>
      <c r="Y17" s="494">
        <f>GETPIVOTDATA("Sum of Not Stated",EthnicityPivot!$A$3,"FisYr",A17,"Type","Total (ex Vol)")</f>
        <v>38.6</v>
      </c>
    </row>
    <row r="18" spans="1:25" ht="15" customHeight="1" x14ac:dyDescent="0.3">
      <c r="A18" s="638" t="s">
        <v>214</v>
      </c>
      <c r="B18" s="641">
        <f>GETPIVOTDATA("Sum of White",EthnicityPivot!$A$3,"FisYr",A18,"Type","WT")</f>
        <v>60.406928787462199</v>
      </c>
      <c r="C18" s="641">
        <f>GETPIVOTDATA("Sum of Ethnic Minority",EthnicityPivot!$A$3,"FisYr",A18,"Type","WT")</f>
        <v>1.2372834753918065</v>
      </c>
      <c r="D18" s="642">
        <f>GETPIVOTDATA("Sum of Not Stated",EthnicityPivot!$A$3,"FisYr",A18,"Type","WT")</f>
        <v>38.355787737146002</v>
      </c>
      <c r="E18" s="828">
        <f>GETPIVOTDATA("Sum of White",EthnicityPivot!$A$3,"FisYr",A18,"Type","RDS")</f>
        <v>67.558415171012527</v>
      </c>
      <c r="F18" s="828">
        <f>GETPIVOTDATA("Sum of Ethnic Minority",EthnicityPivot!$A$3,"FisYr",A18,"Type","RDS")</f>
        <v>1.1175076193701321</v>
      </c>
      <c r="G18" s="490">
        <f>GETPIVOTDATA("Sum of Not Stated",EthnicityPivot!$A$3,"FisYr",A18,"Type","RDS")</f>
        <v>31.324077209617339</v>
      </c>
      <c r="H18" s="828"/>
      <c r="I18" s="828"/>
      <c r="J18" s="490"/>
      <c r="K18" s="177">
        <f>GETPIVOTDATA("Sum of White",EthnicityPivot!$A$3,"FisYr",A18,"Type","Control")</f>
        <v>53.623188405797109</v>
      </c>
      <c r="L18" s="177">
        <f>GETPIVOTDATA("Sum of Ethnic Minority",EthnicityPivot!$A$3,"FisYr",A18,"Type","Control")</f>
        <v>0.96618357487922701</v>
      </c>
      <c r="M18" s="492">
        <f>GETPIVOTDATA("Sum of Not Stated",EthnicityPivot!$A$3,"FisYr",A18,"Type","Control")</f>
        <v>45.410628019323674</v>
      </c>
      <c r="N18" s="177">
        <f>GETPIVOTDATA("Sum of White",EthnicityPivot!$A$3,"FisYr",A18,"Type","Support")</f>
        <v>68.055555555555557</v>
      </c>
      <c r="O18" s="177">
        <f>GETPIVOTDATA("Sum of Ethnic Minority",EthnicityPivot!$A$3,"FisYr",A18,"Type","Support")</f>
        <v>1.7676767676767675</v>
      </c>
      <c r="P18" s="492">
        <f>GETPIVOTDATA("Sum of Not Stated",EthnicityPivot!$A$3,"FisYr",A18,"Type","Support")</f>
        <v>30.176767676767675</v>
      </c>
      <c r="Q18" s="177">
        <f>GETPIVOTDATA("Sum of White",EthnicityPivot!$A$3,"FisYr",A18,"Type","Vol")</f>
        <v>36.277602523659311</v>
      </c>
      <c r="R18" s="177">
        <f>GETPIVOTDATA("Sum of Ethnic Minority",EthnicityPivot!$A$3,"FisYr",A18,"Type","Vol")</f>
        <v>0.63091482649842268</v>
      </c>
      <c r="S18" s="492">
        <f>GETPIVOTDATA("Sum of Not Stated",EthnicityPivot!$A$3,"FisYr",A18,"Type","Vol")</f>
        <v>63.09148264984227</v>
      </c>
      <c r="T18" s="179">
        <f>GETPIVOTDATA("Sum of White",EthnicityPivot!$A$3,"FisYr",A18,"Type","Total")</f>
        <v>62.699215785479382</v>
      </c>
      <c r="U18" s="179">
        <f>GETPIVOTDATA("Sum of Ethnic Minority",EthnicityPivot!$A$3,"FisYr",A18,"Type","Total")</f>
        <v>1.2142676448267138</v>
      </c>
      <c r="V18" s="681">
        <f>GETPIVOTDATA("Sum of Not Stated",EthnicityPivot!$A$3,"FisYr",A18,"Type","Total")</f>
        <v>36.086516569693906</v>
      </c>
      <c r="W18" s="180">
        <f>GETPIVOTDATA("Sum of White",EthnicityPivot!$A$3,"FisYr",A18,"Type","Total (ex Vol)")</f>
        <v>63.802872578732369</v>
      </c>
      <c r="X18" s="180">
        <f>GETPIVOTDATA("Sum of Ethnic Minority",EthnicityPivot!$A$3,"FisYr",A18,"Type","Total (ex Vol)")</f>
        <v>1.2386348662537885</v>
      </c>
      <c r="Y18" s="494">
        <f>GETPIVOTDATA("Sum of Not Stated",EthnicityPivot!$A$3,"FisYr",A18,"Type","Total (ex Vol)")</f>
        <v>34.958492555013834</v>
      </c>
    </row>
    <row r="19" spans="1:25" x14ac:dyDescent="0.3">
      <c r="A19" s="638" t="s">
        <v>313</v>
      </c>
      <c r="B19" s="641">
        <f>GETPIVOTDATA("Sum of White",EthnicityPivot!$A$3,"FisYr",A19,"Type","WT")</f>
        <v>60.478547854785482</v>
      </c>
      <c r="C19" s="641">
        <f>GETPIVOTDATA("Sum of Ethnic Minority",EthnicityPivot!$A$3,"FisYr",A19,"Type","WT")</f>
        <v>1.2376237623762376</v>
      </c>
      <c r="D19" s="642">
        <f>GETPIVOTDATA("Sum of Not Stated",EthnicityPivot!$A$3,"FisYr",A19,"Type","WT")</f>
        <v>38.283828382838287</v>
      </c>
      <c r="E19" s="828">
        <f>GETPIVOTDATA("Sum of White",EthnicityPivot!$A$3,"FisYr",A19,"Type","RDS")</f>
        <v>63.534218590398361</v>
      </c>
      <c r="F19" s="828">
        <f>GETPIVOTDATA("Sum of Ethnic Minority",EthnicityPivot!$A$3,"FisYr",A19,"Type","RDS")</f>
        <v>1.0554988083077972</v>
      </c>
      <c r="G19" s="490">
        <f>GETPIVOTDATA("Sum of Not Stated",EthnicityPivot!$A$3,"FisYr",A19,"Type","RDS")</f>
        <v>35.410282601293837</v>
      </c>
      <c r="H19" s="828">
        <f>GETPIVOTDATA("Sum of White",EthnicityPivot!$A$3,"FisYr",A19,"Type","RDS Fulltime")</f>
        <v>86.111111111111114</v>
      </c>
      <c r="I19" s="828">
        <f>GETPIVOTDATA("Sum of Ethnic Minority",EthnicityPivot!$A$3,"FisYr",A19,"Type","RDS Fulltime")</f>
        <v>0</v>
      </c>
      <c r="J19" s="490">
        <f>GETPIVOTDATA("Sum of Not Stated",EthnicityPivot!$A$3,"FisYr",A19,"Type","RDS Fulltime")</f>
        <v>13.888888888888889</v>
      </c>
      <c r="K19" s="177">
        <f>GETPIVOTDATA("Sum of White",EthnicityPivot!$A$3,"FisYr",A19,"Type","Control")</f>
        <v>53.191489361702125</v>
      </c>
      <c r="L19" s="177">
        <f>GETPIVOTDATA("Sum of Ethnic Minority",EthnicityPivot!$A$3,"FisYr",A19,"Type","Control")</f>
        <v>1.0638297872340425</v>
      </c>
      <c r="M19" s="492">
        <f>GETPIVOTDATA("Sum of Not Stated",EthnicityPivot!$A$3,"FisYr",A19,"Type","Control")</f>
        <v>45.744680851063826</v>
      </c>
      <c r="N19" s="177">
        <f>GETPIVOTDATA("Sum of White",EthnicityPivot!$A$3,"FisYr",A19,"Type","Support")</f>
        <v>66.992665036674808</v>
      </c>
      <c r="O19" s="177">
        <f>GETPIVOTDATA("Sum of Ethnic Minority",EthnicityPivot!$A$3,"FisYr",A19,"Type","Support")</f>
        <v>1.5892420537897312</v>
      </c>
      <c r="P19" s="492">
        <f>GETPIVOTDATA("Sum of Not Stated",EthnicityPivot!$A$3,"FisYr",A19,"Type","Support")</f>
        <v>31.418092909535449</v>
      </c>
      <c r="Q19" s="177">
        <f>GETPIVOTDATA("Sum of White",EthnicityPivot!$A$3,"FisYr",A19,"Type","Vol")</f>
        <v>34.603174603174601</v>
      </c>
      <c r="R19" s="177">
        <f>GETPIVOTDATA("Sum of Ethnic Minority",EthnicityPivot!$A$3,"FisYr",A19,"Type","Vol")</f>
        <v>0.63492063492063489</v>
      </c>
      <c r="S19" s="492">
        <f>GETPIVOTDATA("Sum of Not Stated",EthnicityPivot!$A$3,"FisYr",A19,"Type","Vol")</f>
        <v>64.761904761904759</v>
      </c>
      <c r="T19" s="179">
        <f>GETPIVOTDATA("Sum of White",EthnicityPivot!$A$3,"FisYr",A19,"Type","Total")</f>
        <v>61.197982345523329</v>
      </c>
      <c r="U19" s="179">
        <f>GETPIVOTDATA("Sum of Ethnic Minority",EthnicityPivot!$A$3,"FisYr",A19,"Type","Total")</f>
        <v>1.1727616645649432</v>
      </c>
      <c r="V19" s="681">
        <f>GETPIVOTDATA("Sum of Not Stated",EthnicityPivot!$A$3,"FisYr",A19,"Type","Total")</f>
        <v>37.629255989911726</v>
      </c>
      <c r="W19" s="180">
        <f>GETPIVOTDATA("Sum of White",EthnicityPivot!$A$3,"FisYr",A19,"Type","Total (ex Vol)")</f>
        <v>62.298095863427449</v>
      </c>
      <c r="X19" s="180">
        <f>GETPIVOTDATA("Sum of Ethnic Minority",EthnicityPivot!$A$3,"FisYr",A19,"Type","Total (ex Vol)")</f>
        <v>1.1950098489822718</v>
      </c>
      <c r="Y19" s="494">
        <f>GETPIVOTDATA("Sum of Not Stated",EthnicityPivot!$A$3,"FisYr",A19,"Type","Total (ex Vol)")</f>
        <v>36.506894287590278</v>
      </c>
    </row>
    <row r="20" spans="1:25" ht="15" customHeight="1" x14ac:dyDescent="0.3">
      <c r="A20" s="680" t="s">
        <v>319</v>
      </c>
      <c r="B20" s="641">
        <f>GETPIVOTDATA("Sum of White",EthnicityPivot!$A$3,"FisYr",A20,"Type","WT")</f>
        <v>59.5703125</v>
      </c>
      <c r="C20" s="641">
        <f>GETPIVOTDATA("Sum of Ethnic Minority",EthnicityPivot!$A$3,"FisYr",A20,"Type","WT")</f>
        <v>1.3392857142857142</v>
      </c>
      <c r="D20" s="642">
        <f>GETPIVOTDATA("Sum of Not Stated",EthnicityPivot!$A$3,"FisYr",A20,"Type","WT")</f>
        <v>39.090401785714285</v>
      </c>
      <c r="E20" s="828">
        <f>GETPIVOTDATA("Sum of White",EthnicityPivot!$A$3,"FisYr",A20,"Type","RDS")</f>
        <v>61.142061281337043</v>
      </c>
      <c r="F20" s="828">
        <f>GETPIVOTDATA("Sum of Ethnic Minority",EthnicityPivot!$A$3,"FisYr",A20,"Type","RDS")</f>
        <v>0.94011142061281339</v>
      </c>
      <c r="G20" s="490">
        <f>GETPIVOTDATA("Sum of Not Stated",EthnicityPivot!$A$3,"FisYr",A20,"Type","RDS")</f>
        <v>37.917827298050142</v>
      </c>
      <c r="H20" s="828">
        <f>GETPIVOTDATA("Sum of White",EthnicityPivot!$A$3,"FisYr",A20,"Type","RDS Fulltime")</f>
        <v>87.037037037037038</v>
      </c>
      <c r="I20" s="828">
        <f>GETPIVOTDATA("Sum of Ethnic Minority",EthnicityPivot!$A$3,"FisYr",A20,"Type","RDS Fulltime")</f>
        <v>1.8518518518518516</v>
      </c>
      <c r="J20" s="490">
        <f>GETPIVOTDATA("Sum of Not Stated",EthnicityPivot!$A$3,"FisYr",A20,"Type","RDS Fulltime")</f>
        <v>11.111111111111111</v>
      </c>
      <c r="K20" s="177">
        <f>GETPIVOTDATA("Sum of White",EthnicityPivot!$A$3,"FisYr",A20,"Type","Control")</f>
        <v>56.593406593406591</v>
      </c>
      <c r="L20" s="177">
        <f>GETPIVOTDATA("Sum of Ethnic Minority",EthnicityPivot!$A$3,"FisYr",A20,"Type","Control")</f>
        <v>1.098901098901099</v>
      </c>
      <c r="M20" s="492">
        <f>GETPIVOTDATA("Sum of Not Stated",EthnicityPivot!$A$3,"FisYr",A20,"Type","Control")</f>
        <v>42.307692307692307</v>
      </c>
      <c r="N20" s="177">
        <f>GETPIVOTDATA("Sum of White",EthnicityPivot!$A$3,"FisYr",A20,"Type","Support")</f>
        <v>66.746411483253581</v>
      </c>
      <c r="O20" s="177">
        <f>GETPIVOTDATA("Sum of Ethnic Minority",EthnicityPivot!$A$3,"FisYr",A20,"Type","Support")</f>
        <v>1.7942583732057416</v>
      </c>
      <c r="P20" s="492">
        <f>GETPIVOTDATA("Sum of Not Stated",EthnicityPivot!$A$3,"FisYr",A20,"Type","Support")</f>
        <v>31.459330143540669</v>
      </c>
      <c r="Q20" s="177">
        <f>GETPIVOTDATA("Sum of White",EthnicityPivot!$A$3,"FisYr",A20,"Type","Vol")</f>
        <v>35.313531353135311</v>
      </c>
      <c r="R20" s="177">
        <f>GETPIVOTDATA("Sum of Ethnic Minority",EthnicityPivot!$A$3,"FisYr",A20,"Type","Vol")</f>
        <v>0.66006600660066006</v>
      </c>
      <c r="S20" s="492">
        <f>GETPIVOTDATA("Sum of Not Stated",EthnicityPivot!$A$3,"FisYr",A20,"Type","Vol")</f>
        <v>64.026402640264024</v>
      </c>
      <c r="T20" s="179">
        <f>GETPIVOTDATA("Sum of White",EthnicityPivot!$A$3,"FisYr",A20,"Type","Total")</f>
        <v>60.094496232920449</v>
      </c>
      <c r="U20" s="179">
        <f>GETPIVOTDATA("Sum of Ethnic Minority",EthnicityPivot!$A$3,"FisYr",A20,"Type","Total")</f>
        <v>1.2131273145192185</v>
      </c>
      <c r="V20" s="681">
        <f>GETPIVOTDATA("Sum of Not Stated",EthnicityPivot!$A$3,"FisYr",A20,"Type","Total")</f>
        <v>38.692376452560339</v>
      </c>
      <c r="W20" s="180">
        <f>GETPIVOTDATA("Sum of White",EthnicityPivot!$A$3,"FisYr",A20,"Type","Total (ex Vol)")</f>
        <v>61.091923485653567</v>
      </c>
      <c r="X20" s="180">
        <f>GETPIVOTDATA("Sum of Ethnic Minority",EthnicityPivot!$A$3,"FisYr",A20,"Type","Total (ex Vol)")</f>
        <v>1.2353878852284803</v>
      </c>
      <c r="Y20" s="494">
        <f>GETPIVOTDATA("Sum of Not Stated",EthnicityPivot!$A$3,"FisYr",A20,"Type","Total (ex Vol)")</f>
        <v>37.672688629117964</v>
      </c>
    </row>
    <row r="21" spans="1:25" ht="15" customHeight="1" x14ac:dyDescent="0.3">
      <c r="A21" s="680" t="s">
        <v>321</v>
      </c>
      <c r="B21" s="641">
        <f>GETPIVOTDATA("Sum of White",EthnicityPivot!$A$3,"FisYr",A21,"Type","WT")</f>
        <v>58.387369608119535</v>
      </c>
      <c r="C21" s="641">
        <f>GETPIVOTDATA("Sum of Ethnic Minority",EthnicityPivot!$A$3,"FisYr",A21,"Type","WT")</f>
        <v>1.381449111925571</v>
      </c>
      <c r="D21" s="642">
        <f>GETPIVOTDATA("Sum of Not Stated",EthnicityPivot!$A$3,"FisYr",A21,"Type","WT")</f>
        <v>40.231181279954889</v>
      </c>
      <c r="E21" s="828">
        <f>GETPIVOTDATA("Sum of White",EthnicityPivot!$A$3,"FisYr",A21,"Type","RDS")</f>
        <v>58.819268381021374</v>
      </c>
      <c r="F21" s="828">
        <f>GETPIVOTDATA("Sum of Ethnic Minority",EthnicityPivot!$A$3,"FisYr",A21,"Type","RDS")</f>
        <v>0.94168779427743576</v>
      </c>
      <c r="G21" s="490">
        <f>GETPIVOTDATA("Sum of Not Stated",EthnicityPivot!$A$3,"FisYr",A21,"Type","RDS")</f>
        <v>40.239043824701191</v>
      </c>
      <c r="H21" s="828">
        <f>GETPIVOTDATA("Sum of White",EthnicityPivot!$A$3,"FisYr",A21,"Type","RDS Fulltime")</f>
        <v>88.679245283018872</v>
      </c>
      <c r="I21" s="828">
        <f>GETPIVOTDATA("Sum of Ethnic Minority",EthnicityPivot!$A$3,"FisYr",A21,"Type","RDS Fulltime")</f>
        <v>1.8867924528301887</v>
      </c>
      <c r="J21" s="490">
        <f>GETPIVOTDATA("Sum of Not Stated",EthnicityPivot!$A$3,"FisYr",A21,"Type","RDS Fulltime")</f>
        <v>9.433962264150944</v>
      </c>
      <c r="K21" s="177">
        <f>GETPIVOTDATA("Sum of White",EthnicityPivot!$A$3,"FisYr",A21,"Type","Control")</f>
        <v>55.932203389830505</v>
      </c>
      <c r="L21" s="177">
        <f>GETPIVOTDATA("Sum of Ethnic Minority",EthnicityPivot!$A$3,"FisYr",A21,"Type","Control")</f>
        <v>2.2598870056497176</v>
      </c>
      <c r="M21" s="492">
        <f>GETPIVOTDATA("Sum of Not Stated",EthnicityPivot!$A$3,"FisYr",A21,"Type","Control")</f>
        <v>41.807909604519772</v>
      </c>
      <c r="N21" s="177">
        <f>GETPIVOTDATA("Sum of White",EthnicityPivot!$A$3,"FisYr",A21,"Type","Support")</f>
        <v>63.163481953290869</v>
      </c>
      <c r="O21" s="177">
        <f>GETPIVOTDATA("Sum of Ethnic Minority",EthnicityPivot!$A$3,"FisYr",A21,"Type","Support")</f>
        <v>2.335456475583864</v>
      </c>
      <c r="P21" s="492">
        <f>GETPIVOTDATA("Sum of Not Stated",EthnicityPivot!$A$3,"FisYr",A21,"Type","Support")</f>
        <v>34.501061571125263</v>
      </c>
      <c r="Q21" s="177">
        <f>GETPIVOTDATA("Sum of White",EthnicityPivot!$A$3,"FisYr",A21,"Type","Vol")</f>
        <v>36.823104693140799</v>
      </c>
      <c r="R21" s="177">
        <f>GETPIVOTDATA("Sum of Ethnic Minority",EthnicityPivot!$A$3,"FisYr",A21,"Type","Vol")</f>
        <v>0.72202166064981954</v>
      </c>
      <c r="S21" s="492">
        <f>GETPIVOTDATA("Sum of Not Stated",EthnicityPivot!$A$3,"FisYr",A21,"Type","Vol")</f>
        <v>62.454873646209386</v>
      </c>
      <c r="T21" s="179">
        <f>GETPIVOTDATA("Sum of White",EthnicityPivot!$A$3,"FisYr",A21,"Type","Total")</f>
        <v>58.402449917060096</v>
      </c>
      <c r="U21" s="179">
        <f>GETPIVOTDATA("Sum of Ethnic Minority",EthnicityPivot!$A$3,"FisYr",A21,"Type","Total")</f>
        <v>1.327038407553911</v>
      </c>
      <c r="V21" s="681">
        <f>GETPIVOTDATA("Sum of Not Stated",EthnicityPivot!$A$3,"FisYr",A21,"Type","Total")</f>
        <v>40.27051167538599</v>
      </c>
      <c r="W21" s="180">
        <f>GETPIVOTDATA("Sum of White",EthnicityPivot!$A$3,"FisYr",A21,"Type","Total (ex Vol)")</f>
        <v>59.304812834224599</v>
      </c>
      <c r="X21" s="180">
        <f>GETPIVOTDATA("Sum of Ethnic Minority",EthnicityPivot!$A$3,"FisYr",A21,"Type","Total (ex Vol)")</f>
        <v>1.3636363636363635</v>
      </c>
      <c r="Y21" s="494">
        <f>GETPIVOTDATA("Sum of Not Stated",EthnicityPivot!$A$3,"FisYr",A21,"Type","Total (ex Vol)")</f>
        <v>39.331550802139034</v>
      </c>
    </row>
    <row r="22" spans="1:25" ht="15" customHeight="1" x14ac:dyDescent="0.3">
      <c r="A22" s="680" t="s">
        <v>326</v>
      </c>
      <c r="B22" s="641">
        <f>GETPIVOTDATA("Sum of White",EthnicityPivot!$A$3,"FisYr",A22,"Type","WT")</f>
        <v>55.704125177809395</v>
      </c>
      <c r="C22" s="641">
        <f>GETPIVOTDATA("Sum of Ethnic Minority",EthnicityPivot!$A$3,"FisYr",A22,"Type","WT")</f>
        <v>1.3086770981507825</v>
      </c>
      <c r="D22" s="642">
        <f>GETPIVOTDATA("Sum of Not Stated",EthnicityPivot!$A$3,"FisYr",A22,"Type","WT")</f>
        <v>42.987197724039831</v>
      </c>
      <c r="E22" s="828">
        <f>GETPIVOTDATA("Sum of White",EthnicityPivot!$A$3,"FisYr",A22,"Type","RDS")</f>
        <v>55.190058479532169</v>
      </c>
      <c r="F22" s="828">
        <f>GETPIVOTDATA("Sum of Ethnic Minority",EthnicityPivot!$A$3,"FisYr",A22,"Type","RDS")</f>
        <v>1.0599415204678362</v>
      </c>
      <c r="G22" s="490">
        <f>GETPIVOTDATA("Sum of Not Stated",EthnicityPivot!$A$3,"FisYr",A22,"Type","RDS")</f>
        <v>43.75</v>
      </c>
      <c r="H22" s="828">
        <f>GETPIVOTDATA("Sum of White",EthnicityPivot!$A$3,"FisYr",A22,"Type","RDS Fulltime")</f>
        <v>88.888888888888886</v>
      </c>
      <c r="I22" s="828">
        <f>GETPIVOTDATA("Sum of Ethnic Minority",EthnicityPivot!$A$3,"FisYr",A22,"Type","RDS Fulltime")</f>
        <v>1.8518518518518516</v>
      </c>
      <c r="J22" s="490">
        <f>GETPIVOTDATA("Sum of Not Stated",EthnicityPivot!$A$3,"FisYr",A22,"Type","RDS Fulltime")</f>
        <v>9.2592592592592595</v>
      </c>
      <c r="K22" s="177">
        <f>GETPIVOTDATA("Sum of White",EthnicityPivot!$A$3,"FisYr",A22,"Type","Control")</f>
        <v>52.298850574712638</v>
      </c>
      <c r="L22" s="177">
        <f>GETPIVOTDATA("Sum of Ethnic Minority",EthnicityPivot!$A$3,"FisYr",A22,"Type","Control")</f>
        <v>2.2988505747126435</v>
      </c>
      <c r="M22" s="492">
        <f>GETPIVOTDATA("Sum of Not Stated",EthnicityPivot!$A$3,"FisYr",A22,"Type","Control")</f>
        <v>45.402298850574709</v>
      </c>
      <c r="N22" s="177">
        <f>GETPIVOTDATA("Sum of White",EthnicityPivot!$A$3,"FisYr",A22,"Type","Support")</f>
        <v>60.799136069114468</v>
      </c>
      <c r="O22" s="177">
        <f>GETPIVOTDATA("Sum of Ethnic Minority",EthnicityPivot!$A$3,"FisYr",A22,"Type","Support")</f>
        <v>2.2678185745140391</v>
      </c>
      <c r="P22" s="492">
        <f>GETPIVOTDATA("Sum of Not Stated",EthnicityPivot!$A$3,"FisYr",A22,"Type","Support")</f>
        <v>36.933045356371494</v>
      </c>
      <c r="Q22" s="177">
        <f>GETPIVOTDATA("Sum of White",EthnicityPivot!$A$3,"FisYr",A22,"Type","Vol")</f>
        <v>36.84210526315789</v>
      </c>
      <c r="R22" s="177">
        <f>GETPIVOTDATA("Sum of Ethnic Minority",EthnicityPivot!$A$3,"FisYr",A22,"Type","Vol")</f>
        <v>0.37593984962406013</v>
      </c>
      <c r="S22" s="492">
        <f>GETPIVOTDATA("Sum of Not Stated",EthnicityPivot!$A$3,"FisYr",A22,"Type","Vol")</f>
        <v>62.781954887218049</v>
      </c>
      <c r="T22" s="179">
        <f>GETPIVOTDATA("Sum of White",EthnicityPivot!$A$3,"FisYr",A22,"Type","Total")</f>
        <v>55.432969852469526</v>
      </c>
      <c r="U22" s="179">
        <f>GETPIVOTDATA("Sum of Ethnic Minority",EthnicityPivot!$A$3,"FisYr",A22,"Type","Total")</f>
        <v>1.308531109685696</v>
      </c>
      <c r="V22" s="681">
        <f>GETPIVOTDATA("Sum of Not Stated",EthnicityPivot!$A$3,"FisYr",A22,"Type","Total")</f>
        <v>43.258499037844771</v>
      </c>
      <c r="W22" s="180">
        <f>GETPIVOTDATA("Sum of White",EthnicityPivot!$A$3,"FisYr",A22,"Type","Total (ex Vol)")</f>
        <v>56.313301823092509</v>
      </c>
      <c r="X22" s="180">
        <f>GETPIVOTDATA("Sum of Ethnic Minority",EthnicityPivot!$A$3,"FisYr",A22,"Type","Total (ex Vol)")</f>
        <v>1.3639432815665091</v>
      </c>
      <c r="Y22" s="494">
        <f>GETPIVOTDATA("Sum of Not Stated",EthnicityPivot!$A$3,"FisYr",A22,"Type","Total (ex Vol)")</f>
        <v>42.322754895340985</v>
      </c>
    </row>
    <row r="23" spans="1:25" ht="15" customHeight="1" x14ac:dyDescent="0.3">
      <c r="A23" s="680" t="s">
        <v>327</v>
      </c>
      <c r="B23" s="641">
        <f>GETPIVOTDATA("Sum of White",EthnicityPivot!$A$3,"FisYr",A23,"Type","WT")</f>
        <v>54.183614177803605</v>
      </c>
      <c r="C23" s="641">
        <f>GETPIVOTDATA("Sum of Ethnic Minority",EthnicityPivot!$A$3,"FisYr",A23,"Type","WT")</f>
        <v>1.2492736780941311</v>
      </c>
      <c r="D23" s="642">
        <f>GETPIVOTDATA("Sum of Not Stated",EthnicityPivot!$A$3,"FisYr",A23,"Type","WT")</f>
        <v>44.567112144102268</v>
      </c>
      <c r="E23" s="828">
        <f>GETPIVOTDATA("Sum of White",EthnicityPivot!$A$3,"FisYr",A23,"Type","RDS")</f>
        <v>50.994108983799705</v>
      </c>
      <c r="F23" s="828">
        <f>GETPIVOTDATA("Sum of Ethnic Minority",EthnicityPivot!$A$3,"FisYr",A23,"Type","RDS")</f>
        <v>0.81001472754050086</v>
      </c>
      <c r="G23" s="490">
        <f>GETPIVOTDATA("Sum of Not Stated",EthnicityPivot!$A$3,"FisYr",A23,"Type","RDS")</f>
        <v>48.195876288659797</v>
      </c>
      <c r="H23" s="828">
        <f>GETPIVOTDATA("Sum of White",EthnicityPivot!$A$3,"FisYr",A23,"Type","RDS Fulltime")</f>
        <v>88.888888888888886</v>
      </c>
      <c r="I23" s="828">
        <f>GETPIVOTDATA("Sum of Ethnic Minority",EthnicityPivot!$A$3,"FisYr",A23,"Type","RDS Fulltime")</f>
        <v>1.8518518518518516</v>
      </c>
      <c r="J23" s="490">
        <f>GETPIVOTDATA("Sum of Not Stated",EthnicityPivot!$A$3,"FisYr",A23,"Type","RDS Fulltime")</f>
        <v>9.2592592592592595</v>
      </c>
      <c r="K23" s="177">
        <f>GETPIVOTDATA("Sum of White",EthnicityPivot!$A$3,"FisYr",A23,"Type","Control")</f>
        <v>51.445086705202314</v>
      </c>
      <c r="L23" s="177">
        <f>GETPIVOTDATA("Sum of Ethnic Minority",EthnicityPivot!$A$3,"FisYr",A23,"Type","Control")</f>
        <v>2.3121387283236992</v>
      </c>
      <c r="M23" s="492">
        <f>GETPIVOTDATA("Sum of Not Stated",EthnicityPivot!$A$3,"FisYr",A23,"Type","Control")</f>
        <v>46.24277456647399</v>
      </c>
      <c r="N23" s="177">
        <f>GETPIVOTDATA("Sum of White",EthnicityPivot!$A$3,"FisYr",A23,"Type","Support")</f>
        <v>58.681318681318686</v>
      </c>
      <c r="O23" s="177">
        <f>GETPIVOTDATA("Sum of Ethnic Minority",EthnicityPivot!$A$3,"FisYr",A23,"Type","Support")</f>
        <v>2.197802197802198</v>
      </c>
      <c r="P23" s="492">
        <f>GETPIVOTDATA("Sum of Not Stated",EthnicityPivot!$A$3,"FisYr",A23,"Type","Support")</f>
        <v>39.120879120879124</v>
      </c>
      <c r="Q23" s="177">
        <f>GETPIVOTDATA("Sum of White",EthnicityPivot!$A$3,"FisYr",A23,"Type","Vol")</f>
        <v>35.555555555555557</v>
      </c>
      <c r="R23" s="177">
        <f>GETPIVOTDATA("Sum of Ethnic Minority",EthnicityPivot!$A$3,"FisYr",A23,"Type","Vol")</f>
        <v>0.37037037037037041</v>
      </c>
      <c r="S23" s="492">
        <f>GETPIVOTDATA("Sum of Not Stated",EthnicityPivot!$A$3,"FisYr",A23,"Type","Vol")</f>
        <v>64.074074074074076</v>
      </c>
      <c r="T23" s="179">
        <f>GETPIVOTDATA("Sum of White",EthnicityPivot!$A$3,"FisYr",A23,"Type","Total")</f>
        <v>52.832879553999746</v>
      </c>
      <c r="U23" s="179">
        <f>GETPIVOTDATA("Sum of Ethnic Minority",EthnicityPivot!$A$3,"FisYr",A23,"Type","Total")</f>
        <v>1.1798262673408531</v>
      </c>
      <c r="V23" s="681">
        <f>GETPIVOTDATA("Sum of Not Stated",EthnicityPivot!$A$3,"FisYr",A23,"Type","Total")</f>
        <v>45.987294178659404</v>
      </c>
      <c r="W23" s="180">
        <f>GETPIVOTDATA("Sum of White",EthnicityPivot!$A$3,"FisYr",A23,"Type","Total (ex Vol)")</f>
        <v>53.749143248800543</v>
      </c>
      <c r="X23" s="180">
        <f>GETPIVOTDATA("Sum of Ethnic Minority",EthnicityPivot!$A$3,"FisYr",A23,"Type","Total (ex Vol)")</f>
        <v>1.233721727210418</v>
      </c>
      <c r="Y23" s="494">
        <f>GETPIVOTDATA("Sum of Not Stated",EthnicityPivot!$A$3,"FisYr",A23,"Type","Total (ex Vol)")</f>
        <v>45.017135023989034</v>
      </c>
    </row>
    <row r="24" spans="1:25" ht="15" customHeight="1" x14ac:dyDescent="0.3">
      <c r="A24" s="840" t="s">
        <v>466</v>
      </c>
      <c r="B24" s="992">
        <f>GETPIVOTDATA("Sum of White",EthnicityPivot!$A$3,"FisYr",A24,"Type","WT")</f>
        <v>51.611030478955009</v>
      </c>
      <c r="C24" s="841">
        <f>GETPIVOTDATA("Sum of Ethnic Minority",EthnicityPivot!$A$3,"FisYr",A24,"Type","WT")</f>
        <v>1.2481857764876634</v>
      </c>
      <c r="D24" s="842">
        <f>GETPIVOTDATA("Sum of Not Stated",EthnicityPivot!$A$3,"FisYr",A24,"Type","WT")</f>
        <v>47.140783744557332</v>
      </c>
      <c r="E24" s="843">
        <f>GETPIVOTDATA("Sum of White",EthnicityPivot!$A$3,"FisYr",A24,"Type","RDS")</f>
        <v>47.877445551864156</v>
      </c>
      <c r="F24" s="843">
        <f>GETPIVOTDATA("Sum of Ethnic Minority",EthnicityPivot!$A$3,"FisYr",A24,"Type","RDS")</f>
        <v>0.73827980804724991</v>
      </c>
      <c r="G24" s="844">
        <f>GETPIVOTDATA("Sum of Not Stated",EthnicityPivot!$A$3,"FisYr",A24,"Type","RDS")</f>
        <v>51.384274640088591</v>
      </c>
      <c r="H24" s="843">
        <f>GETPIVOTDATA("Sum of White",EthnicityPivot!$A$3,"FisYr",A24,"Type","RDS Fulltime")</f>
        <v>85.245901639344254</v>
      </c>
      <c r="I24" s="843">
        <f>GETPIVOTDATA("Sum of Ethnic Minority",EthnicityPivot!$A$3,"FisYr",A24,"Type","RDS Fulltime")</f>
        <v>1.639344262295082</v>
      </c>
      <c r="J24" s="844">
        <f>GETPIVOTDATA("Sum of Not Stated",EthnicityPivot!$A$3,"FisYr",A24,"Type","RDS Fulltime")</f>
        <v>13.114754098360656</v>
      </c>
      <c r="K24" s="498">
        <f>GETPIVOTDATA("Sum of White",EthnicityPivot!$A$3,"FisYr",A24,"Type","Control")</f>
        <v>47.97687861271676</v>
      </c>
      <c r="L24" s="498">
        <f>GETPIVOTDATA("Sum of Ethnic Minority",EthnicityPivot!$A$3,"FisYr",A24,"Type","Control")</f>
        <v>2.3121387283236992</v>
      </c>
      <c r="M24" s="845">
        <f>GETPIVOTDATA("Sum of Not Stated",EthnicityPivot!$A$3,"FisYr",A24,"Type","Control")</f>
        <v>49.710982658959537</v>
      </c>
      <c r="N24" s="498">
        <f>GETPIVOTDATA("Sum of White",EthnicityPivot!$A$3,"FisYr",A24,"Type","Support")</f>
        <v>56.342494714587744</v>
      </c>
      <c r="O24" s="498">
        <f>GETPIVOTDATA("Sum of Ethnic Minority",EthnicityPivot!$A$3,"FisYr",A24,"Type","Support")</f>
        <v>2.2198731501057085</v>
      </c>
      <c r="P24" s="845">
        <f>GETPIVOTDATA("Sum of Not Stated",EthnicityPivot!$A$3,"FisYr",A24,"Type","Support")</f>
        <v>41.437632135306551</v>
      </c>
      <c r="Q24" s="498">
        <f>GETPIVOTDATA("Sum of White",EthnicityPivot!$A$3,"FisYr",A24,"Type","Vol")</f>
        <v>34.065934065934066</v>
      </c>
      <c r="R24" s="498">
        <f>GETPIVOTDATA("Sum of Ethnic Minority",EthnicityPivot!$A$3,"FisYr",A24,"Type","Vol")</f>
        <v>0.36630036630036628</v>
      </c>
      <c r="S24" s="845">
        <f>GETPIVOTDATA("Sum of Not Stated",EthnicityPivot!$A$3,"FisYr",A24,"Type","Vol")</f>
        <v>65.567765567765562</v>
      </c>
      <c r="T24" s="846">
        <f>GETPIVOTDATA("Sum of White",EthnicityPivot!$A$3,"FisYr",A24,"Type","Total")</f>
        <v>50.148253190666495</v>
      </c>
      <c r="U24" s="846">
        <f>GETPIVOTDATA("Sum of Ethnic Minority",EthnicityPivot!$A$3,"FisYr",A24,"Type","Total")</f>
        <v>1.1731339435348718</v>
      </c>
      <c r="V24" s="847">
        <f>GETPIVOTDATA("Sum of Not Stated",EthnicityPivot!$A$3,"FisYr",A24,"Type","Total")</f>
        <v>48.678612865798634</v>
      </c>
      <c r="W24" s="848">
        <f>GETPIVOTDATA("Sum of White",EthnicityPivot!$A$3,"FisYr",A24,"Type","Total (ex Vol)")</f>
        <v>51.036269430051817</v>
      </c>
      <c r="X24" s="848">
        <f>GETPIVOTDATA("Sum of Ethnic Minority",EthnicityPivot!$A$3,"FisYr",A24,"Type","Total (ex Vol)")</f>
        <v>1.2135260430869921</v>
      </c>
      <c r="Y24" s="849">
        <f>GETPIVOTDATA("Sum of Not Stated",EthnicityPivot!$A$3,"FisYr",A24,"Type","Total (ex Vol)")</f>
        <v>47.750204526861197</v>
      </c>
    </row>
    <row r="25" spans="1:25" ht="15" customHeight="1" x14ac:dyDescent="0.3">
      <c r="A25" s="131"/>
      <c r="B25" s="641"/>
      <c r="C25" s="641"/>
      <c r="D25" s="641"/>
      <c r="E25" s="828"/>
      <c r="F25" s="828"/>
      <c r="G25" s="828"/>
      <c r="H25" s="828"/>
      <c r="I25" s="828"/>
      <c r="J25" s="828"/>
      <c r="K25" s="177"/>
      <c r="L25" s="177"/>
      <c r="M25" s="177"/>
      <c r="N25" s="177"/>
      <c r="O25" s="177"/>
      <c r="P25" s="177"/>
      <c r="Q25" s="177"/>
      <c r="R25" s="177"/>
      <c r="S25" s="177"/>
      <c r="T25" s="179"/>
      <c r="U25" s="179"/>
      <c r="V25" s="179"/>
      <c r="W25" s="180"/>
      <c r="X25" s="180"/>
      <c r="Y25" s="180"/>
    </row>
    <row r="26" spans="1:25" ht="14.5" x14ac:dyDescent="0.35">
      <c r="A26" s="334" t="s">
        <v>329</v>
      </c>
      <c r="B26" s="25"/>
      <c r="C26" s="181"/>
      <c r="D26" s="181"/>
      <c r="E26" s="181"/>
      <c r="F26" s="181"/>
      <c r="G26" s="25"/>
      <c r="H26" s="25"/>
      <c r="I26" s="25"/>
      <c r="J26" s="25"/>
      <c r="K26" s="25"/>
      <c r="L26" s="25"/>
      <c r="M26" s="25"/>
      <c r="N26" s="25"/>
      <c r="O26" s="25"/>
      <c r="P26" s="25"/>
      <c r="Q26" s="25"/>
      <c r="R26" s="25"/>
      <c r="S26" s="25"/>
      <c r="T26" s="25"/>
      <c r="U26" s="25"/>
      <c r="V26" s="25"/>
      <c r="W26" s="25"/>
      <c r="X26" s="25"/>
      <c r="Y26" s="25"/>
    </row>
    <row r="27" spans="1:25" ht="14.5" x14ac:dyDescent="0.35">
      <c r="A27" s="339" t="s">
        <v>830</v>
      </c>
      <c r="B27" s="25"/>
      <c r="C27" s="25"/>
      <c r="D27" s="25"/>
      <c r="E27" s="25"/>
      <c r="F27" s="25"/>
      <c r="G27" s="25"/>
      <c r="H27" s="25"/>
      <c r="I27" s="25"/>
      <c r="J27" s="25"/>
      <c r="K27" s="25"/>
      <c r="L27" s="25"/>
      <c r="M27" s="25"/>
      <c r="N27" s="25"/>
      <c r="O27" s="25"/>
      <c r="P27" s="25"/>
      <c r="Q27" s="25"/>
      <c r="R27" s="25"/>
      <c r="S27" s="25"/>
      <c r="T27" s="25"/>
      <c r="U27" s="25"/>
      <c r="W27" s="25"/>
      <c r="X27" s="25"/>
      <c r="Y27" s="25"/>
    </row>
    <row r="28" spans="1:25" ht="14.5" x14ac:dyDescent="0.35">
      <c r="A28" s="339" t="s">
        <v>831</v>
      </c>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30" customHeight="1" x14ac:dyDescent="0.35">
      <c r="A29" s="1046" t="s">
        <v>832</v>
      </c>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row>
  </sheetData>
  <sheetProtection algorithmName="SHA-512" hashValue="gQ9UYo6i7eOyO720jXRICBnk9Z6swYeqAgv2Dqrwm9nL/GMga1t2sYcpHTPm+MWwMqCWOTjLWQcleuVTxk6ZWQ==" saltValue="lGn1GMns02y1JVWbh+q1fQ==" spinCount="100000" sheet="1" scenarios="1" formatCells="0" sort="0" autoFilter="0" pivotTables="0"/>
  <mergeCells count="11">
    <mergeCell ref="A1:C1"/>
    <mergeCell ref="A29:Y29"/>
    <mergeCell ref="A4:Y4"/>
    <mergeCell ref="B9:D9"/>
    <mergeCell ref="E9:G9"/>
    <mergeCell ref="K9:M9"/>
    <mergeCell ref="N9:P9"/>
    <mergeCell ref="Q9:S9"/>
    <mergeCell ref="T9:V9"/>
    <mergeCell ref="W9:Y9"/>
    <mergeCell ref="H9:J9"/>
  </mergeCells>
  <phoneticPr fontId="53" type="noConversion"/>
  <hyperlinks>
    <hyperlink ref="A2" location="'Table of Contents'!A1" display="Back to Table of Contents" xr:uid="{00000000-0004-0000-6900-000000000000}"/>
  </hyperlinks>
  <pageMargins left="0.70866141732283472" right="0.70866141732283472" top="0.74803149606299213" bottom="0.74803149606299213" header="0.31496062992125984" footer="0.31496062992125984"/>
  <pageSetup paperSize="9" scale="7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7A8D-1AC3-47D3-8C70-EC5DF04E4BB4}">
  <sheetPr>
    <tabColor theme="9" tint="0.39997558519241921"/>
  </sheetPr>
  <dimension ref="A1:I39"/>
  <sheetViews>
    <sheetView topLeftCell="A16" workbookViewId="0">
      <selection activeCell="C33" sqref="C33"/>
    </sheetView>
  </sheetViews>
  <sheetFormatPr defaultRowHeight="14.5" x14ac:dyDescent="0.35"/>
  <cols>
    <col min="1" max="1" width="12.6328125" bestFit="1" customWidth="1"/>
    <col min="2" max="2" width="27.90625" bestFit="1" customWidth="1"/>
    <col min="3" max="3" width="26.26953125" bestFit="1" customWidth="1"/>
    <col min="4" max="4" width="22.7265625" bestFit="1" customWidth="1"/>
    <col min="5" max="5" width="13.6328125" bestFit="1" customWidth="1"/>
    <col min="6" max="6" width="14" bestFit="1" customWidth="1"/>
    <col min="7" max="7" width="15.90625" bestFit="1" customWidth="1"/>
    <col min="8" max="8" width="11.81640625" bestFit="1" customWidth="1"/>
    <col min="9" max="9" width="30.54296875" bestFit="1" customWidth="1"/>
  </cols>
  <sheetData>
    <row r="1" spans="1:9" x14ac:dyDescent="0.35">
      <c r="A1" s="387" t="s">
        <v>350</v>
      </c>
      <c r="B1" t="s">
        <v>607</v>
      </c>
      <c r="C1" t="s">
        <v>504</v>
      </c>
      <c r="D1" t="s">
        <v>833</v>
      </c>
      <c r="E1" t="s">
        <v>506</v>
      </c>
      <c r="F1" t="s">
        <v>507</v>
      </c>
      <c r="G1" t="s">
        <v>355</v>
      </c>
      <c r="H1" t="s">
        <v>356</v>
      </c>
      <c r="I1" t="s">
        <v>834</v>
      </c>
    </row>
    <row r="2" spans="1:9" x14ac:dyDescent="0.35">
      <c r="A2" s="388" t="s">
        <v>362</v>
      </c>
      <c r="B2">
        <v>0.4</v>
      </c>
      <c r="C2">
        <v>0.3</v>
      </c>
      <c r="E2">
        <v>2.1</v>
      </c>
      <c r="F2">
        <v>1.4</v>
      </c>
      <c r="G2">
        <v>0.4</v>
      </c>
      <c r="H2">
        <v>0.6</v>
      </c>
      <c r="I2">
        <v>0.6</v>
      </c>
    </row>
    <row r="3" spans="1:9" x14ac:dyDescent="0.35">
      <c r="A3" s="388" t="s">
        <v>363</v>
      </c>
      <c r="B3">
        <v>0.5</v>
      </c>
      <c r="C3">
        <v>0.3</v>
      </c>
      <c r="E3">
        <v>2.1</v>
      </c>
      <c r="F3">
        <v>1.5</v>
      </c>
      <c r="G3">
        <v>0.5</v>
      </c>
      <c r="H3">
        <v>0.6</v>
      </c>
      <c r="I3">
        <v>0.6</v>
      </c>
    </row>
    <row r="4" spans="1:9" x14ac:dyDescent="0.35">
      <c r="A4" s="388" t="s">
        <v>364</v>
      </c>
      <c r="B4">
        <v>0.2</v>
      </c>
      <c r="C4">
        <v>0.2</v>
      </c>
      <c r="E4">
        <v>1.8</v>
      </c>
      <c r="F4">
        <v>0.7</v>
      </c>
      <c r="H4">
        <v>0.3</v>
      </c>
      <c r="I4">
        <v>0.3</v>
      </c>
    </row>
    <row r="5" spans="1:9" x14ac:dyDescent="0.35">
      <c r="A5" s="388" t="s">
        <v>365</v>
      </c>
      <c r="B5">
        <v>0.2</v>
      </c>
      <c r="C5">
        <v>0.2</v>
      </c>
      <c r="E5">
        <v>2.2000000000000002</v>
      </c>
      <c r="F5">
        <v>0.8</v>
      </c>
      <c r="H5">
        <v>0.3</v>
      </c>
      <c r="I5">
        <v>0.3</v>
      </c>
    </row>
    <row r="6" spans="1:9" x14ac:dyDescent="0.35">
      <c r="A6" s="388" t="s">
        <v>366</v>
      </c>
      <c r="B6">
        <v>0</v>
      </c>
      <c r="C6">
        <v>0.1</v>
      </c>
      <c r="E6">
        <v>0</v>
      </c>
      <c r="F6">
        <v>0.5</v>
      </c>
      <c r="G6">
        <v>0.3</v>
      </c>
      <c r="H6">
        <v>0.1</v>
      </c>
      <c r="I6">
        <v>0.1</v>
      </c>
    </row>
    <row r="7" spans="1:9" x14ac:dyDescent="0.35">
      <c r="A7" s="388" t="s">
        <v>341</v>
      </c>
      <c r="B7">
        <v>0</v>
      </c>
      <c r="C7">
        <v>0.1</v>
      </c>
      <c r="E7">
        <v>0</v>
      </c>
      <c r="F7">
        <v>0.4</v>
      </c>
      <c r="G7">
        <v>0.3</v>
      </c>
      <c r="H7">
        <v>0.1</v>
      </c>
      <c r="I7">
        <v>0.1</v>
      </c>
    </row>
    <row r="8" spans="1:9" x14ac:dyDescent="0.35">
      <c r="A8" s="388" t="s">
        <v>342</v>
      </c>
      <c r="B8">
        <v>0.3</v>
      </c>
      <c r="C8">
        <v>0.3</v>
      </c>
      <c r="E8">
        <v>0</v>
      </c>
      <c r="F8">
        <v>1.2</v>
      </c>
      <c r="G8">
        <v>0.3</v>
      </c>
      <c r="H8">
        <v>0.4</v>
      </c>
      <c r="I8">
        <v>0.4</v>
      </c>
    </row>
    <row r="9" spans="1:9" x14ac:dyDescent="0.35">
      <c r="A9" s="388" t="s">
        <v>214</v>
      </c>
      <c r="B9">
        <v>0.68737970855100361</v>
      </c>
      <c r="C9">
        <v>0.44023027429732475</v>
      </c>
      <c r="D9">
        <v>0</v>
      </c>
      <c r="E9">
        <v>0.48309178743961351</v>
      </c>
      <c r="F9">
        <v>2.1464646464646462</v>
      </c>
      <c r="G9">
        <v>0.31545741324921134</v>
      </c>
      <c r="H9">
        <v>0.7209714141158613</v>
      </c>
      <c r="I9">
        <v>0.73791013308736331</v>
      </c>
    </row>
    <row r="10" spans="1:9" x14ac:dyDescent="0.35">
      <c r="A10" s="388" t="s">
        <v>313</v>
      </c>
      <c r="B10">
        <v>0.74257425742574257</v>
      </c>
      <c r="C10">
        <v>0.40858018386108275</v>
      </c>
      <c r="D10">
        <v>0</v>
      </c>
      <c r="E10">
        <v>0.53191489361702127</v>
      </c>
      <c r="F10">
        <v>2.3227383863080684</v>
      </c>
      <c r="G10">
        <v>0.31746031746031744</v>
      </c>
      <c r="H10">
        <v>0.75662042875157631</v>
      </c>
      <c r="I10">
        <v>0.77478660538411037</v>
      </c>
    </row>
    <row r="11" spans="1:9" x14ac:dyDescent="0.35">
      <c r="A11" s="388" t="s">
        <v>319</v>
      </c>
      <c r="B11">
        <v>0.78125</v>
      </c>
      <c r="C11">
        <v>0.45264623955431754</v>
      </c>
      <c r="D11">
        <v>0</v>
      </c>
      <c r="E11">
        <v>1.098901098901099</v>
      </c>
      <c r="F11">
        <v>3.1100478468899522</v>
      </c>
      <c r="G11">
        <v>0.33003300330033003</v>
      </c>
      <c r="H11">
        <v>0.89388328438258202</v>
      </c>
      <c r="I11">
        <v>0.91657810839532416</v>
      </c>
    </row>
    <row r="12" spans="1:9" x14ac:dyDescent="0.35">
      <c r="A12" s="388" t="s">
        <v>321</v>
      </c>
      <c r="B12">
        <v>0.76120665351000849</v>
      </c>
      <c r="C12">
        <v>0.43462513582035489</v>
      </c>
      <c r="D12">
        <v>0</v>
      </c>
      <c r="E12">
        <v>0.56497175141242939</v>
      </c>
      <c r="F12">
        <v>2.7600849256900215</v>
      </c>
      <c r="G12">
        <v>0.36101083032490977</v>
      </c>
      <c r="H12">
        <v>0.85491897409723094</v>
      </c>
      <c r="I12">
        <v>0.88235294117647056</v>
      </c>
    </row>
    <row r="13" spans="1:9" x14ac:dyDescent="0.35">
      <c r="A13" s="388" t="s">
        <v>326</v>
      </c>
      <c r="B13">
        <v>0.96728307254623047</v>
      </c>
      <c r="C13">
        <v>0.40204678362573099</v>
      </c>
      <c r="D13">
        <v>0</v>
      </c>
      <c r="E13">
        <v>1.1494252873563218</v>
      </c>
      <c r="F13">
        <v>2.5917926565874732</v>
      </c>
      <c r="G13">
        <v>0.37593984962406013</v>
      </c>
      <c r="H13">
        <v>0.92366901860166761</v>
      </c>
      <c r="I13">
        <v>0.95881161377447677</v>
      </c>
    </row>
    <row r="14" spans="1:9" x14ac:dyDescent="0.35">
      <c r="A14" s="388" t="s">
        <v>327</v>
      </c>
      <c r="B14">
        <v>0.92969203951191159</v>
      </c>
      <c r="C14">
        <v>0.33136966126656847</v>
      </c>
      <c r="D14">
        <v>0</v>
      </c>
      <c r="E14">
        <v>1.1560693641618496</v>
      </c>
      <c r="F14">
        <v>2.7472527472527473</v>
      </c>
      <c r="G14">
        <v>0.37037037037037041</v>
      </c>
      <c r="H14">
        <v>0.89459354336833918</v>
      </c>
      <c r="I14">
        <v>0.93214530500342707</v>
      </c>
    </row>
    <row r="15" spans="1:9" x14ac:dyDescent="0.35">
      <c r="A15" s="388" t="s">
        <v>466</v>
      </c>
      <c r="B15">
        <v>0.98693759071117571</v>
      </c>
      <c r="C15">
        <v>0.33222591362126247</v>
      </c>
      <c r="D15">
        <v>0</v>
      </c>
      <c r="E15">
        <v>1.1560693641618496</v>
      </c>
      <c r="F15">
        <v>2.7484143763213531</v>
      </c>
      <c r="G15">
        <v>0.36630036630036628</v>
      </c>
      <c r="H15">
        <v>0.92819388939022818</v>
      </c>
      <c r="I15">
        <v>0.96809380965366776</v>
      </c>
    </row>
    <row r="16" spans="1:9" x14ac:dyDescent="0.35">
      <c r="A16" s="388" t="s">
        <v>357</v>
      </c>
      <c r="B16">
        <v>7.4563233222560719</v>
      </c>
      <c r="C16">
        <v>4.3017241920466418</v>
      </c>
      <c r="D16">
        <v>0</v>
      </c>
      <c r="E16">
        <v>14.340443547050182</v>
      </c>
      <c r="F16">
        <v>24.926795585514263</v>
      </c>
      <c r="G16">
        <v>4.2365721506295655</v>
      </c>
      <c r="H16">
        <v>8.3728505527074848</v>
      </c>
      <c r="I16">
        <v>8.5706785164748389</v>
      </c>
    </row>
    <row r="27" spans="1:9" x14ac:dyDescent="0.35">
      <c r="A27" s="387" t="s">
        <v>350</v>
      </c>
      <c r="B27" t="s">
        <v>607</v>
      </c>
      <c r="C27" t="s">
        <v>504</v>
      </c>
      <c r="D27" t="s">
        <v>833</v>
      </c>
      <c r="E27" t="s">
        <v>506</v>
      </c>
      <c r="F27" t="s">
        <v>507</v>
      </c>
      <c r="G27" t="s">
        <v>355</v>
      </c>
      <c r="H27" t="s">
        <v>356</v>
      </c>
      <c r="I27" t="s">
        <v>834</v>
      </c>
    </row>
    <row r="28" spans="1:9" x14ac:dyDescent="0.35">
      <c r="A28" s="388" t="s">
        <v>365</v>
      </c>
      <c r="B28">
        <v>80.8</v>
      </c>
      <c r="C28">
        <v>96.9</v>
      </c>
      <c r="E28">
        <v>60.4</v>
      </c>
      <c r="F28">
        <v>77.900000000000006</v>
      </c>
      <c r="G28">
        <v>47.4</v>
      </c>
      <c r="H28">
        <v>84.1</v>
      </c>
      <c r="I28">
        <v>85.9</v>
      </c>
    </row>
    <row r="29" spans="1:9" x14ac:dyDescent="0.35">
      <c r="A29" s="388" t="s">
        <v>366</v>
      </c>
      <c r="B29">
        <v>100</v>
      </c>
      <c r="C29">
        <v>98</v>
      </c>
      <c r="E29">
        <v>100</v>
      </c>
      <c r="F29">
        <v>95</v>
      </c>
      <c r="G29">
        <v>94</v>
      </c>
      <c r="H29">
        <v>99</v>
      </c>
      <c r="I29">
        <v>99</v>
      </c>
    </row>
    <row r="30" spans="1:9" x14ac:dyDescent="0.35">
      <c r="A30" s="388" t="s">
        <v>341</v>
      </c>
      <c r="B30">
        <v>99.5</v>
      </c>
      <c r="C30">
        <v>95.2</v>
      </c>
      <c r="E30">
        <v>99.4</v>
      </c>
      <c r="F30">
        <v>90.9</v>
      </c>
      <c r="G30">
        <v>96.2</v>
      </c>
      <c r="H30">
        <v>96.8</v>
      </c>
      <c r="I30">
        <v>96.9</v>
      </c>
    </row>
    <row r="31" spans="1:9" x14ac:dyDescent="0.35">
      <c r="A31" s="388" t="s">
        <v>342</v>
      </c>
      <c r="B31">
        <v>91.4</v>
      </c>
      <c r="C31">
        <v>80.599999999999994</v>
      </c>
      <c r="E31">
        <v>87.3</v>
      </c>
      <c r="F31">
        <v>75.099999999999994</v>
      </c>
      <c r="G31">
        <v>96.4</v>
      </c>
      <c r="H31">
        <v>85.8</v>
      </c>
      <c r="I31">
        <v>85.3</v>
      </c>
    </row>
    <row r="32" spans="1:9" x14ac:dyDescent="0.35">
      <c r="A32" s="388" t="s">
        <v>214</v>
      </c>
      <c r="B32">
        <v>78.828704976629098</v>
      </c>
      <c r="C32">
        <v>73.789366745682358</v>
      </c>
      <c r="E32">
        <v>78.260869565217391</v>
      </c>
      <c r="F32">
        <v>60.101010101010097</v>
      </c>
      <c r="G32">
        <v>95.899053627760253</v>
      </c>
      <c r="H32">
        <v>75.739944346066281</v>
      </c>
      <c r="I32">
        <v>74.89787850836737</v>
      </c>
    </row>
    <row r="33" spans="1:9" x14ac:dyDescent="0.35">
      <c r="A33" s="388" t="s">
        <v>313</v>
      </c>
      <c r="B33">
        <v>75.880088008800882</v>
      </c>
      <c r="C33">
        <v>74.08920667347634</v>
      </c>
      <c r="D33">
        <v>55.555555555555557</v>
      </c>
      <c r="E33">
        <v>78.723404255319153</v>
      </c>
      <c r="F33">
        <v>59.29095354523227</v>
      </c>
      <c r="G33">
        <v>94.92063492063491</v>
      </c>
      <c r="H33">
        <v>74.237074401008826</v>
      </c>
      <c r="I33">
        <v>73.381483913328964</v>
      </c>
    </row>
    <row r="34" spans="1:9" x14ac:dyDescent="0.35">
      <c r="A34" s="388" t="s">
        <v>319</v>
      </c>
      <c r="B34">
        <v>74.469866071428569</v>
      </c>
      <c r="C34">
        <v>73.850974930362113</v>
      </c>
      <c r="D34">
        <v>59.259259259259252</v>
      </c>
      <c r="E34">
        <v>71.428571428571431</v>
      </c>
      <c r="F34">
        <v>57.41626794258373</v>
      </c>
      <c r="G34">
        <v>94.38943894389439</v>
      </c>
      <c r="H34">
        <v>73.017494572851476</v>
      </c>
      <c r="I34">
        <v>72.157279489904354</v>
      </c>
    </row>
    <row r="35" spans="1:9" x14ac:dyDescent="0.35">
      <c r="A35" s="388" t="s">
        <v>321</v>
      </c>
      <c r="B35">
        <v>72.963067380885263</v>
      </c>
      <c r="C35">
        <v>74.139804418688882</v>
      </c>
      <c r="D35">
        <v>60.377358490566039</v>
      </c>
      <c r="E35">
        <v>67.2316384180791</v>
      </c>
      <c r="F35">
        <v>59.023354564755834</v>
      </c>
      <c r="G35">
        <v>93.501805054151617</v>
      </c>
      <c r="H35">
        <v>71.468674237590918</v>
      </c>
      <c r="I35">
        <v>71.417112299465231</v>
      </c>
    </row>
    <row r="36" spans="1:9" x14ac:dyDescent="0.35">
      <c r="A36" s="388" t="s">
        <v>326</v>
      </c>
      <c r="B36">
        <v>70.981507823613086</v>
      </c>
      <c r="C36">
        <v>74.232456140350877</v>
      </c>
      <c r="D36">
        <v>62.962962962962962</v>
      </c>
      <c r="E36">
        <v>68.965517241379317</v>
      </c>
      <c r="F36">
        <v>60.151187904967607</v>
      </c>
      <c r="G36">
        <v>93.609022556390968</v>
      </c>
      <c r="H36">
        <v>70.378447722899296</v>
      </c>
      <c r="I36">
        <v>70.722484807562452</v>
      </c>
    </row>
    <row r="37" spans="1:9" x14ac:dyDescent="0.35">
      <c r="A37" s="388" t="s">
        <v>327</v>
      </c>
      <c r="B37">
        <v>70.976176641487513</v>
      </c>
      <c r="C37">
        <v>75.662739322533128</v>
      </c>
      <c r="D37">
        <v>64.81481481481481</v>
      </c>
      <c r="E37">
        <v>70.520231213872833</v>
      </c>
      <c r="F37">
        <v>61.208791208791212</v>
      </c>
      <c r="G37">
        <v>93.333333333333329</v>
      </c>
      <c r="H37">
        <v>70.841436535718913</v>
      </c>
      <c r="I37">
        <v>71.446196024674435</v>
      </c>
    </row>
    <row r="38" spans="1:9" x14ac:dyDescent="0.35">
      <c r="A38" s="388" t="s">
        <v>466</v>
      </c>
      <c r="B38">
        <v>71.756168359941938</v>
      </c>
      <c r="C38">
        <v>76.559616094499816</v>
      </c>
      <c r="D38">
        <v>67.213114754098356</v>
      </c>
      <c r="E38">
        <v>70.520231213872833</v>
      </c>
      <c r="F38">
        <v>61.627906976744185</v>
      </c>
      <c r="G38">
        <v>93.040293040293037</v>
      </c>
      <c r="H38">
        <v>71.496712646641754</v>
      </c>
      <c r="I38">
        <v>72.157076629397338</v>
      </c>
    </row>
    <row r="39" spans="1:9" x14ac:dyDescent="0.35">
      <c r="A39" s="388" t="s">
        <v>357</v>
      </c>
      <c r="B39">
        <v>887.55557926278641</v>
      </c>
      <c r="C39">
        <v>893.02416432559346</v>
      </c>
      <c r="D39">
        <v>370.18306583725695</v>
      </c>
      <c r="E39">
        <v>852.75046333631212</v>
      </c>
      <c r="F39">
        <v>757.71947224408495</v>
      </c>
      <c r="G39">
        <v>992.69358147645858</v>
      </c>
      <c r="H39">
        <v>872.87978446277737</v>
      </c>
      <c r="I39">
        <v>873.27951167270021</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6DE45-B9F2-4619-8F89-3A0CF377B2D2}">
  <sheetPr>
    <tabColor theme="9" tint="0.39997558519241921"/>
  </sheetPr>
  <dimension ref="A1:I37"/>
  <sheetViews>
    <sheetView topLeftCell="A16" workbookViewId="0">
      <selection activeCell="C31" sqref="C31"/>
    </sheetView>
  </sheetViews>
  <sheetFormatPr defaultRowHeight="14.5" x14ac:dyDescent="0.35"/>
  <cols>
    <col min="1" max="1" width="7.54296875" bestFit="1" customWidth="1"/>
    <col min="2" max="2" width="23.81640625" bestFit="1" customWidth="1"/>
    <col min="3" max="3" width="22.08984375" bestFit="1" customWidth="1"/>
    <col min="4" max="4" width="18.54296875" bestFit="1" customWidth="1"/>
    <col min="5" max="8" width="11.90625" bestFit="1" customWidth="1"/>
    <col min="9" max="9" width="26.26953125" bestFit="1" customWidth="1"/>
  </cols>
  <sheetData>
    <row r="1" spans="1:9" x14ac:dyDescent="0.35">
      <c r="A1" t="s">
        <v>207</v>
      </c>
      <c r="B1" t="s">
        <v>515</v>
      </c>
      <c r="C1" t="s">
        <v>361</v>
      </c>
      <c r="D1" t="s">
        <v>835</v>
      </c>
      <c r="E1" t="s">
        <v>511</v>
      </c>
      <c r="F1" t="s">
        <v>512</v>
      </c>
      <c r="G1" t="s">
        <v>339</v>
      </c>
      <c r="H1" t="s">
        <v>340</v>
      </c>
      <c r="I1" t="s">
        <v>836</v>
      </c>
    </row>
    <row r="2" spans="1:9" x14ac:dyDescent="0.35">
      <c r="A2" t="s">
        <v>362</v>
      </c>
      <c r="B2">
        <v>0.4</v>
      </c>
      <c r="C2">
        <v>0.3</v>
      </c>
      <c r="E2">
        <v>2.1</v>
      </c>
      <c r="F2">
        <v>1.4</v>
      </c>
      <c r="G2">
        <v>0.4</v>
      </c>
      <c r="H2">
        <v>0.6</v>
      </c>
      <c r="I2">
        <v>0.6</v>
      </c>
    </row>
    <row r="3" spans="1:9" x14ac:dyDescent="0.35">
      <c r="A3" t="s">
        <v>363</v>
      </c>
      <c r="B3">
        <v>0.5</v>
      </c>
      <c r="C3">
        <v>0.3</v>
      </c>
      <c r="E3">
        <v>2.1</v>
      </c>
      <c r="F3">
        <v>1.5</v>
      </c>
      <c r="G3">
        <v>0.5</v>
      </c>
      <c r="H3">
        <v>0.6</v>
      </c>
      <c r="I3">
        <v>0.6</v>
      </c>
    </row>
    <row r="4" spans="1:9" x14ac:dyDescent="0.35">
      <c r="A4" t="s">
        <v>364</v>
      </c>
      <c r="B4">
        <v>0.2</v>
      </c>
      <c r="C4">
        <v>0.2</v>
      </c>
      <c r="E4">
        <v>1.8</v>
      </c>
      <c r="F4">
        <v>0.7</v>
      </c>
      <c r="H4">
        <v>0.3</v>
      </c>
      <c r="I4">
        <v>0.3</v>
      </c>
    </row>
    <row r="5" spans="1:9" x14ac:dyDescent="0.35">
      <c r="A5" t="s">
        <v>365</v>
      </c>
      <c r="B5">
        <v>0.2</v>
      </c>
      <c r="C5">
        <v>0.2</v>
      </c>
      <c r="E5">
        <v>2.2000000000000002</v>
      </c>
      <c r="F5">
        <v>0.8</v>
      </c>
      <c r="H5">
        <v>0.3</v>
      </c>
      <c r="I5">
        <v>0.3</v>
      </c>
    </row>
    <row r="6" spans="1:9" x14ac:dyDescent="0.35">
      <c r="A6" t="s">
        <v>366</v>
      </c>
      <c r="B6">
        <v>0</v>
      </c>
      <c r="C6">
        <v>0.1</v>
      </c>
      <c r="E6">
        <v>0</v>
      </c>
      <c r="F6">
        <v>0.5</v>
      </c>
      <c r="G6">
        <v>0.3</v>
      </c>
      <c r="H6">
        <v>0.1</v>
      </c>
      <c r="I6">
        <v>0.1</v>
      </c>
    </row>
    <row r="7" spans="1:9" x14ac:dyDescent="0.35">
      <c r="A7" t="s">
        <v>341</v>
      </c>
      <c r="B7">
        <v>0</v>
      </c>
      <c r="C7">
        <v>0.1</v>
      </c>
      <c r="E7">
        <v>0</v>
      </c>
      <c r="F7">
        <v>0.4</v>
      </c>
      <c r="G7">
        <v>0.3</v>
      </c>
      <c r="H7">
        <v>0.1</v>
      </c>
      <c r="I7">
        <v>0.1</v>
      </c>
    </row>
    <row r="8" spans="1:9" x14ac:dyDescent="0.35">
      <c r="A8" t="s">
        <v>342</v>
      </c>
      <c r="B8">
        <v>0.3</v>
      </c>
      <c r="C8">
        <v>0.3</v>
      </c>
      <c r="E8">
        <v>0</v>
      </c>
      <c r="F8">
        <v>1.2</v>
      </c>
      <c r="G8">
        <v>0.3</v>
      </c>
      <c r="H8">
        <v>0.4</v>
      </c>
      <c r="I8">
        <v>0.4</v>
      </c>
    </row>
    <row r="9" spans="1:9" x14ac:dyDescent="0.35">
      <c r="A9" t="s">
        <v>214</v>
      </c>
      <c r="B9">
        <v>0.68737970855100361</v>
      </c>
      <c r="C9">
        <v>0.44023027429732475</v>
      </c>
      <c r="D9">
        <v>0</v>
      </c>
      <c r="E9">
        <v>0.48309178743961351</v>
      </c>
      <c r="F9">
        <v>2.1464646464646462</v>
      </c>
      <c r="G9">
        <v>0.31545741324921134</v>
      </c>
      <c r="H9">
        <v>0.7209714141158613</v>
      </c>
      <c r="I9">
        <v>0.73791013308736331</v>
      </c>
    </row>
    <row r="10" spans="1:9" x14ac:dyDescent="0.35">
      <c r="A10" t="s">
        <v>313</v>
      </c>
      <c r="B10">
        <v>0.74257425742574257</v>
      </c>
      <c r="C10">
        <v>0.40858018386108275</v>
      </c>
      <c r="D10">
        <v>0</v>
      </c>
      <c r="E10">
        <v>0.53191489361702127</v>
      </c>
      <c r="F10">
        <v>2.3227383863080684</v>
      </c>
      <c r="G10">
        <v>0.31746031746031744</v>
      </c>
      <c r="H10">
        <v>0.75662042875157631</v>
      </c>
      <c r="I10">
        <v>0.77478660538411037</v>
      </c>
    </row>
    <row r="11" spans="1:9" x14ac:dyDescent="0.35">
      <c r="A11" t="s">
        <v>319</v>
      </c>
      <c r="B11">
        <v>0.78125</v>
      </c>
      <c r="C11">
        <v>0.45264623955431754</v>
      </c>
      <c r="D11">
        <v>0</v>
      </c>
      <c r="E11">
        <v>1.098901098901099</v>
      </c>
      <c r="F11">
        <v>3.1100478468899522</v>
      </c>
      <c r="G11">
        <v>0.33003300330033003</v>
      </c>
      <c r="H11">
        <v>0.89388328438258202</v>
      </c>
      <c r="I11">
        <v>0.91657810839532416</v>
      </c>
    </row>
    <row r="12" spans="1:9" x14ac:dyDescent="0.35">
      <c r="A12" t="s">
        <v>321</v>
      </c>
      <c r="B12">
        <v>0.76120665351000849</v>
      </c>
      <c r="C12">
        <v>0.43462513582035489</v>
      </c>
      <c r="D12">
        <v>0</v>
      </c>
      <c r="E12">
        <v>0.56497175141242939</v>
      </c>
      <c r="F12">
        <v>2.7600849256900215</v>
      </c>
      <c r="G12">
        <v>0.36101083032490977</v>
      </c>
      <c r="H12">
        <v>0.85491897409723094</v>
      </c>
      <c r="I12">
        <v>0.88235294117647056</v>
      </c>
    </row>
    <row r="13" spans="1:9" x14ac:dyDescent="0.35">
      <c r="A13" t="s">
        <v>326</v>
      </c>
      <c r="B13">
        <v>0.96728307254623047</v>
      </c>
      <c r="C13">
        <v>0.40204678362573099</v>
      </c>
      <c r="D13">
        <v>0</v>
      </c>
      <c r="E13">
        <v>1.1494252873563218</v>
      </c>
      <c r="F13">
        <v>2.5917926565874732</v>
      </c>
      <c r="G13">
        <v>0.37593984962406013</v>
      </c>
      <c r="H13">
        <v>0.92366901860166761</v>
      </c>
      <c r="I13">
        <v>0.95881161377447677</v>
      </c>
    </row>
    <row r="14" spans="1:9" x14ac:dyDescent="0.35">
      <c r="A14" t="s">
        <v>327</v>
      </c>
      <c r="B14">
        <v>0.92969203951191159</v>
      </c>
      <c r="C14">
        <v>0.33136966126656847</v>
      </c>
      <c r="D14">
        <v>0</v>
      </c>
      <c r="E14">
        <v>1.1560693641618496</v>
      </c>
      <c r="F14">
        <v>2.7472527472527473</v>
      </c>
      <c r="G14">
        <v>0.37037037037037041</v>
      </c>
      <c r="H14">
        <v>0.89459354336833918</v>
      </c>
      <c r="I14">
        <v>0.93214530500342707</v>
      </c>
    </row>
    <row r="15" spans="1:9" x14ac:dyDescent="0.35">
      <c r="A15" t="s">
        <v>466</v>
      </c>
      <c r="B15">
        <v>0.98693759071117571</v>
      </c>
      <c r="C15">
        <v>0.33222591362126247</v>
      </c>
      <c r="D15">
        <v>0</v>
      </c>
      <c r="E15">
        <v>1.1560693641618496</v>
      </c>
      <c r="F15">
        <v>2.7484143763213531</v>
      </c>
      <c r="G15">
        <v>0.36630036630036628</v>
      </c>
      <c r="H15">
        <v>0.92819388939022818</v>
      </c>
      <c r="I15">
        <v>0.96809380965366776</v>
      </c>
    </row>
    <row r="26" spans="1:9" x14ac:dyDescent="0.35">
      <c r="A26" t="s">
        <v>207</v>
      </c>
      <c r="B26" t="s">
        <v>515</v>
      </c>
      <c r="C26" t="s">
        <v>361</v>
      </c>
      <c r="D26" t="s">
        <v>835</v>
      </c>
      <c r="E26" t="s">
        <v>511</v>
      </c>
      <c r="F26" t="s">
        <v>512</v>
      </c>
      <c r="G26" t="s">
        <v>339</v>
      </c>
      <c r="H26" t="s">
        <v>340</v>
      </c>
      <c r="I26" t="s">
        <v>836</v>
      </c>
    </row>
    <row r="27" spans="1:9" x14ac:dyDescent="0.35">
      <c r="A27" t="s">
        <v>365</v>
      </c>
      <c r="B27">
        <v>80.8</v>
      </c>
      <c r="C27">
        <v>96.9</v>
      </c>
      <c r="E27">
        <v>60.4</v>
      </c>
      <c r="F27">
        <v>77.900000000000006</v>
      </c>
      <c r="G27">
        <v>47.4</v>
      </c>
      <c r="H27">
        <v>84.1</v>
      </c>
      <c r="I27">
        <v>85.9</v>
      </c>
    </row>
    <row r="28" spans="1:9" x14ac:dyDescent="0.35">
      <c r="A28" t="s">
        <v>366</v>
      </c>
      <c r="B28">
        <v>100</v>
      </c>
      <c r="C28">
        <v>98</v>
      </c>
      <c r="E28">
        <v>100</v>
      </c>
      <c r="F28">
        <v>95</v>
      </c>
      <c r="G28">
        <v>94</v>
      </c>
      <c r="H28">
        <v>99</v>
      </c>
      <c r="I28">
        <v>99</v>
      </c>
    </row>
    <row r="29" spans="1:9" x14ac:dyDescent="0.35">
      <c r="A29" t="s">
        <v>341</v>
      </c>
      <c r="B29">
        <v>99.5</v>
      </c>
      <c r="C29">
        <v>95.2</v>
      </c>
      <c r="E29">
        <v>99.4</v>
      </c>
      <c r="F29">
        <v>90.9</v>
      </c>
      <c r="G29">
        <v>96.2</v>
      </c>
      <c r="H29">
        <v>96.8</v>
      </c>
      <c r="I29">
        <v>96.9</v>
      </c>
    </row>
    <row r="30" spans="1:9" x14ac:dyDescent="0.35">
      <c r="A30" t="s">
        <v>342</v>
      </c>
      <c r="B30">
        <v>91.4</v>
      </c>
      <c r="C30">
        <v>80.599999999999994</v>
      </c>
      <c r="E30">
        <v>87.3</v>
      </c>
      <c r="F30">
        <v>75.099999999999994</v>
      </c>
      <c r="G30">
        <v>96.4</v>
      </c>
      <c r="H30">
        <v>85.8</v>
      </c>
      <c r="I30">
        <v>85.3</v>
      </c>
    </row>
    <row r="31" spans="1:9" x14ac:dyDescent="0.35">
      <c r="A31" t="s">
        <v>214</v>
      </c>
      <c r="B31">
        <v>78.828704976629098</v>
      </c>
      <c r="C31">
        <v>73.789366745682358</v>
      </c>
      <c r="E31">
        <v>78.260869565217391</v>
      </c>
      <c r="F31">
        <v>60.101010101010097</v>
      </c>
      <c r="G31">
        <v>95.899053627760253</v>
      </c>
      <c r="H31">
        <v>75.739944346066281</v>
      </c>
      <c r="I31">
        <v>74.89787850836737</v>
      </c>
    </row>
    <row r="32" spans="1:9" x14ac:dyDescent="0.35">
      <c r="A32" t="s">
        <v>313</v>
      </c>
      <c r="B32">
        <v>75.880088008800882</v>
      </c>
      <c r="C32">
        <v>74.08920667347634</v>
      </c>
      <c r="D32">
        <v>55.555555555555557</v>
      </c>
      <c r="E32">
        <v>78.723404255319153</v>
      </c>
      <c r="F32">
        <v>59.29095354523227</v>
      </c>
      <c r="G32">
        <v>94.92063492063491</v>
      </c>
      <c r="H32">
        <v>74.237074401008826</v>
      </c>
      <c r="I32">
        <v>73.381483913328964</v>
      </c>
    </row>
    <row r="33" spans="1:9" x14ac:dyDescent="0.35">
      <c r="A33" t="s">
        <v>319</v>
      </c>
      <c r="B33">
        <v>74.469866071428569</v>
      </c>
      <c r="C33">
        <v>73.850974930362113</v>
      </c>
      <c r="D33">
        <v>59.259259259259252</v>
      </c>
      <c r="E33">
        <v>71.428571428571431</v>
      </c>
      <c r="F33">
        <v>57.41626794258373</v>
      </c>
      <c r="G33">
        <v>94.38943894389439</v>
      </c>
      <c r="H33">
        <v>73.017494572851476</v>
      </c>
      <c r="I33">
        <v>72.157279489904354</v>
      </c>
    </row>
    <row r="34" spans="1:9" x14ac:dyDescent="0.35">
      <c r="A34" t="s">
        <v>321</v>
      </c>
      <c r="B34">
        <v>72.963067380885263</v>
      </c>
      <c r="C34">
        <v>74.139804418688882</v>
      </c>
      <c r="D34">
        <v>60.377358490566039</v>
      </c>
      <c r="E34">
        <v>67.2316384180791</v>
      </c>
      <c r="F34">
        <v>59.023354564755834</v>
      </c>
      <c r="G34">
        <v>93.501805054151617</v>
      </c>
      <c r="H34">
        <v>71.468674237590918</v>
      </c>
      <c r="I34">
        <v>71.417112299465231</v>
      </c>
    </row>
    <row r="35" spans="1:9" x14ac:dyDescent="0.35">
      <c r="A35" t="s">
        <v>326</v>
      </c>
      <c r="B35">
        <v>70.981507823613086</v>
      </c>
      <c r="C35">
        <v>74.232456140350877</v>
      </c>
      <c r="D35">
        <v>62.962962962962962</v>
      </c>
      <c r="E35">
        <v>68.965517241379317</v>
      </c>
      <c r="F35">
        <v>60.151187904967607</v>
      </c>
      <c r="G35">
        <v>93.609022556390968</v>
      </c>
      <c r="H35">
        <v>70.378447722899296</v>
      </c>
      <c r="I35">
        <v>70.722484807562452</v>
      </c>
    </row>
    <row r="36" spans="1:9" x14ac:dyDescent="0.35">
      <c r="A36" t="s">
        <v>327</v>
      </c>
      <c r="B36">
        <v>70.976176641487513</v>
      </c>
      <c r="C36">
        <v>75.662739322533128</v>
      </c>
      <c r="D36">
        <v>64.81481481481481</v>
      </c>
      <c r="E36">
        <v>70.520231213872833</v>
      </c>
      <c r="F36">
        <v>61.208791208791212</v>
      </c>
      <c r="G36">
        <v>93.333333333333329</v>
      </c>
      <c r="H36">
        <v>70.841436535718913</v>
      </c>
      <c r="I36">
        <v>71.446196024674435</v>
      </c>
    </row>
    <row r="37" spans="1:9" x14ac:dyDescent="0.35">
      <c r="A37" t="s">
        <v>466</v>
      </c>
      <c r="B37">
        <v>71.756168359941938</v>
      </c>
      <c r="C37">
        <v>76.559616094499816</v>
      </c>
      <c r="D37">
        <v>67.213114754098356</v>
      </c>
      <c r="E37">
        <v>70.520231213872833</v>
      </c>
      <c r="F37">
        <v>61.627906976744185</v>
      </c>
      <c r="G37">
        <v>93.040293040293037</v>
      </c>
      <c r="H37">
        <v>71.496712646641754</v>
      </c>
      <c r="I37">
        <v>72.157076629397338</v>
      </c>
    </row>
  </sheetData>
  <pageMargins left="0.7" right="0.7" top="0.75" bottom="0.75" header="0.3" footer="0.3"/>
  <tableParts count="2">
    <tablePart r:id="rId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20">
    <tabColor theme="9" tint="0.39997558519241921"/>
    <pageSetUpPr fitToPage="1"/>
  </sheetPr>
  <dimension ref="A1:L49"/>
  <sheetViews>
    <sheetView showGridLines="0" zoomScaleNormal="100" workbookViewId="0">
      <pane ySplit="2" topLeftCell="A3" activePane="bottomLeft" state="frozen"/>
      <selection pane="bottomLeft" sqref="A1:C1"/>
    </sheetView>
  </sheetViews>
  <sheetFormatPr defaultRowHeight="14.5" x14ac:dyDescent="0.35"/>
  <cols>
    <col min="1" max="1" width="18" customWidth="1"/>
    <col min="2" max="2" width="21.54296875" bestFit="1" customWidth="1"/>
    <col min="3" max="3" width="19.7265625" bestFit="1" customWidth="1"/>
    <col min="4" max="4" width="18.26953125" customWidth="1"/>
    <col min="5" max="5" width="7.1796875" bestFit="1" customWidth="1"/>
    <col min="6" max="6" width="7.54296875" bestFit="1" customWidth="1"/>
    <col min="7" max="7" width="9.54296875" bestFit="1" customWidth="1"/>
    <col min="8" max="8" width="8.453125" customWidth="1"/>
    <col min="9" max="9" width="24" bestFit="1" customWidth="1"/>
  </cols>
  <sheetData>
    <row r="1" spans="1:12" ht="15.5" x14ac:dyDescent="0.35">
      <c r="A1" s="1011" t="s">
        <v>513</v>
      </c>
      <c r="B1" s="1011"/>
      <c r="C1" s="1011"/>
      <c r="D1" s="441"/>
    </row>
    <row r="2" spans="1:12" x14ac:dyDescent="0.35">
      <c r="A2" s="499" t="s">
        <v>201</v>
      </c>
    </row>
    <row r="3" spans="1:12" x14ac:dyDescent="0.35">
      <c r="A3" s="25"/>
      <c r="B3" s="25"/>
      <c r="C3" s="25"/>
      <c r="D3" s="25"/>
      <c r="E3" s="25"/>
      <c r="F3" s="25"/>
      <c r="G3" s="25"/>
      <c r="H3" s="25"/>
      <c r="I3" s="25"/>
    </row>
    <row r="4" spans="1:12" ht="15.75" customHeight="1" x14ac:dyDescent="0.35">
      <c r="A4" s="1012" t="s">
        <v>837</v>
      </c>
      <c r="B4" s="1012"/>
      <c r="C4" s="1012"/>
      <c r="D4" s="1012"/>
      <c r="E4" s="1012"/>
      <c r="F4" s="1012"/>
      <c r="G4" s="1012"/>
      <c r="H4" s="1012"/>
      <c r="I4" s="1012"/>
    </row>
    <row r="5" spans="1:12" ht="15.75" customHeight="1" x14ac:dyDescent="0.35">
      <c r="A5" t="s">
        <v>202</v>
      </c>
      <c r="B5" t="s">
        <v>100</v>
      </c>
      <c r="C5" s="233"/>
      <c r="D5" s="233"/>
      <c r="E5" s="233"/>
      <c r="F5" s="233"/>
      <c r="G5" s="233"/>
      <c r="H5" s="233"/>
      <c r="I5" s="233"/>
    </row>
    <row r="6" spans="1:12" ht="15.75" customHeight="1" x14ac:dyDescent="0.35">
      <c r="A6" t="s">
        <v>203</v>
      </c>
      <c r="B6" t="s">
        <v>204</v>
      </c>
      <c r="C6" s="233"/>
      <c r="D6" s="25"/>
      <c r="E6" s="25"/>
      <c r="F6" s="25"/>
      <c r="G6" s="25"/>
      <c r="H6" s="25"/>
      <c r="I6" s="25"/>
      <c r="J6" s="25"/>
      <c r="K6" s="25"/>
      <c r="L6" s="25"/>
    </row>
    <row r="7" spans="1:12" ht="15.75" customHeight="1" x14ac:dyDescent="0.35">
      <c r="A7" t="s">
        <v>205</v>
      </c>
      <c r="B7" t="s">
        <v>206</v>
      </c>
      <c r="C7" s="233"/>
      <c r="D7" s="233"/>
      <c r="E7" s="233"/>
      <c r="F7" s="233"/>
      <c r="G7" s="233"/>
      <c r="H7" s="233"/>
      <c r="I7" s="233"/>
    </row>
    <row r="8" spans="1:12" ht="15.5" x14ac:dyDescent="0.35">
      <c r="A8" s="233"/>
      <c r="B8" s="233"/>
      <c r="C8" s="233"/>
      <c r="D8" s="233"/>
      <c r="E8" s="233"/>
      <c r="F8" s="233"/>
      <c r="G8" s="233"/>
      <c r="H8" s="233"/>
      <c r="I8" s="832" t="s">
        <v>92</v>
      </c>
    </row>
    <row r="9" spans="1:12" x14ac:dyDescent="0.35">
      <c r="A9" s="663" t="s">
        <v>207</v>
      </c>
      <c r="B9" s="663" t="s">
        <v>515</v>
      </c>
      <c r="C9" s="663" t="s">
        <v>361</v>
      </c>
      <c r="D9" s="663" t="s">
        <v>516</v>
      </c>
      <c r="E9" s="663" t="s">
        <v>511</v>
      </c>
      <c r="F9" s="663" t="s">
        <v>512</v>
      </c>
      <c r="G9" s="663" t="s">
        <v>339</v>
      </c>
      <c r="H9" s="663" t="s">
        <v>340</v>
      </c>
      <c r="I9" s="663" t="s">
        <v>744</v>
      </c>
    </row>
    <row r="10" spans="1:12" x14ac:dyDescent="0.35">
      <c r="A10" s="312" t="s">
        <v>362</v>
      </c>
      <c r="B10" s="754">
        <f>GETPIVOTDATA("Sum of Wholetime Operational",DisabilityPivot!$A$1,"Year",A10)</f>
        <v>0.4</v>
      </c>
      <c r="C10" s="754">
        <f>GETPIVOTDATA("Sum of Retained Duty System",DisabilityPivot!$A$1,"Year",A10)</f>
        <v>0.3</v>
      </c>
      <c r="D10" s="754"/>
      <c r="E10" s="754">
        <f>GETPIVOTDATA("Sum of Control",DisabilityPivot!$A$1,"Year",A10)</f>
        <v>2.1</v>
      </c>
      <c r="F10" s="754">
        <f>GETPIVOTDATA("Sum of Support",DisabilityPivot!$A$1,"Year",A10)</f>
        <v>1.4</v>
      </c>
      <c r="G10" s="754">
        <f>GETPIVOTDATA("Sum of Volunteer",DisabilityPivot!$A$1,"Year",A10)</f>
        <v>0.4</v>
      </c>
      <c r="H10" s="754">
        <f>GETPIVOTDATA("Sum of Total",DisabilityPivot!$A$1,"Year",A10)</f>
        <v>0.6</v>
      </c>
      <c r="I10" s="754">
        <f>GETPIVOTDATA("Sum of Total (excluding volunters)",DisabilityPivot!$A$1,"Year",A10)</f>
        <v>0.6</v>
      </c>
    </row>
    <row r="11" spans="1:12" x14ac:dyDescent="0.35">
      <c r="A11" s="312" t="s">
        <v>363</v>
      </c>
      <c r="B11" s="754">
        <f>GETPIVOTDATA("Sum of Wholetime Operational",DisabilityPivot!$A$1,"Year",A11)</f>
        <v>0.5</v>
      </c>
      <c r="C11" s="754">
        <f>GETPIVOTDATA("Sum of Retained Duty System",DisabilityPivot!$A$1,"Year",A11)</f>
        <v>0.3</v>
      </c>
      <c r="D11" s="754"/>
      <c r="E11" s="754">
        <f>GETPIVOTDATA("Sum of Control",DisabilityPivot!$A$1,"Year",A11)</f>
        <v>2.1</v>
      </c>
      <c r="F11" s="754">
        <f>GETPIVOTDATA("Sum of Support",DisabilityPivot!$A$1,"Year",A11)</f>
        <v>1.5</v>
      </c>
      <c r="G11" s="754">
        <f>GETPIVOTDATA("Sum of Volunteer",DisabilityPivot!$A$1,"Year",A11)</f>
        <v>0.5</v>
      </c>
      <c r="H11" s="754">
        <f>GETPIVOTDATA("Sum of Total",DisabilityPivot!$A$1,"Year",A11)</f>
        <v>0.6</v>
      </c>
      <c r="I11" s="754">
        <f>GETPIVOTDATA("Sum of Total (excluding volunters)",DisabilityPivot!$A$1,"Year",A11)</f>
        <v>0.6</v>
      </c>
    </row>
    <row r="12" spans="1:12" x14ac:dyDescent="0.35">
      <c r="A12" s="312" t="s">
        <v>364</v>
      </c>
      <c r="B12" s="754">
        <f>GETPIVOTDATA("Sum of Wholetime Operational",DisabilityPivot!$A$1,"Year",A12)</f>
        <v>0.2</v>
      </c>
      <c r="C12" s="754">
        <f>GETPIVOTDATA("Sum of Retained Duty System",DisabilityPivot!$A$1,"Year",A12)</f>
        <v>0.2</v>
      </c>
      <c r="D12" s="754"/>
      <c r="E12" s="754">
        <f>GETPIVOTDATA("Sum of Control",DisabilityPivot!$A$1,"Year",A12)</f>
        <v>1.8</v>
      </c>
      <c r="F12" s="754">
        <f>GETPIVOTDATA("Sum of Support",DisabilityPivot!$A$1,"Year",A12)</f>
        <v>0.7</v>
      </c>
      <c r="G12" s="754">
        <f>GETPIVOTDATA("Sum of Volunteer",DisabilityPivot!$A$1,"Year",A12)</f>
        <v>0</v>
      </c>
      <c r="H12" s="754">
        <f>GETPIVOTDATA("Sum of Total",DisabilityPivot!$A$1,"Year",A12)</f>
        <v>0.3</v>
      </c>
      <c r="I12" s="754">
        <f>GETPIVOTDATA("Sum of Total (excluding volunters)",DisabilityPivot!$A$1,"Year",A12)</f>
        <v>0.3</v>
      </c>
    </row>
    <row r="13" spans="1:12" x14ac:dyDescent="0.35">
      <c r="A13" s="312" t="s">
        <v>365</v>
      </c>
      <c r="B13" s="754">
        <f>GETPIVOTDATA("Sum of Wholetime Operational",DisabilityPivot!$A$1,"Year",A13)</f>
        <v>0.2</v>
      </c>
      <c r="C13" s="754">
        <f>GETPIVOTDATA("Sum of Retained Duty System",DisabilityPivot!$A$1,"Year",A13)</f>
        <v>0.2</v>
      </c>
      <c r="D13" s="754"/>
      <c r="E13" s="754">
        <f>GETPIVOTDATA("Sum of Control",DisabilityPivot!$A$1,"Year",A13)</f>
        <v>2.2000000000000002</v>
      </c>
      <c r="F13" s="754">
        <f>GETPIVOTDATA("Sum of Support",DisabilityPivot!$A$1,"Year",A13)</f>
        <v>0.8</v>
      </c>
      <c r="G13" s="754">
        <f>GETPIVOTDATA("Sum of Volunteer",DisabilityPivot!$A$1,"Year",A13)</f>
        <v>0</v>
      </c>
      <c r="H13" s="754">
        <f>GETPIVOTDATA("Sum of Total",DisabilityPivot!$A$1,"Year",A13)</f>
        <v>0.3</v>
      </c>
      <c r="I13" s="754">
        <f>GETPIVOTDATA("Sum of Total (excluding volunters)",DisabilityPivot!$A$1,"Year",A13)</f>
        <v>0.3</v>
      </c>
    </row>
    <row r="14" spans="1:12" x14ac:dyDescent="0.35">
      <c r="A14" s="312" t="s">
        <v>366</v>
      </c>
      <c r="B14" s="754">
        <f>GETPIVOTDATA("Sum of Wholetime Operational",DisabilityPivot!$A$1,"Year",A14)</f>
        <v>0</v>
      </c>
      <c r="C14" s="754">
        <f>GETPIVOTDATA("Sum of Retained Duty System",DisabilityPivot!$A$1,"Year",A14)</f>
        <v>0.1</v>
      </c>
      <c r="D14" s="754"/>
      <c r="E14" s="754">
        <f>GETPIVOTDATA("Sum of Control",DisabilityPivot!$A$1,"Year",A14)</f>
        <v>0</v>
      </c>
      <c r="F14" s="754">
        <f>GETPIVOTDATA("Sum of Support",DisabilityPivot!$A$1,"Year",A14)</f>
        <v>0.5</v>
      </c>
      <c r="G14" s="754">
        <f>GETPIVOTDATA("Sum of Volunteer",DisabilityPivot!$A$1,"Year",A14)</f>
        <v>0.3</v>
      </c>
      <c r="H14" s="754">
        <f>GETPIVOTDATA("Sum of Total",DisabilityPivot!$A$1,"Year",A14)</f>
        <v>0.1</v>
      </c>
      <c r="I14" s="754">
        <f>GETPIVOTDATA("Sum of Total (excluding volunters)",DisabilityPivot!$A$1,"Year",A14)</f>
        <v>0.1</v>
      </c>
    </row>
    <row r="15" spans="1:12" x14ac:dyDescent="0.35">
      <c r="A15" s="312" t="s">
        <v>341</v>
      </c>
      <c r="B15" s="754">
        <f>GETPIVOTDATA("Sum of Wholetime Operational",DisabilityPivot!$A$1,"Year",A15)</f>
        <v>0</v>
      </c>
      <c r="C15" s="754">
        <f>GETPIVOTDATA("Sum of Retained Duty System",DisabilityPivot!$A$1,"Year",A15)</f>
        <v>0.1</v>
      </c>
      <c r="D15" s="754"/>
      <c r="E15" s="754">
        <f>GETPIVOTDATA("Sum of Control",DisabilityPivot!$A$1,"Year",A15)</f>
        <v>0</v>
      </c>
      <c r="F15" s="754">
        <f>GETPIVOTDATA("Sum of Support",DisabilityPivot!$A$1,"Year",A15)</f>
        <v>0.4</v>
      </c>
      <c r="G15" s="754">
        <f>GETPIVOTDATA("Sum of Volunteer",DisabilityPivot!$A$1,"Year",A15)</f>
        <v>0.3</v>
      </c>
      <c r="H15" s="754">
        <f>GETPIVOTDATA("Sum of Total",DisabilityPivot!$A$1,"Year",A15)</f>
        <v>0.1</v>
      </c>
      <c r="I15" s="754">
        <f>GETPIVOTDATA("Sum of Total (excluding volunters)",DisabilityPivot!$A$1,"Year",A15)</f>
        <v>0.1</v>
      </c>
    </row>
    <row r="16" spans="1:12" x14ac:dyDescent="0.35">
      <c r="A16" s="312" t="s">
        <v>342</v>
      </c>
      <c r="B16" s="754">
        <f>GETPIVOTDATA("Sum of Wholetime Operational",DisabilityPivot!$A$1,"Year",A16)</f>
        <v>0.3</v>
      </c>
      <c r="C16" s="754">
        <f>GETPIVOTDATA("Sum of Retained Duty System",DisabilityPivot!$A$1,"Year",A16)</f>
        <v>0.3</v>
      </c>
      <c r="D16" s="754"/>
      <c r="E16" s="754">
        <f>GETPIVOTDATA("Sum of Control",DisabilityPivot!$A$1,"Year",A16)</f>
        <v>0</v>
      </c>
      <c r="F16" s="754">
        <f>GETPIVOTDATA("Sum of Support",DisabilityPivot!$A$1,"Year",A16)</f>
        <v>1.2</v>
      </c>
      <c r="G16" s="754">
        <f>GETPIVOTDATA("Sum of Volunteer",DisabilityPivot!$A$1,"Year",A16)</f>
        <v>0.3</v>
      </c>
      <c r="H16" s="754">
        <f>GETPIVOTDATA("Sum of Total",DisabilityPivot!$A$1,"Year",A16)</f>
        <v>0.4</v>
      </c>
      <c r="I16" s="754">
        <f>GETPIVOTDATA("Sum of Total (excluding volunters)",DisabilityPivot!$A$1,"Year",A16)</f>
        <v>0.4</v>
      </c>
    </row>
    <row r="17" spans="1:9" x14ac:dyDescent="0.35">
      <c r="A17" s="312" t="s">
        <v>214</v>
      </c>
      <c r="B17" s="754">
        <f>GETPIVOTDATA("Sum of Wholetime Operational",DisabilityPivot!$A$1,"Year",A17)</f>
        <v>0.68737970855100361</v>
      </c>
      <c r="C17" s="754">
        <f>GETPIVOTDATA("Sum of Retained Duty System",DisabilityPivot!$A$1,"Year",A17)</f>
        <v>0.44023027429732475</v>
      </c>
      <c r="D17" s="754"/>
      <c r="E17" s="754">
        <f>GETPIVOTDATA("Sum of Control",DisabilityPivot!$A$1,"Year",A17)</f>
        <v>0.48309178743961351</v>
      </c>
      <c r="F17" s="754">
        <f>GETPIVOTDATA("Sum of Support",DisabilityPivot!$A$1,"Year",A17)</f>
        <v>2.1464646464646462</v>
      </c>
      <c r="G17" s="754">
        <f>GETPIVOTDATA("Sum of Volunteer",DisabilityPivot!$A$1,"Year",A17)</f>
        <v>0.31545741324921134</v>
      </c>
      <c r="H17" s="754">
        <f>GETPIVOTDATA("Sum of Total",DisabilityPivot!$A$1,"Year",A17)</f>
        <v>0.7209714141158613</v>
      </c>
      <c r="I17" s="754">
        <f>GETPIVOTDATA("Sum of Total (excluding volunters)",DisabilityPivot!$A$1,"Year",A17)</f>
        <v>0.73791013308736331</v>
      </c>
    </row>
    <row r="18" spans="1:9" x14ac:dyDescent="0.35">
      <c r="A18" s="312" t="s">
        <v>313</v>
      </c>
      <c r="B18" s="754">
        <f>GETPIVOTDATA("Sum of Wholetime Operational",DisabilityPivot!$A$1,"Year",A18)</f>
        <v>0.74257425742574257</v>
      </c>
      <c r="C18" s="754">
        <f>GETPIVOTDATA("Sum of Retained Duty System",DisabilityPivot!$A$1,"Year",A18)</f>
        <v>0.40858018386108275</v>
      </c>
      <c r="D18" s="754">
        <f>GETPIVOTDATA("Sum of Retained Fulltime",DisabilityPivot!$A$1,"Year",A18)</f>
        <v>0</v>
      </c>
      <c r="E18" s="754">
        <f>GETPIVOTDATA("Sum of Control",DisabilityPivot!$A$1,"Year",A18)</f>
        <v>0.53191489361702127</v>
      </c>
      <c r="F18" s="754">
        <f>GETPIVOTDATA("Sum of Support",DisabilityPivot!$A$1,"Year",A18)</f>
        <v>2.3227383863080684</v>
      </c>
      <c r="G18" s="754">
        <f>GETPIVOTDATA("Sum of Volunteer",DisabilityPivot!$A$1,"Year",A18)</f>
        <v>0.31746031746031744</v>
      </c>
      <c r="H18" s="754">
        <f>GETPIVOTDATA("Sum of Total",DisabilityPivot!$A$1,"Year",A18)</f>
        <v>0.75662042875157631</v>
      </c>
      <c r="I18" s="754">
        <f>GETPIVOTDATA("Sum of Total (excluding volunters)",DisabilityPivot!$A$1,"Year",A18)</f>
        <v>0.77478660538411037</v>
      </c>
    </row>
    <row r="19" spans="1:9" x14ac:dyDescent="0.35">
      <c r="A19" s="312" t="s">
        <v>319</v>
      </c>
      <c r="B19" s="754">
        <f>GETPIVOTDATA("Sum of Wholetime Operational",DisabilityPivot!$A$1,"Year",A19)</f>
        <v>0.78125</v>
      </c>
      <c r="C19" s="754">
        <f>GETPIVOTDATA("Sum of Retained Duty System",DisabilityPivot!$A$1,"Year",A19)</f>
        <v>0.45264623955431754</v>
      </c>
      <c r="D19" s="754">
        <f>GETPIVOTDATA("Sum of Retained Fulltime",DisabilityPivot!$A$1,"Year",A19)</f>
        <v>0</v>
      </c>
      <c r="E19" s="754">
        <f>GETPIVOTDATA("Sum of Control",DisabilityPivot!$A$1,"Year",A19)</f>
        <v>1.098901098901099</v>
      </c>
      <c r="F19" s="754">
        <f>GETPIVOTDATA("Sum of Support",DisabilityPivot!$A$1,"Year",A19)</f>
        <v>3.1100478468899522</v>
      </c>
      <c r="G19" s="754">
        <f>GETPIVOTDATA("Sum of Volunteer",DisabilityPivot!$A$1,"Year",A19)</f>
        <v>0.33003300330033003</v>
      </c>
      <c r="H19" s="754">
        <f>GETPIVOTDATA("Sum of Total",DisabilityPivot!$A$1,"Year",A19)</f>
        <v>0.89388328438258202</v>
      </c>
      <c r="I19" s="754">
        <f>GETPIVOTDATA("Sum of Total (excluding volunters)",DisabilityPivot!$A$1,"Year",A19)</f>
        <v>0.91657810839532416</v>
      </c>
    </row>
    <row r="20" spans="1:9" x14ac:dyDescent="0.35">
      <c r="A20" s="312" t="s">
        <v>321</v>
      </c>
      <c r="B20" s="754">
        <f>GETPIVOTDATA("Sum of Wholetime Operational",DisabilityPivot!$A$1,"Year",A20)</f>
        <v>0.76120665351000849</v>
      </c>
      <c r="C20" s="754">
        <f>GETPIVOTDATA("Sum of Retained Duty System",DisabilityPivot!$A$1,"Year",A20)</f>
        <v>0.43462513582035489</v>
      </c>
      <c r="D20" s="754">
        <f>GETPIVOTDATA("Sum of Retained Fulltime",DisabilityPivot!$A$1,"Year",A20)</f>
        <v>0</v>
      </c>
      <c r="E20" s="754">
        <f>GETPIVOTDATA("Sum of Control",DisabilityPivot!$A$1,"Year",A20)</f>
        <v>0.56497175141242939</v>
      </c>
      <c r="F20" s="754">
        <f>GETPIVOTDATA("Sum of Support",DisabilityPivot!$A$1,"Year",A20)</f>
        <v>2.7600849256900215</v>
      </c>
      <c r="G20" s="754">
        <f>GETPIVOTDATA("Sum of Volunteer",DisabilityPivot!$A$1,"Year",A20)</f>
        <v>0.36101083032490977</v>
      </c>
      <c r="H20" s="754">
        <f>GETPIVOTDATA("Sum of Total",DisabilityPivot!$A$1,"Year",A20)</f>
        <v>0.85491897409723094</v>
      </c>
      <c r="I20" s="754">
        <f>GETPIVOTDATA("Sum of Total (excluding volunters)",DisabilityPivot!$A$1,"Year",A20)</f>
        <v>0.88235294117647056</v>
      </c>
    </row>
    <row r="21" spans="1:9" x14ac:dyDescent="0.35">
      <c r="A21" s="312" t="s">
        <v>326</v>
      </c>
      <c r="B21" s="754">
        <f>GETPIVOTDATA("Sum of Wholetime Operational",DisabilityPivot!$A$1,"Year",A21)</f>
        <v>0.96728307254623047</v>
      </c>
      <c r="C21" s="754">
        <f>GETPIVOTDATA("Sum of Retained Duty System",DisabilityPivot!$A$1,"Year",A21)</f>
        <v>0.40204678362573099</v>
      </c>
      <c r="D21" s="754">
        <f>GETPIVOTDATA("Sum of Retained Fulltime",DisabilityPivot!$A$1,"Year",A21)</f>
        <v>0</v>
      </c>
      <c r="E21" s="754">
        <f>GETPIVOTDATA("Sum of Control",DisabilityPivot!$A$1,"Year",A21)</f>
        <v>1.1494252873563218</v>
      </c>
      <c r="F21" s="754">
        <f>GETPIVOTDATA("Sum of Support",DisabilityPivot!$A$1,"Year",A21)</f>
        <v>2.5917926565874732</v>
      </c>
      <c r="G21" s="754">
        <f>GETPIVOTDATA("Sum of Volunteer",DisabilityPivot!$A$1,"Year",A21)</f>
        <v>0.37593984962406013</v>
      </c>
      <c r="H21" s="754">
        <f>GETPIVOTDATA("Sum of Total",DisabilityPivot!$A$1,"Year",A21)</f>
        <v>0.92366901860166761</v>
      </c>
      <c r="I21" s="754">
        <f>GETPIVOTDATA("Sum of Total (excluding volunters)",DisabilityPivot!$A$1,"Year",A21)</f>
        <v>0.95881161377447677</v>
      </c>
    </row>
    <row r="22" spans="1:9" ht="15" customHeight="1" x14ac:dyDescent="0.35">
      <c r="A22" s="334" t="s">
        <v>327</v>
      </c>
      <c r="B22" s="754">
        <f>GETPIVOTDATA("Sum of Wholetime Operational",DisabilityPivot!$A$1,"Year",A22)</f>
        <v>0.92969203951191159</v>
      </c>
      <c r="C22" s="754">
        <f>GETPIVOTDATA("Sum of Retained Duty System",DisabilityPivot!$A$1,"Year",A22)</f>
        <v>0.33136966126656847</v>
      </c>
      <c r="D22" s="754">
        <f>GETPIVOTDATA("Sum of Retained Fulltime",DisabilityPivot!$A$1,"Year",A22)</f>
        <v>0</v>
      </c>
      <c r="E22" s="754">
        <f>GETPIVOTDATA("Sum of Control",DisabilityPivot!$A$1,"Year",A22)</f>
        <v>1.1560693641618496</v>
      </c>
      <c r="F22" s="754">
        <f>GETPIVOTDATA("Sum of Support",DisabilityPivot!$A$1,"Year",A22)</f>
        <v>2.7472527472527473</v>
      </c>
      <c r="G22" s="754">
        <f>GETPIVOTDATA("Sum of Volunteer",DisabilityPivot!$A$1,"Year",A22)</f>
        <v>0.37037037037037041</v>
      </c>
      <c r="H22" s="754">
        <f>GETPIVOTDATA("Sum of Total",DisabilityPivot!$A$1,"Year",A22)</f>
        <v>0.89459354336833918</v>
      </c>
      <c r="I22" s="754">
        <f>GETPIVOTDATA("Sum of Total (excluding volunters)",DisabilityPivot!$A$1,"Year",A22)</f>
        <v>0.93214530500342707</v>
      </c>
    </row>
    <row r="23" spans="1:9" ht="15" customHeight="1" thickBot="1" x14ac:dyDescent="0.4">
      <c r="A23" s="850" t="s">
        <v>466</v>
      </c>
      <c r="B23" s="756">
        <f>GETPIVOTDATA("Sum of Wholetime Operational",DisabilityPivot!$A$1,"Year",A23)</f>
        <v>0.98693759071117571</v>
      </c>
      <c r="C23" s="756">
        <f>GETPIVOTDATA("Sum of Retained Duty System",DisabilityPivot!$A$1,"Year",A23)</f>
        <v>0.33222591362126247</v>
      </c>
      <c r="D23" s="756">
        <f>GETPIVOTDATA("Sum of Retained Fulltime",DisabilityPivot!$A$1,"Year",A23)</f>
        <v>0</v>
      </c>
      <c r="E23" s="756">
        <f>GETPIVOTDATA("Sum of Control",DisabilityPivot!$A$1,"Year",A23)</f>
        <v>1.1560693641618496</v>
      </c>
      <c r="F23" s="756">
        <f>GETPIVOTDATA("Sum of Support",DisabilityPivot!$A$1,"Year",A23)</f>
        <v>2.7484143763213531</v>
      </c>
      <c r="G23" s="756">
        <f>GETPIVOTDATA("Sum of Volunteer",DisabilityPivot!$A$1,"Year",A23)</f>
        <v>0.36630036630036628</v>
      </c>
      <c r="H23" s="756">
        <f>GETPIVOTDATA("Sum of Total",DisabilityPivot!$A$1,"Year",A23)</f>
        <v>0.92819388939022818</v>
      </c>
      <c r="I23" s="756">
        <f>GETPIVOTDATA("Sum of Total (excluding volunters)",DisabilityPivot!$A$1,"Year",A23)</f>
        <v>0.96809380965366776</v>
      </c>
    </row>
    <row r="24" spans="1:9" ht="15" customHeight="1" x14ac:dyDescent="0.35">
      <c r="A24" s="25"/>
      <c r="B24" s="25"/>
      <c r="C24" s="25"/>
      <c r="D24" s="25"/>
      <c r="E24" s="25"/>
      <c r="F24" s="25"/>
      <c r="G24" s="25"/>
      <c r="H24" s="25"/>
      <c r="I24" s="25"/>
    </row>
    <row r="25" spans="1:9" ht="15" customHeight="1" x14ac:dyDescent="0.35">
      <c r="A25" s="334" t="s">
        <v>329</v>
      </c>
      <c r="B25" s="25"/>
      <c r="C25" s="25"/>
      <c r="D25" s="25"/>
      <c r="E25" s="25"/>
      <c r="F25" s="25"/>
      <c r="G25" s="25"/>
      <c r="H25" s="25"/>
      <c r="I25" s="25"/>
    </row>
    <row r="26" spans="1:9" x14ac:dyDescent="0.35">
      <c r="A26" s="1050" t="s">
        <v>838</v>
      </c>
      <c r="B26" s="1050"/>
      <c r="C26" s="1050"/>
      <c r="D26" s="1050"/>
      <c r="E26" s="1050"/>
      <c r="F26" s="1050"/>
      <c r="G26" s="1050"/>
      <c r="H26" s="1050"/>
      <c r="I26" s="1050"/>
    </row>
    <row r="27" spans="1:9" ht="15.75" customHeight="1" x14ac:dyDescent="0.35">
      <c r="A27" s="339" t="s">
        <v>839</v>
      </c>
      <c r="B27" s="570"/>
      <c r="C27" s="570"/>
      <c r="D27" s="570"/>
      <c r="E27" s="570"/>
      <c r="F27" s="570"/>
      <c r="G27" s="570"/>
      <c r="H27" s="570"/>
      <c r="I27" s="570"/>
    </row>
    <row r="28" spans="1:9" ht="15.75" customHeight="1" x14ac:dyDescent="0.35">
      <c r="A28" s="371"/>
      <c r="B28" s="25"/>
      <c r="C28" s="25"/>
      <c r="D28" s="25"/>
      <c r="E28" s="25"/>
      <c r="F28" s="25"/>
      <c r="G28" s="25"/>
      <c r="H28" s="25"/>
      <c r="I28" s="25"/>
    </row>
    <row r="29" spans="1:9" ht="15.75" customHeight="1" x14ac:dyDescent="0.35">
      <c r="A29" s="1042" t="s">
        <v>840</v>
      </c>
      <c r="B29" s="1042"/>
      <c r="C29" s="1042"/>
      <c r="D29" s="1042"/>
      <c r="E29" s="1042"/>
      <c r="F29" s="1042"/>
      <c r="G29" s="1042"/>
      <c r="H29" s="1042"/>
      <c r="I29" s="1042"/>
    </row>
    <row r="30" spans="1:9" ht="15.75" customHeight="1" x14ac:dyDescent="0.35">
      <c r="A30" t="s">
        <v>202</v>
      </c>
      <c r="B30" t="s">
        <v>102</v>
      </c>
      <c r="C30" s="297"/>
      <c r="D30" s="297"/>
      <c r="E30" s="297"/>
      <c r="F30" s="297"/>
      <c r="G30" s="297"/>
      <c r="H30" s="297"/>
      <c r="I30" s="297"/>
    </row>
    <row r="31" spans="1:9" ht="15.5" x14ac:dyDescent="0.35">
      <c r="A31" t="s">
        <v>203</v>
      </c>
      <c r="B31" t="s">
        <v>204</v>
      </c>
      <c r="C31" s="297"/>
      <c r="D31" s="297"/>
      <c r="E31" s="297"/>
      <c r="F31" s="297"/>
      <c r="G31" s="297"/>
      <c r="H31" s="297"/>
      <c r="I31" s="297"/>
    </row>
    <row r="32" spans="1:9" ht="15.5" x14ac:dyDescent="0.35">
      <c r="A32" t="s">
        <v>205</v>
      </c>
      <c r="B32" t="s">
        <v>206</v>
      </c>
      <c r="C32" s="297"/>
      <c r="D32" s="297"/>
      <c r="E32" s="297"/>
      <c r="F32" s="297"/>
      <c r="G32" s="297"/>
      <c r="H32" s="297"/>
      <c r="I32" s="297"/>
    </row>
    <row r="33" spans="1:9" ht="15.5" x14ac:dyDescent="0.35">
      <c r="C33" s="233"/>
      <c r="D33" s="233"/>
      <c r="E33" s="233"/>
      <c r="F33" s="233"/>
      <c r="G33" s="233"/>
      <c r="H33" s="233"/>
      <c r="I33" s="832" t="s">
        <v>92</v>
      </c>
    </row>
    <row r="34" spans="1:9" x14ac:dyDescent="0.35">
      <c r="A34" s="663" t="s">
        <v>207</v>
      </c>
      <c r="B34" s="663" t="s">
        <v>515</v>
      </c>
      <c r="C34" s="663" t="s">
        <v>361</v>
      </c>
      <c r="D34" s="663" t="s">
        <v>516</v>
      </c>
      <c r="E34" s="663" t="s">
        <v>511</v>
      </c>
      <c r="F34" s="663" t="s">
        <v>512</v>
      </c>
      <c r="G34" s="663" t="s">
        <v>339</v>
      </c>
      <c r="H34" s="663" t="s">
        <v>340</v>
      </c>
      <c r="I34" s="663" t="s">
        <v>841</v>
      </c>
    </row>
    <row r="35" spans="1:9" x14ac:dyDescent="0.35">
      <c r="A35" s="312" t="s">
        <v>365</v>
      </c>
      <c r="B35" s="754">
        <f>GETPIVOTDATA("Sum of Wholetime Operational",DisabilityPivot!$A$27,"Year",A35)</f>
        <v>80.8</v>
      </c>
      <c r="C35" s="754">
        <f>GETPIVOTDATA("Sum of Retained Duty System",DisabilityPivot!$A$27,"Year",A35)</f>
        <v>96.9</v>
      </c>
      <c r="D35" s="754"/>
      <c r="E35" s="754">
        <f>GETPIVOTDATA("Sum of Control",DisabilityPivot!$A$27,"Year",A35)</f>
        <v>60.4</v>
      </c>
      <c r="F35" s="754">
        <f>GETPIVOTDATA("Sum of Control",DisabilityPivot!$A$27,"Year",A35)</f>
        <v>60.4</v>
      </c>
      <c r="G35" s="754">
        <f>GETPIVOTDATA("Sum of Volunteer",DisabilityPivot!$A$27,"Year",A35)</f>
        <v>47.4</v>
      </c>
      <c r="H35" s="755">
        <f>GETPIVOTDATA("Sum of Total",DisabilityPivot!$A$27,"Year",A35)</f>
        <v>84.1</v>
      </c>
      <c r="I35" s="755">
        <f>GETPIVOTDATA("Sum of Total (excluding volunters)",DisabilityPivot!$A$27,"Year",A35)</f>
        <v>85.9</v>
      </c>
    </row>
    <row r="36" spans="1:9" x14ac:dyDescent="0.35">
      <c r="A36" s="312" t="s">
        <v>366</v>
      </c>
      <c r="B36" s="754">
        <f>GETPIVOTDATA("Sum of Wholetime Operational",DisabilityPivot!$A$27,"Year",A36)</f>
        <v>100</v>
      </c>
      <c r="C36" s="754">
        <f>GETPIVOTDATA("Sum of Retained Duty System",DisabilityPivot!$A$27,"Year",A36)</f>
        <v>98</v>
      </c>
      <c r="D36" s="754"/>
      <c r="E36" s="754">
        <f>GETPIVOTDATA("Sum of Control",DisabilityPivot!$A$27,"Year",A36)</f>
        <v>100</v>
      </c>
      <c r="F36" s="754">
        <f>GETPIVOTDATA("Sum of Control",DisabilityPivot!$A$27,"Year",A36)</f>
        <v>100</v>
      </c>
      <c r="G36" s="754">
        <f>GETPIVOTDATA("Sum of Volunteer",DisabilityPivot!$A$27,"Year",A36)</f>
        <v>94</v>
      </c>
      <c r="H36" s="755">
        <f>GETPIVOTDATA("Sum of Total",DisabilityPivot!$A$27,"Year",A36)</f>
        <v>99</v>
      </c>
      <c r="I36" s="755">
        <f>GETPIVOTDATA("Sum of Total (excluding volunters)",DisabilityPivot!$A$27,"Year",A36)</f>
        <v>99</v>
      </c>
    </row>
    <row r="37" spans="1:9" x14ac:dyDescent="0.35">
      <c r="A37" s="312" t="s">
        <v>341</v>
      </c>
      <c r="B37" s="754">
        <f>GETPIVOTDATA("Sum of Wholetime Operational",DisabilityPivot!$A$27,"Year",A37)</f>
        <v>99.5</v>
      </c>
      <c r="C37" s="754">
        <f>GETPIVOTDATA("Sum of Retained Duty System",DisabilityPivot!$A$27,"Year",A37)</f>
        <v>95.2</v>
      </c>
      <c r="D37" s="754"/>
      <c r="E37" s="754">
        <f>GETPIVOTDATA("Sum of Control",DisabilityPivot!$A$27,"Year",A37)</f>
        <v>99.4</v>
      </c>
      <c r="F37" s="754">
        <f>GETPIVOTDATA("Sum of Control",DisabilityPivot!$A$27,"Year",A37)</f>
        <v>99.4</v>
      </c>
      <c r="G37" s="754">
        <f>GETPIVOTDATA("Sum of Volunteer",DisabilityPivot!$A$27,"Year",A37)</f>
        <v>96.2</v>
      </c>
      <c r="H37" s="755">
        <f>GETPIVOTDATA("Sum of Total",DisabilityPivot!$A$27,"Year",A37)</f>
        <v>96.8</v>
      </c>
      <c r="I37" s="755">
        <f>GETPIVOTDATA("Sum of Total (excluding volunters)",DisabilityPivot!$A$27,"Year",A37)</f>
        <v>96.9</v>
      </c>
    </row>
    <row r="38" spans="1:9" x14ac:dyDescent="0.35">
      <c r="A38" s="312" t="s">
        <v>342</v>
      </c>
      <c r="B38" s="754">
        <f>GETPIVOTDATA("Sum of Wholetime Operational",DisabilityPivot!$A$27,"Year",A38)</f>
        <v>91.4</v>
      </c>
      <c r="C38" s="754">
        <f>GETPIVOTDATA("Sum of Retained Duty System",DisabilityPivot!$A$27,"Year",A38)</f>
        <v>80.599999999999994</v>
      </c>
      <c r="D38" s="754"/>
      <c r="E38" s="754">
        <f>GETPIVOTDATA("Sum of Control",DisabilityPivot!$A$27,"Year",A38)</f>
        <v>87.3</v>
      </c>
      <c r="F38" s="754">
        <f>GETPIVOTDATA("Sum of Control",DisabilityPivot!$A$27,"Year",A38)</f>
        <v>87.3</v>
      </c>
      <c r="G38" s="754">
        <f>GETPIVOTDATA("Sum of Volunteer",DisabilityPivot!$A$27,"Year",A38)</f>
        <v>96.4</v>
      </c>
      <c r="H38" s="755">
        <f>GETPIVOTDATA("Sum of Total",DisabilityPivot!$A$27,"Year",A38)</f>
        <v>85.8</v>
      </c>
      <c r="I38" s="755">
        <f>GETPIVOTDATA("Sum of Total (excluding volunters)",DisabilityPivot!$A$27,"Year",A38)</f>
        <v>85.3</v>
      </c>
    </row>
    <row r="39" spans="1:9" x14ac:dyDescent="0.35">
      <c r="A39" s="312" t="s">
        <v>214</v>
      </c>
      <c r="B39" s="754">
        <f>GETPIVOTDATA("Sum of Wholetime Operational",DisabilityPivot!$A$27,"Year",A39)</f>
        <v>78.828704976629098</v>
      </c>
      <c r="C39" s="754">
        <f>GETPIVOTDATA("Sum of Retained Duty System",DisabilityPivot!$A$27,"Year",A39)</f>
        <v>73.789366745682358</v>
      </c>
      <c r="D39" s="754"/>
      <c r="E39" s="754">
        <f>GETPIVOTDATA("Sum of Control",DisabilityPivot!$A$27,"Year",A39)</f>
        <v>78.260869565217391</v>
      </c>
      <c r="F39" s="754">
        <f>GETPIVOTDATA("Sum of Control",DisabilityPivot!$A$27,"Year",A39)</f>
        <v>78.260869565217391</v>
      </c>
      <c r="G39" s="754">
        <f>GETPIVOTDATA("Sum of Volunteer",DisabilityPivot!$A$27,"Year",A39)</f>
        <v>95.899053627760253</v>
      </c>
      <c r="H39" s="755">
        <f>GETPIVOTDATA("Sum of Total",DisabilityPivot!$A$27,"Year",A39)</f>
        <v>75.739944346066281</v>
      </c>
      <c r="I39" s="755">
        <f>GETPIVOTDATA("Sum of Total (excluding volunters)",DisabilityPivot!$A$27,"Year",A39)</f>
        <v>74.89787850836737</v>
      </c>
    </row>
    <row r="40" spans="1:9" x14ac:dyDescent="0.35">
      <c r="A40" s="312" t="s">
        <v>313</v>
      </c>
      <c r="B40" s="754">
        <f>GETPIVOTDATA("Sum of Wholetime Operational",DisabilityPivot!$A$27,"Year",A40)</f>
        <v>75.880088008800882</v>
      </c>
      <c r="C40" s="754">
        <f>GETPIVOTDATA("Sum of Retained Duty System",DisabilityPivot!$A$27,"Year",A40)</f>
        <v>74.08920667347634</v>
      </c>
      <c r="D40" s="754">
        <f>GETPIVOTDATA("Sum of Retained Fulltime",DisabilityPivot!$A$27,"Year",A40)</f>
        <v>55.555555555555557</v>
      </c>
      <c r="E40" s="754">
        <f>GETPIVOTDATA("Sum of Control",DisabilityPivot!$A$27,"Year",A40)</f>
        <v>78.723404255319153</v>
      </c>
      <c r="F40" s="754">
        <f>GETPIVOTDATA("Sum of Control",DisabilityPivot!$A$27,"Year",A40)</f>
        <v>78.723404255319153</v>
      </c>
      <c r="G40" s="754">
        <f>GETPIVOTDATA("Sum of Volunteer",DisabilityPivot!$A$27,"Year",A40)</f>
        <v>94.92063492063491</v>
      </c>
      <c r="H40" s="755">
        <f>GETPIVOTDATA("Sum of Total",DisabilityPivot!$A$27,"Year",A40)</f>
        <v>74.237074401008826</v>
      </c>
      <c r="I40" s="755">
        <f>GETPIVOTDATA("Sum of Total (excluding volunters)",DisabilityPivot!$A$27,"Year",A40)</f>
        <v>73.381483913328964</v>
      </c>
    </row>
    <row r="41" spans="1:9" x14ac:dyDescent="0.35">
      <c r="A41" s="312" t="s">
        <v>319</v>
      </c>
      <c r="B41" s="754">
        <f>GETPIVOTDATA("Sum of Wholetime Operational",DisabilityPivot!$A$27,"Year",A41)</f>
        <v>74.469866071428569</v>
      </c>
      <c r="C41" s="754">
        <f>GETPIVOTDATA("Sum of Retained Duty System",DisabilityPivot!$A$27,"Year",A41)</f>
        <v>73.850974930362113</v>
      </c>
      <c r="D41" s="754">
        <f>GETPIVOTDATA("Sum of Retained Fulltime",DisabilityPivot!$A$27,"Year",A41)</f>
        <v>59.259259259259252</v>
      </c>
      <c r="E41" s="754">
        <f>GETPIVOTDATA("Sum of Control",DisabilityPivot!$A$27,"Year",A41)</f>
        <v>71.428571428571431</v>
      </c>
      <c r="F41" s="754">
        <f>GETPIVOTDATA("Sum of Control",DisabilityPivot!$A$27,"Year",A41)</f>
        <v>71.428571428571431</v>
      </c>
      <c r="G41" s="754">
        <f>GETPIVOTDATA("Sum of Volunteer",DisabilityPivot!$A$27,"Year",A41)</f>
        <v>94.38943894389439</v>
      </c>
      <c r="H41" s="755">
        <f>GETPIVOTDATA("Sum of Total",DisabilityPivot!$A$27,"Year",A41)</f>
        <v>73.017494572851476</v>
      </c>
      <c r="I41" s="755">
        <f>GETPIVOTDATA("Sum of Total (excluding volunters)",DisabilityPivot!$A$27,"Year",A41)</f>
        <v>72.157279489904354</v>
      </c>
    </row>
    <row r="42" spans="1:9" x14ac:dyDescent="0.35">
      <c r="A42" s="312" t="s">
        <v>321</v>
      </c>
      <c r="B42" s="754">
        <f>GETPIVOTDATA("Sum of Wholetime Operational",DisabilityPivot!$A$27,"Year",A42)</f>
        <v>72.963067380885263</v>
      </c>
      <c r="C42" s="754">
        <f>GETPIVOTDATA("Sum of Retained Duty System",DisabilityPivot!$A$27,"Year",A42)</f>
        <v>74.139804418688882</v>
      </c>
      <c r="D42" s="754">
        <f>GETPIVOTDATA("Sum of Retained Fulltime",DisabilityPivot!$A$27,"Year",A42)</f>
        <v>60.377358490566039</v>
      </c>
      <c r="E42" s="754">
        <f>GETPIVOTDATA("Sum of Control",DisabilityPivot!$A$27,"Year",A42)</f>
        <v>67.2316384180791</v>
      </c>
      <c r="F42" s="754">
        <f>GETPIVOTDATA("Sum of Control",DisabilityPivot!$A$27,"Year",A42)</f>
        <v>67.2316384180791</v>
      </c>
      <c r="G42" s="754">
        <f>GETPIVOTDATA("Sum of Volunteer",DisabilityPivot!$A$27,"Year",A42)</f>
        <v>93.501805054151617</v>
      </c>
      <c r="H42" s="755">
        <f>GETPIVOTDATA("Sum of Total",DisabilityPivot!$A$27,"Year",A42)</f>
        <v>71.468674237590918</v>
      </c>
      <c r="I42" s="755">
        <f>GETPIVOTDATA("Sum of Total (excluding volunters)",DisabilityPivot!$A$27,"Year",A42)</f>
        <v>71.417112299465231</v>
      </c>
    </row>
    <row r="43" spans="1:9" x14ac:dyDescent="0.35">
      <c r="A43" s="312" t="s">
        <v>326</v>
      </c>
      <c r="B43" s="754">
        <f>GETPIVOTDATA("Sum of Wholetime Operational",DisabilityPivot!$A$27,"Year",A43)</f>
        <v>70.981507823613086</v>
      </c>
      <c r="C43" s="754">
        <f>GETPIVOTDATA("Sum of Retained Duty System",DisabilityPivot!$A$27,"Year",A43)</f>
        <v>74.232456140350877</v>
      </c>
      <c r="D43" s="754">
        <f>GETPIVOTDATA("Sum of Retained Fulltime",DisabilityPivot!$A$27,"Year",A43)</f>
        <v>62.962962962962962</v>
      </c>
      <c r="E43" s="754">
        <f>GETPIVOTDATA("Sum of Control",DisabilityPivot!$A$27,"Year",A43)</f>
        <v>68.965517241379317</v>
      </c>
      <c r="F43" s="754">
        <f>GETPIVOTDATA("Sum of Control",DisabilityPivot!$A$27,"Year",A43)</f>
        <v>68.965517241379317</v>
      </c>
      <c r="G43" s="754">
        <f>GETPIVOTDATA("Sum of Volunteer",DisabilityPivot!$A$27,"Year",A43)</f>
        <v>93.609022556390968</v>
      </c>
      <c r="H43" s="755">
        <f>GETPIVOTDATA("Sum of Total",DisabilityPivot!$A$27,"Year",A43)</f>
        <v>70.378447722899296</v>
      </c>
      <c r="I43" s="755">
        <f>GETPIVOTDATA("Sum of Total (excluding volunters)",DisabilityPivot!$A$27,"Year",A43)</f>
        <v>70.722484807562452</v>
      </c>
    </row>
    <row r="44" spans="1:9" x14ac:dyDescent="0.35">
      <c r="A44" s="185" t="s">
        <v>327</v>
      </c>
      <c r="B44" s="993">
        <f>GETPIVOTDATA("Sum of Wholetime Operational",DisabilityPivot!$A$27,"Year",A44)</f>
        <v>70.976176641487513</v>
      </c>
      <c r="C44" s="993">
        <f>GETPIVOTDATA("Sum of Retained Duty System",DisabilityPivot!$A$27,"Year",A44)</f>
        <v>75.662739322533128</v>
      </c>
      <c r="D44" s="754">
        <f>GETPIVOTDATA("Sum of Retained Fulltime",DisabilityPivot!$A$27,"Year",A44)</f>
        <v>64.81481481481481</v>
      </c>
      <c r="E44" s="993">
        <f>GETPIVOTDATA("Sum of Control",DisabilityPivot!$A$27,"Year",A44)</f>
        <v>70.520231213872833</v>
      </c>
      <c r="F44" s="993">
        <f>GETPIVOTDATA("Sum of Control",DisabilityPivot!$A$27,"Year",A44)</f>
        <v>70.520231213872833</v>
      </c>
      <c r="G44" s="993">
        <f>GETPIVOTDATA("Sum of Volunteer",DisabilityPivot!$A$27,"Year",A44)</f>
        <v>93.333333333333329</v>
      </c>
      <c r="H44" s="994">
        <f>GETPIVOTDATA("Sum of Total",DisabilityPivot!$A$27,"Year",A44)</f>
        <v>70.841436535718913</v>
      </c>
      <c r="I44" s="994">
        <f>GETPIVOTDATA("Sum of Total (excluding volunters)",DisabilityPivot!$A$27,"Year",A44)</f>
        <v>71.446196024674435</v>
      </c>
    </row>
    <row r="45" spans="1:9" ht="15" thickBot="1" x14ac:dyDescent="0.4">
      <c r="A45" s="851" t="s">
        <v>466</v>
      </c>
      <c r="B45" s="852">
        <f>GETPIVOTDATA("Sum of Wholetime Operational",DisabilityPivot!$A$27,"Year",A45)</f>
        <v>71.756168359941938</v>
      </c>
      <c r="C45" s="852">
        <f>GETPIVOTDATA("Sum of Retained Duty System",DisabilityPivot!$A$27,"Year",A45)</f>
        <v>76.559616094499816</v>
      </c>
      <c r="D45" s="756">
        <f>GETPIVOTDATA("Sum of Retained Fulltime",DisabilityPivot!$A$27,"Year",A45)</f>
        <v>67.213114754098356</v>
      </c>
      <c r="E45" s="852">
        <f>GETPIVOTDATA("Sum of Control",DisabilityPivot!$A$27,"Year",A45)</f>
        <v>70.520231213872833</v>
      </c>
      <c r="F45" s="852">
        <f>GETPIVOTDATA("Sum of Control",DisabilityPivot!$A$27,"Year",A45)</f>
        <v>70.520231213872833</v>
      </c>
      <c r="G45" s="852">
        <f>GETPIVOTDATA("Sum of Volunteer",DisabilityPivot!$A$27,"Year",A45)</f>
        <v>93.040293040293037</v>
      </c>
      <c r="H45" s="853">
        <f>GETPIVOTDATA("Sum of Total",DisabilityPivot!$A$27,"Year",A45)</f>
        <v>71.496712646641754</v>
      </c>
      <c r="I45" s="853">
        <f>GETPIVOTDATA("Sum of Total (excluding volunters)",DisabilityPivot!$A$27,"Year",A45)</f>
        <v>72.157076629397338</v>
      </c>
    </row>
    <row r="46" spans="1:9" x14ac:dyDescent="0.35">
      <c r="A46" s="185"/>
      <c r="B46" s="186"/>
      <c r="C46" s="186"/>
      <c r="D46" s="186"/>
      <c r="E46" s="186"/>
      <c r="F46" s="186"/>
      <c r="G46" s="186"/>
      <c r="H46" s="186"/>
      <c r="I46" s="186"/>
    </row>
    <row r="47" spans="1:9" x14ac:dyDescent="0.35">
      <c r="A47" s="335" t="s">
        <v>329</v>
      </c>
      <c r="B47" s="186"/>
      <c r="C47" s="186"/>
      <c r="D47" s="186"/>
      <c r="E47" s="186"/>
      <c r="F47" s="186"/>
      <c r="G47" s="186"/>
      <c r="H47" s="186"/>
      <c r="I47" s="186"/>
    </row>
    <row r="48" spans="1:9" x14ac:dyDescent="0.35">
      <c r="A48" s="1050" t="s">
        <v>842</v>
      </c>
      <c r="B48" s="1050"/>
      <c r="C48" s="1050"/>
      <c r="D48" s="1050"/>
      <c r="E48" s="1050"/>
      <c r="F48" s="1050"/>
      <c r="G48" s="1050"/>
      <c r="H48" s="1050"/>
      <c r="I48" s="1050"/>
    </row>
    <row r="49" spans="1:9" x14ac:dyDescent="0.35">
      <c r="A49" s="1050" t="s">
        <v>839</v>
      </c>
      <c r="B49" s="1050"/>
      <c r="C49" s="1050"/>
      <c r="D49" s="1050"/>
      <c r="E49" s="1050"/>
      <c r="F49" s="1050"/>
      <c r="G49" s="1050"/>
      <c r="H49" s="1050"/>
      <c r="I49" s="1050"/>
    </row>
  </sheetData>
  <sheetProtection algorithmName="SHA-512" hashValue="PHDeSs81u8jC5+t6fhjZXazXhSvPPcP79guwT+G7J5pFiFuymJ7oB5NvSwgmDcavFveaEfjcoVJk+WcbHbXs+A==" saltValue="ce6+fnQv753hZSJjROuw9Q==" spinCount="100000" sheet="1" scenarios="1" formatCells="0" sort="0" autoFilter="0" pivotTables="0"/>
  <mergeCells count="6">
    <mergeCell ref="A1:C1"/>
    <mergeCell ref="A49:I49"/>
    <mergeCell ref="A4:I4"/>
    <mergeCell ref="A29:I29"/>
    <mergeCell ref="A26:I26"/>
    <mergeCell ref="A48:I48"/>
  </mergeCells>
  <phoneticPr fontId="53" type="noConversion"/>
  <hyperlinks>
    <hyperlink ref="A2" location="'Table of Contents'!A1" display="Back to Table of Contents" xr:uid="{00000000-0004-0000-6B00-000000000000}"/>
  </hyperlinks>
  <pageMargins left="0.70866141732283472" right="0.70866141732283472" top="0.74803149606299213" bottom="0.74803149606299213" header="0.31496062992125984" footer="0.31496062992125984"/>
  <pageSetup scale="83"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12E3-0CA8-4E9A-A64A-99921B0B4B0C}">
  <sheetPr>
    <tabColor theme="9" tint="0.39997558519241921"/>
  </sheetPr>
  <dimension ref="A1:I57"/>
  <sheetViews>
    <sheetView workbookViewId="0">
      <selection activeCell="C8" sqref="C8"/>
    </sheetView>
  </sheetViews>
  <sheetFormatPr defaultRowHeight="14.5" x14ac:dyDescent="0.35"/>
  <cols>
    <col min="1" max="1" width="7.453125" bestFit="1" customWidth="1"/>
    <col min="2" max="2" width="29" bestFit="1" customWidth="1"/>
    <col min="3" max="3" width="23" bestFit="1" customWidth="1"/>
    <col min="4" max="4" width="21.54296875" bestFit="1" customWidth="1"/>
    <col min="5" max="5" width="18.453125" bestFit="1" customWidth="1"/>
    <col min="6" max="6" width="9.453125" bestFit="1" customWidth="1"/>
    <col min="7" max="7" width="9.81640625" bestFit="1" customWidth="1"/>
    <col min="8" max="8" width="12.26953125" bestFit="1" customWidth="1"/>
    <col min="9" max="9" width="7.453125" bestFit="1" customWidth="1"/>
  </cols>
  <sheetData>
    <row r="1" spans="1:9" x14ac:dyDescent="0.35">
      <c r="A1" t="s">
        <v>207</v>
      </c>
      <c r="B1" t="s">
        <v>109</v>
      </c>
      <c r="C1" t="s">
        <v>515</v>
      </c>
      <c r="D1" t="s">
        <v>361</v>
      </c>
      <c r="E1" t="s">
        <v>516</v>
      </c>
      <c r="F1" t="s">
        <v>511</v>
      </c>
      <c r="G1" t="s">
        <v>512</v>
      </c>
      <c r="H1" t="s">
        <v>847</v>
      </c>
      <c r="I1" t="s">
        <v>340</v>
      </c>
    </row>
    <row r="2" spans="1:9" x14ac:dyDescent="0.35">
      <c r="A2" t="s">
        <v>214</v>
      </c>
      <c r="B2" t="s">
        <v>864</v>
      </c>
      <c r="C2">
        <v>3</v>
      </c>
      <c r="D2">
        <v>8</v>
      </c>
      <c r="E2">
        <v>0</v>
      </c>
      <c r="F2">
        <v>0</v>
      </c>
      <c r="G2">
        <v>2</v>
      </c>
      <c r="H2">
        <v>0</v>
      </c>
      <c r="I2">
        <v>13</v>
      </c>
    </row>
    <row r="3" spans="1:9" x14ac:dyDescent="0.35">
      <c r="A3" t="s">
        <v>214</v>
      </c>
      <c r="B3" t="s">
        <v>865</v>
      </c>
      <c r="C3">
        <v>0</v>
      </c>
      <c r="D3">
        <v>0</v>
      </c>
      <c r="E3">
        <v>0</v>
      </c>
      <c r="F3">
        <v>0</v>
      </c>
      <c r="G3">
        <v>4</v>
      </c>
      <c r="H3">
        <v>0</v>
      </c>
      <c r="I3">
        <v>4</v>
      </c>
    </row>
    <row r="4" spans="1:9" x14ac:dyDescent="0.35">
      <c r="A4" t="s">
        <v>214</v>
      </c>
      <c r="B4" t="s">
        <v>473</v>
      </c>
      <c r="C4">
        <v>4</v>
      </c>
      <c r="D4">
        <v>2</v>
      </c>
      <c r="E4">
        <v>0</v>
      </c>
      <c r="F4">
        <v>0</v>
      </c>
      <c r="G4">
        <v>1</v>
      </c>
      <c r="H4">
        <v>0</v>
      </c>
      <c r="I4">
        <v>7</v>
      </c>
    </row>
    <row r="5" spans="1:9" x14ac:dyDescent="0.35">
      <c r="A5" t="s">
        <v>214</v>
      </c>
      <c r="B5" t="s">
        <v>866</v>
      </c>
      <c r="C5">
        <v>13</v>
      </c>
      <c r="D5">
        <v>144</v>
      </c>
      <c r="E5">
        <v>0</v>
      </c>
      <c r="F5">
        <v>9</v>
      </c>
      <c r="G5">
        <v>49</v>
      </c>
      <c r="H5">
        <v>32</v>
      </c>
      <c r="I5">
        <v>247</v>
      </c>
    </row>
    <row r="6" spans="1:9" x14ac:dyDescent="0.35">
      <c r="A6" t="s">
        <v>214</v>
      </c>
      <c r="B6" t="s">
        <v>867</v>
      </c>
      <c r="C6">
        <v>46</v>
      </c>
      <c r="D6">
        <v>12</v>
      </c>
      <c r="E6">
        <v>0</v>
      </c>
      <c r="F6">
        <v>1</v>
      </c>
      <c r="G6">
        <v>3</v>
      </c>
      <c r="H6">
        <v>3</v>
      </c>
      <c r="I6">
        <v>65</v>
      </c>
    </row>
    <row r="7" spans="1:9" x14ac:dyDescent="0.35">
      <c r="A7" t="s">
        <v>214</v>
      </c>
      <c r="B7" t="s">
        <v>868</v>
      </c>
      <c r="C7">
        <v>110</v>
      </c>
      <c r="D7">
        <v>18</v>
      </c>
      <c r="E7">
        <v>0</v>
      </c>
      <c r="F7">
        <v>4</v>
      </c>
      <c r="G7">
        <v>12</v>
      </c>
      <c r="H7">
        <v>3</v>
      </c>
      <c r="I7">
        <v>147</v>
      </c>
    </row>
    <row r="8" spans="1:9" x14ac:dyDescent="0.35">
      <c r="A8" t="s">
        <v>214</v>
      </c>
      <c r="B8" t="s">
        <v>869</v>
      </c>
      <c r="C8">
        <v>0</v>
      </c>
      <c r="D8">
        <v>0</v>
      </c>
      <c r="E8">
        <v>0</v>
      </c>
      <c r="F8">
        <v>0</v>
      </c>
      <c r="G8">
        <v>12</v>
      </c>
      <c r="H8">
        <v>0</v>
      </c>
      <c r="I8">
        <v>12</v>
      </c>
    </row>
    <row r="9" spans="1:9" x14ac:dyDescent="0.35">
      <c r="A9" t="s">
        <v>214</v>
      </c>
      <c r="B9" t="s">
        <v>870</v>
      </c>
      <c r="C9">
        <v>8</v>
      </c>
      <c r="D9">
        <v>4</v>
      </c>
      <c r="E9">
        <v>0</v>
      </c>
      <c r="F9">
        <v>0</v>
      </c>
      <c r="G9">
        <v>1</v>
      </c>
      <c r="H9">
        <v>0</v>
      </c>
      <c r="I9">
        <v>13</v>
      </c>
    </row>
    <row r="10" spans="1:9" x14ac:dyDescent="0.35">
      <c r="A10" t="s">
        <v>214</v>
      </c>
      <c r="B10" t="s">
        <v>871</v>
      </c>
      <c r="C10">
        <v>2</v>
      </c>
      <c r="D10">
        <v>0</v>
      </c>
      <c r="E10">
        <v>0</v>
      </c>
      <c r="F10">
        <v>0</v>
      </c>
      <c r="G10">
        <v>0</v>
      </c>
      <c r="H10">
        <v>0</v>
      </c>
      <c r="I10">
        <v>2</v>
      </c>
    </row>
    <row r="11" spans="1:9" x14ac:dyDescent="0.35">
      <c r="A11" t="s">
        <v>214</v>
      </c>
      <c r="B11" t="s">
        <v>872</v>
      </c>
      <c r="C11">
        <v>0</v>
      </c>
      <c r="D11">
        <v>0</v>
      </c>
      <c r="E11">
        <v>0</v>
      </c>
      <c r="F11">
        <v>0</v>
      </c>
      <c r="G11">
        <v>47</v>
      </c>
      <c r="H11">
        <v>0</v>
      </c>
      <c r="I11">
        <v>47</v>
      </c>
    </row>
    <row r="12" spans="1:9" x14ac:dyDescent="0.35">
      <c r="A12" t="s">
        <v>214</v>
      </c>
      <c r="B12" t="s">
        <v>873</v>
      </c>
      <c r="C12">
        <v>0</v>
      </c>
      <c r="D12">
        <v>0</v>
      </c>
      <c r="E12">
        <v>0</v>
      </c>
      <c r="F12">
        <v>0</v>
      </c>
      <c r="G12">
        <v>17</v>
      </c>
      <c r="H12">
        <v>0</v>
      </c>
      <c r="I12">
        <v>17</v>
      </c>
    </row>
    <row r="13" spans="1:9" x14ac:dyDescent="0.35">
      <c r="A13" t="s">
        <v>313</v>
      </c>
      <c r="B13" t="s">
        <v>864</v>
      </c>
      <c r="C13">
        <v>4</v>
      </c>
      <c r="D13">
        <v>2</v>
      </c>
      <c r="E13">
        <v>0</v>
      </c>
      <c r="F13">
        <v>0</v>
      </c>
      <c r="G13">
        <v>1</v>
      </c>
      <c r="H13">
        <v>0</v>
      </c>
      <c r="I13">
        <v>7</v>
      </c>
    </row>
    <row r="14" spans="1:9" x14ac:dyDescent="0.35">
      <c r="A14" t="s">
        <v>313</v>
      </c>
      <c r="B14" t="s">
        <v>865</v>
      </c>
      <c r="C14">
        <v>0</v>
      </c>
      <c r="D14">
        <v>0</v>
      </c>
      <c r="E14">
        <v>0</v>
      </c>
      <c r="F14">
        <v>0</v>
      </c>
      <c r="G14">
        <v>7</v>
      </c>
      <c r="H14">
        <v>0</v>
      </c>
      <c r="I14">
        <v>7</v>
      </c>
    </row>
    <row r="15" spans="1:9" x14ac:dyDescent="0.35">
      <c r="A15" t="s">
        <v>313</v>
      </c>
      <c r="B15" t="s">
        <v>473</v>
      </c>
      <c r="C15">
        <v>2</v>
      </c>
      <c r="D15">
        <v>4</v>
      </c>
      <c r="E15">
        <v>0</v>
      </c>
      <c r="F15">
        <v>1</v>
      </c>
      <c r="G15">
        <v>0</v>
      </c>
      <c r="H15">
        <v>2</v>
      </c>
      <c r="I15">
        <v>9</v>
      </c>
    </row>
    <row r="16" spans="1:9" x14ac:dyDescent="0.35">
      <c r="A16" t="s">
        <v>313</v>
      </c>
      <c r="B16" t="s">
        <v>866</v>
      </c>
      <c r="C16">
        <v>21</v>
      </c>
      <c r="D16">
        <v>163</v>
      </c>
      <c r="E16">
        <v>0</v>
      </c>
      <c r="F16">
        <v>5</v>
      </c>
      <c r="G16">
        <v>29</v>
      </c>
      <c r="H16">
        <v>18</v>
      </c>
      <c r="I16">
        <v>236</v>
      </c>
    </row>
    <row r="17" spans="1:9" x14ac:dyDescent="0.35">
      <c r="A17" t="s">
        <v>313</v>
      </c>
      <c r="B17" t="s">
        <v>867</v>
      </c>
      <c r="C17">
        <v>16</v>
      </c>
      <c r="D17">
        <v>3</v>
      </c>
      <c r="E17">
        <v>0</v>
      </c>
      <c r="F17">
        <v>0</v>
      </c>
      <c r="G17">
        <v>1</v>
      </c>
      <c r="H17">
        <v>1</v>
      </c>
      <c r="I17">
        <v>21</v>
      </c>
    </row>
    <row r="18" spans="1:9" x14ac:dyDescent="0.35">
      <c r="A18" t="s">
        <v>313</v>
      </c>
      <c r="B18" t="s">
        <v>868</v>
      </c>
      <c r="C18">
        <v>152</v>
      </c>
      <c r="D18">
        <v>41</v>
      </c>
      <c r="E18">
        <v>0</v>
      </c>
      <c r="F18">
        <v>6</v>
      </c>
      <c r="G18">
        <v>14</v>
      </c>
      <c r="H18">
        <v>4</v>
      </c>
      <c r="I18">
        <v>217</v>
      </c>
    </row>
    <row r="19" spans="1:9" x14ac:dyDescent="0.35">
      <c r="A19" t="s">
        <v>313</v>
      </c>
      <c r="B19" t="s">
        <v>870</v>
      </c>
      <c r="C19">
        <v>7</v>
      </c>
      <c r="D19">
        <v>5</v>
      </c>
      <c r="E19">
        <v>0</v>
      </c>
      <c r="F19">
        <v>1</v>
      </c>
      <c r="G19">
        <v>1</v>
      </c>
      <c r="H19">
        <v>0</v>
      </c>
      <c r="I19">
        <v>14</v>
      </c>
    </row>
    <row r="20" spans="1:9" x14ac:dyDescent="0.35">
      <c r="A20" t="s">
        <v>319</v>
      </c>
      <c r="B20" t="s">
        <v>864</v>
      </c>
      <c r="C20">
        <v>3</v>
      </c>
      <c r="D20">
        <v>6</v>
      </c>
      <c r="E20">
        <v>0</v>
      </c>
      <c r="F20">
        <v>2</v>
      </c>
      <c r="G20">
        <v>1</v>
      </c>
      <c r="H20">
        <v>0</v>
      </c>
      <c r="I20">
        <v>12</v>
      </c>
    </row>
    <row r="21" spans="1:9" x14ac:dyDescent="0.35">
      <c r="A21" t="s">
        <v>319</v>
      </c>
      <c r="B21" t="s">
        <v>865</v>
      </c>
      <c r="C21">
        <v>0</v>
      </c>
      <c r="D21">
        <v>0</v>
      </c>
      <c r="E21">
        <v>0</v>
      </c>
      <c r="F21">
        <v>2</v>
      </c>
      <c r="G21">
        <v>7</v>
      </c>
      <c r="H21">
        <v>0</v>
      </c>
      <c r="I21">
        <v>9</v>
      </c>
    </row>
    <row r="22" spans="1:9" x14ac:dyDescent="0.35">
      <c r="A22" t="s">
        <v>319</v>
      </c>
      <c r="B22" t="s">
        <v>473</v>
      </c>
      <c r="C22">
        <v>2</v>
      </c>
      <c r="D22">
        <v>3</v>
      </c>
      <c r="E22">
        <v>0</v>
      </c>
      <c r="F22">
        <v>0</v>
      </c>
      <c r="G22">
        <v>2</v>
      </c>
      <c r="H22">
        <v>0</v>
      </c>
      <c r="I22">
        <v>7</v>
      </c>
    </row>
    <row r="23" spans="1:9" x14ac:dyDescent="0.35">
      <c r="A23" t="s">
        <v>319</v>
      </c>
      <c r="B23" t="s">
        <v>866</v>
      </c>
      <c r="C23">
        <v>8</v>
      </c>
      <c r="D23">
        <v>130</v>
      </c>
      <c r="E23">
        <v>0</v>
      </c>
      <c r="F23">
        <v>0</v>
      </c>
      <c r="G23">
        <v>20</v>
      </c>
      <c r="H23">
        <v>17</v>
      </c>
      <c r="I23">
        <v>175</v>
      </c>
    </row>
    <row r="24" spans="1:9" x14ac:dyDescent="0.35">
      <c r="A24" t="s">
        <v>319</v>
      </c>
      <c r="B24" t="s">
        <v>868</v>
      </c>
      <c r="C24">
        <v>175</v>
      </c>
      <c r="D24">
        <v>44</v>
      </c>
      <c r="E24">
        <v>0</v>
      </c>
      <c r="F24">
        <v>5</v>
      </c>
      <c r="G24">
        <v>13</v>
      </c>
      <c r="H24">
        <v>2</v>
      </c>
      <c r="I24">
        <v>239</v>
      </c>
    </row>
    <row r="25" spans="1:9" x14ac:dyDescent="0.35">
      <c r="A25" t="s">
        <v>319</v>
      </c>
      <c r="B25" t="s">
        <v>869</v>
      </c>
      <c r="C25">
        <v>0</v>
      </c>
      <c r="D25">
        <v>1</v>
      </c>
      <c r="E25">
        <v>0</v>
      </c>
      <c r="F25">
        <v>0</v>
      </c>
      <c r="G25">
        <v>0</v>
      </c>
      <c r="H25">
        <v>1</v>
      </c>
      <c r="I25">
        <v>2</v>
      </c>
    </row>
    <row r="26" spans="1:9" x14ac:dyDescent="0.35">
      <c r="A26" t="s">
        <v>319</v>
      </c>
      <c r="B26" t="s">
        <v>870</v>
      </c>
      <c r="C26">
        <v>5</v>
      </c>
      <c r="D26">
        <v>5</v>
      </c>
      <c r="E26">
        <v>0</v>
      </c>
      <c r="F26">
        <v>1</v>
      </c>
      <c r="G26">
        <v>1</v>
      </c>
      <c r="H26">
        <v>0</v>
      </c>
      <c r="I26">
        <v>12</v>
      </c>
    </row>
    <row r="27" spans="1:9" x14ac:dyDescent="0.35">
      <c r="A27" t="s">
        <v>321</v>
      </c>
      <c r="B27" t="s">
        <v>864</v>
      </c>
      <c r="C27">
        <v>1</v>
      </c>
      <c r="D27">
        <v>9</v>
      </c>
      <c r="E27">
        <v>0</v>
      </c>
      <c r="F27">
        <v>0</v>
      </c>
      <c r="G27">
        <v>1</v>
      </c>
      <c r="H27">
        <v>0</v>
      </c>
      <c r="I27">
        <v>11</v>
      </c>
    </row>
    <row r="28" spans="1:9" x14ac:dyDescent="0.35">
      <c r="A28" t="s">
        <v>321</v>
      </c>
      <c r="B28" t="s">
        <v>865</v>
      </c>
      <c r="C28">
        <v>1</v>
      </c>
      <c r="D28">
        <v>0</v>
      </c>
      <c r="E28">
        <v>0</v>
      </c>
      <c r="F28">
        <v>1</v>
      </c>
      <c r="G28">
        <v>12</v>
      </c>
      <c r="H28">
        <v>0</v>
      </c>
      <c r="I28">
        <v>14</v>
      </c>
    </row>
    <row r="29" spans="1:9" x14ac:dyDescent="0.35">
      <c r="A29" t="s">
        <v>321</v>
      </c>
      <c r="B29" t="s">
        <v>473</v>
      </c>
      <c r="C29">
        <v>2</v>
      </c>
      <c r="D29">
        <v>2</v>
      </c>
      <c r="E29">
        <v>0</v>
      </c>
      <c r="F29">
        <v>0</v>
      </c>
      <c r="G29">
        <v>2</v>
      </c>
      <c r="H29">
        <v>0</v>
      </c>
      <c r="I29">
        <v>6</v>
      </c>
    </row>
    <row r="30" spans="1:9" x14ac:dyDescent="0.35">
      <c r="A30" t="s">
        <v>321</v>
      </c>
      <c r="B30" t="s">
        <v>866</v>
      </c>
      <c r="C30">
        <v>19</v>
      </c>
      <c r="D30">
        <v>174</v>
      </c>
      <c r="E30">
        <v>0</v>
      </c>
      <c r="F30">
        <v>10</v>
      </c>
      <c r="G30">
        <v>42</v>
      </c>
      <c r="H30">
        <v>26</v>
      </c>
      <c r="I30">
        <v>271</v>
      </c>
    </row>
    <row r="31" spans="1:9" x14ac:dyDescent="0.35">
      <c r="A31" t="s">
        <v>321</v>
      </c>
      <c r="B31" t="s">
        <v>868</v>
      </c>
      <c r="C31">
        <v>173</v>
      </c>
      <c r="D31">
        <v>61</v>
      </c>
      <c r="E31">
        <v>0</v>
      </c>
      <c r="F31">
        <v>8</v>
      </c>
      <c r="G31">
        <v>15</v>
      </c>
      <c r="H31">
        <v>6</v>
      </c>
      <c r="I31">
        <v>263</v>
      </c>
    </row>
    <row r="32" spans="1:9" x14ac:dyDescent="0.35">
      <c r="A32" t="s">
        <v>321</v>
      </c>
      <c r="B32" t="s">
        <v>870</v>
      </c>
      <c r="C32">
        <v>3</v>
      </c>
      <c r="D32">
        <v>2</v>
      </c>
      <c r="E32">
        <v>0</v>
      </c>
      <c r="F32">
        <v>1</v>
      </c>
      <c r="G32">
        <v>4</v>
      </c>
      <c r="H32">
        <v>0</v>
      </c>
      <c r="I32">
        <v>10</v>
      </c>
    </row>
    <row r="33" spans="1:9" x14ac:dyDescent="0.35">
      <c r="A33" t="s">
        <v>321</v>
      </c>
      <c r="B33" t="s">
        <v>871</v>
      </c>
      <c r="C33">
        <v>2</v>
      </c>
      <c r="D33">
        <v>0</v>
      </c>
      <c r="E33">
        <v>0</v>
      </c>
      <c r="F33">
        <v>0</v>
      </c>
      <c r="G33">
        <v>0</v>
      </c>
      <c r="H33">
        <v>0</v>
      </c>
      <c r="I33">
        <v>2</v>
      </c>
    </row>
    <row r="34" spans="1:9" x14ac:dyDescent="0.35">
      <c r="A34" t="s">
        <v>326</v>
      </c>
      <c r="B34" t="s">
        <v>864</v>
      </c>
      <c r="C34">
        <v>2</v>
      </c>
      <c r="D34">
        <v>5</v>
      </c>
      <c r="E34">
        <v>0</v>
      </c>
      <c r="F34">
        <v>1</v>
      </c>
      <c r="G34">
        <v>3</v>
      </c>
      <c r="H34">
        <v>0</v>
      </c>
      <c r="I34">
        <v>11</v>
      </c>
    </row>
    <row r="35" spans="1:9" x14ac:dyDescent="0.35">
      <c r="A35" t="s">
        <v>326</v>
      </c>
      <c r="B35" t="s">
        <v>865</v>
      </c>
      <c r="C35">
        <v>0</v>
      </c>
      <c r="D35">
        <v>0</v>
      </c>
      <c r="E35">
        <v>0</v>
      </c>
      <c r="F35">
        <v>1</v>
      </c>
      <c r="G35">
        <v>3</v>
      </c>
      <c r="H35">
        <v>0</v>
      </c>
      <c r="I35">
        <v>4</v>
      </c>
    </row>
    <row r="36" spans="1:9" x14ac:dyDescent="0.35">
      <c r="A36" t="s">
        <v>326</v>
      </c>
      <c r="B36" t="s">
        <v>473</v>
      </c>
      <c r="C36">
        <v>3</v>
      </c>
      <c r="D36">
        <v>3</v>
      </c>
      <c r="E36">
        <v>0</v>
      </c>
      <c r="F36">
        <v>1</v>
      </c>
      <c r="G36">
        <v>2</v>
      </c>
      <c r="H36">
        <v>0</v>
      </c>
      <c r="I36">
        <v>9</v>
      </c>
    </row>
    <row r="37" spans="1:9" x14ac:dyDescent="0.35">
      <c r="A37" t="s">
        <v>326</v>
      </c>
      <c r="B37" t="s">
        <v>866</v>
      </c>
      <c r="C37">
        <v>39</v>
      </c>
      <c r="D37">
        <v>145</v>
      </c>
      <c r="E37">
        <v>2</v>
      </c>
      <c r="F37">
        <v>18</v>
      </c>
      <c r="G37">
        <v>67</v>
      </c>
      <c r="H37">
        <v>25</v>
      </c>
      <c r="I37">
        <v>296</v>
      </c>
    </row>
    <row r="38" spans="1:9" x14ac:dyDescent="0.35">
      <c r="A38" t="s">
        <v>326</v>
      </c>
      <c r="B38" t="s">
        <v>868</v>
      </c>
      <c r="C38">
        <v>289</v>
      </c>
      <c r="D38">
        <v>56</v>
      </c>
      <c r="E38">
        <v>0</v>
      </c>
      <c r="F38">
        <v>7</v>
      </c>
      <c r="G38">
        <v>17</v>
      </c>
      <c r="H38">
        <v>3</v>
      </c>
      <c r="I38">
        <v>372</v>
      </c>
    </row>
    <row r="39" spans="1:9" x14ac:dyDescent="0.35">
      <c r="A39" t="s">
        <v>326</v>
      </c>
      <c r="B39" t="s">
        <v>869</v>
      </c>
      <c r="C39">
        <v>0</v>
      </c>
      <c r="D39">
        <v>0</v>
      </c>
      <c r="E39">
        <v>0</v>
      </c>
      <c r="F39">
        <v>0</v>
      </c>
      <c r="G39">
        <v>1</v>
      </c>
      <c r="H39">
        <v>0</v>
      </c>
      <c r="I39">
        <v>1</v>
      </c>
    </row>
    <row r="40" spans="1:9" x14ac:dyDescent="0.35">
      <c r="A40" t="s">
        <v>326</v>
      </c>
      <c r="B40" t="s">
        <v>870</v>
      </c>
      <c r="C40">
        <v>2</v>
      </c>
      <c r="D40">
        <v>7</v>
      </c>
      <c r="E40">
        <v>0</v>
      </c>
      <c r="F40">
        <v>0</v>
      </c>
      <c r="G40">
        <v>0</v>
      </c>
      <c r="H40">
        <v>0</v>
      </c>
      <c r="I40">
        <v>9</v>
      </c>
    </row>
    <row r="41" spans="1:9" x14ac:dyDescent="0.35">
      <c r="A41" t="s">
        <v>326</v>
      </c>
      <c r="B41" t="s">
        <v>871</v>
      </c>
      <c r="C41">
        <v>1</v>
      </c>
      <c r="D41">
        <v>0</v>
      </c>
      <c r="E41">
        <v>0</v>
      </c>
      <c r="F41">
        <v>0</v>
      </c>
      <c r="G41">
        <v>0</v>
      </c>
      <c r="H41">
        <v>0</v>
      </c>
      <c r="I41">
        <v>1</v>
      </c>
    </row>
    <row r="42" spans="1:9" x14ac:dyDescent="0.35">
      <c r="A42" t="s">
        <v>327</v>
      </c>
      <c r="B42" t="s">
        <v>864</v>
      </c>
      <c r="C42">
        <v>4</v>
      </c>
      <c r="D42">
        <v>5</v>
      </c>
      <c r="E42">
        <v>1</v>
      </c>
      <c r="F42">
        <v>0</v>
      </c>
      <c r="G42">
        <v>1</v>
      </c>
      <c r="H42">
        <v>0</v>
      </c>
      <c r="I42">
        <v>11</v>
      </c>
    </row>
    <row r="43" spans="1:9" x14ac:dyDescent="0.35">
      <c r="A43" t="s">
        <v>327</v>
      </c>
      <c r="B43" t="s">
        <v>865</v>
      </c>
      <c r="C43">
        <v>0</v>
      </c>
      <c r="D43">
        <v>0</v>
      </c>
      <c r="E43">
        <v>0</v>
      </c>
      <c r="F43">
        <v>0</v>
      </c>
      <c r="G43">
        <v>16</v>
      </c>
      <c r="H43">
        <v>0</v>
      </c>
      <c r="I43">
        <v>16</v>
      </c>
    </row>
    <row r="44" spans="1:9" x14ac:dyDescent="0.35">
      <c r="A44" t="s">
        <v>327</v>
      </c>
      <c r="B44" t="s">
        <v>473</v>
      </c>
      <c r="C44">
        <v>3</v>
      </c>
      <c r="D44">
        <v>2</v>
      </c>
      <c r="E44">
        <v>0</v>
      </c>
      <c r="F44">
        <v>0</v>
      </c>
      <c r="G44">
        <v>0</v>
      </c>
      <c r="H44">
        <v>0</v>
      </c>
      <c r="I44">
        <v>5</v>
      </c>
    </row>
    <row r="45" spans="1:9" x14ac:dyDescent="0.35">
      <c r="A45" t="s">
        <v>327</v>
      </c>
      <c r="B45" t="s">
        <v>874</v>
      </c>
      <c r="C45">
        <v>0</v>
      </c>
      <c r="D45">
        <v>0</v>
      </c>
      <c r="E45">
        <v>0</v>
      </c>
      <c r="F45">
        <v>0</v>
      </c>
      <c r="G45">
        <v>0</v>
      </c>
      <c r="H45">
        <v>2</v>
      </c>
      <c r="I45">
        <v>2</v>
      </c>
    </row>
    <row r="46" spans="1:9" x14ac:dyDescent="0.35">
      <c r="A46" t="s">
        <v>327</v>
      </c>
      <c r="B46" t="s">
        <v>866</v>
      </c>
      <c r="C46">
        <v>28</v>
      </c>
      <c r="D46">
        <v>175</v>
      </c>
      <c r="E46">
        <v>1</v>
      </c>
      <c r="F46">
        <v>13</v>
      </c>
      <c r="G46">
        <v>39</v>
      </c>
      <c r="H46">
        <v>13</v>
      </c>
      <c r="I46">
        <v>269</v>
      </c>
    </row>
    <row r="47" spans="1:9" x14ac:dyDescent="0.35">
      <c r="A47" t="s">
        <v>327</v>
      </c>
      <c r="B47" t="s">
        <v>867</v>
      </c>
      <c r="C47">
        <v>0</v>
      </c>
      <c r="D47">
        <v>1</v>
      </c>
      <c r="E47">
        <v>0</v>
      </c>
      <c r="F47">
        <v>0</v>
      </c>
      <c r="G47">
        <v>0</v>
      </c>
      <c r="H47">
        <v>0</v>
      </c>
      <c r="I47">
        <v>1</v>
      </c>
    </row>
    <row r="48" spans="1:9" x14ac:dyDescent="0.35">
      <c r="A48" t="s">
        <v>327</v>
      </c>
      <c r="B48" t="s">
        <v>868</v>
      </c>
      <c r="C48">
        <v>117</v>
      </c>
      <c r="D48">
        <v>57</v>
      </c>
      <c r="E48">
        <v>0</v>
      </c>
      <c r="F48">
        <v>1</v>
      </c>
      <c r="G48">
        <v>20</v>
      </c>
      <c r="H48">
        <v>2</v>
      </c>
      <c r="I48">
        <v>197</v>
      </c>
    </row>
    <row r="49" spans="1:9" x14ac:dyDescent="0.35">
      <c r="A49" t="s">
        <v>327</v>
      </c>
      <c r="B49" t="s">
        <v>870</v>
      </c>
      <c r="C49">
        <v>4</v>
      </c>
      <c r="D49">
        <v>3</v>
      </c>
      <c r="E49">
        <v>0</v>
      </c>
      <c r="F49">
        <v>0</v>
      </c>
      <c r="G49">
        <v>0</v>
      </c>
      <c r="H49">
        <v>0</v>
      </c>
      <c r="I49">
        <v>7</v>
      </c>
    </row>
    <row r="50" spans="1:9" x14ac:dyDescent="0.35">
      <c r="A50" t="s">
        <v>327</v>
      </c>
      <c r="B50" t="s">
        <v>871</v>
      </c>
      <c r="C50">
        <v>2</v>
      </c>
      <c r="D50">
        <v>0</v>
      </c>
      <c r="E50">
        <v>0</v>
      </c>
      <c r="F50">
        <v>0</v>
      </c>
      <c r="G50">
        <v>0</v>
      </c>
      <c r="H50">
        <v>0</v>
      </c>
      <c r="I50">
        <v>2</v>
      </c>
    </row>
    <row r="51" spans="1:9" x14ac:dyDescent="0.35">
      <c r="A51" t="s">
        <v>466</v>
      </c>
      <c r="B51" t="s">
        <v>864</v>
      </c>
      <c r="C51">
        <v>6</v>
      </c>
      <c r="D51">
        <v>2</v>
      </c>
      <c r="E51">
        <v>0</v>
      </c>
      <c r="F51">
        <v>1</v>
      </c>
      <c r="G51">
        <v>2</v>
      </c>
      <c r="H51">
        <v>0</v>
      </c>
      <c r="I51">
        <v>11</v>
      </c>
    </row>
    <row r="52" spans="1:9" x14ac:dyDescent="0.35">
      <c r="A52" t="s">
        <v>466</v>
      </c>
      <c r="B52" t="s">
        <v>865</v>
      </c>
      <c r="C52">
        <v>0</v>
      </c>
      <c r="D52">
        <v>1</v>
      </c>
      <c r="E52">
        <v>0</v>
      </c>
      <c r="F52">
        <v>0</v>
      </c>
      <c r="G52">
        <v>8</v>
      </c>
      <c r="H52">
        <v>0</v>
      </c>
      <c r="I52">
        <v>9</v>
      </c>
    </row>
    <row r="53" spans="1:9" x14ac:dyDescent="0.35">
      <c r="A53" t="s">
        <v>466</v>
      </c>
      <c r="B53" t="s">
        <v>473</v>
      </c>
      <c r="C53">
        <v>2</v>
      </c>
      <c r="D53">
        <v>2</v>
      </c>
      <c r="E53">
        <v>0</v>
      </c>
      <c r="F53">
        <v>0</v>
      </c>
      <c r="G53">
        <v>0</v>
      </c>
      <c r="H53">
        <v>0</v>
      </c>
      <c r="I53">
        <v>4</v>
      </c>
    </row>
    <row r="54" spans="1:9" x14ac:dyDescent="0.35">
      <c r="A54" t="s">
        <v>466</v>
      </c>
      <c r="B54" t="s">
        <v>866</v>
      </c>
      <c r="C54">
        <v>37</v>
      </c>
      <c r="D54">
        <v>154</v>
      </c>
      <c r="E54">
        <v>1</v>
      </c>
      <c r="F54">
        <v>7</v>
      </c>
      <c r="G54">
        <v>31</v>
      </c>
      <c r="H54">
        <v>15</v>
      </c>
      <c r="I54">
        <v>245</v>
      </c>
    </row>
    <row r="55" spans="1:9" x14ac:dyDescent="0.35">
      <c r="A55" t="s">
        <v>466</v>
      </c>
      <c r="B55" t="s">
        <v>867</v>
      </c>
      <c r="C55">
        <v>1</v>
      </c>
      <c r="D55">
        <v>0</v>
      </c>
      <c r="E55">
        <v>0</v>
      </c>
      <c r="F55">
        <v>0</v>
      </c>
      <c r="G55">
        <v>0</v>
      </c>
      <c r="H55">
        <v>0</v>
      </c>
      <c r="I55">
        <v>1</v>
      </c>
    </row>
    <row r="56" spans="1:9" x14ac:dyDescent="0.35">
      <c r="A56" t="s">
        <v>466</v>
      </c>
      <c r="B56" t="s">
        <v>868</v>
      </c>
      <c r="C56">
        <v>132</v>
      </c>
      <c r="D56">
        <v>62</v>
      </c>
      <c r="E56">
        <v>0</v>
      </c>
      <c r="F56">
        <v>7</v>
      </c>
      <c r="G56">
        <v>22</v>
      </c>
      <c r="H56">
        <v>3</v>
      </c>
      <c r="I56">
        <v>226</v>
      </c>
    </row>
    <row r="57" spans="1:9" x14ac:dyDescent="0.35">
      <c r="A57" t="s">
        <v>466</v>
      </c>
      <c r="B57" t="s">
        <v>870</v>
      </c>
      <c r="C57">
        <v>1</v>
      </c>
      <c r="D57">
        <v>4</v>
      </c>
      <c r="E57">
        <v>1</v>
      </c>
      <c r="F57">
        <v>0</v>
      </c>
      <c r="G57">
        <v>1</v>
      </c>
      <c r="H57">
        <v>0</v>
      </c>
      <c r="I57">
        <v>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7" ma:contentTypeDescription="" ma:contentTypeScope="" ma:versionID="c5813c96473c463229a47d7a90e6a829">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241f6059e2ee24780779bd9801ceefe3"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3:ActivePublishDate" minOccurs="0"/>
                <xsd:element ref="ns3:InitialPublishDate" minOccurs="0"/>
                <xsd:element ref="ns1:Review_x0020_Period"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3:RelatedWebsitePage" minOccurs="0"/>
                <xsd:element ref="ns1:External" minOccurs="0"/>
                <xsd:element ref="ns3:Effective_x0020_Date"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1:_dlc_DocIdPersistId" minOccurs="0"/>
                <xsd:element ref="ns1:TaxKeywordTaxHTField" minOccurs="0"/>
                <xsd:element ref="ns1:_dlc_DocId" minOccurs="0"/>
                <xsd:element ref="ns1:TaxCatchAll" minOccurs="0"/>
                <xsd:element ref="ns3:ProperReviewDate" minOccurs="0"/>
                <xsd:element ref="ns1:AzureGroups" minOccurs="0"/>
                <xsd:element ref="ns1:AzureGroups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requently Asked Questions (FAQs)"/>
          <xsd:enumeration value="Form"/>
          <xsd:enumeration value="Framework"/>
          <xsd:enumeration value="Frontline Update (FU)"/>
          <xsd:enumeration value="General Information Note (GIN)"/>
          <xsd:enumeration value="Generic Risk Assessment (GRA)"/>
          <xsd:enumeration value="Guidance"/>
          <xsd:enumeration value="Leaflet/ Poster"/>
          <xsd:enumeration value="Magazine/Newsletter"/>
          <xsd:enumeration value="Management Arrangement (MA)"/>
          <xsd:enumeration value="Manual"/>
          <xsd:enumeration value="Memorandum of Understanding (MoU)"/>
          <xsd:enumeration value="National Training Standard (NTS)"/>
          <xsd:enumeration value="Operational Aide Memoire (OAM)"/>
          <xsd:enumeration value="Operational Procedure (OP)"/>
          <xsd:enumeration value="Periodic Inspection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RIC)"/>
          <xsd:enumeration value="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s (UI)"/>
          <xsd:enumeration value="Vehicle Information Card (VIC)"/>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ternalName="Version_x0020_Number" ma:readOnly="false" ma:percentage="FALSE">
      <xsd:simpleType>
        <xsd:restriction base="dms:Number"/>
      </xsd:simpleType>
    </xsd:element>
    <xsd:element name="Review_x0020_Period" ma:index="13"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ma:readOnly="false">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dexed="true"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6" nillable="true" ma:displayName="External" ma:default="0" ma:indexed="true" ma:internalName="External" ma:readOnly="false">
      <xsd:simpleType>
        <xsd:restriction base="dms:Boolean"/>
      </xsd:simpleType>
    </xsd:element>
    <xsd:element name="TaxCatchAllLabel" ma:index="29"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3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9" nillable="true" ma:displayName="Shared With Details" ma:hidden="true" ma:internalName="SharedWithDetails" ma:readOnly="true">
      <xsd:simpleType>
        <xsd:restriction base="dms:Note"/>
      </xsd:simpleType>
    </xsd:element>
    <xsd:element name="Approver" ma:index="40"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2"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element name="_dlc_DocIdPersistId" ma:index="43" nillable="true" ma:displayName="Persist ID" ma:description="Keep ID on add." ma:hidden="true" ma:internalName="_dlc_DocIdPersistId" ma:readOnly="false">
      <xsd:simpleType>
        <xsd:restriction base="dms:Boolean"/>
      </xsd:simpleType>
    </xsd:element>
    <xsd:element name="TaxKeywordTaxHTField" ma:index="44"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_dlc_DocId" ma:index="45" nillable="true" ma:displayName="Document ID Value" ma:description="The value of the document ID assigned to this item." ma:hidden="true" ma:indexed="true" ma:internalName="_dlc_DocId" ma:readOnly="false">
      <xsd:simpleType>
        <xsd:restriction base="dms:Text"/>
      </xsd:simpleType>
    </xsd:element>
    <xsd:element name="TaxCatchAll" ma:index="46"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AzureGroups" ma:index="48" nillable="true" ma:displayName="AzureGroups" ma:list="{41FA38B8-9054-4324-8BF7-998B54194ED1}" ma:internalName="AzureGroups" ma:showField="AzureGroup" ma:web="361c438b-452b-4051-9cda-3a6b8527f04f">
      <xsd:simpleType>
        <xsd:restriction base="dms:Lookup"/>
      </xsd:simpleType>
    </xsd:element>
    <xsd:element name="AzureGroups_x003a_ID" ma:index="49" nillable="true" ma:displayName="AzureGroups:ID" ma:list="{41FA38B8-9054-4324-8BF7-998B54194ED1}" ma:internalName="AzureGroups_x003A_ID" ma:readOnly="true" ma:showField="ID" ma:web="361c438b-452b-4051-9cda-3a6b8527f04f">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ActivePublishDate" ma:index="11" nillable="true" ma:displayName="Active Publish Date" ma:format="DateOnly" ma:indexed="true" ma:internalName="ActivePublishDate" ma:readOnly="false">
      <xsd:simpleType>
        <xsd:restriction base="dms:DateTime"/>
      </xsd:simpleType>
    </xsd:element>
    <xsd:element name="InitialPublishDate" ma:index="12" nillable="true" ma:displayName="Initial Publish Date" ma:default="[today]" ma:format="DateOnly" ma:internalName="InitialPublishDate" ma:readOnly="false">
      <xsd:simpleType>
        <xsd:restriction base="dms:DateTime"/>
      </xsd:simpleType>
    </xsd:element>
    <xsd:element name="RelatedWebsitePage" ma:index="25" nillable="true" ma:displayName="Related Website Page" ma:format="Hyperlink" ma:internalName="RelatedWebsite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Effective_x0020_Date" ma:index="27" nillable="true" ma:displayName="Effective Date" ma:default="2000-01-01T00:00:00Z" ma:format="DateOnly" ma:hidden="true" ma:internalName="Effective_x0020_Date" ma:readOnly="false">
      <xsd:simpleType>
        <xsd:restriction base="dms:DateTime"/>
      </xsd:simpleType>
    </xsd:element>
    <xsd:element name="lcf76f155ced4ddcb4097134ff3c332f" ma:index="28" nillable="true" ma:displayName="Image Tags_0" ma:hidden="true" ma:internalName="lcf76f155ced4ddcb4097134ff3c332f" ma:readOnly="false">
      <xsd:simpleType>
        <xsd:restriction base="dms:Note"/>
      </xsd:simpleType>
    </xsd:element>
    <xsd:element name="MediaServiceSearchProperties" ma:index="33" nillable="true" ma:displayName="MediaServiceSearchProperties" ma:hidden="true" ma:internalName="MediaServiceSearchProperties" ma:readOnly="true">
      <xsd:simpleType>
        <xsd:restriction base="dms:Note"/>
      </xsd:simpleType>
    </xsd:element>
    <xsd:element name="xPDF" ma:index="37" nillable="true" ma:displayName="xPDF" ma:default="0" ma:format="Dropdown" ma:hidden="true" ma:internalName="xPDF" ma:readOnly="false">
      <xsd:simpleType>
        <xsd:restriction base="dms:Boolean"/>
      </xsd:simpleType>
    </xsd:element>
    <xsd:element name="ProperReviewDate" ma:index="47" nillable="true" ma:displayName="Proper Review Date" ma:format="DateOnly" ma:hidden="true" ma:indexed="true" ma:internalName="ProperReviewDate" ma:readOnly="fals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1</Version_x0020_Number>
    <Published_x0020_to_x0020_website xmlns="361c438b-452b-4051-9cda-3a6b8527f04f" xsi:nil="true"/>
    <_dlc_DocId xmlns="361c438b-452b-4051-9cda-3a6b8527f04f">CORPDL-747745404-9134</_dlc_DocId>
    <_dlc_DocIdPersistId xmlns="361c438b-452b-4051-9cda-3a6b8527f04f" xsi:nil="true"/>
    <Abbreviation_x0028_s_x0029_ xmlns="361c438b-452b-4051-9cda-3a6b8527f04f">
      <Value>1115</Value>
      <Value>492</Value>
      <Value>132</Value>
      <Value>866</Value>
    </Abbreviation_x0028_s_x0029_>
    <Effective_x0020_Date xmlns="858ae7c7-9454-45c7-a50c-4c9144226ea3">2025-08-28T23:00:00+00:00</Effective_x0020_Date>
    <TaxCatchAll xmlns="361c438b-452b-4051-9cda-3a6b8527f04f">
      <Value>2077</Value>
    </TaxCatchAll>
    <Publication_x0020_Scheme_x0020_Class xmlns="361c438b-452b-4051-9cda-3a6b8527f04f">How we manage our human, physical and information resources</Publication_x0020_Scheme_x0020_Class>
    <DocumentReadyForApproval xmlns="361c438b-452b-4051-9cda-3a6b8527f04f">false</DocumentReadyForApproval>
    <External xmlns="361c438b-452b-4051-9cda-3a6b8527f04f">true</External>
    <Security_x0020_Classification xmlns="361c438b-452b-4051-9cda-3a6b8527f04f">Official</Security_x0020_Classification>
    <AzureGroups xmlns="361c438b-452b-4051-9cda-3a6b8527f04f">47</AzureGroups>
    <ActivePublishDate xmlns="858ae7c7-9454-45c7-a50c-4c9144226ea3">2025-08-28T23:00:00+00:00</ActivePublishDate>
    <Related_x0020_PDF xmlns="361c438b-452b-4051-9cda-3a6b8527f04f">
      <Url xsi:nil="true"/>
      <Description xsi:nil="true"/>
    </Related_x0020_PDF>
    <Doc_x0020_Type xmlns="361c438b-452b-4051-9cda-3a6b8527f04f">Report</Doc_x0020_Type>
    <RelatedWebsitePage xmlns="858ae7c7-9454-45c7-a50c-4c9144226ea3">
      <Url xsi:nil="true"/>
      <Description xsi:nil="true"/>
    </RelatedWebsitePage>
    <Intranet_x0020_content xmlns="361c438b-452b-4051-9cda-3a6b8527f04f">true</Intranet_x0020_content>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TaxKeywordTaxHTField xmlns="361c438b-452b-4051-9cda-3a6b8527f04f">
      <Terms xmlns="http://schemas.microsoft.com/office/infopath/2007/PartnerControls"/>
    </TaxKeywordTaxHTField>
    <Delete xmlns="361c438b-452b-4051-9cda-3a6b8527f04f">false</Delete>
    <Review_x0020_Period xmlns="361c438b-452b-4051-9cda-3a6b8527f04f">3 years</Review_x0020_Period>
    <Sub_x0020_Class_x0020_Heading xmlns="361c438b-452b-4051-9cda-3a6b8527f04f">Information resources</Sub_x0020_Class_x0020_Heading>
    <TaxCatchAllLabel xmlns="361c438b-452b-4051-9cda-3a6b8527f04f" xsi:nil="true"/>
    <Approver xmlns="361c438b-452b-4051-9cda-3a6b8527f04f">
      <UserInfo>
        <DisplayName/>
        <AccountId xsi:nil="true"/>
        <AccountType/>
      </UserInfo>
    </Approver>
    <ProperReviewDate xmlns="858ae7c7-9454-45c7-a50c-4c9144226ea3">2028-08-28T23:00:00+00:00</ProperReviewDate>
    <Document_x0020_Status xmlns="361c438b-452b-4051-9cda-3a6b8527f04f">Live</Document_x0020_Status>
    <Related_x0020_Intranet_x0020_page xmlns="361c438b-452b-4051-9cda-3a6b8527f04f">
      <Url xsi:nil="true"/>
      <Description xsi:nil="true"/>
    </Related_x0020_Intranet_x0020_page>
    <xPDF xmlns="858ae7c7-9454-45c7-a50c-4c9144226ea3">false</xPDF>
    <_dlc_DocIdUrl xmlns="361c438b-452b-4051-9cda-3a6b8527f04f">
      <Url>https://firescotland.sharepoint.com/sites/SFRSDocumentLibrary/_layouts/15/DocIdRedir.aspx?ID=CORPDL-747745404-9134</Url>
      <Description>CORPDL-747745404-9134</Description>
    </_dlc_DocIdUrl>
    <InitialPublishDate xmlns="858ae7c7-9454-45c7-a50c-4c9144226ea3">2025-08-28T23:00:00+00:00</InitialPublishDate>
    <lcf76f155ced4ddcb4097134ff3c332f xmlns="858ae7c7-9454-45c7-a50c-4c9144226ea3" xsi:nil="true"/>
    <Summary xmlns="361c438b-452b-4051-9cda-3a6b8527f04f" xsi:nil="true"/>
  </documentManagement>
</p:properties>
</file>

<file path=customXml/item4.xml>��< ? x m l   v e r s i o n = " 1 . 0 "   e n c o d i n g = " u t f - 1 6 " ? > < D a t a M a s h u p   s q m i d = " 1 e d 6 a 2 0 9 - 8 1 4 7 - 4 3 2 7 - 8 5 b 0 - a 6 2 2 6 2 5 3 0 f 5 e "   x m l n s = " h t t p : / / s c h e m a s . m i c r o s o f t . c o m / D a t a M a s h u p " > A A A A A A 0 D A A B Q S w M E F A A C A A g A M q M a W + i S f z e m A A A A 9 w A A A B I A H A B D b 2 5 m a W c v U G F j a 2 F n Z S 5 4 b W w g o h g A K K A U A A A A A A A A A A A A A A A A A A A A A A A A A A A A h Y + x D o I w G I R f h X S n L Z X B k J + S 6 O A i i Y m J c W 2 w Q i P 8 G F o s 7 + b g I / k K Y h R 1 c 7 j h 7 r 7 h 7 n 6 9 Q T Y 0 d X D R n T U t p i S i n A Q a i / Z g s E x J 7 4 7 h n G Q S N q o 4 q V I H I 4 w 2 G e w h J Z V z 5 4 Q x 7 z 3 1 M 9 p 2 J R O c R 2 y f r 7 d F p R t F P r D 5 D 4 c G r V N Y a C J h 9 x o j B Y 3 i e B Q X l A O b U s g N f g k x D n 6 2 P y E s + 9 r 1 n Z Y a w 9 U C 2 G S B v U / I B 1 B L A w Q U A A I A C A A y o x p 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M q M a W y i K R 7 g O A A A A E Q A A A B M A H A B G b 3 J t d W x h c y 9 T Z W N 0 a W 9 u M S 5 t I K I Y A C i g F A A A A A A A A A A A A A A A A A A A A A A A A A A A A C t O T S 7 J z M 9 T C I b Q h t Y A U E s B A i 0 A F A A C A A g A M q M a W + i S f z e m A A A A 9 w A A A B I A A A A A A A A A A A A A A A A A A A A A A E N v b m Z p Z y 9 Q Y W N r Y W d l L n h t b F B L A Q I t A B Q A A g A I A D K j G l t T c j g s m w A A A O E A A A A T A A A A A A A A A A A A A A A A A P I A A A B b Q 2 9 u d G V u d F 9 U e X B l c 1 0 u e G 1 s U E s B A i 0 A F A A C A A g A M q M a W 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B w S N L T A W Y Q R p x 5 t 5 c + 7 5 + h A A A A A A I A A A A A A B B m A A A A A Q A A I A A A A G 0 l W D V j V i R f i X 0 P 0 f 4 e U i 3 Z + W R C Z w 9 R i Z 5 x j A + C 5 1 7 W A A A A A A 6 A A A A A A g A A I A A A A C b H g K H Z / g Z r 5 7 K D d b I i k a I T L G Y x S h S g c s Y i Y a z Z v I X 9 U A A A A O 9 n L E o 0 w 6 Z X G 2 y k J + u Z l U E g J g m 6 a C P r f 1 R u P q 5 O N s s P B B N X I b f K Z Y M X q C V n y x l H f P s 8 0 3 E X u x O D y d r 6 d y k S t v o 1 f r 4 d p H F Z w U 7 3 D l B 5 Y h z E Q A A A A F g L j c X K k X a r L C 6 m G L 6 J 8 4 f a n J 9 u t 2 X v s z K h E n o 8 j f q c J / 3 m K e K 8 Y e U x a B I S g 8 V a A H e c 4 C J J 8 o i V D 4 k v x V A i 2 h 8 = < / 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4E9E009-6DEB-42A3-9FD6-F3CD8CE12167}">
  <ds:schemaRefs>
    <ds:schemaRef ds:uri="http://schemas.microsoft.com/sharepoint/v3/contenttype/forms"/>
  </ds:schemaRefs>
</ds:datastoreItem>
</file>

<file path=customXml/itemProps2.xml><?xml version="1.0" encoding="utf-8"?>
<ds:datastoreItem xmlns:ds="http://schemas.openxmlformats.org/officeDocument/2006/customXml" ds:itemID="{52F0D506-EBDC-44BC-8FE8-7897316ADCEC}"/>
</file>

<file path=customXml/itemProps3.xml><?xml version="1.0" encoding="utf-8"?>
<ds:datastoreItem xmlns:ds="http://schemas.openxmlformats.org/officeDocument/2006/customXml" ds:itemID="{073B2A45-904E-4275-8BD8-243012F2BE83}">
  <ds:schemaRefs>
    <ds:schemaRef ds:uri="http://purl.org/dc/terms/"/>
    <ds:schemaRef ds:uri="http://schemas.openxmlformats.org/package/2006/metadata/core-properties"/>
    <ds:schemaRef ds:uri="http://schemas.microsoft.com/office/2006/metadata/properties"/>
    <ds:schemaRef ds:uri="http://purl.org/dc/elements/1.1/"/>
    <ds:schemaRef ds:uri="http://purl.org/dc/dcmitype/"/>
    <ds:schemaRef ds:uri="ec479192-87c9-4f56-98a7-5f13b8d49574"/>
    <ds:schemaRef ds:uri="http://schemas.microsoft.com/office/2006/documentManagement/types"/>
    <ds:schemaRef ds:uri="http://schemas.microsoft.com/office/infopath/2007/PartnerControls"/>
    <ds:schemaRef ds:uri="020a24e2-f086-4676-bc43-ef4b0f35faf1"/>
    <ds:schemaRef ds:uri="http://www.w3.org/XML/1998/namespace"/>
  </ds:schemaRefs>
</ds:datastoreItem>
</file>

<file path=customXml/itemProps4.xml><?xml version="1.0" encoding="utf-8"?>
<ds:datastoreItem xmlns:ds="http://schemas.openxmlformats.org/officeDocument/2006/customXml" ds:itemID="{114DF623-7076-4293-92C0-78BE711ACB03}">
  <ds:schemaRefs>
    <ds:schemaRef ds:uri="http://schemas.microsoft.com/DataMashup"/>
  </ds:schemaRefs>
</ds:datastoreItem>
</file>

<file path=customXml/itemProps5.xml><?xml version="1.0" encoding="utf-8"?>
<ds:datastoreItem xmlns:ds="http://schemas.openxmlformats.org/officeDocument/2006/customXml" ds:itemID="{FA85EE17-FCC9-4188-A9C0-F4E270E3C40B}"/>
</file>

<file path=docMetadata/LabelInfo.xml><?xml version="1.0" encoding="utf-8"?>
<clbl:labelList xmlns:clbl="http://schemas.microsoft.com/office/2020/mipLabelMetadata">
  <clbl:label id="{791d5ea7-24c9-4270-9ed3-bfde1f8a6624}" enabled="0" method="" siteId="{791d5ea7-24c9-4270-9ed3-bfde1f8a662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192</vt:i4>
      </vt:variant>
      <vt:variant>
        <vt:lpstr>Named Ranges</vt:lpstr>
      </vt:variant>
      <vt:variant>
        <vt:i4>4</vt:i4>
      </vt:variant>
    </vt:vector>
  </HeadingPairs>
  <TitlesOfParts>
    <vt:vector size="196" baseType="lpstr">
      <vt:lpstr>Information</vt:lpstr>
      <vt:lpstr>Table of Contents</vt:lpstr>
      <vt:lpstr>Structure</vt:lpstr>
      <vt:lpstr>Crewing Model</vt:lpstr>
      <vt:lpstr>Crewing Model - Area</vt:lpstr>
      <vt:lpstr>CrewingModelAreaPivot</vt:lpstr>
      <vt:lpstr>CrewingModelAreaData</vt:lpstr>
      <vt:lpstr>Primary Crewing</vt:lpstr>
      <vt:lpstr>PrimaryCrewingAreaPivot</vt:lpstr>
      <vt:lpstr>PrimaryCrewingAreaData</vt:lpstr>
      <vt:lpstr>Primary Crewing - Area</vt:lpstr>
      <vt:lpstr>Crewing Level</vt:lpstr>
      <vt:lpstr>CapabilitiesData</vt:lpstr>
      <vt:lpstr>CapabilitiesPivot</vt:lpstr>
      <vt:lpstr>Capabilities</vt:lpstr>
      <vt:lpstr>Chart - Station Type</vt:lpstr>
      <vt:lpstr>Chart - Area</vt:lpstr>
      <vt:lpstr>Chart - Map</vt:lpstr>
      <vt:lpstr>VehiclesPivot</vt:lpstr>
      <vt:lpstr>VehiclesData</vt:lpstr>
      <vt:lpstr>Vehicles</vt:lpstr>
      <vt:lpstr>AppliancesLAPivot</vt:lpstr>
      <vt:lpstr>AppliancesLAData</vt:lpstr>
      <vt:lpstr>Appliances LA</vt:lpstr>
      <vt:lpstr>StaffingPivot</vt:lpstr>
      <vt:lpstr>StaffingData</vt:lpstr>
      <vt:lpstr>Staffing</vt:lpstr>
      <vt:lpstr>DutySystemPivot</vt:lpstr>
      <vt:lpstr>DutySystemData</vt:lpstr>
      <vt:lpstr>DutySystem</vt:lpstr>
      <vt:lpstr>dutysystemlapivot</vt:lpstr>
      <vt:lpstr>dutysystemladata</vt:lpstr>
      <vt:lpstr>DutySytem LA</vt:lpstr>
      <vt:lpstr>Department</vt:lpstr>
      <vt:lpstr>geographicpivot</vt:lpstr>
      <vt:lpstr>geographicdata</vt:lpstr>
      <vt:lpstr>Geographic Structure</vt:lpstr>
      <vt:lpstr>smallareapivot</vt:lpstr>
      <vt:lpstr>smallareadata</vt:lpstr>
      <vt:lpstr>Staff - Small Area</vt:lpstr>
      <vt:lpstr>roledata</vt:lpstr>
      <vt:lpstr>rolepivot</vt:lpstr>
      <vt:lpstr>Role</vt:lpstr>
      <vt:lpstr>roledutysystempivot</vt:lpstr>
      <vt:lpstr>roledutysystemdata</vt:lpstr>
      <vt:lpstr>Role DutySystem</vt:lpstr>
      <vt:lpstr>roleareapivot</vt:lpstr>
      <vt:lpstr>roleareadata</vt:lpstr>
      <vt:lpstr>Role - Area</vt:lpstr>
      <vt:lpstr>wtroleareapivot</vt:lpstr>
      <vt:lpstr>wtroleareadata</vt:lpstr>
      <vt:lpstr>WT Role - Area</vt:lpstr>
      <vt:lpstr>rdsroleareapivot</vt:lpstr>
      <vt:lpstr>rdsroleareadata</vt:lpstr>
      <vt:lpstr>RDS Role - Area</vt:lpstr>
      <vt:lpstr>csroledatapivot</vt:lpstr>
      <vt:lpstr>csroleareadata</vt:lpstr>
      <vt:lpstr>CSRoleAreaSupportPivot</vt:lpstr>
      <vt:lpstr>CSRoleAreaSupportData</vt:lpstr>
      <vt:lpstr>C&amp;S Role - Area</vt:lpstr>
      <vt:lpstr>volroleareapivot</vt:lpstr>
      <vt:lpstr>volroleareadata</vt:lpstr>
      <vt:lpstr>Vol Role - Area</vt:lpstr>
      <vt:lpstr>WTFTERoleAreaPivot</vt:lpstr>
      <vt:lpstr>WTFTERoleAreaData</vt:lpstr>
      <vt:lpstr>WT FTE Role - Area</vt:lpstr>
      <vt:lpstr>RDSFTERoleAreaPivot</vt:lpstr>
      <vt:lpstr>RDSFTERoleAreaData</vt:lpstr>
      <vt:lpstr>RDS FTE Role - Area</vt:lpstr>
      <vt:lpstr>CSFTERoleAreaControlPivot</vt:lpstr>
      <vt:lpstr>CSFTERoleAreaControlData</vt:lpstr>
      <vt:lpstr>CSFTERoleAreaSupportPivot</vt:lpstr>
      <vt:lpstr>CSFTERoleAreaSupportData</vt:lpstr>
      <vt:lpstr>C&amp;S FTE Role - Area</vt:lpstr>
      <vt:lpstr>SexTimeseriesPivot</vt:lpstr>
      <vt:lpstr>SexTimeseriesData</vt:lpstr>
      <vt:lpstr>Sex Timeseries</vt:lpstr>
      <vt:lpstr>SexPivot</vt:lpstr>
      <vt:lpstr>SexData</vt:lpstr>
      <vt:lpstr>Sex</vt:lpstr>
      <vt:lpstr>sexandrolepivot</vt:lpstr>
      <vt:lpstr>sexandroledata</vt:lpstr>
      <vt:lpstr>Sex and Role</vt:lpstr>
      <vt:lpstr>FTESexRolePivot</vt:lpstr>
      <vt:lpstr>FTESexRoleData</vt:lpstr>
      <vt:lpstr>FTE Sex and Role</vt:lpstr>
      <vt:lpstr>agepivot</vt:lpstr>
      <vt:lpstr>agedata</vt:lpstr>
      <vt:lpstr>Age</vt:lpstr>
      <vt:lpstr>servicepivot</vt:lpstr>
      <vt:lpstr>servicedata</vt:lpstr>
      <vt:lpstr>Service Length</vt:lpstr>
      <vt:lpstr>EthnicityData</vt:lpstr>
      <vt:lpstr>EthnicityPivot</vt:lpstr>
      <vt:lpstr>Ethnicity</vt:lpstr>
      <vt:lpstr>DisabilityPivot</vt:lpstr>
      <vt:lpstr>DisabilityData</vt:lpstr>
      <vt:lpstr>Disability</vt:lpstr>
      <vt:lpstr>leaversdata</vt:lpstr>
      <vt:lpstr>leaverspivot</vt:lpstr>
      <vt:lpstr>Leavers</vt:lpstr>
      <vt:lpstr>EntrantsPivot</vt:lpstr>
      <vt:lpstr>Entrants_Data</vt:lpstr>
      <vt:lpstr>Entrants - Demographics</vt:lpstr>
      <vt:lpstr>Chart Headcount</vt:lpstr>
      <vt:lpstr>Chart FTE</vt:lpstr>
      <vt:lpstr>Chart Sex</vt:lpstr>
      <vt:lpstr>Chart Age</vt:lpstr>
      <vt:lpstr>Chart Service Length</vt:lpstr>
      <vt:lpstr>AttacksPivot</vt:lpstr>
      <vt:lpstr>AttacksData</vt:lpstr>
      <vt:lpstr>Attacks</vt:lpstr>
      <vt:lpstr>AttacksAreaPivot</vt:lpstr>
      <vt:lpstr>AttacksAreaData</vt:lpstr>
      <vt:lpstr>Attacks - Area</vt:lpstr>
      <vt:lpstr>Chart - Attacks</vt:lpstr>
      <vt:lpstr>Chart - Injuries</vt:lpstr>
      <vt:lpstr>Chart - AttacksMap</vt:lpstr>
      <vt:lpstr>HFSVPivot</vt:lpstr>
      <vt:lpstr>HFSVData</vt:lpstr>
      <vt:lpstr>ReferenceHouseholds</vt:lpstr>
      <vt:lpstr>HFSVs</vt:lpstr>
      <vt:lpstr>DistinctPropertiesPivot</vt:lpstr>
      <vt:lpstr>DistinctPropertiesData</vt:lpstr>
      <vt:lpstr>Distinct Properties</vt:lpstr>
      <vt:lpstr>DistinctPropertPopPivot</vt:lpstr>
      <vt:lpstr>DistinctPropertPopData</vt:lpstr>
      <vt:lpstr>Distinct Propert. Popul.</vt:lpstr>
      <vt:lpstr>ResidentsPivot</vt:lpstr>
      <vt:lpstr>ResidentsData</vt:lpstr>
      <vt:lpstr>ResidentsPercentPivot</vt:lpstr>
      <vt:lpstr>ResidentsPercentData</vt:lpstr>
      <vt:lpstr>Residents</vt:lpstr>
      <vt:lpstr>TenurePivot</vt:lpstr>
      <vt:lpstr>TenureData</vt:lpstr>
      <vt:lpstr>Tenure</vt:lpstr>
      <vt:lpstr>SIMDVisitsPivot</vt:lpstr>
      <vt:lpstr>SIMDVisitsData</vt:lpstr>
      <vt:lpstr>SIMD-Visits</vt:lpstr>
      <vt:lpstr>SIMDAlarmsPivot</vt:lpstr>
      <vt:lpstr>SIMDAlarmsData</vt:lpstr>
      <vt:lpstr>SIMD-Alarms</vt:lpstr>
      <vt:lpstr>SIMD%AlarmPivot</vt:lpstr>
      <vt:lpstr>SIMD%AlarmData</vt:lpstr>
      <vt:lpstr>SIMD-%Alarm</vt:lpstr>
      <vt:lpstr>RuralityPivot</vt:lpstr>
      <vt:lpstr>RuralityData</vt:lpstr>
      <vt:lpstr>Rurality</vt:lpstr>
      <vt:lpstr>HFSVLAPivot</vt:lpstr>
      <vt:lpstr>HFSVLAData</vt:lpstr>
      <vt:lpstr>HFSVs LA</vt:lpstr>
      <vt:lpstr>Outcome LA</vt:lpstr>
      <vt:lpstr>Rate LA</vt:lpstr>
      <vt:lpstr>Chart HFSVs</vt:lpstr>
      <vt:lpstr>Chart Alarms</vt:lpstr>
      <vt:lpstr>Chart Residents</vt:lpstr>
      <vt:lpstr>Chart SIMD</vt:lpstr>
      <vt:lpstr>Chart SIMD Alarms</vt:lpstr>
      <vt:lpstr>Chart SIMD AlarmRate</vt:lpstr>
      <vt:lpstr>Chart SIMD OwnerOcc</vt:lpstr>
      <vt:lpstr>Chart SIMD OwnerYears</vt:lpstr>
      <vt:lpstr>Chart Rurality</vt:lpstr>
      <vt:lpstr>Chart LA</vt:lpstr>
      <vt:lpstr>Chart Map</vt:lpstr>
      <vt:lpstr>Chart Alarms Map</vt:lpstr>
      <vt:lpstr>Chart %Install</vt:lpstr>
      <vt:lpstr>Workflows</vt:lpstr>
      <vt:lpstr>WorkflowsPivot</vt:lpstr>
      <vt:lpstr>WorkflowsData</vt:lpstr>
      <vt:lpstr>AuditsPivot</vt:lpstr>
      <vt:lpstr>AuditsData</vt:lpstr>
      <vt:lpstr>Audits</vt:lpstr>
      <vt:lpstr>Audits LA</vt:lpstr>
      <vt:lpstr>auditlapivot</vt:lpstr>
      <vt:lpstr>auditladata</vt:lpstr>
      <vt:lpstr>auditsoutcomepremisespivot</vt:lpstr>
      <vt:lpstr>auditsoutcomepremises</vt:lpstr>
      <vt:lpstr>AuditsOutcomeData</vt:lpstr>
      <vt:lpstr>AuditsOutcomePivot</vt:lpstr>
      <vt:lpstr>Audits Outcome</vt:lpstr>
      <vt:lpstr>auditsoutcomeLApivot</vt:lpstr>
      <vt:lpstr>auditsoutcomeLA</vt:lpstr>
      <vt:lpstr>Audits Outcome LA</vt:lpstr>
      <vt:lpstr>NoticesPivot</vt:lpstr>
      <vt:lpstr>NoticesData</vt:lpstr>
      <vt:lpstr>Notices</vt:lpstr>
      <vt:lpstr>riskpivot</vt:lpstr>
      <vt:lpstr>riskdata</vt:lpstr>
      <vt:lpstr>Risk</vt:lpstr>
      <vt:lpstr>Chart Workflows</vt:lpstr>
      <vt:lpstr>Chart Audits</vt:lpstr>
      <vt:lpstr>Chart Audit Share</vt:lpstr>
      <vt:lpstr>'Geographic Structure'!Print_Area</vt:lpstr>
      <vt:lpstr>Information!Print_Area</vt:lpstr>
      <vt:lpstr>'Rate LA'!Print_Area</vt:lpstr>
      <vt:lpstr>Staffing!Print_Area</vt:lpstr>
    </vt:vector>
  </TitlesOfParts>
  <Manager/>
  <Company>Scottish Fire and Rescue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Safety and Organisational Statistics, 2024-2025, Tables and Charts</dc:title>
  <dc:subject/>
  <dc:creator>Welsh, Gregor</dc:creator>
  <cp:keywords/>
  <dc:description/>
  <cp:lastModifiedBy>Cameron, Rebecca</cp:lastModifiedBy>
  <cp:revision/>
  <dcterms:created xsi:type="dcterms:W3CDTF">2018-07-05T11:22:21Z</dcterms:created>
  <dcterms:modified xsi:type="dcterms:W3CDTF">2025-08-27T17:06:02Z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0x0101004D3BEEE8C71E0441ABCD602B2883CF2303002F0AEBBF2B74A8408CFDD78D345B4A87</vt:lpwstr>
  </property>
  <property fmtid="{D5CDD505-2E9C-101B-9397-08002B2CF9AE}" pid="3" name="MediaServiceImageTags">
    <vt:lpwstr/>
  </property>
  <property fmtid="{D5CDD505-2E9C-101B-9397-08002B2CF9AE}" pid="4" name="_dlc_DocIdItemGuid">
    <vt:lpwstr>e6c2a948-e924-4003-9f2f-fc115411b3fd</vt:lpwstr>
  </property>
  <property fmtid="{D5CDD505-2E9C-101B-9397-08002B2CF9AE}" pid="5" name="TaxKeyword">
    <vt:lpwstr/>
  </property>
  <property fmtid="{D5CDD505-2E9C-101B-9397-08002B2CF9AE}" pid="6" name="Directorate">
    <vt:lpwstr>2077;#Strategic Planning, Performance and Communications (SPPC)|c9dfca0c-2d79-4a95-9878-54827f0e6791</vt:lpwstr>
  </property>
  <property fmtid="{D5CDD505-2E9C-101B-9397-08002B2CF9AE}" pid="7" name="Comments">
    <vt:lpwstr>OK to publish</vt:lpwstr>
  </property>
</Properties>
</file>